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276" yWindow="600" windowWidth="10272" windowHeight="7596" tabRatio="934" activeTab="2"/>
  </bookViews>
  <sheets>
    <sheet name="Copyright Protection" sheetId="41" r:id="rId1"/>
    <sheet name="Instructions" sheetId="40" r:id="rId2"/>
    <sheet name="Bioenergy Calculator" sheetId="29" r:id="rId3"/>
    <sheet name="Prac. Rec. Assumptions" sheetId="30" r:id="rId4"/>
    <sheet name="Energy Content Assumptions" sheetId="31" r:id="rId5"/>
    <sheet name="Technology Assumptions" sheetId="32" r:id="rId6"/>
    <sheet name="Conversion Tables" sheetId="27" r:id="rId7"/>
    <sheet name="WWTP" sheetId="42" r:id="rId8"/>
    <sheet name="LFG Estimates by Landfill" sheetId="47" r:id="rId9"/>
    <sheet name="Biomass Data Assumptions" sheetId="6" r:id="rId10"/>
    <sheet name="Fuel Yields Eth. and DA Hydrol." sheetId="33" r:id="rId11"/>
    <sheet name="Summary Tables" sheetId="34" state="hidden" r:id="rId12"/>
    <sheet name="GHG - LFG Power" sheetId="43" r:id="rId13"/>
    <sheet name="GHG - LFG Transportation" sheetId="44" r:id="rId14"/>
    <sheet name="GHG - FW Power" sheetId="45" r:id="rId15"/>
    <sheet name="GHG - FW Transportation" sheetId="46" r:id="rId16"/>
    <sheet name="Biodiesel for transportation " sheetId="52" r:id="rId17"/>
    <sheet name="timberland for energy" sheetId="51" r:id="rId18"/>
    <sheet name="GHG-LandfilledMSW-Power" sheetId="50" r:id="rId19"/>
    <sheet name="GHG - Biosolids Power" sheetId="48" r:id="rId20"/>
    <sheet name="Contact Info" sheetId="39" r:id="rId21"/>
    <sheet name="Atlantic" sheetId="5" r:id="rId22"/>
    <sheet name="Bergen" sheetId="12" r:id="rId23"/>
    <sheet name="Burlington" sheetId="14" r:id="rId24"/>
    <sheet name="Camden" sheetId="20" r:id="rId25"/>
    <sheet name="Cape May" sheetId="19" r:id="rId26"/>
    <sheet name="Cumberland" sheetId="18" r:id="rId27"/>
    <sheet name="Essex" sheetId="15" r:id="rId28"/>
    <sheet name="Gloucester" sheetId="17" r:id="rId29"/>
    <sheet name="Hudson" sheetId="16" r:id="rId30"/>
    <sheet name="Hunterdon" sheetId="7" r:id="rId31"/>
    <sheet name="Mercer" sheetId="8" r:id="rId32"/>
    <sheet name="Middlesex" sheetId="9" r:id="rId33"/>
    <sheet name="Monmouth" sheetId="10" r:id="rId34"/>
    <sheet name="Morris" sheetId="11" r:id="rId35"/>
    <sheet name="Ocean" sheetId="13" r:id="rId36"/>
    <sheet name="Passaic" sheetId="21" r:id="rId37"/>
    <sheet name="Salem" sheetId="22" r:id="rId38"/>
    <sheet name="Somerset" sheetId="23" r:id="rId39"/>
    <sheet name="Sussex" sheetId="24" r:id="rId40"/>
    <sheet name="Union" sheetId="25" r:id="rId41"/>
    <sheet name="Warren" sheetId="26" r:id="rId42"/>
    <sheet name="Charts &amp; Tables" sheetId="49" r:id="rId43"/>
    <sheet name="Incineration Data" sheetId="53" r:id="rId44"/>
  </sheets>
  <definedNames>
    <definedName name="_ftn1" localSheetId="1">Instructions!$A$55</definedName>
    <definedName name="_ftn2" localSheetId="1">Instructions!$A$57</definedName>
    <definedName name="_xlnm.Print_Area" localSheetId="21">Atlantic!$A$1:$Q$67</definedName>
    <definedName name="_xlnm.Print_Area" localSheetId="22">Bergen!$A$1:$Q$67</definedName>
    <definedName name="_xlnm.Print_Area" localSheetId="2">'Bioenergy Calculator'!$A$1:$T$96</definedName>
    <definedName name="_xlnm.Print_Area" localSheetId="9">'Biomass Data Assumptions'!$A$1:$AB$89</definedName>
    <definedName name="_xlnm.Print_Area" localSheetId="23">Burlington!$A$1:$Q$67</definedName>
    <definedName name="_xlnm.Print_Area" localSheetId="24">Camden!$A$1:$Q$67</definedName>
    <definedName name="_xlnm.Print_Area" localSheetId="25">'Cape May'!$A$1:$Q$67</definedName>
    <definedName name="_xlnm.Print_Area" localSheetId="6">'Conversion Tables'!$A$1:$BN$56</definedName>
    <definedName name="_xlnm.Print_Area" localSheetId="0">'Copyright Protection'!$A$1:$I$22</definedName>
    <definedName name="_xlnm.Print_Area" localSheetId="26">Cumberland!$A$1:$Q$67</definedName>
    <definedName name="_xlnm.Print_Area" localSheetId="4">'Energy Content Assumptions'!$A$1:$E$72</definedName>
    <definedName name="_xlnm.Print_Area" localSheetId="27">Essex!$A$1:$Q$67</definedName>
    <definedName name="_xlnm.Print_Area" localSheetId="10">'Fuel Yields Eth. and DA Hydrol.'!$A$2:$K$26</definedName>
    <definedName name="_xlnm.Print_Area" localSheetId="28">Gloucester!$A$1:$Q$67</definedName>
    <definedName name="_xlnm.Print_Area" localSheetId="29">Hudson!$A$1:$Q$67</definedName>
    <definedName name="_xlnm.Print_Area" localSheetId="30">Hunterdon!$A$1:$Q$67</definedName>
    <definedName name="_xlnm.Print_Area" localSheetId="31">Mercer!$A$1:$Q$67</definedName>
    <definedName name="_xlnm.Print_Area" localSheetId="32">Middlesex!$A$1:$Q$67</definedName>
    <definedName name="_xlnm.Print_Area" localSheetId="33">Monmouth!$A$1:$Q$67</definedName>
    <definedName name="_xlnm.Print_Area" localSheetId="34">Morris!$A$1:$Q$67</definedName>
    <definedName name="_xlnm.Print_Area" localSheetId="35">Ocean!$A$1:$Q$67</definedName>
    <definedName name="_xlnm.Print_Area" localSheetId="36">Passaic!$A$1:$Q$67</definedName>
    <definedName name="_xlnm.Print_Area" localSheetId="37">Salem!$A$1:$Q$67</definedName>
    <definedName name="_xlnm.Print_Area" localSheetId="38">Somerset!$A$1:$Q$67</definedName>
    <definedName name="_xlnm.Print_Area" localSheetId="11">'Summary Tables'!$A$1:$J$54</definedName>
    <definedName name="_xlnm.Print_Area" localSheetId="39">Sussex!$A$1:$Q$67</definedName>
    <definedName name="_xlnm.Print_Area" localSheetId="5">'Technology Assumptions'!$A$1:$G$46</definedName>
    <definedName name="_xlnm.Print_Area" localSheetId="40">Union!$A$1:$Q$67</definedName>
    <definedName name="_xlnm.Print_Area" localSheetId="41">Warren!$A$1:$Q$67</definedName>
    <definedName name="_xlnm.Print_Titles" localSheetId="6">'Conversion Tables'!$A:$A</definedName>
  </definedNames>
  <calcPr calcId="145621"/>
</workbook>
</file>

<file path=xl/calcChain.xml><?xml version="1.0" encoding="utf-8"?>
<calcChain xmlns="http://schemas.openxmlformats.org/spreadsheetml/2006/main">
  <c r="C47" i="19" l="1"/>
  <c r="C48" i="19"/>
  <c r="B149" i="19"/>
  <c r="C149" i="19" s="1"/>
  <c r="B148" i="19"/>
  <c r="C148" i="19" s="1"/>
  <c r="C47" i="18"/>
  <c r="C48" i="18"/>
  <c r="B149" i="18"/>
  <c r="B148" i="18"/>
  <c r="C47" i="15"/>
  <c r="C48" i="15"/>
  <c r="B149" i="15"/>
  <c r="B148" i="15"/>
  <c r="C47" i="17"/>
  <c r="C48" i="17"/>
  <c r="B149" i="17"/>
  <c r="C149" i="17" s="1"/>
  <c r="B148" i="17"/>
  <c r="C47" i="16"/>
  <c r="C48" i="16"/>
  <c r="B149" i="16"/>
  <c r="B148" i="16"/>
  <c r="C148" i="16" s="1"/>
  <c r="C47" i="7"/>
  <c r="C48" i="7"/>
  <c r="B149" i="7"/>
  <c r="B148" i="7"/>
  <c r="C148" i="7" s="1"/>
  <c r="C47" i="8"/>
  <c r="C48" i="8"/>
  <c r="B149" i="8"/>
  <c r="C149" i="8" s="1"/>
  <c r="B148" i="8"/>
  <c r="C148" i="8" s="1"/>
  <c r="C47" i="9"/>
  <c r="C48" i="9"/>
  <c r="B149" i="9"/>
  <c r="C149" i="9" s="1"/>
  <c r="B148" i="9"/>
  <c r="C47" i="10"/>
  <c r="C48" i="10"/>
  <c r="B149" i="10"/>
  <c r="C149" i="10" s="1"/>
  <c r="B148" i="10"/>
  <c r="C148" i="10" s="1"/>
  <c r="C47" i="11"/>
  <c r="C48" i="11"/>
  <c r="B149" i="11"/>
  <c r="C149" i="11" s="1"/>
  <c r="B148" i="11"/>
  <c r="C47" i="13"/>
  <c r="C48" i="13"/>
  <c r="B149" i="13"/>
  <c r="B148" i="13"/>
  <c r="C47" i="21"/>
  <c r="C48" i="21"/>
  <c r="B149" i="21"/>
  <c r="B148" i="21"/>
  <c r="C148" i="21" s="1"/>
  <c r="C47" i="22"/>
  <c r="C48" i="22"/>
  <c r="B149" i="22"/>
  <c r="B148" i="22"/>
  <c r="C148" i="22" s="1"/>
  <c r="C47" i="23"/>
  <c r="C48" i="23"/>
  <c r="B149" i="23"/>
  <c r="B148" i="23"/>
  <c r="C47" i="24"/>
  <c r="C48" i="24"/>
  <c r="B149" i="24"/>
  <c r="B148" i="24"/>
  <c r="C148" i="24" s="1"/>
  <c r="C47" i="25"/>
  <c r="C48" i="25"/>
  <c r="B149" i="25"/>
  <c r="B148" i="25"/>
  <c r="C148" i="25" s="1"/>
  <c r="C47" i="26"/>
  <c r="C48" i="26"/>
  <c r="B149" i="26"/>
  <c r="C149" i="26" s="1"/>
  <c r="B148" i="26"/>
  <c r="C148" i="26" s="1"/>
  <c r="C149" i="25"/>
  <c r="C149" i="24"/>
  <c r="C149" i="23"/>
  <c r="C148" i="23"/>
  <c r="C149" i="22"/>
  <c r="C149" i="21"/>
  <c r="C149" i="13"/>
  <c r="C148" i="13"/>
  <c r="C148" i="11"/>
  <c r="C148" i="9"/>
  <c r="C149" i="7"/>
  <c r="C149" i="16"/>
  <c r="C148" i="17"/>
  <c r="C149" i="15"/>
  <c r="C148" i="15"/>
  <c r="C149" i="18"/>
  <c r="C148" i="18"/>
  <c r="C47" i="20"/>
  <c r="C48" i="20"/>
  <c r="B149" i="20"/>
  <c r="B148" i="20"/>
  <c r="C148" i="20" s="1"/>
  <c r="C149" i="20"/>
  <c r="C47" i="14"/>
  <c r="C48" i="14"/>
  <c r="B149" i="14"/>
  <c r="C149" i="14" s="1"/>
  <c r="B148" i="14"/>
  <c r="C148" i="14" s="1"/>
  <c r="C47" i="12"/>
  <c r="C48" i="12"/>
  <c r="B149" i="5"/>
  <c r="C149" i="5" s="1"/>
  <c r="C48" i="5" s="1"/>
  <c r="B148" i="5"/>
  <c r="C148" i="5" s="1"/>
  <c r="C47" i="5" s="1"/>
  <c r="B149" i="12"/>
  <c r="C149" i="12" s="1"/>
  <c r="B148" i="12"/>
  <c r="C148" i="12"/>
  <c r="B141" i="14" l="1"/>
  <c r="B142" i="14"/>
  <c r="G4" i="49"/>
  <c r="B37" i="29"/>
  <c r="B36" i="29"/>
  <c r="B35" i="29"/>
  <c r="B34" i="29"/>
  <c r="B143" i="12"/>
  <c r="B142" i="12"/>
  <c r="B141" i="12"/>
  <c r="B143" i="14"/>
  <c r="K26" i="53"/>
  <c r="C26" i="53"/>
  <c r="D6" i="53"/>
  <c r="D7" i="53"/>
  <c r="D8" i="53"/>
  <c r="D9" i="53"/>
  <c r="D10" i="53"/>
  <c r="D11" i="53"/>
  <c r="D12" i="53"/>
  <c r="D13" i="53"/>
  <c r="D14" i="53"/>
  <c r="D15" i="53"/>
  <c r="D16" i="53"/>
  <c r="D17" i="53"/>
  <c r="D18" i="53"/>
  <c r="D19" i="53"/>
  <c r="D20" i="53"/>
  <c r="D21" i="53"/>
  <c r="D22" i="53"/>
  <c r="D23" i="53"/>
  <c r="D24" i="53"/>
  <c r="D25" i="53"/>
  <c r="D5" i="53"/>
  <c r="E6" i="53"/>
  <c r="E7" i="53"/>
  <c r="E8" i="53"/>
  <c r="E9" i="53"/>
  <c r="E10" i="53"/>
  <c r="E11" i="53"/>
  <c r="E12" i="53"/>
  <c r="E13" i="53"/>
  <c r="E14" i="53"/>
  <c r="E16" i="53"/>
  <c r="E17" i="53"/>
  <c r="E18" i="53"/>
  <c r="E19" i="53"/>
  <c r="E20" i="53"/>
  <c r="E21" i="53"/>
  <c r="E22" i="53"/>
  <c r="E23" i="53"/>
  <c r="E24" i="53"/>
  <c r="E25" i="53"/>
  <c r="D26" i="53" l="1"/>
  <c r="L26" i="53" s="1"/>
  <c r="J9" i="30"/>
  <c r="I9" i="30"/>
  <c r="K9" i="30" s="1"/>
  <c r="H9" i="30"/>
  <c r="H223" i="49" l="1"/>
  <c r="G223" i="49"/>
  <c r="F223" i="49"/>
  <c r="E223" i="49"/>
  <c r="D223" i="49"/>
  <c r="P180" i="49" l="1"/>
  <c r="O180" i="49"/>
  <c r="N180" i="49"/>
  <c r="M180" i="49"/>
  <c r="P179" i="49"/>
  <c r="O179" i="49"/>
  <c r="N179" i="49"/>
  <c r="M179" i="49"/>
  <c r="P178" i="49"/>
  <c r="O178" i="49"/>
  <c r="N178" i="49"/>
  <c r="M178" i="49"/>
  <c r="P177" i="49"/>
  <c r="O177" i="49"/>
  <c r="N177" i="49"/>
  <c r="M177" i="49"/>
  <c r="P176" i="49"/>
  <c r="O176" i="49"/>
  <c r="N176" i="49"/>
  <c r="M176" i="49"/>
  <c r="P175" i="49"/>
  <c r="O175" i="49"/>
  <c r="N175" i="49"/>
  <c r="M175" i="49"/>
  <c r="P174" i="49"/>
  <c r="O174" i="49"/>
  <c r="N174" i="49"/>
  <c r="M174" i="49"/>
  <c r="P173" i="49"/>
  <c r="O173" i="49"/>
  <c r="N173" i="49"/>
  <c r="M173" i="49"/>
  <c r="P172" i="49"/>
  <c r="O172" i="49"/>
  <c r="N172" i="49"/>
  <c r="M172" i="49"/>
  <c r="P171" i="49"/>
  <c r="O171" i="49"/>
  <c r="N171" i="49"/>
  <c r="M171" i="49"/>
  <c r="P170" i="49"/>
  <c r="O170" i="49"/>
  <c r="N170" i="49"/>
  <c r="M170" i="49"/>
  <c r="P169" i="49"/>
  <c r="O169" i="49"/>
  <c r="N169" i="49"/>
  <c r="M169" i="49"/>
  <c r="P168" i="49"/>
  <c r="O168" i="49"/>
  <c r="N168" i="49"/>
  <c r="M168" i="49"/>
  <c r="P167" i="49"/>
  <c r="O167" i="49"/>
  <c r="N167" i="49"/>
  <c r="M167" i="49"/>
  <c r="P166" i="49"/>
  <c r="O166" i="49"/>
  <c r="N166" i="49"/>
  <c r="M166" i="49"/>
  <c r="P165" i="49"/>
  <c r="O165" i="49"/>
  <c r="N165" i="49"/>
  <c r="M165" i="49"/>
  <c r="P164" i="49"/>
  <c r="O164" i="49"/>
  <c r="N164" i="49"/>
  <c r="M164" i="49"/>
  <c r="P163" i="49"/>
  <c r="O163" i="49"/>
  <c r="N163" i="49"/>
  <c r="M163" i="49"/>
  <c r="P162" i="49"/>
  <c r="O162" i="49"/>
  <c r="N162" i="49"/>
  <c r="M162" i="49"/>
  <c r="P161" i="49"/>
  <c r="O161" i="49"/>
  <c r="N161" i="49"/>
  <c r="M161" i="49"/>
  <c r="P160" i="49"/>
  <c r="O160" i="49"/>
  <c r="N160" i="49"/>
  <c r="M160" i="49"/>
  <c r="M181" i="49" l="1"/>
  <c r="N181" i="49"/>
  <c r="O181" i="49"/>
  <c r="P181" i="49"/>
  <c r="G207" i="49"/>
  <c r="F207" i="49"/>
  <c r="C207" i="49"/>
  <c r="J180" i="49"/>
  <c r="I180" i="49"/>
  <c r="H180" i="49"/>
  <c r="G180" i="49"/>
  <c r="J179" i="49"/>
  <c r="I179" i="49"/>
  <c r="H179" i="49"/>
  <c r="G179" i="49"/>
  <c r="J178" i="49"/>
  <c r="I178" i="49"/>
  <c r="H178" i="49"/>
  <c r="G178" i="49"/>
  <c r="J177" i="49"/>
  <c r="I177" i="49"/>
  <c r="H177" i="49"/>
  <c r="G177" i="49"/>
  <c r="J176" i="49"/>
  <c r="I176" i="49"/>
  <c r="H176" i="49"/>
  <c r="G176" i="49"/>
  <c r="J175" i="49"/>
  <c r="I175" i="49"/>
  <c r="H175" i="49"/>
  <c r="G175" i="49"/>
  <c r="J174" i="49"/>
  <c r="I174" i="49"/>
  <c r="H174" i="49"/>
  <c r="G174" i="49"/>
  <c r="J173" i="49"/>
  <c r="I173" i="49"/>
  <c r="H173" i="49"/>
  <c r="G173" i="49"/>
  <c r="J172" i="49"/>
  <c r="I172" i="49"/>
  <c r="H172" i="49"/>
  <c r="G172" i="49"/>
  <c r="J171" i="49"/>
  <c r="I171" i="49"/>
  <c r="H171" i="49"/>
  <c r="G171" i="49"/>
  <c r="J170" i="49"/>
  <c r="I170" i="49"/>
  <c r="H170" i="49"/>
  <c r="G170" i="49"/>
  <c r="J169" i="49"/>
  <c r="I169" i="49"/>
  <c r="H169" i="49"/>
  <c r="G169" i="49"/>
  <c r="J168" i="49"/>
  <c r="I168" i="49"/>
  <c r="H168" i="49"/>
  <c r="G168" i="49"/>
  <c r="J167" i="49"/>
  <c r="I167" i="49"/>
  <c r="H167" i="49"/>
  <c r="G167" i="49"/>
  <c r="J166" i="49"/>
  <c r="I166" i="49"/>
  <c r="H166" i="49"/>
  <c r="G166" i="49"/>
  <c r="J165" i="49"/>
  <c r="I165" i="49"/>
  <c r="H165" i="49"/>
  <c r="G165" i="49"/>
  <c r="J164" i="49"/>
  <c r="I164" i="49"/>
  <c r="H164" i="49"/>
  <c r="G164" i="49"/>
  <c r="J163" i="49"/>
  <c r="I163" i="49"/>
  <c r="H163" i="49"/>
  <c r="G163" i="49"/>
  <c r="J162" i="49"/>
  <c r="I162" i="49"/>
  <c r="H162" i="49"/>
  <c r="G162" i="49"/>
  <c r="J161" i="49"/>
  <c r="I161" i="49"/>
  <c r="H161" i="49"/>
  <c r="G161" i="49"/>
  <c r="J160" i="49"/>
  <c r="I160" i="49"/>
  <c r="H160" i="49"/>
  <c r="G160" i="49"/>
  <c r="F181" i="49"/>
  <c r="E181" i="49"/>
  <c r="G153" i="49"/>
  <c r="J153" i="49"/>
  <c r="I153" i="49"/>
  <c r="H153" i="49"/>
  <c r="G152" i="49"/>
  <c r="J152" i="49"/>
  <c r="I152" i="49"/>
  <c r="H152" i="49"/>
  <c r="G151" i="49"/>
  <c r="J151" i="49"/>
  <c r="I151" i="49"/>
  <c r="H151" i="49"/>
  <c r="G150" i="49"/>
  <c r="J150" i="49"/>
  <c r="I150" i="49"/>
  <c r="H150" i="49"/>
  <c r="G149" i="49"/>
  <c r="J149" i="49"/>
  <c r="I149" i="49"/>
  <c r="H149" i="49"/>
  <c r="G148" i="49"/>
  <c r="J148" i="49"/>
  <c r="I148" i="49"/>
  <c r="H148" i="49"/>
  <c r="G147" i="49"/>
  <c r="J147" i="49"/>
  <c r="I147" i="49"/>
  <c r="H147" i="49"/>
  <c r="G146" i="49"/>
  <c r="J146" i="49"/>
  <c r="I146" i="49"/>
  <c r="H146" i="49"/>
  <c r="G145" i="49"/>
  <c r="J145" i="49"/>
  <c r="I145" i="49"/>
  <c r="H145" i="49"/>
  <c r="G144" i="49"/>
  <c r="J144" i="49"/>
  <c r="I144" i="49"/>
  <c r="H144" i="49"/>
  <c r="G143" i="49"/>
  <c r="J143" i="49"/>
  <c r="I143" i="49"/>
  <c r="H143" i="49"/>
  <c r="G142" i="49"/>
  <c r="J142" i="49"/>
  <c r="I142" i="49"/>
  <c r="H142" i="49"/>
  <c r="G141" i="49"/>
  <c r="J141" i="49"/>
  <c r="I141" i="49"/>
  <c r="H141" i="49"/>
  <c r="G140" i="49"/>
  <c r="J140" i="49"/>
  <c r="I140" i="49"/>
  <c r="H140" i="49"/>
  <c r="G139" i="49"/>
  <c r="J139" i="49"/>
  <c r="I139" i="49"/>
  <c r="H139" i="49"/>
  <c r="G138" i="49"/>
  <c r="J138" i="49"/>
  <c r="I138" i="49"/>
  <c r="H138" i="49"/>
  <c r="G137" i="49"/>
  <c r="J137" i="49"/>
  <c r="I137" i="49"/>
  <c r="H137" i="49"/>
  <c r="G136" i="49"/>
  <c r="J136" i="49"/>
  <c r="I136" i="49"/>
  <c r="H136" i="49"/>
  <c r="G135" i="49"/>
  <c r="J135" i="49"/>
  <c r="I135" i="49"/>
  <c r="H135" i="49"/>
  <c r="G134" i="49"/>
  <c r="J134" i="49"/>
  <c r="I134" i="49"/>
  <c r="H134" i="49"/>
  <c r="G133" i="49"/>
  <c r="J133" i="49"/>
  <c r="I133" i="49"/>
  <c r="H133" i="49"/>
  <c r="C154" i="49"/>
  <c r="T153" i="49"/>
  <c r="S153" i="49"/>
  <c r="R153" i="49"/>
  <c r="Q153" i="49"/>
  <c r="T152" i="49"/>
  <c r="S152" i="49"/>
  <c r="R152" i="49"/>
  <c r="Q152" i="49"/>
  <c r="T151" i="49"/>
  <c r="S151" i="49"/>
  <c r="R151" i="49"/>
  <c r="Q151" i="49"/>
  <c r="T150" i="49"/>
  <c r="S150" i="49"/>
  <c r="R150" i="49"/>
  <c r="Q150" i="49"/>
  <c r="T149" i="49"/>
  <c r="S149" i="49"/>
  <c r="R149" i="49"/>
  <c r="Q149" i="49"/>
  <c r="T148" i="49"/>
  <c r="S148" i="49"/>
  <c r="R148" i="49"/>
  <c r="Q148" i="49"/>
  <c r="T147" i="49"/>
  <c r="S147" i="49"/>
  <c r="R147" i="49"/>
  <c r="Q147" i="49"/>
  <c r="T146" i="49"/>
  <c r="S146" i="49"/>
  <c r="R146" i="49"/>
  <c r="Q146" i="49"/>
  <c r="T145" i="49"/>
  <c r="S145" i="49"/>
  <c r="R145" i="49"/>
  <c r="Q145" i="49"/>
  <c r="T144" i="49"/>
  <c r="S144" i="49"/>
  <c r="R144" i="49"/>
  <c r="Q144" i="49"/>
  <c r="T143" i="49"/>
  <c r="S143" i="49"/>
  <c r="R143" i="49"/>
  <c r="Q143" i="49"/>
  <c r="T142" i="49"/>
  <c r="S142" i="49"/>
  <c r="R142" i="49"/>
  <c r="Q142" i="49"/>
  <c r="T141" i="49"/>
  <c r="S141" i="49"/>
  <c r="R141" i="49"/>
  <c r="Q141" i="49"/>
  <c r="T140" i="49"/>
  <c r="S140" i="49"/>
  <c r="R140" i="49"/>
  <c r="Q140" i="49"/>
  <c r="T139" i="49"/>
  <c r="S139" i="49"/>
  <c r="R139" i="49"/>
  <c r="Q139" i="49"/>
  <c r="T138" i="49"/>
  <c r="S138" i="49"/>
  <c r="R138" i="49"/>
  <c r="Q138" i="49"/>
  <c r="T137" i="49"/>
  <c r="S137" i="49"/>
  <c r="R137" i="49"/>
  <c r="Q137" i="49"/>
  <c r="T136" i="49"/>
  <c r="S136" i="49"/>
  <c r="R136" i="49"/>
  <c r="Q136" i="49"/>
  <c r="T135" i="49"/>
  <c r="S135" i="49"/>
  <c r="R135" i="49"/>
  <c r="Q135" i="49"/>
  <c r="T134" i="49"/>
  <c r="S134" i="49"/>
  <c r="R134" i="49"/>
  <c r="Q134" i="49"/>
  <c r="T133" i="49"/>
  <c r="S133" i="49"/>
  <c r="R133" i="49"/>
  <c r="Q133" i="49"/>
  <c r="P154" i="49"/>
  <c r="O154" i="49"/>
  <c r="N154" i="49"/>
  <c r="M154" i="49"/>
  <c r="R126" i="49"/>
  <c r="Q126" i="49"/>
  <c r="T126" i="49"/>
  <c r="S126" i="49"/>
  <c r="R125" i="49"/>
  <c r="Q125" i="49"/>
  <c r="T125" i="49"/>
  <c r="S125" i="49"/>
  <c r="R124" i="49"/>
  <c r="Q124" i="49"/>
  <c r="T124" i="49"/>
  <c r="S124" i="49"/>
  <c r="R123" i="49"/>
  <c r="Q123" i="49"/>
  <c r="T123" i="49"/>
  <c r="S123" i="49"/>
  <c r="R122" i="49"/>
  <c r="Q122" i="49"/>
  <c r="T122" i="49"/>
  <c r="S122" i="49"/>
  <c r="R121" i="49"/>
  <c r="Q121" i="49"/>
  <c r="T121" i="49"/>
  <c r="S121" i="49"/>
  <c r="R120" i="49"/>
  <c r="Q120" i="49"/>
  <c r="T120" i="49"/>
  <c r="S120" i="49"/>
  <c r="R119" i="49"/>
  <c r="Q119" i="49"/>
  <c r="T119" i="49"/>
  <c r="S119" i="49"/>
  <c r="R118" i="49"/>
  <c r="Q118" i="49"/>
  <c r="T118" i="49"/>
  <c r="S118" i="49"/>
  <c r="R117" i="49"/>
  <c r="Q117" i="49"/>
  <c r="T117" i="49"/>
  <c r="S117" i="49"/>
  <c r="R116" i="49"/>
  <c r="Q116" i="49"/>
  <c r="T116" i="49"/>
  <c r="S116" i="49"/>
  <c r="R115" i="49"/>
  <c r="Q115" i="49"/>
  <c r="T115" i="49"/>
  <c r="S115" i="49"/>
  <c r="R114" i="49"/>
  <c r="Q114" i="49"/>
  <c r="T114" i="49"/>
  <c r="S114" i="49"/>
  <c r="R113" i="49"/>
  <c r="Q113" i="49"/>
  <c r="T113" i="49"/>
  <c r="S113" i="49"/>
  <c r="R112" i="49"/>
  <c r="Q112" i="49"/>
  <c r="T112" i="49"/>
  <c r="S112" i="49"/>
  <c r="R111" i="49"/>
  <c r="Q111" i="49"/>
  <c r="T111" i="49"/>
  <c r="S111" i="49"/>
  <c r="R110" i="49"/>
  <c r="Q110" i="49"/>
  <c r="T110" i="49"/>
  <c r="S110" i="49"/>
  <c r="R109" i="49"/>
  <c r="Q109" i="49"/>
  <c r="T109" i="49"/>
  <c r="S109" i="49"/>
  <c r="R108" i="49"/>
  <c r="Q108" i="49"/>
  <c r="T108" i="49"/>
  <c r="S108" i="49"/>
  <c r="R107" i="49"/>
  <c r="Q107" i="49"/>
  <c r="T107" i="49"/>
  <c r="S107" i="49"/>
  <c r="R106" i="49"/>
  <c r="Q106" i="49"/>
  <c r="T106" i="49"/>
  <c r="S106" i="49"/>
  <c r="N127" i="49"/>
  <c r="M127" i="49"/>
  <c r="Y144" i="49" l="1"/>
  <c r="Y150" i="49"/>
  <c r="Y133" i="49"/>
  <c r="Y135" i="49"/>
  <c r="Y137" i="49"/>
  <c r="Y139" i="49"/>
  <c r="Y141" i="49"/>
  <c r="Y143" i="49"/>
  <c r="Y145" i="49"/>
  <c r="Y147" i="49"/>
  <c r="Y149" i="49"/>
  <c r="Y151" i="49"/>
  <c r="Y153" i="49"/>
  <c r="W144" i="49"/>
  <c r="Y134" i="49"/>
  <c r="Y136" i="49"/>
  <c r="Y140" i="49"/>
  <c r="Y148" i="49"/>
  <c r="Y152" i="49"/>
  <c r="X133" i="49"/>
  <c r="X135" i="49"/>
  <c r="X137" i="49"/>
  <c r="X139" i="49"/>
  <c r="X141" i="49"/>
  <c r="X143" i="49"/>
  <c r="X145" i="49"/>
  <c r="X147" i="49"/>
  <c r="X149" i="49"/>
  <c r="X151" i="49"/>
  <c r="X153" i="49"/>
  <c r="Z147" i="49"/>
  <c r="Y142" i="49"/>
  <c r="Z134" i="49"/>
  <c r="Z136" i="49"/>
  <c r="Z138" i="49"/>
  <c r="Z140" i="49"/>
  <c r="Z142" i="49"/>
  <c r="Z144" i="49"/>
  <c r="Z146" i="49"/>
  <c r="Z148" i="49"/>
  <c r="Z150" i="49"/>
  <c r="Z152" i="49"/>
  <c r="W137" i="49"/>
  <c r="W139" i="49"/>
  <c r="W145" i="49"/>
  <c r="W147" i="49"/>
  <c r="W153" i="49"/>
  <c r="W134" i="49"/>
  <c r="W136" i="49"/>
  <c r="W138" i="49"/>
  <c r="W140" i="49"/>
  <c r="W142" i="49"/>
  <c r="W146" i="49"/>
  <c r="W148" i="49"/>
  <c r="W150" i="49"/>
  <c r="W152" i="49"/>
  <c r="H181" i="49"/>
  <c r="Z139" i="49"/>
  <c r="Z133" i="49"/>
  <c r="Z135" i="49"/>
  <c r="Z137" i="49"/>
  <c r="Z141" i="49"/>
  <c r="Z143" i="49"/>
  <c r="Z145" i="49"/>
  <c r="Z149" i="49"/>
  <c r="Z151" i="49"/>
  <c r="Z153" i="49"/>
  <c r="W135" i="49"/>
  <c r="W141" i="49"/>
  <c r="W143" i="49"/>
  <c r="W149" i="49"/>
  <c r="W151" i="49"/>
  <c r="X134" i="49"/>
  <c r="X136" i="49"/>
  <c r="X138" i="49"/>
  <c r="X140" i="49"/>
  <c r="X142" i="49"/>
  <c r="X144" i="49"/>
  <c r="X146" i="49"/>
  <c r="X148" i="49"/>
  <c r="X150" i="49"/>
  <c r="X152" i="49"/>
  <c r="Y138" i="49"/>
  <c r="Y146" i="49"/>
  <c r="W133" i="49"/>
  <c r="T127" i="49"/>
  <c r="G181" i="49"/>
  <c r="H207" i="49"/>
  <c r="I207" i="49"/>
  <c r="E207" i="49"/>
  <c r="J207" i="49"/>
  <c r="D207" i="49"/>
  <c r="I181" i="49"/>
  <c r="J181" i="49"/>
  <c r="C181" i="49"/>
  <c r="D181" i="49"/>
  <c r="G154" i="49"/>
  <c r="J154" i="49"/>
  <c r="H154" i="49"/>
  <c r="I154" i="49"/>
  <c r="D154" i="49"/>
  <c r="E154" i="49"/>
  <c r="F154" i="49"/>
  <c r="S154" i="49"/>
  <c r="T154" i="49"/>
  <c r="Q154" i="49"/>
  <c r="R154" i="49"/>
  <c r="Q127" i="49"/>
  <c r="R127" i="49"/>
  <c r="S127" i="49"/>
  <c r="O127" i="49"/>
  <c r="P127" i="49"/>
  <c r="Y154" i="49" l="1"/>
  <c r="X154" i="49"/>
  <c r="Z154" i="49"/>
  <c r="W154" i="49"/>
  <c r="O4" i="46"/>
  <c r="P29" i="45" l="1"/>
  <c r="M4" i="45"/>
  <c r="L5" i="51" l="1"/>
  <c r="D25" i="51"/>
  <c r="E25" i="51" s="1"/>
  <c r="F25" i="51" s="1"/>
  <c r="D24" i="51"/>
  <c r="E24" i="51" s="1"/>
  <c r="F24" i="51" s="1"/>
  <c r="D23" i="51"/>
  <c r="E23" i="51" s="1"/>
  <c r="F23" i="51" s="1"/>
  <c r="D22" i="51"/>
  <c r="E22" i="51" s="1"/>
  <c r="F22" i="51" s="1"/>
  <c r="D21" i="51"/>
  <c r="E21" i="51" s="1"/>
  <c r="F21" i="51" s="1"/>
  <c r="L21" i="51" s="1"/>
  <c r="D20" i="51"/>
  <c r="E20" i="51" s="1"/>
  <c r="F20" i="51" s="1"/>
  <c r="L20" i="51" s="1"/>
  <c r="D19" i="51"/>
  <c r="E19" i="51" s="1"/>
  <c r="F19" i="51" s="1"/>
  <c r="L19" i="51" s="1"/>
  <c r="D18" i="51"/>
  <c r="E18" i="51" s="1"/>
  <c r="F18" i="51" s="1"/>
  <c r="L18" i="51" s="1"/>
  <c r="D17" i="51"/>
  <c r="E17" i="51" s="1"/>
  <c r="F17" i="51" s="1"/>
  <c r="D16" i="51"/>
  <c r="E16" i="51" s="1"/>
  <c r="F16" i="51" s="1"/>
  <c r="D15" i="51"/>
  <c r="E15" i="51" s="1"/>
  <c r="F15" i="51" s="1"/>
  <c r="D14" i="51"/>
  <c r="E14" i="51" s="1"/>
  <c r="F14" i="51" s="1"/>
  <c r="D13" i="51"/>
  <c r="E13" i="51" s="1"/>
  <c r="F13" i="51" s="1"/>
  <c r="L13" i="51" s="1"/>
  <c r="D12" i="51"/>
  <c r="E12" i="51" s="1"/>
  <c r="F12" i="51" s="1"/>
  <c r="L12" i="51" s="1"/>
  <c r="D11" i="51"/>
  <c r="E11" i="51" s="1"/>
  <c r="F11" i="51" s="1"/>
  <c r="L11" i="51" s="1"/>
  <c r="D10" i="51"/>
  <c r="E10" i="51" s="1"/>
  <c r="F10" i="51" s="1"/>
  <c r="L10" i="51" s="1"/>
  <c r="D9" i="51"/>
  <c r="E9" i="51" s="1"/>
  <c r="F9" i="51" s="1"/>
  <c r="D8" i="51"/>
  <c r="E8" i="51" s="1"/>
  <c r="F8" i="51" s="1"/>
  <c r="D7" i="51"/>
  <c r="E7" i="51" s="1"/>
  <c r="F7" i="51" s="1"/>
  <c r="D6" i="51"/>
  <c r="D5" i="51"/>
  <c r="E5" i="51" s="1"/>
  <c r="F5" i="51" s="1"/>
  <c r="C26" i="51"/>
  <c r="B26" i="51"/>
  <c r="N28" i="6"/>
  <c r="K25" i="50"/>
  <c r="L25" i="50" s="1"/>
  <c r="M25" i="50" s="1"/>
  <c r="K24" i="50"/>
  <c r="L24" i="50" s="1"/>
  <c r="M24" i="50" s="1"/>
  <c r="K23" i="50"/>
  <c r="L23" i="50" s="1"/>
  <c r="M23" i="50" s="1"/>
  <c r="K22" i="50"/>
  <c r="L22" i="50" s="1"/>
  <c r="M22" i="50" s="1"/>
  <c r="K21" i="50"/>
  <c r="L21" i="50" s="1"/>
  <c r="M21" i="50" s="1"/>
  <c r="K20" i="50"/>
  <c r="L20" i="50" s="1"/>
  <c r="M20" i="50" s="1"/>
  <c r="K19" i="50"/>
  <c r="L19" i="50" s="1"/>
  <c r="M19" i="50" s="1"/>
  <c r="K18" i="50"/>
  <c r="L18" i="50" s="1"/>
  <c r="M18" i="50" s="1"/>
  <c r="K17" i="50"/>
  <c r="L17" i="50" s="1"/>
  <c r="M17" i="50" s="1"/>
  <c r="K16" i="50"/>
  <c r="L16" i="50" s="1"/>
  <c r="M16" i="50" s="1"/>
  <c r="K15" i="50"/>
  <c r="L15" i="50" s="1"/>
  <c r="M15" i="50" s="1"/>
  <c r="K14" i="50"/>
  <c r="L14" i="50" s="1"/>
  <c r="M14" i="50" s="1"/>
  <c r="K13" i="50"/>
  <c r="L13" i="50" s="1"/>
  <c r="M13" i="50" s="1"/>
  <c r="K12" i="50"/>
  <c r="L12" i="50" s="1"/>
  <c r="M12" i="50" s="1"/>
  <c r="K11" i="50"/>
  <c r="L11" i="50" s="1"/>
  <c r="M11" i="50" s="1"/>
  <c r="K10" i="50"/>
  <c r="L10" i="50" s="1"/>
  <c r="M10" i="50" s="1"/>
  <c r="K9" i="50"/>
  <c r="L9" i="50" s="1"/>
  <c r="M9" i="50" s="1"/>
  <c r="K8" i="50"/>
  <c r="L8" i="50" s="1"/>
  <c r="M8" i="50" s="1"/>
  <c r="K7" i="50"/>
  <c r="L7" i="50" s="1"/>
  <c r="M7" i="50" s="1"/>
  <c r="K6" i="50"/>
  <c r="L6" i="50" s="1"/>
  <c r="M6" i="50" s="1"/>
  <c r="K5" i="50"/>
  <c r="K26" i="50" l="1"/>
  <c r="D26" i="51"/>
  <c r="E6" i="51"/>
  <c r="F6" i="51" s="1"/>
  <c r="L9" i="51"/>
  <c r="G9" i="51"/>
  <c r="L22" i="51"/>
  <c r="G22" i="51"/>
  <c r="L15" i="51"/>
  <c r="G15" i="51"/>
  <c r="L24" i="51"/>
  <c r="G24" i="51"/>
  <c r="L25" i="51"/>
  <c r="G25" i="51"/>
  <c r="L16" i="51"/>
  <c r="G16" i="51"/>
  <c r="L14" i="51"/>
  <c r="G14" i="51"/>
  <c r="L7" i="51"/>
  <c r="G7" i="51"/>
  <c r="L23" i="51"/>
  <c r="G23" i="51"/>
  <c r="L17" i="51"/>
  <c r="G17" i="51"/>
  <c r="L8" i="51"/>
  <c r="G8" i="51"/>
  <c r="O11" i="51"/>
  <c r="P11" i="51" s="1"/>
  <c r="Q11" i="51" s="1"/>
  <c r="M11" i="51"/>
  <c r="O12" i="51"/>
  <c r="P12" i="51" s="1"/>
  <c r="Q12" i="51" s="1"/>
  <c r="M12" i="51"/>
  <c r="O19" i="51"/>
  <c r="P19" i="51" s="1"/>
  <c r="Q19" i="51" s="1"/>
  <c r="M19" i="51"/>
  <c r="M21" i="51"/>
  <c r="O21" i="51"/>
  <c r="P21" i="51" s="1"/>
  <c r="Q21" i="51" s="1"/>
  <c r="G11" i="51"/>
  <c r="G19" i="51"/>
  <c r="G5" i="51"/>
  <c r="O10" i="51"/>
  <c r="P10" i="51" s="1"/>
  <c r="Q10" i="51" s="1"/>
  <c r="M10" i="51"/>
  <c r="O20" i="51"/>
  <c r="P20" i="51" s="1"/>
  <c r="Q20" i="51" s="1"/>
  <c r="M20" i="51"/>
  <c r="M13" i="51"/>
  <c r="O13" i="51"/>
  <c r="P13" i="51" s="1"/>
  <c r="Q13" i="51" s="1"/>
  <c r="G18" i="51"/>
  <c r="G12" i="51"/>
  <c r="G20" i="51"/>
  <c r="O18" i="51"/>
  <c r="P18" i="51" s="1"/>
  <c r="Q18" i="51" s="1"/>
  <c r="M18" i="51"/>
  <c r="M5" i="51"/>
  <c r="R5" i="51" s="1"/>
  <c r="O5" i="51"/>
  <c r="G10" i="51"/>
  <c r="G13" i="51"/>
  <c r="G21" i="51"/>
  <c r="L5" i="50"/>
  <c r="N18" i="51" l="1"/>
  <c r="R18" i="51"/>
  <c r="N10" i="51"/>
  <c r="R10" i="51"/>
  <c r="N12" i="51"/>
  <c r="R12" i="51"/>
  <c r="N11" i="51"/>
  <c r="R11" i="51"/>
  <c r="N13" i="51"/>
  <c r="R13" i="51"/>
  <c r="N20" i="51"/>
  <c r="R20" i="51"/>
  <c r="N21" i="51"/>
  <c r="R21" i="51"/>
  <c r="N19" i="51"/>
  <c r="R19" i="51"/>
  <c r="K18" i="51"/>
  <c r="H18" i="51"/>
  <c r="I18" i="51" s="1"/>
  <c r="J18" i="51" s="1"/>
  <c r="K19" i="51"/>
  <c r="H19" i="51"/>
  <c r="I19" i="51" s="1"/>
  <c r="J19" i="51" s="1"/>
  <c r="M7" i="51"/>
  <c r="O7" i="51"/>
  <c r="P7" i="51" s="1"/>
  <c r="Q7" i="51" s="1"/>
  <c r="K8" i="51"/>
  <c r="H8" i="51"/>
  <c r="I8" i="51" s="1"/>
  <c r="J8" i="51" s="1"/>
  <c r="K14" i="51"/>
  <c r="H14" i="51"/>
  <c r="I14" i="51" s="1"/>
  <c r="J14" i="51" s="1"/>
  <c r="K15" i="51"/>
  <c r="H15" i="51"/>
  <c r="I15" i="51" s="1"/>
  <c r="J15" i="51" s="1"/>
  <c r="M8" i="51"/>
  <c r="O8" i="51"/>
  <c r="P8" i="51" s="1"/>
  <c r="Q8" i="51" s="1"/>
  <c r="M14" i="51"/>
  <c r="O14" i="51"/>
  <c r="P14" i="51" s="1"/>
  <c r="Q14" i="51" s="1"/>
  <c r="M15" i="51"/>
  <c r="O15" i="51"/>
  <c r="P15" i="51" s="1"/>
  <c r="Q15" i="51" s="1"/>
  <c r="M22" i="51"/>
  <c r="O22" i="51"/>
  <c r="P22" i="51" s="1"/>
  <c r="Q22" i="51" s="1"/>
  <c r="K10" i="51"/>
  <c r="H10" i="51"/>
  <c r="I10" i="51" s="1"/>
  <c r="J10" i="51" s="1"/>
  <c r="K7" i="51"/>
  <c r="H7" i="51"/>
  <c r="I7" i="51" s="1"/>
  <c r="J7" i="51" s="1"/>
  <c r="P5" i="51"/>
  <c r="M24" i="51"/>
  <c r="O24" i="51"/>
  <c r="P24" i="51" s="1"/>
  <c r="Q24" i="51" s="1"/>
  <c r="N5" i="51"/>
  <c r="K17" i="51"/>
  <c r="H17" i="51"/>
  <c r="I17" i="51" s="1"/>
  <c r="J17" i="51" s="1"/>
  <c r="K16" i="51"/>
  <c r="H16" i="51"/>
  <c r="I16" i="51" s="1"/>
  <c r="J16" i="51" s="1"/>
  <c r="K22" i="51"/>
  <c r="H22" i="51"/>
  <c r="I22" i="51" s="1"/>
  <c r="J22" i="51" s="1"/>
  <c r="K20" i="51"/>
  <c r="H20" i="51"/>
  <c r="I20" i="51" s="1"/>
  <c r="J20" i="51" s="1"/>
  <c r="O17" i="51"/>
  <c r="P17" i="51" s="1"/>
  <c r="Q17" i="51" s="1"/>
  <c r="M17" i="51"/>
  <c r="M16" i="51"/>
  <c r="O16" i="51"/>
  <c r="P16" i="51" s="1"/>
  <c r="Q16" i="51" s="1"/>
  <c r="K21" i="51"/>
  <c r="H21" i="51"/>
  <c r="I21" i="51" s="1"/>
  <c r="J21" i="51" s="1"/>
  <c r="K12" i="51"/>
  <c r="H12" i="51"/>
  <c r="I12" i="51" s="1"/>
  <c r="J12" i="51" s="1"/>
  <c r="K23" i="51"/>
  <c r="H23" i="51"/>
  <c r="I23" i="51" s="1"/>
  <c r="J23" i="51" s="1"/>
  <c r="K25" i="51"/>
  <c r="H25" i="51"/>
  <c r="I25" i="51" s="1"/>
  <c r="J25" i="51" s="1"/>
  <c r="K9" i="51"/>
  <c r="H9" i="51"/>
  <c r="I9" i="51" s="1"/>
  <c r="J9" i="51" s="1"/>
  <c r="K24" i="51"/>
  <c r="H24" i="51"/>
  <c r="I24" i="51" s="1"/>
  <c r="J24" i="51" s="1"/>
  <c r="K11" i="51"/>
  <c r="H11" i="51"/>
  <c r="I11" i="51" s="1"/>
  <c r="J11" i="51" s="1"/>
  <c r="K13" i="51"/>
  <c r="H13" i="51"/>
  <c r="I13" i="51" s="1"/>
  <c r="J13" i="51" s="1"/>
  <c r="E26" i="51"/>
  <c r="H5" i="51"/>
  <c r="K5" i="51"/>
  <c r="M23" i="51"/>
  <c r="O23" i="51"/>
  <c r="P23" i="51" s="1"/>
  <c r="Q23" i="51" s="1"/>
  <c r="O25" i="51"/>
  <c r="P25" i="51" s="1"/>
  <c r="Q25" i="51" s="1"/>
  <c r="M25" i="51"/>
  <c r="O9" i="51"/>
  <c r="P9" i="51" s="1"/>
  <c r="Q9" i="51" s="1"/>
  <c r="M9" i="51"/>
  <c r="M5" i="50"/>
  <c r="M26" i="50" s="1"/>
  <c r="L26" i="50"/>
  <c r="C99" i="49"/>
  <c r="P72" i="49"/>
  <c r="O72" i="49"/>
  <c r="N72" i="49"/>
  <c r="I72" i="49"/>
  <c r="P71" i="49"/>
  <c r="O71" i="49"/>
  <c r="N71" i="49"/>
  <c r="I71" i="49"/>
  <c r="P70" i="49"/>
  <c r="O70" i="49"/>
  <c r="N70" i="49"/>
  <c r="I70" i="49"/>
  <c r="P69" i="49"/>
  <c r="O69" i="49"/>
  <c r="N69" i="49"/>
  <c r="I69" i="49"/>
  <c r="P68" i="49"/>
  <c r="O68" i="49"/>
  <c r="N68" i="49"/>
  <c r="I68" i="49"/>
  <c r="P67" i="49"/>
  <c r="O67" i="49"/>
  <c r="N67" i="49"/>
  <c r="I67" i="49"/>
  <c r="P66" i="49"/>
  <c r="O66" i="49"/>
  <c r="N66" i="49"/>
  <c r="I66" i="49"/>
  <c r="P65" i="49"/>
  <c r="O65" i="49"/>
  <c r="N65" i="49"/>
  <c r="I65" i="49"/>
  <c r="P64" i="49"/>
  <c r="O64" i="49"/>
  <c r="N64" i="49"/>
  <c r="I64" i="49"/>
  <c r="P63" i="49"/>
  <c r="O63" i="49"/>
  <c r="N63" i="49"/>
  <c r="I63" i="49"/>
  <c r="P62" i="49"/>
  <c r="O62" i="49"/>
  <c r="N62" i="49"/>
  <c r="I62" i="49"/>
  <c r="P61" i="49"/>
  <c r="O61" i="49"/>
  <c r="N61" i="49"/>
  <c r="I61" i="49"/>
  <c r="P60" i="49"/>
  <c r="O60" i="49"/>
  <c r="N60" i="49"/>
  <c r="I60" i="49"/>
  <c r="P59" i="49"/>
  <c r="O59" i="49"/>
  <c r="N59" i="49"/>
  <c r="I59" i="49"/>
  <c r="P58" i="49"/>
  <c r="O58" i="49"/>
  <c r="N58" i="49"/>
  <c r="I58" i="49"/>
  <c r="P57" i="49"/>
  <c r="O57" i="49"/>
  <c r="N57" i="49"/>
  <c r="I57" i="49"/>
  <c r="P56" i="49"/>
  <c r="O56" i="49"/>
  <c r="N56" i="49"/>
  <c r="I56" i="49"/>
  <c r="P55" i="49"/>
  <c r="O55" i="49"/>
  <c r="N55" i="49"/>
  <c r="I55" i="49"/>
  <c r="P54" i="49"/>
  <c r="O54" i="49"/>
  <c r="N54" i="49"/>
  <c r="I54" i="49"/>
  <c r="P53" i="49"/>
  <c r="O53" i="49"/>
  <c r="N53" i="49"/>
  <c r="I53" i="49"/>
  <c r="P52" i="49"/>
  <c r="O52" i="49"/>
  <c r="N52" i="49"/>
  <c r="I52" i="49"/>
  <c r="O20" i="49"/>
  <c r="N20" i="49"/>
  <c r="N19" i="49"/>
  <c r="M19" i="49"/>
  <c r="N18" i="49"/>
  <c r="M18" i="49"/>
  <c r="N17" i="49"/>
  <c r="M17" i="49"/>
  <c r="N16" i="49"/>
  <c r="M16" i="49"/>
  <c r="N15" i="49"/>
  <c r="M15" i="49"/>
  <c r="N14" i="49"/>
  <c r="M14" i="49"/>
  <c r="N13" i="49"/>
  <c r="M13" i="49"/>
  <c r="N12" i="49"/>
  <c r="M12" i="49"/>
  <c r="N11" i="49"/>
  <c r="M11" i="49"/>
  <c r="N10" i="49"/>
  <c r="M10" i="49"/>
  <c r="N9" i="49"/>
  <c r="M9" i="49"/>
  <c r="N8" i="49"/>
  <c r="M8" i="49"/>
  <c r="N7" i="49"/>
  <c r="M7" i="49"/>
  <c r="N21" i="49" l="1"/>
  <c r="I73" i="49"/>
  <c r="N25" i="51"/>
  <c r="R25" i="51"/>
  <c r="N16" i="51"/>
  <c r="R16" i="51"/>
  <c r="N14" i="51"/>
  <c r="R14" i="51"/>
  <c r="N17" i="51"/>
  <c r="R17" i="51"/>
  <c r="N7" i="51"/>
  <c r="R7" i="51"/>
  <c r="N22" i="51"/>
  <c r="R22" i="51"/>
  <c r="N8" i="51"/>
  <c r="R8" i="51"/>
  <c r="N23" i="51"/>
  <c r="R23" i="51"/>
  <c r="N24" i="51"/>
  <c r="R24" i="51"/>
  <c r="N9" i="51"/>
  <c r="R9" i="51"/>
  <c r="N15" i="51"/>
  <c r="R15" i="51"/>
  <c r="I5" i="51"/>
  <c r="L6" i="51"/>
  <c r="G6" i="51"/>
  <c r="F26" i="51"/>
  <c r="Q5" i="51"/>
  <c r="E83" i="6"/>
  <c r="E84" i="6"/>
  <c r="D83" i="6"/>
  <c r="D84" i="6"/>
  <c r="C83" i="6"/>
  <c r="C84" i="6"/>
  <c r="K6" i="51" l="1"/>
  <c r="K26" i="51" s="1"/>
  <c r="H6" i="51"/>
  <c r="G26" i="51"/>
  <c r="J5" i="51"/>
  <c r="M6" i="51"/>
  <c r="R6" i="51" s="1"/>
  <c r="R26" i="51" s="1"/>
  <c r="O6" i="51"/>
  <c r="L26" i="51"/>
  <c r="B35" i="26"/>
  <c r="B35" i="25"/>
  <c r="B35" i="24"/>
  <c r="B35" i="23"/>
  <c r="B35" i="22"/>
  <c r="B35" i="21"/>
  <c r="B35" i="13"/>
  <c r="B35" i="11"/>
  <c r="B35" i="10"/>
  <c r="B35" i="9"/>
  <c r="B35" i="8"/>
  <c r="B35" i="7"/>
  <c r="B35" i="16"/>
  <c r="B35" i="17"/>
  <c r="B35" i="15"/>
  <c r="B35" i="18"/>
  <c r="B35" i="19"/>
  <c r="B35" i="20"/>
  <c r="B35" i="14"/>
  <c r="B35" i="12"/>
  <c r="B35" i="5"/>
  <c r="B6" i="5"/>
  <c r="B7" i="5"/>
  <c r="B8" i="5"/>
  <c r="B9" i="5"/>
  <c r="B15" i="5"/>
  <c r="B16" i="5"/>
  <c r="B17" i="5"/>
  <c r="B18" i="5"/>
  <c r="B19" i="5"/>
  <c r="B20" i="5"/>
  <c r="B21" i="5"/>
  <c r="P6" i="51" l="1"/>
  <c r="O26" i="51"/>
  <c r="N6" i="51"/>
  <c r="N26" i="51" s="1"/>
  <c r="M26" i="51"/>
  <c r="I6" i="51"/>
  <c r="H26" i="51"/>
  <c r="C82" i="6"/>
  <c r="Q6" i="51" l="1"/>
  <c r="Q26" i="51" s="1"/>
  <c r="P26" i="51"/>
  <c r="J6" i="51"/>
  <c r="J26" i="51" s="1"/>
  <c r="I26" i="51"/>
  <c r="C4" i="46"/>
  <c r="C4" i="45"/>
  <c r="B15" i="30" l="1"/>
  <c r="AE8" i="6" l="1"/>
  <c r="C7" i="48" s="1"/>
  <c r="D7" i="48" s="1"/>
  <c r="E7" i="48" s="1"/>
  <c r="AE9" i="6"/>
  <c r="C8" i="48" s="1"/>
  <c r="D8" i="48" s="1"/>
  <c r="E8" i="48" s="1"/>
  <c r="AE10" i="6"/>
  <c r="C9" i="48" s="1"/>
  <c r="D9" i="48" s="1"/>
  <c r="E9" i="48" s="1"/>
  <c r="AE11" i="6"/>
  <c r="C10" i="48" s="1"/>
  <c r="D10" i="48" s="1"/>
  <c r="E10" i="48" s="1"/>
  <c r="AE12" i="6"/>
  <c r="C11" i="48" s="1"/>
  <c r="D11" i="48" s="1"/>
  <c r="E11" i="48" s="1"/>
  <c r="AE13" i="6"/>
  <c r="C12" i="48" s="1"/>
  <c r="D12" i="48" s="1"/>
  <c r="E12" i="48" s="1"/>
  <c r="AE14" i="6"/>
  <c r="C13" i="48" s="1"/>
  <c r="D13" i="48" s="1"/>
  <c r="E13" i="48" s="1"/>
  <c r="AE15" i="6"/>
  <c r="C14" i="48" s="1"/>
  <c r="D14" i="48" s="1"/>
  <c r="E14" i="48" s="1"/>
  <c r="AE16" i="6"/>
  <c r="C15" i="48" s="1"/>
  <c r="D15" i="48" s="1"/>
  <c r="E15" i="48" s="1"/>
  <c r="AE17" i="6"/>
  <c r="C16" i="48" s="1"/>
  <c r="D16" i="48" s="1"/>
  <c r="E16" i="48" s="1"/>
  <c r="AE18" i="6"/>
  <c r="C17" i="48" s="1"/>
  <c r="D17" i="48" s="1"/>
  <c r="E17" i="48" s="1"/>
  <c r="AE19" i="6"/>
  <c r="C18" i="48" s="1"/>
  <c r="D18" i="48" s="1"/>
  <c r="E18" i="48" s="1"/>
  <c r="AE20" i="6"/>
  <c r="C19" i="48" s="1"/>
  <c r="D19" i="48" s="1"/>
  <c r="E19" i="48" s="1"/>
  <c r="AE21" i="6"/>
  <c r="C20" i="48" s="1"/>
  <c r="D20" i="48" s="1"/>
  <c r="E20" i="48" s="1"/>
  <c r="AE22" i="6"/>
  <c r="C21" i="48" s="1"/>
  <c r="D21" i="48" s="1"/>
  <c r="E21" i="48" s="1"/>
  <c r="AE23" i="6"/>
  <c r="C22" i="48" s="1"/>
  <c r="D22" i="48" s="1"/>
  <c r="E22" i="48" s="1"/>
  <c r="AE24" i="6"/>
  <c r="C23" i="48" s="1"/>
  <c r="D23" i="48" s="1"/>
  <c r="E23" i="48" s="1"/>
  <c r="AE25" i="6"/>
  <c r="C24" i="48" s="1"/>
  <c r="D24" i="48" s="1"/>
  <c r="E24" i="48" s="1"/>
  <c r="AE26" i="6"/>
  <c r="C25" i="48" s="1"/>
  <c r="D25" i="48" s="1"/>
  <c r="E25" i="48" s="1"/>
  <c r="AE27" i="6"/>
  <c r="C26" i="48" s="1"/>
  <c r="D26" i="48" s="1"/>
  <c r="E26" i="48" s="1"/>
  <c r="AE7" i="6"/>
  <c r="C6" i="48" s="1"/>
  <c r="D6" i="48" s="1"/>
  <c r="E6" i="48" s="1"/>
  <c r="E27" i="48" s="1"/>
  <c r="AD28" i="6"/>
  <c r="AC28" i="6"/>
  <c r="C60" i="5" l="1"/>
  <c r="C60" i="18"/>
  <c r="C60" i="11"/>
  <c r="C60" i="15"/>
  <c r="C60" i="13"/>
  <c r="C60" i="16"/>
  <c r="C60" i="22"/>
  <c r="AE28" i="6"/>
  <c r="C60" i="17"/>
  <c r="C60" i="21"/>
  <c r="C27" i="48"/>
  <c r="C60" i="14"/>
  <c r="C60" i="8"/>
  <c r="C60" i="24"/>
  <c r="C60" i="12"/>
  <c r="C60" i="23"/>
  <c r="C60" i="20"/>
  <c r="C60" i="9"/>
  <c r="C60" i="25"/>
  <c r="C60" i="7"/>
  <c r="C60" i="19"/>
  <c r="C60" i="10"/>
  <c r="C60" i="26"/>
  <c r="E40" i="42"/>
  <c r="V7" i="43" l="1"/>
  <c r="V8" i="43"/>
  <c r="V9" i="43"/>
  <c r="V10" i="43"/>
  <c r="V11" i="43"/>
  <c r="V12" i="43"/>
  <c r="V13" i="43"/>
  <c r="V14" i="43"/>
  <c r="V15" i="43"/>
  <c r="V16" i="43"/>
  <c r="V17" i="43"/>
  <c r="V18" i="43"/>
  <c r="V19" i="43"/>
  <c r="V20" i="43"/>
  <c r="V21" i="43"/>
  <c r="V22" i="43"/>
  <c r="V23" i="43"/>
  <c r="V24" i="43"/>
  <c r="V25" i="43"/>
  <c r="V26" i="43"/>
  <c r="V6" i="43"/>
  <c r="L7" i="43" l="1"/>
  <c r="L8" i="43"/>
  <c r="L9" i="43"/>
  <c r="L10" i="43"/>
  <c r="L11" i="43"/>
  <c r="L12" i="43"/>
  <c r="L13" i="43"/>
  <c r="L14" i="43"/>
  <c r="L15" i="43"/>
  <c r="L16" i="43"/>
  <c r="L17" i="43"/>
  <c r="L18" i="43"/>
  <c r="L19" i="43"/>
  <c r="L20" i="43"/>
  <c r="L21" i="43"/>
  <c r="L22" i="43"/>
  <c r="L23" i="43"/>
  <c r="L24" i="43"/>
  <c r="L25" i="43"/>
  <c r="L26" i="43"/>
  <c r="L6" i="43"/>
  <c r="AG31" i="27"/>
  <c r="AH31" i="27"/>
  <c r="AI31" i="27"/>
  <c r="AF31" i="27"/>
  <c r="AH18" i="27"/>
  <c r="AG17" i="27"/>
  <c r="L27" i="43" l="1"/>
  <c r="G3" i="47"/>
  <c r="G4" i="47"/>
  <c r="G5" i="47"/>
  <c r="G6" i="47"/>
  <c r="G7" i="47"/>
  <c r="G8" i="47"/>
  <c r="G9" i="47"/>
  <c r="G10" i="47"/>
  <c r="G11" i="47"/>
  <c r="G12" i="47"/>
  <c r="G13" i="47"/>
  <c r="G14" i="47"/>
  <c r="G15" i="47"/>
  <c r="G16" i="47"/>
  <c r="G17" i="47"/>
  <c r="G18" i="47"/>
  <c r="G19" i="47"/>
  <c r="G20" i="47"/>
  <c r="G21" i="47"/>
  <c r="G22" i="47"/>
  <c r="G23" i="47"/>
  <c r="G24" i="47"/>
  <c r="G25" i="47"/>
  <c r="G26" i="47"/>
  <c r="G27" i="47"/>
  <c r="G28" i="47"/>
  <c r="G29" i="47"/>
  <c r="G30" i="47"/>
  <c r="G31" i="47"/>
  <c r="G32" i="47"/>
  <c r="G33" i="47"/>
  <c r="G34" i="47"/>
  <c r="G35" i="47"/>
  <c r="A26" i="30" l="1"/>
  <c r="BE29" i="27"/>
  <c r="BF29" i="27"/>
  <c r="BG29" i="27"/>
  <c r="BD29" i="27"/>
  <c r="A25" i="30"/>
  <c r="A26" i="31"/>
  <c r="B29" i="27"/>
  <c r="AR52" i="27"/>
  <c r="AS52" i="27"/>
  <c r="AT52" i="27"/>
  <c r="AU52" i="27"/>
  <c r="AR53" i="27"/>
  <c r="AS53" i="27"/>
  <c r="AT53" i="27"/>
  <c r="AU53" i="27"/>
  <c r="AS51" i="27"/>
  <c r="AT51" i="27"/>
  <c r="AU51" i="27"/>
  <c r="AR51" i="27"/>
  <c r="AS47" i="27"/>
  <c r="AT47" i="27"/>
  <c r="AU47" i="27"/>
  <c r="AR47" i="27"/>
  <c r="AS45" i="27"/>
  <c r="AT45" i="27"/>
  <c r="AU45" i="27"/>
  <c r="AR45" i="27"/>
  <c r="AR36" i="27"/>
  <c r="AS36" i="27"/>
  <c r="AT36" i="27"/>
  <c r="AU36" i="27"/>
  <c r="AR37" i="27"/>
  <c r="AS37" i="27"/>
  <c r="AT37" i="27"/>
  <c r="AU37" i="27"/>
  <c r="AR38" i="27"/>
  <c r="AS38" i="27"/>
  <c r="AT38" i="27"/>
  <c r="AU38" i="27"/>
  <c r="AR39" i="27"/>
  <c r="AS39" i="27"/>
  <c r="AT39" i="27"/>
  <c r="AU39" i="27"/>
  <c r="AS35" i="27"/>
  <c r="AT35" i="27"/>
  <c r="AU35" i="27"/>
  <c r="AR35" i="27"/>
  <c r="AS32" i="27"/>
  <c r="AT32" i="27"/>
  <c r="AU32" i="27"/>
  <c r="AR32" i="27"/>
  <c r="AS31" i="27"/>
  <c r="AT31" i="27"/>
  <c r="AU31" i="27"/>
  <c r="AS30" i="27"/>
  <c r="AT30" i="27"/>
  <c r="AU30" i="27"/>
  <c r="AR30" i="27"/>
  <c r="AR31" i="27"/>
  <c r="AU25" i="27"/>
  <c r="AU26" i="27"/>
  <c r="AU27" i="27"/>
  <c r="AT25" i="27"/>
  <c r="AT26" i="27"/>
  <c r="AT27" i="27"/>
  <c r="AS25" i="27"/>
  <c r="AS26" i="27"/>
  <c r="AS27" i="27"/>
  <c r="AS24" i="27"/>
  <c r="AT24" i="27"/>
  <c r="AU24" i="27"/>
  <c r="AR25" i="27"/>
  <c r="AR26" i="27"/>
  <c r="AR27" i="27"/>
  <c r="AR24" i="27"/>
  <c r="AU15" i="27"/>
  <c r="AU16" i="27"/>
  <c r="AU17" i="27"/>
  <c r="AU18" i="27"/>
  <c r="AU19" i="27"/>
  <c r="AU20" i="27"/>
  <c r="AU21" i="27"/>
  <c r="AU22" i="27"/>
  <c r="AT15" i="27"/>
  <c r="AT16" i="27"/>
  <c r="AT17" i="27"/>
  <c r="AT18" i="27"/>
  <c r="AT19" i="27"/>
  <c r="AT20" i="27"/>
  <c r="AT21" i="27"/>
  <c r="AT22" i="27"/>
  <c r="AS15" i="27"/>
  <c r="AS16" i="27"/>
  <c r="AS17" i="27"/>
  <c r="AS18" i="27"/>
  <c r="AS19" i="27"/>
  <c r="AS20" i="27"/>
  <c r="AS21" i="27"/>
  <c r="AS22" i="27"/>
  <c r="AR15" i="27"/>
  <c r="AR16" i="27"/>
  <c r="AR17" i="27"/>
  <c r="AR18" i="27"/>
  <c r="AR19" i="27"/>
  <c r="AR20" i="27"/>
  <c r="AR21" i="27"/>
  <c r="AR22" i="27"/>
  <c r="AS14" i="27"/>
  <c r="AT14" i="27"/>
  <c r="AU14" i="27"/>
  <c r="AR14" i="27"/>
  <c r="AR12" i="27"/>
  <c r="AK45" i="27"/>
  <c r="AL45" i="27"/>
  <c r="AM45" i="27"/>
  <c r="AK47" i="27"/>
  <c r="AL47" i="27"/>
  <c r="AM47" i="27"/>
  <c r="AK53" i="27"/>
  <c r="AL53" i="27"/>
  <c r="AM53" i="27"/>
  <c r="AK52" i="27"/>
  <c r="AL52" i="27"/>
  <c r="AM52" i="27"/>
  <c r="AK51" i="27"/>
  <c r="AL51" i="27"/>
  <c r="AM51" i="27"/>
  <c r="AJ53" i="27"/>
  <c r="AJ52" i="27"/>
  <c r="AJ51" i="27"/>
  <c r="AJ47" i="27"/>
  <c r="AJ45" i="27"/>
  <c r="AK22" i="27"/>
  <c r="AL22" i="27"/>
  <c r="AM22" i="27"/>
  <c r="AJ22" i="27"/>
  <c r="AG53" i="27"/>
  <c r="AH53" i="27"/>
  <c r="AI53" i="27"/>
  <c r="AG52" i="27"/>
  <c r="AH52" i="27"/>
  <c r="AI52" i="27"/>
  <c r="AG51" i="27"/>
  <c r="AH51" i="27"/>
  <c r="AI51" i="27"/>
  <c r="AG47" i="27"/>
  <c r="AH47" i="27"/>
  <c r="AI47" i="27"/>
  <c r="AG45" i="27"/>
  <c r="AH45" i="27"/>
  <c r="AI45" i="27"/>
  <c r="AG39" i="27"/>
  <c r="AH39" i="27"/>
  <c r="AI39" i="27"/>
  <c r="AG38" i="27"/>
  <c r="AH38" i="27"/>
  <c r="AI38" i="27"/>
  <c r="AG37" i="27"/>
  <c r="AH37" i="27"/>
  <c r="AI37" i="27"/>
  <c r="AG36" i="27"/>
  <c r="AH36" i="27"/>
  <c r="AI36" i="27"/>
  <c r="AG35" i="27"/>
  <c r="AH35" i="27"/>
  <c r="AI35" i="27"/>
  <c r="AG32" i="27"/>
  <c r="AH32" i="27"/>
  <c r="AI32" i="27"/>
  <c r="AG30" i="27"/>
  <c r="AH30" i="27"/>
  <c r="AI30" i="27"/>
  <c r="AG27" i="27"/>
  <c r="AH27" i="27"/>
  <c r="AI27" i="27"/>
  <c r="AG26" i="27"/>
  <c r="AH26" i="27"/>
  <c r="AI26" i="27"/>
  <c r="AG25" i="27"/>
  <c r="AH25" i="27"/>
  <c r="AI25" i="27"/>
  <c r="AG24" i="27"/>
  <c r="AH24" i="27"/>
  <c r="AI24" i="27"/>
  <c r="AG22" i="27"/>
  <c r="AH22" i="27"/>
  <c r="AI22" i="27"/>
  <c r="AG21" i="27"/>
  <c r="AH21" i="27"/>
  <c r="AI21" i="27"/>
  <c r="AG20" i="27"/>
  <c r="AH20" i="27"/>
  <c r="AI20" i="27"/>
  <c r="AG19" i="27"/>
  <c r="AH19" i="27"/>
  <c r="AI19" i="27"/>
  <c r="AG18" i="27"/>
  <c r="AI18" i="27"/>
  <c r="AH17" i="27"/>
  <c r="AI17" i="27"/>
  <c r="AG16" i="27"/>
  <c r="AH16" i="27"/>
  <c r="AI16" i="27"/>
  <c r="AF53" i="27"/>
  <c r="AF52" i="27"/>
  <c r="AF51" i="27"/>
  <c r="AF47" i="27"/>
  <c r="AF45" i="27"/>
  <c r="AF39" i="27"/>
  <c r="AF38" i="27"/>
  <c r="AF37" i="27"/>
  <c r="AF36" i="27"/>
  <c r="AF35" i="27"/>
  <c r="AF32" i="27"/>
  <c r="AF30" i="27"/>
  <c r="AF27" i="27"/>
  <c r="AF26" i="27"/>
  <c r="AF25" i="27"/>
  <c r="AF24" i="27"/>
  <c r="AF22" i="27"/>
  <c r="AF21" i="27"/>
  <c r="AF20" i="27"/>
  <c r="AF19" i="27"/>
  <c r="AF18" i="27"/>
  <c r="AF17" i="27"/>
  <c r="AF16" i="27"/>
  <c r="AG15" i="27"/>
  <c r="AH15" i="27"/>
  <c r="AI15" i="27"/>
  <c r="AG14" i="27"/>
  <c r="AH14" i="27"/>
  <c r="AI14" i="27"/>
  <c r="AF15" i="27"/>
  <c r="AF14" i="27"/>
  <c r="AG12" i="27"/>
  <c r="AH12" i="27"/>
  <c r="AI12" i="27"/>
  <c r="AF12" i="27"/>
  <c r="AN12" i="27"/>
  <c r="A25" i="31" l="1"/>
  <c r="B31" i="5"/>
  <c r="B28" i="27"/>
  <c r="I27" i="43"/>
  <c r="W14" i="43" l="1"/>
  <c r="W7" i="43"/>
  <c r="W23" i="43"/>
  <c r="W16" i="43"/>
  <c r="W25" i="43"/>
  <c r="W26" i="43"/>
  <c r="W19" i="43"/>
  <c r="W12" i="43"/>
  <c r="W20" i="43"/>
  <c r="W13" i="43"/>
  <c r="W21" i="43"/>
  <c r="W22" i="43"/>
  <c r="W15" i="43"/>
  <c r="C26" i="44" l="1"/>
  <c r="M26" i="43"/>
  <c r="N26" i="43" s="1"/>
  <c r="Q26" i="43" s="1"/>
  <c r="H7" i="43"/>
  <c r="H8" i="43"/>
  <c r="T8" i="43" s="1"/>
  <c r="W8" i="43" s="1"/>
  <c r="H9" i="43"/>
  <c r="H10" i="43"/>
  <c r="H11" i="43"/>
  <c r="T11" i="43" s="1"/>
  <c r="W11" i="43" s="1"/>
  <c r="H12" i="43"/>
  <c r="H13" i="43"/>
  <c r="H14" i="43"/>
  <c r="H15" i="43"/>
  <c r="H16" i="43"/>
  <c r="H17" i="43"/>
  <c r="T17" i="43" s="1"/>
  <c r="W17" i="43" s="1"/>
  <c r="H18" i="43"/>
  <c r="T18" i="43" s="1"/>
  <c r="W18" i="43" s="1"/>
  <c r="H19" i="43"/>
  <c r="H20" i="43"/>
  <c r="H21" i="43"/>
  <c r="H22" i="43"/>
  <c r="H23" i="43"/>
  <c r="H24" i="43"/>
  <c r="T24" i="43" s="1"/>
  <c r="W24" i="43" s="1"/>
  <c r="H25" i="43"/>
  <c r="H26" i="43"/>
  <c r="H6" i="43"/>
  <c r="T6" i="43" s="1"/>
  <c r="W6" i="43" s="1"/>
  <c r="C7" i="43"/>
  <c r="F7" i="43" s="1"/>
  <c r="C8" i="43"/>
  <c r="E8" i="43" s="1"/>
  <c r="C9" i="43"/>
  <c r="E9" i="43" s="1"/>
  <c r="C10" i="43"/>
  <c r="E10" i="43" s="1"/>
  <c r="C11" i="43"/>
  <c r="F11" i="43" s="1"/>
  <c r="C12" i="43"/>
  <c r="F12" i="43" s="1"/>
  <c r="C13" i="43"/>
  <c r="F13" i="43" s="1"/>
  <c r="C14" i="43"/>
  <c r="F14" i="43" s="1"/>
  <c r="C15" i="43"/>
  <c r="F15" i="43" s="1"/>
  <c r="C16" i="43"/>
  <c r="E16" i="43" s="1"/>
  <c r="C17" i="43"/>
  <c r="F17" i="43" s="1"/>
  <c r="C18" i="43"/>
  <c r="E18" i="43" s="1"/>
  <c r="C19" i="43"/>
  <c r="E19" i="43" s="1"/>
  <c r="C20" i="43"/>
  <c r="E20" i="43" s="1"/>
  <c r="C21" i="43"/>
  <c r="F21" i="43" s="1"/>
  <c r="C22" i="43"/>
  <c r="F22" i="43" s="1"/>
  <c r="C23" i="43"/>
  <c r="F23" i="43" s="1"/>
  <c r="C24" i="43"/>
  <c r="C25" i="43"/>
  <c r="F25" i="43" s="1"/>
  <c r="C6" i="43"/>
  <c r="F26" i="44" l="1"/>
  <c r="Z26" i="44"/>
  <c r="AA26" i="44" s="1"/>
  <c r="S26" i="44"/>
  <c r="T26" i="44" s="1"/>
  <c r="E25" i="43"/>
  <c r="K10" i="43"/>
  <c r="T10" i="43"/>
  <c r="W10" i="43" s="1"/>
  <c r="J9" i="43"/>
  <c r="T9" i="43"/>
  <c r="W9" i="43" s="1"/>
  <c r="J22" i="43"/>
  <c r="J24" i="43"/>
  <c r="H27" i="43"/>
  <c r="F24" i="43"/>
  <c r="F8" i="43"/>
  <c r="E21" i="43"/>
  <c r="F9" i="43"/>
  <c r="E24" i="43"/>
  <c r="F16" i="43"/>
  <c r="K14" i="43"/>
  <c r="E22" i="43"/>
  <c r="J7" i="43"/>
  <c r="K7" i="43"/>
  <c r="F18" i="43"/>
  <c r="E17" i="43"/>
  <c r="J15" i="43"/>
  <c r="K22" i="43"/>
  <c r="K19" i="43"/>
  <c r="K26" i="43"/>
  <c r="J10" i="43"/>
  <c r="K17" i="43"/>
  <c r="K24" i="43"/>
  <c r="K16" i="43"/>
  <c r="K8" i="43"/>
  <c r="F10" i="43"/>
  <c r="J11" i="43"/>
  <c r="J18" i="43"/>
  <c r="F20" i="43"/>
  <c r="F6" i="43"/>
  <c r="E6" i="43"/>
  <c r="K25" i="43"/>
  <c r="E12" i="43"/>
  <c r="K23" i="43"/>
  <c r="K9" i="43"/>
  <c r="J21" i="43"/>
  <c r="J13" i="43"/>
  <c r="J6" i="43"/>
  <c r="J20" i="43"/>
  <c r="J12" i="43"/>
  <c r="K15" i="43"/>
  <c r="G26" i="44"/>
  <c r="K21" i="43"/>
  <c r="K13" i="43"/>
  <c r="P26" i="43"/>
  <c r="J17" i="43"/>
  <c r="F19" i="43"/>
  <c r="K20" i="43"/>
  <c r="K12" i="43"/>
  <c r="E13" i="43"/>
  <c r="K18" i="43"/>
  <c r="K6" i="43"/>
  <c r="J25" i="43"/>
  <c r="K11" i="43"/>
  <c r="E7" i="43"/>
  <c r="E15" i="43"/>
  <c r="D26" i="43"/>
  <c r="D26" i="44"/>
  <c r="K26" i="44" s="1"/>
  <c r="J23" i="43"/>
  <c r="J8" i="43"/>
  <c r="J14" i="43"/>
  <c r="J16" i="43"/>
  <c r="J26" i="43"/>
  <c r="J19" i="43"/>
  <c r="E14" i="43"/>
  <c r="E23" i="43"/>
  <c r="E11" i="43"/>
  <c r="O26" i="43"/>
  <c r="AB26" i="44" l="1"/>
  <c r="AC26" i="44"/>
  <c r="AD26" i="44"/>
  <c r="G26" i="43"/>
  <c r="R26" i="43"/>
  <c r="W27" i="43"/>
  <c r="Y25" i="43" s="1"/>
  <c r="V26" i="44"/>
  <c r="U26" i="44"/>
  <c r="W26" i="44"/>
  <c r="Y6" i="43"/>
  <c r="Y10" i="43"/>
  <c r="H26" i="44"/>
  <c r="J26" i="44" s="1"/>
  <c r="E26" i="44"/>
  <c r="K27" i="43"/>
  <c r="J27" i="43"/>
  <c r="Y21" i="43" l="1"/>
  <c r="Y15" i="43"/>
  <c r="Y16" i="43"/>
  <c r="Y14" i="43"/>
  <c r="Y12" i="43"/>
  <c r="Y26" i="43"/>
  <c r="Y7" i="43"/>
  <c r="Y13" i="43"/>
  <c r="Y22" i="43"/>
  <c r="Y24" i="43"/>
  <c r="Y8" i="43"/>
  <c r="Y18" i="43"/>
  <c r="Y23" i="43"/>
  <c r="Y17" i="43"/>
  <c r="Y19" i="43"/>
  <c r="Y20" i="43"/>
  <c r="Y9" i="43"/>
  <c r="Y11" i="43"/>
  <c r="I26" i="44"/>
  <c r="A141" i="26"/>
  <c r="B32" i="26"/>
  <c r="B137" i="26"/>
  <c r="B137" i="25"/>
  <c r="A141" i="25"/>
  <c r="B32" i="25"/>
  <c r="B137" i="24"/>
  <c r="A141" i="24"/>
  <c r="B32" i="24"/>
  <c r="B137" i="23"/>
  <c r="A141" i="23"/>
  <c r="B32" i="23"/>
  <c r="B137" i="22"/>
  <c r="A141" i="22"/>
  <c r="B32" i="22"/>
  <c r="B137" i="21"/>
  <c r="A141" i="21"/>
  <c r="B32" i="21"/>
  <c r="B137" i="13"/>
  <c r="A141" i="13"/>
  <c r="B32" i="13"/>
  <c r="B137" i="11"/>
  <c r="A141" i="11"/>
  <c r="B32" i="11"/>
  <c r="B138" i="10"/>
  <c r="B137" i="10"/>
  <c r="A141" i="10"/>
  <c r="B32" i="10"/>
  <c r="B137" i="9" l="1"/>
  <c r="A141" i="9"/>
  <c r="B32" i="9"/>
  <c r="B137" i="8"/>
  <c r="B137" i="7"/>
  <c r="B137" i="16"/>
  <c r="B137" i="17"/>
  <c r="B137" i="15"/>
  <c r="B137" i="18"/>
  <c r="B137" i="19"/>
  <c r="B139" i="18"/>
  <c r="B137" i="20"/>
  <c r="B139" i="20"/>
  <c r="B137" i="14"/>
  <c r="B139" i="12"/>
  <c r="B137" i="12"/>
  <c r="B139" i="5"/>
  <c r="B137" i="5"/>
  <c r="A143" i="9" l="1"/>
  <c r="B31" i="27"/>
  <c r="A28" i="30"/>
  <c r="A28" i="31"/>
  <c r="A143" i="5"/>
  <c r="A143" i="26"/>
  <c r="A143" i="24"/>
  <c r="A143" i="23"/>
  <c r="A143" i="13"/>
  <c r="A143" i="11"/>
  <c r="A143" i="25"/>
  <c r="A143" i="10"/>
  <c r="A143" i="21"/>
  <c r="A143" i="22"/>
  <c r="A143" i="8"/>
  <c r="A143" i="16"/>
  <c r="A143" i="7"/>
  <c r="B34" i="16"/>
  <c r="A143" i="17"/>
  <c r="A143" i="15"/>
  <c r="A143" i="18"/>
  <c r="A143" i="19"/>
  <c r="A143" i="20"/>
  <c r="A143" i="14"/>
  <c r="A143" i="12"/>
  <c r="I44" i="6" l="1"/>
  <c r="K43" i="6"/>
  <c r="L43" i="6"/>
  <c r="J43" i="6"/>
  <c r="K42" i="6"/>
  <c r="L42" i="6"/>
  <c r="J42" i="6"/>
  <c r="K41" i="6"/>
  <c r="L41" i="6"/>
  <c r="J41" i="6"/>
  <c r="K44" i="6" l="1"/>
  <c r="J44" i="6"/>
  <c r="L44" i="6"/>
  <c r="M28" i="6"/>
  <c r="E82" i="6" l="1"/>
  <c r="D82" i="6"/>
  <c r="C134" i="24" l="1"/>
  <c r="C134" i="22"/>
  <c r="C134" i="11"/>
  <c r="C134" i="14"/>
  <c r="C132" i="26" l="1"/>
  <c r="C132" i="25"/>
  <c r="C132" i="24"/>
  <c r="C132" i="23"/>
  <c r="C132" i="22"/>
  <c r="C132" i="21"/>
  <c r="C132" i="13"/>
  <c r="C132" i="11"/>
  <c r="C132" i="10"/>
  <c r="C132" i="9"/>
  <c r="C132" i="8"/>
  <c r="C132" i="7"/>
  <c r="C132" i="16"/>
  <c r="C132" i="17"/>
  <c r="C132" i="15"/>
  <c r="C132" i="18"/>
  <c r="C132" i="19"/>
  <c r="C132" i="20"/>
  <c r="C132" i="14"/>
  <c r="C132" i="12"/>
  <c r="C132" i="5"/>
  <c r="X21" i="6" l="1"/>
  <c r="O17" i="49" s="1"/>
  <c r="C20" i="44" l="1"/>
  <c r="M20" i="43"/>
  <c r="C64" i="13"/>
  <c r="X26" i="6"/>
  <c r="X25" i="6"/>
  <c r="O19" i="49" s="1"/>
  <c r="X24" i="6"/>
  <c r="X23" i="6"/>
  <c r="O18" i="49" s="1"/>
  <c r="X22" i="6"/>
  <c r="X20" i="6"/>
  <c r="O16" i="49" s="1"/>
  <c r="X19" i="6"/>
  <c r="O15" i="49" s="1"/>
  <c r="X18" i="6"/>
  <c r="O14" i="49" s="1"/>
  <c r="X16" i="6"/>
  <c r="X17" i="6"/>
  <c r="X15" i="6"/>
  <c r="X14" i="6"/>
  <c r="O13" i="49" s="1"/>
  <c r="X13" i="6"/>
  <c r="X12" i="6"/>
  <c r="O12" i="49" s="1"/>
  <c r="X11" i="6"/>
  <c r="O11" i="49" s="1"/>
  <c r="X10" i="6"/>
  <c r="O10" i="49" s="1"/>
  <c r="X9" i="6"/>
  <c r="O9" i="49" s="1"/>
  <c r="X8" i="6"/>
  <c r="O8" i="49" s="1"/>
  <c r="X7" i="6"/>
  <c r="Z20" i="44" l="1"/>
  <c r="AA20" i="44" s="1"/>
  <c r="S20" i="44"/>
  <c r="T20" i="44" s="1"/>
  <c r="C6" i="44"/>
  <c r="O7" i="49"/>
  <c r="O21" i="49" s="1"/>
  <c r="C64" i="5"/>
  <c r="C64" i="15"/>
  <c r="C12" i="44"/>
  <c r="M12" i="43"/>
  <c r="M14" i="43"/>
  <c r="C14" i="44"/>
  <c r="C7" i="44"/>
  <c r="M7" i="43"/>
  <c r="C64" i="25"/>
  <c r="M25" i="43"/>
  <c r="C25" i="44"/>
  <c r="M13" i="43"/>
  <c r="C13" i="44"/>
  <c r="C64" i="23"/>
  <c r="C23" i="44"/>
  <c r="M23" i="43"/>
  <c r="C10" i="44"/>
  <c r="M10" i="43"/>
  <c r="N20" i="43"/>
  <c r="P20" i="43"/>
  <c r="O20" i="43"/>
  <c r="C64" i="21"/>
  <c r="C21" i="44"/>
  <c r="M21" i="43"/>
  <c r="C64" i="8"/>
  <c r="M16" i="43"/>
  <c r="C16" i="44"/>
  <c r="C64" i="7"/>
  <c r="M15" i="43"/>
  <c r="C15" i="44"/>
  <c r="C64" i="18"/>
  <c r="C11" i="44"/>
  <c r="M11" i="43"/>
  <c r="C19" i="44"/>
  <c r="M19" i="43"/>
  <c r="F20" i="44"/>
  <c r="D20" i="44"/>
  <c r="K20" i="44" s="1"/>
  <c r="G20" i="44"/>
  <c r="M8" i="43"/>
  <c r="C8" i="44"/>
  <c r="M6" i="43"/>
  <c r="M22" i="43"/>
  <c r="C22" i="44"/>
  <c r="C9" i="44"/>
  <c r="M9" i="43"/>
  <c r="C24" i="44"/>
  <c r="M24" i="43"/>
  <c r="C18" i="44"/>
  <c r="M18" i="43"/>
  <c r="M17" i="43"/>
  <c r="C17" i="44"/>
  <c r="C21" i="27"/>
  <c r="B4" i="30"/>
  <c r="Z10" i="44" l="1"/>
  <c r="AA10" i="44" s="1"/>
  <c r="S10" i="44"/>
  <c r="T10" i="44" s="1"/>
  <c r="S13" i="44"/>
  <c r="T13" i="44" s="1"/>
  <c r="Z13" i="44"/>
  <c r="AA13" i="44" s="1"/>
  <c r="Z18" i="44"/>
  <c r="AA18" i="44" s="1"/>
  <c r="S18" i="44"/>
  <c r="T18" i="44" s="1"/>
  <c r="S9" i="44"/>
  <c r="T9" i="44" s="1"/>
  <c r="Z9" i="44"/>
  <c r="AA9" i="44" s="1"/>
  <c r="S8" i="44"/>
  <c r="T8" i="44" s="1"/>
  <c r="Z8" i="44"/>
  <c r="AA8" i="44" s="1"/>
  <c r="Z11" i="44"/>
  <c r="AA11" i="44" s="1"/>
  <c r="S11" i="44"/>
  <c r="T11" i="44" s="1"/>
  <c r="S17" i="44"/>
  <c r="T17" i="44" s="1"/>
  <c r="Z17" i="44"/>
  <c r="AA17" i="44" s="1"/>
  <c r="Z22" i="44"/>
  <c r="AA22" i="44" s="1"/>
  <c r="S22" i="44"/>
  <c r="T22" i="44" s="1"/>
  <c r="Z16" i="44"/>
  <c r="AA16" i="44" s="1"/>
  <c r="S16" i="44"/>
  <c r="T16" i="44" s="1"/>
  <c r="S21" i="44"/>
  <c r="T21" i="44" s="1"/>
  <c r="Z21" i="44"/>
  <c r="AA21" i="44" s="1"/>
  <c r="Z23" i="44"/>
  <c r="AA23" i="44" s="1"/>
  <c r="S23" i="44"/>
  <c r="T23" i="44" s="1"/>
  <c r="S25" i="44"/>
  <c r="T25" i="44" s="1"/>
  <c r="Z25" i="44"/>
  <c r="AA25" i="44" s="1"/>
  <c r="Z7" i="44"/>
  <c r="AA7" i="44" s="1"/>
  <c r="S7" i="44"/>
  <c r="T7" i="44" s="1"/>
  <c r="S12" i="44"/>
  <c r="T12" i="44" s="1"/>
  <c r="Z12" i="44"/>
  <c r="AA12" i="44" s="1"/>
  <c r="Z6" i="44"/>
  <c r="S6" i="44"/>
  <c r="S24" i="44"/>
  <c r="T24" i="44" s="1"/>
  <c r="Z24" i="44"/>
  <c r="AA24" i="44" s="1"/>
  <c r="Z19" i="44"/>
  <c r="AA19" i="44" s="1"/>
  <c r="S19" i="44"/>
  <c r="T19" i="44" s="1"/>
  <c r="Z15" i="44"/>
  <c r="AA15" i="44" s="1"/>
  <c r="S15" i="44"/>
  <c r="T15" i="44" s="1"/>
  <c r="Z14" i="44"/>
  <c r="AA14" i="44" s="1"/>
  <c r="S14" i="44"/>
  <c r="T14" i="44" s="1"/>
  <c r="W20" i="44"/>
  <c r="U20" i="44"/>
  <c r="V20" i="44"/>
  <c r="AB20" i="44"/>
  <c r="AC20" i="44"/>
  <c r="AD20" i="44"/>
  <c r="G23" i="44"/>
  <c r="F23" i="44"/>
  <c r="D23" i="44"/>
  <c r="K23" i="44" s="1"/>
  <c r="D14" i="44"/>
  <c r="K14" i="44" s="1"/>
  <c r="F14" i="44"/>
  <c r="G14" i="44"/>
  <c r="P11" i="43"/>
  <c r="N11" i="43"/>
  <c r="O11" i="43"/>
  <c r="G10" i="44"/>
  <c r="D10" i="44"/>
  <c r="K10" i="44" s="1"/>
  <c r="F10" i="44"/>
  <c r="G11" i="44"/>
  <c r="D11" i="44"/>
  <c r="K11" i="44" s="1"/>
  <c r="F11" i="44"/>
  <c r="P21" i="43"/>
  <c r="N21" i="43"/>
  <c r="O21" i="43"/>
  <c r="P23" i="43"/>
  <c r="O23" i="43"/>
  <c r="N23" i="43"/>
  <c r="P7" i="43"/>
  <c r="O7" i="43"/>
  <c r="N7" i="43"/>
  <c r="F7" i="44"/>
  <c r="G7" i="44"/>
  <c r="D7" i="44"/>
  <c r="K7" i="44" s="1"/>
  <c r="P14" i="43"/>
  <c r="N14" i="43"/>
  <c r="O14" i="43"/>
  <c r="P13" i="43"/>
  <c r="N13" i="43"/>
  <c r="O13" i="43"/>
  <c r="N19" i="43"/>
  <c r="P19" i="43"/>
  <c r="O19" i="43"/>
  <c r="D16" i="44"/>
  <c r="K16" i="44" s="1"/>
  <c r="F16" i="44"/>
  <c r="G16" i="44"/>
  <c r="Q20" i="43"/>
  <c r="D20" i="43"/>
  <c r="F25" i="44"/>
  <c r="D25" i="44"/>
  <c r="K25" i="44" s="1"/>
  <c r="G25" i="44"/>
  <c r="D12" i="44"/>
  <c r="K12" i="44" s="1"/>
  <c r="G12" i="44"/>
  <c r="F12" i="44"/>
  <c r="G21" i="44"/>
  <c r="F21" i="44"/>
  <c r="D21" i="44"/>
  <c r="K21" i="44" s="1"/>
  <c r="G15" i="44"/>
  <c r="F15" i="44"/>
  <c r="D15" i="44"/>
  <c r="K15" i="44" s="1"/>
  <c r="H20" i="44"/>
  <c r="E20" i="44"/>
  <c r="P15" i="43"/>
  <c r="O15" i="43"/>
  <c r="N15" i="43"/>
  <c r="G13" i="44"/>
  <c r="F13" i="44"/>
  <c r="D13" i="44"/>
  <c r="K13" i="44" s="1"/>
  <c r="N12" i="43"/>
  <c r="O12" i="43"/>
  <c r="P12" i="43"/>
  <c r="F19" i="44"/>
  <c r="D19" i="44"/>
  <c r="K19" i="44" s="1"/>
  <c r="G19" i="44"/>
  <c r="N16" i="43"/>
  <c r="O16" i="43"/>
  <c r="P16" i="43"/>
  <c r="N10" i="43"/>
  <c r="P10" i="43"/>
  <c r="O10" i="43"/>
  <c r="N25" i="43"/>
  <c r="O25" i="43"/>
  <c r="P25" i="43"/>
  <c r="G8" i="44"/>
  <c r="D8" i="44"/>
  <c r="K8" i="44" s="1"/>
  <c r="F8" i="44"/>
  <c r="N8" i="43"/>
  <c r="P8" i="43"/>
  <c r="O8" i="43"/>
  <c r="F6" i="44"/>
  <c r="D6" i="44"/>
  <c r="K6" i="44" s="1"/>
  <c r="G6" i="44"/>
  <c r="N6" i="43"/>
  <c r="O6" i="43"/>
  <c r="P6" i="43"/>
  <c r="G22" i="44"/>
  <c r="D22" i="44"/>
  <c r="K22" i="44" s="1"/>
  <c r="F22" i="44"/>
  <c r="P22" i="43"/>
  <c r="N22" i="43"/>
  <c r="O22" i="43"/>
  <c r="O9" i="43"/>
  <c r="N9" i="43"/>
  <c r="P9" i="43"/>
  <c r="F9" i="44"/>
  <c r="G9" i="44"/>
  <c r="D9" i="44"/>
  <c r="K9" i="44" s="1"/>
  <c r="N24" i="43"/>
  <c r="Q24" i="43" s="1"/>
  <c r="M27" i="43"/>
  <c r="M30" i="43" s="1"/>
  <c r="P24" i="43"/>
  <c r="O24" i="43"/>
  <c r="C27" i="44"/>
  <c r="D24" i="44"/>
  <c r="G24" i="44"/>
  <c r="F24" i="44"/>
  <c r="N18" i="43"/>
  <c r="P18" i="43"/>
  <c r="O18" i="43"/>
  <c r="G18" i="44"/>
  <c r="F18" i="44"/>
  <c r="D18" i="44"/>
  <c r="K18" i="44" s="1"/>
  <c r="G17" i="44"/>
  <c r="F17" i="44"/>
  <c r="D17" i="44"/>
  <c r="K17" i="44" s="1"/>
  <c r="N17" i="43"/>
  <c r="O17" i="43"/>
  <c r="P17" i="43"/>
  <c r="U27" i="6"/>
  <c r="M20" i="49" s="1"/>
  <c r="M21" i="49" s="1"/>
  <c r="W28" i="6"/>
  <c r="V15" i="44" l="1"/>
  <c r="W15" i="44"/>
  <c r="U15" i="44"/>
  <c r="AB24" i="44"/>
  <c r="AC24" i="44"/>
  <c r="AD24" i="44"/>
  <c r="AB12" i="44"/>
  <c r="AC12" i="44"/>
  <c r="AD12" i="44"/>
  <c r="AB25" i="44"/>
  <c r="AD25" i="44"/>
  <c r="AC25" i="44"/>
  <c r="AB21" i="44"/>
  <c r="AD21" i="44"/>
  <c r="AC21" i="44"/>
  <c r="V22" i="44"/>
  <c r="W22" i="44"/>
  <c r="U22" i="44"/>
  <c r="V11" i="44"/>
  <c r="U11" i="44"/>
  <c r="W11" i="44"/>
  <c r="AB9" i="44"/>
  <c r="AD9" i="44"/>
  <c r="AC9" i="44"/>
  <c r="AB13" i="44"/>
  <c r="AD13" i="44"/>
  <c r="AC13" i="44"/>
  <c r="AB15" i="44"/>
  <c r="AD15" i="44"/>
  <c r="AC15" i="44"/>
  <c r="W24" i="44"/>
  <c r="U24" i="44"/>
  <c r="V24" i="44"/>
  <c r="W12" i="44"/>
  <c r="U12" i="44"/>
  <c r="V12" i="44"/>
  <c r="W25" i="44"/>
  <c r="U25" i="44"/>
  <c r="V25" i="44"/>
  <c r="W21" i="44"/>
  <c r="U21" i="44"/>
  <c r="V21" i="44"/>
  <c r="AB22" i="44"/>
  <c r="AC22" i="44"/>
  <c r="AD22" i="44"/>
  <c r="AB11" i="44"/>
  <c r="AD11" i="44"/>
  <c r="AC11" i="44"/>
  <c r="W9" i="44"/>
  <c r="U9" i="44"/>
  <c r="V9" i="44"/>
  <c r="W13" i="44"/>
  <c r="U13" i="44"/>
  <c r="V13" i="44"/>
  <c r="V14" i="44"/>
  <c r="W14" i="44"/>
  <c r="U14" i="44"/>
  <c r="V19" i="44"/>
  <c r="U19" i="44"/>
  <c r="W19" i="44"/>
  <c r="T6" i="44"/>
  <c r="S27" i="44"/>
  <c r="V7" i="44"/>
  <c r="W7" i="44"/>
  <c r="U7" i="44"/>
  <c r="V23" i="44"/>
  <c r="W23" i="44"/>
  <c r="U23" i="44"/>
  <c r="W16" i="44"/>
  <c r="U16" i="44"/>
  <c r="V16" i="44"/>
  <c r="AB17" i="44"/>
  <c r="AD17" i="44"/>
  <c r="AC17" i="44"/>
  <c r="AB8" i="44"/>
  <c r="AD8" i="44"/>
  <c r="AC8" i="44"/>
  <c r="V18" i="44"/>
  <c r="U18" i="44"/>
  <c r="W18" i="44"/>
  <c r="V10" i="44"/>
  <c r="U10" i="44"/>
  <c r="W10" i="44"/>
  <c r="G20" i="43"/>
  <c r="R20" i="43"/>
  <c r="AB14" i="44"/>
  <c r="AC14" i="44"/>
  <c r="AD14" i="44"/>
  <c r="AB19" i="44"/>
  <c r="AD19" i="44"/>
  <c r="AC19" i="44"/>
  <c r="Z27" i="44"/>
  <c r="AA6" i="44"/>
  <c r="AB7" i="44"/>
  <c r="AD7" i="44"/>
  <c r="AC7" i="44"/>
  <c r="AB23" i="44"/>
  <c r="AD23" i="44"/>
  <c r="AC23" i="44"/>
  <c r="AB16" i="44"/>
  <c r="AC16" i="44"/>
  <c r="AD16" i="44"/>
  <c r="W17" i="44"/>
  <c r="U17" i="44"/>
  <c r="V17" i="44"/>
  <c r="W8" i="44"/>
  <c r="U8" i="44"/>
  <c r="V8" i="44"/>
  <c r="AB18" i="44"/>
  <c r="AC18" i="44"/>
  <c r="AD18" i="44"/>
  <c r="AB10" i="44"/>
  <c r="AC10" i="44"/>
  <c r="AD10" i="44"/>
  <c r="E24" i="44"/>
  <c r="K24" i="44"/>
  <c r="K27" i="44" s="1"/>
  <c r="U28" i="6"/>
  <c r="C26" i="43"/>
  <c r="I20" i="44"/>
  <c r="J20" i="44"/>
  <c r="H15" i="44"/>
  <c r="E15" i="44"/>
  <c r="E16" i="44"/>
  <c r="H16" i="44"/>
  <c r="D13" i="43"/>
  <c r="Q13" i="43"/>
  <c r="D7" i="43"/>
  <c r="Q7" i="43"/>
  <c r="Q11" i="43"/>
  <c r="D11" i="43"/>
  <c r="Q10" i="43"/>
  <c r="D10" i="43"/>
  <c r="H12" i="44"/>
  <c r="E12" i="44"/>
  <c r="D23" i="43"/>
  <c r="Q23" i="43"/>
  <c r="Q16" i="43"/>
  <c r="D16" i="43"/>
  <c r="H14" i="44"/>
  <c r="E14" i="44"/>
  <c r="H23" i="44"/>
  <c r="E23" i="44"/>
  <c r="Q25" i="43"/>
  <c r="D25" i="43"/>
  <c r="E19" i="44"/>
  <c r="H19" i="44"/>
  <c r="Q15" i="43"/>
  <c r="D15" i="43"/>
  <c r="H21" i="44"/>
  <c r="E21" i="44"/>
  <c r="Q19" i="43"/>
  <c r="D19" i="43"/>
  <c r="Q12" i="43"/>
  <c r="D12" i="43"/>
  <c r="H11" i="44"/>
  <c r="E11" i="44"/>
  <c r="H13" i="44"/>
  <c r="E13" i="44"/>
  <c r="D14" i="43"/>
  <c r="Q14" i="43"/>
  <c r="E25" i="44"/>
  <c r="H25" i="44"/>
  <c r="E7" i="44"/>
  <c r="H7" i="44"/>
  <c r="E10" i="44"/>
  <c r="H10" i="44"/>
  <c r="D21" i="43"/>
  <c r="Q21" i="43"/>
  <c r="H6" i="44"/>
  <c r="J6" i="44" s="1"/>
  <c r="E6" i="44"/>
  <c r="H22" i="44"/>
  <c r="J22" i="44" s="1"/>
  <c r="E22" i="44"/>
  <c r="H9" i="44"/>
  <c r="I9" i="44" s="1"/>
  <c r="E9" i="44"/>
  <c r="H18" i="44"/>
  <c r="J18" i="44" s="1"/>
  <c r="E18" i="44"/>
  <c r="H8" i="44"/>
  <c r="J8" i="44" s="1"/>
  <c r="E8" i="44"/>
  <c r="H17" i="44"/>
  <c r="J17" i="44" s="1"/>
  <c r="E17" i="44"/>
  <c r="Q8" i="43"/>
  <c r="D8" i="43"/>
  <c r="D9" i="43"/>
  <c r="Q9" i="43"/>
  <c r="D17" i="43"/>
  <c r="Q17" i="43"/>
  <c r="D6" i="43"/>
  <c r="Q6" i="43"/>
  <c r="D18" i="43"/>
  <c r="Q18" i="43"/>
  <c r="D22" i="43"/>
  <c r="Q22" i="43"/>
  <c r="O27" i="43"/>
  <c r="G27" i="44"/>
  <c r="P27" i="43"/>
  <c r="F27" i="44"/>
  <c r="H24" i="44"/>
  <c r="D27" i="44"/>
  <c r="N27" i="43"/>
  <c r="D24" i="43"/>
  <c r="R24" i="43" s="1"/>
  <c r="X28" i="6"/>
  <c r="D403" i="42"/>
  <c r="J23" i="42" s="1"/>
  <c r="C403" i="42"/>
  <c r="I23" i="42" s="1"/>
  <c r="E385" i="42"/>
  <c r="E386" i="42"/>
  <c r="E387" i="42"/>
  <c r="E388" i="42"/>
  <c r="E389" i="42"/>
  <c r="E390" i="42"/>
  <c r="E391" i="42"/>
  <c r="E392" i="42"/>
  <c r="E393" i="42"/>
  <c r="E394" i="42"/>
  <c r="E395" i="42"/>
  <c r="E396" i="42"/>
  <c r="E397" i="42"/>
  <c r="E398" i="42"/>
  <c r="E399" i="42"/>
  <c r="E400" i="42"/>
  <c r="E401" i="42"/>
  <c r="E402" i="42"/>
  <c r="E384" i="42"/>
  <c r="E403" i="42" s="1"/>
  <c r="K23" i="42" s="1"/>
  <c r="Z27" i="6" s="1"/>
  <c r="D382" i="42"/>
  <c r="J22" i="42" s="1"/>
  <c r="C382" i="42"/>
  <c r="I22" i="42" s="1"/>
  <c r="E378" i="42"/>
  <c r="E379" i="42"/>
  <c r="E380" i="42"/>
  <c r="E381" i="42"/>
  <c r="E377" i="42"/>
  <c r="D375" i="42"/>
  <c r="J21" i="42" s="1"/>
  <c r="C375" i="42"/>
  <c r="I21" i="42" s="1"/>
  <c r="E349" i="42"/>
  <c r="E350" i="42"/>
  <c r="E351" i="42"/>
  <c r="E352" i="42"/>
  <c r="E353" i="42"/>
  <c r="E354" i="42"/>
  <c r="E355" i="42"/>
  <c r="E356" i="42"/>
  <c r="E357" i="42"/>
  <c r="E358" i="42"/>
  <c r="E359" i="42"/>
  <c r="E360" i="42"/>
  <c r="E361" i="42"/>
  <c r="E362" i="42"/>
  <c r="E363" i="42"/>
  <c r="E364" i="42"/>
  <c r="E365" i="42"/>
  <c r="E366" i="42"/>
  <c r="E367" i="42"/>
  <c r="E368" i="42"/>
  <c r="E369" i="42"/>
  <c r="E370" i="42"/>
  <c r="E371" i="42"/>
  <c r="E372" i="42"/>
  <c r="E373" i="42"/>
  <c r="E374" i="42"/>
  <c r="E348" i="42"/>
  <c r="E375" i="42" s="1"/>
  <c r="K21" i="42" s="1"/>
  <c r="Z25" i="6" s="1"/>
  <c r="D346" i="42"/>
  <c r="J20" i="42" s="1"/>
  <c r="C346" i="42"/>
  <c r="I20" i="42" s="1"/>
  <c r="E319" i="42"/>
  <c r="E320" i="42"/>
  <c r="E321" i="42"/>
  <c r="E322" i="42"/>
  <c r="E323" i="42"/>
  <c r="E324" i="42"/>
  <c r="E325" i="42"/>
  <c r="E326" i="42"/>
  <c r="E327" i="42"/>
  <c r="E328" i="42"/>
  <c r="E329" i="42"/>
  <c r="E330" i="42"/>
  <c r="E331" i="42"/>
  <c r="E332" i="42"/>
  <c r="E333" i="42"/>
  <c r="E334" i="42"/>
  <c r="E335" i="42"/>
  <c r="E336" i="42"/>
  <c r="E337" i="42"/>
  <c r="E338" i="42"/>
  <c r="E339" i="42"/>
  <c r="E340" i="42"/>
  <c r="E341" i="42"/>
  <c r="E342" i="42"/>
  <c r="E343" i="42"/>
  <c r="E344" i="42"/>
  <c r="E345" i="42"/>
  <c r="E318" i="42"/>
  <c r="E346" i="42" s="1"/>
  <c r="K20" i="42" s="1"/>
  <c r="Z24" i="6" s="1"/>
  <c r="D316" i="42"/>
  <c r="J19" i="42" s="1"/>
  <c r="C316" i="42"/>
  <c r="I19" i="42" s="1"/>
  <c r="E304" i="42"/>
  <c r="E305" i="42"/>
  <c r="E306" i="42"/>
  <c r="E307" i="42"/>
  <c r="E308" i="42"/>
  <c r="E309" i="42"/>
  <c r="E310" i="42"/>
  <c r="E311" i="42"/>
  <c r="E312" i="42"/>
  <c r="E313" i="42"/>
  <c r="E314" i="42"/>
  <c r="E315" i="42"/>
  <c r="E303" i="42"/>
  <c r="D301" i="42"/>
  <c r="J18" i="42" s="1"/>
  <c r="C301" i="42"/>
  <c r="I18" i="42" s="1"/>
  <c r="E284" i="42"/>
  <c r="E285" i="42"/>
  <c r="E286" i="42"/>
  <c r="E287" i="42"/>
  <c r="E288" i="42"/>
  <c r="E289" i="42"/>
  <c r="E290" i="42"/>
  <c r="E291" i="42"/>
  <c r="E301" i="42" s="1"/>
  <c r="K18" i="42" s="1"/>
  <c r="Z22" i="6" s="1"/>
  <c r="E292" i="42"/>
  <c r="E293" i="42"/>
  <c r="E294" i="42"/>
  <c r="E295" i="42"/>
  <c r="E296" i="42"/>
  <c r="E297" i="42"/>
  <c r="E298" i="42"/>
  <c r="E299" i="42"/>
  <c r="E300" i="42"/>
  <c r="E283" i="42"/>
  <c r="D281" i="42"/>
  <c r="J17" i="42" s="1"/>
  <c r="C281" i="42"/>
  <c r="I17" i="42" s="1"/>
  <c r="E274" i="42"/>
  <c r="E275" i="42"/>
  <c r="E276" i="42"/>
  <c r="E277" i="42"/>
  <c r="E278" i="42"/>
  <c r="E279" i="42"/>
  <c r="E280" i="42"/>
  <c r="E273" i="42"/>
  <c r="E281" i="42" s="1"/>
  <c r="K17" i="42" s="1"/>
  <c r="Z21" i="6" s="1"/>
  <c r="D271" i="42"/>
  <c r="J16" i="42" s="1"/>
  <c r="C271" i="42"/>
  <c r="I16" i="42" s="1"/>
  <c r="E270" i="42"/>
  <c r="E269" i="42"/>
  <c r="E268" i="42"/>
  <c r="E267" i="42"/>
  <c r="E266" i="42"/>
  <c r="E265" i="42"/>
  <c r="E264" i="42"/>
  <c r="E263" i="42"/>
  <c r="E262" i="42"/>
  <c r="E261" i="42"/>
  <c r="E260" i="42"/>
  <c r="E259" i="42"/>
  <c r="E258" i="42"/>
  <c r="E257" i="42"/>
  <c r="E220" i="42"/>
  <c r="E221" i="42"/>
  <c r="E222" i="42"/>
  <c r="E223" i="42"/>
  <c r="E224" i="42"/>
  <c r="E225" i="42"/>
  <c r="E226" i="42"/>
  <c r="E227" i="42"/>
  <c r="E228" i="42"/>
  <c r="E229" i="42"/>
  <c r="E230" i="42"/>
  <c r="E231" i="42"/>
  <c r="E232" i="42"/>
  <c r="E233" i="42"/>
  <c r="E234" i="42"/>
  <c r="E235" i="42"/>
  <c r="E236" i="42"/>
  <c r="E237" i="42"/>
  <c r="E238" i="42"/>
  <c r="E239" i="42"/>
  <c r="E240" i="42"/>
  <c r="E241" i="42"/>
  <c r="E242" i="42"/>
  <c r="E243" i="42"/>
  <c r="E244" i="42"/>
  <c r="E245" i="42"/>
  <c r="E246" i="42"/>
  <c r="E247" i="42"/>
  <c r="E248" i="42"/>
  <c r="E249" i="42"/>
  <c r="E250" i="42"/>
  <c r="E251" i="42"/>
  <c r="E252" i="42"/>
  <c r="E253" i="42"/>
  <c r="E254" i="42"/>
  <c r="E255" i="42"/>
  <c r="E256" i="42"/>
  <c r="E219" i="42"/>
  <c r="D217" i="42"/>
  <c r="J15" i="42" s="1"/>
  <c r="C217" i="42"/>
  <c r="I15" i="42" s="1"/>
  <c r="E187" i="42"/>
  <c r="E188" i="42"/>
  <c r="E189" i="42"/>
  <c r="E190" i="42"/>
  <c r="E191" i="42"/>
  <c r="E192" i="42"/>
  <c r="E193" i="42"/>
  <c r="E194" i="42"/>
  <c r="E195" i="42"/>
  <c r="E196" i="42"/>
  <c r="E197" i="42"/>
  <c r="E198" i="42"/>
  <c r="E199" i="42"/>
  <c r="E200" i="42"/>
  <c r="E201" i="42"/>
  <c r="E202" i="42"/>
  <c r="E203" i="42"/>
  <c r="E204" i="42"/>
  <c r="E205" i="42"/>
  <c r="E206" i="42"/>
  <c r="E207" i="42"/>
  <c r="E208" i="42"/>
  <c r="E209" i="42"/>
  <c r="E210" i="42"/>
  <c r="E211" i="42"/>
  <c r="E212" i="42"/>
  <c r="E213" i="42"/>
  <c r="E214" i="42"/>
  <c r="E215" i="42"/>
  <c r="E216" i="42"/>
  <c r="E186" i="42"/>
  <c r="D184" i="42"/>
  <c r="J14" i="42" s="1"/>
  <c r="C184" i="42"/>
  <c r="I14" i="42" s="1"/>
  <c r="E181" i="42"/>
  <c r="E184" i="42" s="1"/>
  <c r="K14" i="42" s="1"/>
  <c r="Z18" i="6" s="1"/>
  <c r="E182" i="42"/>
  <c r="E183" i="42"/>
  <c r="E180" i="42"/>
  <c r="D178" i="42"/>
  <c r="J13" i="42" s="1"/>
  <c r="C178" i="42"/>
  <c r="I13" i="42" s="1"/>
  <c r="E165" i="42"/>
  <c r="E166" i="42"/>
  <c r="E167" i="42"/>
  <c r="E168" i="42"/>
  <c r="E169" i="42"/>
  <c r="E170" i="42"/>
  <c r="E171" i="42"/>
  <c r="E172" i="42"/>
  <c r="E173" i="42"/>
  <c r="E174" i="42"/>
  <c r="E175" i="42"/>
  <c r="E176" i="42"/>
  <c r="E177" i="42"/>
  <c r="E164" i="42"/>
  <c r="D162" i="42"/>
  <c r="J12" i="42" s="1"/>
  <c r="C162" i="42"/>
  <c r="I12" i="42" s="1"/>
  <c r="E127" i="42"/>
  <c r="E128" i="42"/>
  <c r="E129" i="42"/>
  <c r="E130" i="42"/>
  <c r="E131" i="42"/>
  <c r="E132" i="42"/>
  <c r="E133" i="42"/>
  <c r="E134" i="42"/>
  <c r="E135" i="42"/>
  <c r="E136" i="42"/>
  <c r="E137" i="42"/>
  <c r="E138" i="42"/>
  <c r="E139" i="42"/>
  <c r="E140" i="42"/>
  <c r="E141" i="42"/>
  <c r="E142" i="42"/>
  <c r="E143" i="42"/>
  <c r="E144" i="42"/>
  <c r="E145" i="42"/>
  <c r="E146" i="42"/>
  <c r="E147" i="42"/>
  <c r="E148" i="42"/>
  <c r="E149" i="42"/>
  <c r="E150" i="42"/>
  <c r="E151" i="42"/>
  <c r="E152" i="42"/>
  <c r="E153" i="42"/>
  <c r="E154" i="42"/>
  <c r="E155" i="42"/>
  <c r="E156" i="42"/>
  <c r="E157" i="42"/>
  <c r="E158" i="42"/>
  <c r="E159" i="42"/>
  <c r="E160" i="42"/>
  <c r="E161" i="42"/>
  <c r="E126" i="42"/>
  <c r="D124" i="42"/>
  <c r="J11" i="42" s="1"/>
  <c r="C124" i="42"/>
  <c r="I11" i="42" s="1"/>
  <c r="E119" i="42"/>
  <c r="E120" i="42"/>
  <c r="E121" i="42"/>
  <c r="E122" i="42"/>
  <c r="E123" i="42"/>
  <c r="E118" i="42"/>
  <c r="D116" i="42"/>
  <c r="J10" i="42" s="1"/>
  <c r="C116" i="42"/>
  <c r="I10" i="42" s="1"/>
  <c r="E110" i="42"/>
  <c r="E111" i="42"/>
  <c r="E112" i="42"/>
  <c r="E113" i="42"/>
  <c r="E114" i="42"/>
  <c r="E115" i="42"/>
  <c r="E109" i="42"/>
  <c r="D107" i="42"/>
  <c r="J9" i="42" s="1"/>
  <c r="C107" i="42"/>
  <c r="I9" i="42" s="1"/>
  <c r="E103" i="42"/>
  <c r="E104" i="42"/>
  <c r="E105" i="42"/>
  <c r="E106" i="42"/>
  <c r="E102" i="42"/>
  <c r="E107" i="42" s="1"/>
  <c r="K9" i="42" s="1"/>
  <c r="Z13" i="6" s="1"/>
  <c r="D100" i="42"/>
  <c r="J8" i="42" s="1"/>
  <c r="C100" i="42"/>
  <c r="I8" i="42" s="1"/>
  <c r="E96" i="42"/>
  <c r="E97" i="42"/>
  <c r="E98" i="42"/>
  <c r="E99" i="42"/>
  <c r="E95" i="42"/>
  <c r="D93" i="42"/>
  <c r="J7" i="42" s="1"/>
  <c r="C93" i="42"/>
  <c r="I7" i="42" s="1"/>
  <c r="E81" i="42"/>
  <c r="E82" i="42"/>
  <c r="E83" i="42"/>
  <c r="E84" i="42"/>
  <c r="E85" i="42"/>
  <c r="E86" i="42"/>
  <c r="E87" i="42"/>
  <c r="E88" i="42"/>
  <c r="E89" i="42"/>
  <c r="E90" i="42"/>
  <c r="E91" i="42"/>
  <c r="E92" i="42"/>
  <c r="E80" i="42"/>
  <c r="D78" i="42"/>
  <c r="J6" i="42" s="1"/>
  <c r="C78" i="42"/>
  <c r="I6" i="42" s="1"/>
  <c r="E74" i="42"/>
  <c r="E75" i="42"/>
  <c r="E76" i="42"/>
  <c r="E77" i="42"/>
  <c r="E73" i="42"/>
  <c r="D71" i="42"/>
  <c r="J5" i="42" s="1"/>
  <c r="C71" i="42"/>
  <c r="I5" i="42" s="1"/>
  <c r="E29" i="42"/>
  <c r="E30" i="42"/>
  <c r="E31" i="42"/>
  <c r="E32" i="42"/>
  <c r="E33" i="42"/>
  <c r="E34" i="42"/>
  <c r="E35" i="42"/>
  <c r="E36" i="42"/>
  <c r="E37" i="42"/>
  <c r="E38" i="42"/>
  <c r="E39" i="42"/>
  <c r="E41" i="42"/>
  <c r="E42" i="42"/>
  <c r="E43" i="42"/>
  <c r="E44" i="42"/>
  <c r="E45" i="42"/>
  <c r="E46" i="42"/>
  <c r="E47" i="42"/>
  <c r="E48" i="42"/>
  <c r="E49" i="42"/>
  <c r="E50" i="42"/>
  <c r="E51" i="42"/>
  <c r="E52" i="42"/>
  <c r="E53" i="42"/>
  <c r="E54" i="42"/>
  <c r="E55" i="42"/>
  <c r="E56" i="42"/>
  <c r="E57" i="42"/>
  <c r="E58" i="42"/>
  <c r="E59" i="42"/>
  <c r="E60" i="42"/>
  <c r="E61" i="42"/>
  <c r="E62" i="42"/>
  <c r="E63" i="42"/>
  <c r="E64" i="42"/>
  <c r="E65" i="42"/>
  <c r="E66" i="42"/>
  <c r="E67" i="42"/>
  <c r="E68" i="42"/>
  <c r="E69" i="42"/>
  <c r="E70" i="42"/>
  <c r="E28" i="42"/>
  <c r="E11" i="42"/>
  <c r="E12" i="42"/>
  <c r="E13" i="42"/>
  <c r="E14" i="42"/>
  <c r="E15" i="42"/>
  <c r="E16" i="42"/>
  <c r="E17" i="42"/>
  <c r="E18" i="42"/>
  <c r="E19" i="42"/>
  <c r="E20" i="42"/>
  <c r="E21" i="42"/>
  <c r="E22" i="42"/>
  <c r="E23" i="42"/>
  <c r="E24" i="42"/>
  <c r="E25" i="42"/>
  <c r="E10" i="42"/>
  <c r="E3" i="42"/>
  <c r="E4" i="42"/>
  <c r="E5" i="42"/>
  <c r="E6" i="42"/>
  <c r="E7" i="42"/>
  <c r="E2" i="42"/>
  <c r="D26" i="42"/>
  <c r="J4" i="42" s="1"/>
  <c r="C26" i="42"/>
  <c r="I4" i="42" s="1"/>
  <c r="A11" i="42"/>
  <c r="A12" i="42" s="1"/>
  <c r="A13" i="42" s="1"/>
  <c r="A14" i="42" s="1"/>
  <c r="A15" i="42" s="1"/>
  <c r="A16" i="42" s="1"/>
  <c r="A17" i="42" s="1"/>
  <c r="A18" i="42" s="1"/>
  <c r="A19" i="42" s="1"/>
  <c r="A20" i="42" s="1"/>
  <c r="A21" i="42" s="1"/>
  <c r="A22" i="42" s="1"/>
  <c r="A23" i="42" s="1"/>
  <c r="A24" i="42" s="1"/>
  <c r="A25" i="42" s="1"/>
  <c r="D8" i="42"/>
  <c r="J3" i="42" s="1"/>
  <c r="C8" i="42"/>
  <c r="I3" i="42" s="1"/>
  <c r="G15" i="43" l="1"/>
  <c r="R15" i="43"/>
  <c r="G10" i="43"/>
  <c r="R10" i="43"/>
  <c r="E100" i="42"/>
  <c r="K8" i="42" s="1"/>
  <c r="Z12" i="6" s="1"/>
  <c r="E162" i="42"/>
  <c r="K12" i="42" s="1"/>
  <c r="Z16" i="6" s="1"/>
  <c r="E382" i="42"/>
  <c r="K22" i="42" s="1"/>
  <c r="Z26" i="6" s="1"/>
  <c r="G6" i="43"/>
  <c r="R6" i="43"/>
  <c r="G9" i="43"/>
  <c r="R9" i="43"/>
  <c r="G21" i="43"/>
  <c r="R21" i="43"/>
  <c r="G14" i="43"/>
  <c r="R14" i="43"/>
  <c r="G23" i="43"/>
  <c r="R23" i="43"/>
  <c r="G7" i="43"/>
  <c r="R7" i="43"/>
  <c r="W27" i="44"/>
  <c r="E8" i="42"/>
  <c r="K3" i="42" s="1"/>
  <c r="Z7" i="6" s="1"/>
  <c r="G8" i="43"/>
  <c r="R8" i="43"/>
  <c r="G12" i="43"/>
  <c r="R12" i="43"/>
  <c r="G16" i="43"/>
  <c r="R16" i="43"/>
  <c r="G11" i="43"/>
  <c r="R11" i="43"/>
  <c r="G19" i="43"/>
  <c r="R19" i="43"/>
  <c r="G25" i="43"/>
  <c r="R25" i="43"/>
  <c r="E124" i="42"/>
  <c r="K11" i="42" s="1"/>
  <c r="Z15" i="6" s="1"/>
  <c r="E217" i="42"/>
  <c r="K15" i="42" s="1"/>
  <c r="Z19" i="6" s="1"/>
  <c r="G22" i="43"/>
  <c r="R22" i="43"/>
  <c r="E26" i="42"/>
  <c r="K4" i="42" s="1"/>
  <c r="Z8" i="6" s="1"/>
  <c r="E71" i="42"/>
  <c r="K5" i="42" s="1"/>
  <c r="Z9" i="6" s="1"/>
  <c r="E78" i="42"/>
  <c r="K6" i="42" s="1"/>
  <c r="Z10" i="6" s="1"/>
  <c r="E116" i="42"/>
  <c r="K10" i="42" s="1"/>
  <c r="Z14" i="6" s="1"/>
  <c r="E178" i="42"/>
  <c r="K13" i="42" s="1"/>
  <c r="Z17" i="6" s="1"/>
  <c r="G18" i="43"/>
  <c r="R18" i="43"/>
  <c r="G17" i="43"/>
  <c r="R17" i="43"/>
  <c r="G13" i="43"/>
  <c r="R13" i="43"/>
  <c r="AB6" i="44"/>
  <c r="AB27" i="44" s="1"/>
  <c r="AC6" i="44"/>
  <c r="AC27" i="44" s="1"/>
  <c r="AD6" i="44"/>
  <c r="AD27" i="44" s="1"/>
  <c r="AA27" i="44"/>
  <c r="T27" i="44"/>
  <c r="V6" i="44"/>
  <c r="V27" i="44" s="1"/>
  <c r="W6" i="44"/>
  <c r="U6" i="44"/>
  <c r="U27" i="44" s="1"/>
  <c r="I6" i="44"/>
  <c r="I8" i="44"/>
  <c r="F26" i="43"/>
  <c r="F27" i="43" s="1"/>
  <c r="C27" i="43"/>
  <c r="E26" i="43"/>
  <c r="E27" i="43" s="1"/>
  <c r="J10" i="44"/>
  <c r="I10" i="44"/>
  <c r="J13" i="44"/>
  <c r="I13" i="44"/>
  <c r="J21" i="44"/>
  <c r="I21" i="44"/>
  <c r="J23" i="44"/>
  <c r="I23" i="44"/>
  <c r="I12" i="44"/>
  <c r="J12" i="44"/>
  <c r="J9" i="44"/>
  <c r="I7" i="44"/>
  <c r="J7" i="44"/>
  <c r="J25" i="44"/>
  <c r="I25" i="44"/>
  <c r="J19" i="44"/>
  <c r="I19" i="44"/>
  <c r="J15" i="44"/>
  <c r="I15" i="44"/>
  <c r="J16" i="44"/>
  <c r="I16" i="44"/>
  <c r="J11" i="44"/>
  <c r="I11" i="44"/>
  <c r="I14" i="44"/>
  <c r="J14" i="44"/>
  <c r="E316" i="42"/>
  <c r="K19" i="42" s="1"/>
  <c r="Z23" i="6" s="1"/>
  <c r="E93" i="42"/>
  <c r="K7" i="42" s="1"/>
  <c r="Z11" i="6" s="1"/>
  <c r="I22" i="44"/>
  <c r="I17" i="44"/>
  <c r="I18" i="44"/>
  <c r="E27" i="44"/>
  <c r="Q27" i="43"/>
  <c r="D27" i="43"/>
  <c r="G24" i="43"/>
  <c r="H27" i="44"/>
  <c r="J24" i="44"/>
  <c r="I24" i="44"/>
  <c r="E271" i="42"/>
  <c r="K16" i="42" s="1"/>
  <c r="Z20" i="6" s="1"/>
  <c r="E93" i="6"/>
  <c r="L53" i="49" s="1"/>
  <c r="E94" i="6"/>
  <c r="L54" i="49" s="1"/>
  <c r="E95" i="6"/>
  <c r="L55" i="49" s="1"/>
  <c r="E96" i="6"/>
  <c r="L56" i="49" s="1"/>
  <c r="E97" i="6"/>
  <c r="L57" i="49" s="1"/>
  <c r="E98" i="6"/>
  <c r="L58" i="49" s="1"/>
  <c r="E99" i="6"/>
  <c r="L59" i="49" s="1"/>
  <c r="E100" i="6"/>
  <c r="L60" i="49" s="1"/>
  <c r="E101" i="6"/>
  <c r="L61" i="49" s="1"/>
  <c r="E102" i="6"/>
  <c r="L62" i="49" s="1"/>
  <c r="E103" i="6"/>
  <c r="L63" i="49" s="1"/>
  <c r="E104" i="6"/>
  <c r="L64" i="49" s="1"/>
  <c r="E105" i="6"/>
  <c r="L65" i="49" s="1"/>
  <c r="E106" i="6"/>
  <c r="L66" i="49" s="1"/>
  <c r="E107" i="6"/>
  <c r="L67" i="49" s="1"/>
  <c r="E108" i="6"/>
  <c r="L68" i="49" s="1"/>
  <c r="E109" i="6"/>
  <c r="L69" i="49" s="1"/>
  <c r="E110" i="6"/>
  <c r="L70" i="49" s="1"/>
  <c r="E111" i="6"/>
  <c r="L71" i="49" s="1"/>
  <c r="E112" i="6"/>
  <c r="L72" i="49" s="1"/>
  <c r="E92" i="6"/>
  <c r="L52" i="49" s="1"/>
  <c r="L73" i="49" s="1"/>
  <c r="P73" i="49" s="1"/>
  <c r="D93" i="6"/>
  <c r="K53" i="49" s="1"/>
  <c r="D94" i="6"/>
  <c r="K54" i="49" s="1"/>
  <c r="D95" i="6"/>
  <c r="K55" i="49" s="1"/>
  <c r="D96" i="6"/>
  <c r="K56" i="49" s="1"/>
  <c r="D97" i="6"/>
  <c r="K57" i="49" s="1"/>
  <c r="D98" i="6"/>
  <c r="K58" i="49" s="1"/>
  <c r="D99" i="6"/>
  <c r="K59" i="49" s="1"/>
  <c r="D100" i="6"/>
  <c r="K60" i="49" s="1"/>
  <c r="D101" i="6"/>
  <c r="K61" i="49" s="1"/>
  <c r="D102" i="6"/>
  <c r="K62" i="49" s="1"/>
  <c r="D103" i="6"/>
  <c r="K63" i="49" s="1"/>
  <c r="D104" i="6"/>
  <c r="K64" i="49" s="1"/>
  <c r="D105" i="6"/>
  <c r="K65" i="49" s="1"/>
  <c r="D106" i="6"/>
  <c r="K66" i="49" s="1"/>
  <c r="D107" i="6"/>
  <c r="K67" i="49" s="1"/>
  <c r="D108" i="6"/>
  <c r="K68" i="49" s="1"/>
  <c r="D109" i="6"/>
  <c r="K69" i="49" s="1"/>
  <c r="D110" i="6"/>
  <c r="K70" i="49" s="1"/>
  <c r="D111" i="6"/>
  <c r="K71" i="49" s="1"/>
  <c r="D112" i="6"/>
  <c r="K72" i="49" s="1"/>
  <c r="D92" i="6"/>
  <c r="K52" i="49" s="1"/>
  <c r="C93" i="6"/>
  <c r="J53" i="49" s="1"/>
  <c r="C94" i="6"/>
  <c r="J54" i="49" s="1"/>
  <c r="C95" i="6"/>
  <c r="J55" i="49" s="1"/>
  <c r="C96" i="6"/>
  <c r="J56" i="49" s="1"/>
  <c r="C97" i="6"/>
  <c r="J57" i="49" s="1"/>
  <c r="C98" i="6"/>
  <c r="J58" i="49" s="1"/>
  <c r="C99" i="6"/>
  <c r="J59" i="49" s="1"/>
  <c r="C100" i="6"/>
  <c r="J60" i="49" s="1"/>
  <c r="C101" i="6"/>
  <c r="J61" i="49" s="1"/>
  <c r="C102" i="6"/>
  <c r="J62" i="49" s="1"/>
  <c r="C103" i="6"/>
  <c r="J63" i="49" s="1"/>
  <c r="C104" i="6"/>
  <c r="J64" i="49" s="1"/>
  <c r="C105" i="6"/>
  <c r="J65" i="49" s="1"/>
  <c r="C106" i="6"/>
  <c r="J66" i="49" s="1"/>
  <c r="C107" i="6"/>
  <c r="J67" i="49" s="1"/>
  <c r="C108" i="6"/>
  <c r="J68" i="49" s="1"/>
  <c r="C109" i="6"/>
  <c r="J69" i="49" s="1"/>
  <c r="C110" i="6"/>
  <c r="J70" i="49" s="1"/>
  <c r="C111" i="6"/>
  <c r="J71" i="49" s="1"/>
  <c r="C112" i="6"/>
  <c r="J72" i="49" s="1"/>
  <c r="G27" i="43" l="1"/>
  <c r="K73" i="49"/>
  <c r="O73" i="49" s="1"/>
  <c r="R27" i="43"/>
  <c r="J27" i="44"/>
  <c r="I27" i="44"/>
  <c r="D113" i="6"/>
  <c r="E113" i="6"/>
  <c r="T8" i="6"/>
  <c r="T9" i="6"/>
  <c r="T10" i="6"/>
  <c r="T11" i="6"/>
  <c r="T12" i="6"/>
  <c r="T13" i="6"/>
  <c r="T14" i="6"/>
  <c r="T15" i="6"/>
  <c r="T16" i="6"/>
  <c r="T17" i="6"/>
  <c r="T18" i="6"/>
  <c r="T19" i="6"/>
  <c r="T20" i="6"/>
  <c r="T21" i="6"/>
  <c r="T22" i="6"/>
  <c r="T23" i="6"/>
  <c r="T24" i="6"/>
  <c r="T25" i="6"/>
  <c r="T26" i="6"/>
  <c r="T27" i="6"/>
  <c r="T7" i="6"/>
  <c r="B117" i="26"/>
  <c r="F119" i="26"/>
  <c r="C119" i="26"/>
  <c r="F115" i="26"/>
  <c r="C115" i="26"/>
  <c r="F110" i="26"/>
  <c r="C110" i="26"/>
  <c r="F108" i="26"/>
  <c r="C108" i="26"/>
  <c r="F106" i="26"/>
  <c r="C106" i="26"/>
  <c r="B104" i="26"/>
  <c r="F102" i="26"/>
  <c r="C102" i="26"/>
  <c r="F100" i="26"/>
  <c r="C100" i="26"/>
  <c r="F97" i="26"/>
  <c r="C97" i="26"/>
  <c r="F119" i="25"/>
  <c r="C119" i="25"/>
  <c r="C117" i="25"/>
  <c r="F117" i="25"/>
  <c r="F115" i="25"/>
  <c r="C115" i="25"/>
  <c r="F110" i="25"/>
  <c r="C110" i="25"/>
  <c r="F108" i="25"/>
  <c r="C108" i="25"/>
  <c r="F106" i="25"/>
  <c r="C106" i="25"/>
  <c r="B104" i="25"/>
  <c r="B121" i="25" s="1"/>
  <c r="F102" i="25"/>
  <c r="C102" i="25"/>
  <c r="F100" i="25"/>
  <c r="C100" i="25"/>
  <c r="F97" i="25"/>
  <c r="C97" i="25"/>
  <c r="B117" i="24"/>
  <c r="C117" i="24" s="1"/>
  <c r="F119" i="24"/>
  <c r="C119" i="24"/>
  <c r="F115" i="24"/>
  <c r="C115" i="24"/>
  <c r="F110" i="24"/>
  <c r="C110" i="24"/>
  <c r="F108" i="24"/>
  <c r="C108" i="24"/>
  <c r="F106" i="24"/>
  <c r="C106" i="24"/>
  <c r="B104" i="24"/>
  <c r="F102" i="24"/>
  <c r="C102" i="24"/>
  <c r="F100" i="24"/>
  <c r="C100" i="24"/>
  <c r="F97" i="24"/>
  <c r="C97" i="24"/>
  <c r="B117" i="23"/>
  <c r="C117" i="23" s="1"/>
  <c r="F119" i="23"/>
  <c r="C119" i="23"/>
  <c r="F115" i="23"/>
  <c r="C115" i="23"/>
  <c r="F110" i="23"/>
  <c r="C110" i="23"/>
  <c r="F108" i="23"/>
  <c r="C108" i="23"/>
  <c r="F106" i="23"/>
  <c r="C106" i="23"/>
  <c r="B104" i="23"/>
  <c r="F102" i="23"/>
  <c r="C102" i="23"/>
  <c r="F100" i="23"/>
  <c r="C100" i="23"/>
  <c r="F97" i="23"/>
  <c r="C97" i="23"/>
  <c r="B117" i="5"/>
  <c r="F119" i="5"/>
  <c r="C119" i="5"/>
  <c r="F115" i="5"/>
  <c r="C115" i="5"/>
  <c r="F110" i="5"/>
  <c r="C110" i="5"/>
  <c r="F108" i="5"/>
  <c r="C108" i="5"/>
  <c r="F106" i="5"/>
  <c r="C106" i="5"/>
  <c r="B104" i="5"/>
  <c r="F103" i="5"/>
  <c r="C103" i="5"/>
  <c r="F102" i="5"/>
  <c r="C102" i="5"/>
  <c r="F101" i="5"/>
  <c r="C101" i="5"/>
  <c r="F100" i="5"/>
  <c r="C100" i="5"/>
  <c r="F97" i="5"/>
  <c r="C97" i="5"/>
  <c r="F96" i="5"/>
  <c r="C96" i="5"/>
  <c r="F95" i="5"/>
  <c r="C95" i="5"/>
  <c r="C124" i="5"/>
  <c r="C39" i="5" s="1"/>
  <c r="C125" i="5"/>
  <c r="C40" i="5" s="1"/>
  <c r="C126" i="5"/>
  <c r="C41" i="5" s="1"/>
  <c r="B117" i="12"/>
  <c r="F117" i="12" s="1"/>
  <c r="C115" i="12"/>
  <c r="F115" i="12"/>
  <c r="B104" i="12"/>
  <c r="F97" i="12"/>
  <c r="C97" i="12"/>
  <c r="C96" i="12"/>
  <c r="F96" i="12"/>
  <c r="F119" i="12"/>
  <c r="C119" i="12"/>
  <c r="F110" i="12"/>
  <c r="C110" i="12"/>
  <c r="F108" i="12"/>
  <c r="C108" i="12"/>
  <c r="F106" i="12"/>
  <c r="C106" i="12"/>
  <c r="F103" i="12"/>
  <c r="C103" i="12"/>
  <c r="F102" i="12"/>
  <c r="C102" i="12"/>
  <c r="F101" i="12"/>
  <c r="C101" i="12"/>
  <c r="F100" i="12"/>
  <c r="C100" i="12"/>
  <c r="F95" i="12"/>
  <c r="C95" i="12"/>
  <c r="C115" i="22"/>
  <c r="F115" i="22"/>
  <c r="C97" i="22"/>
  <c r="F97" i="22"/>
  <c r="C115" i="21"/>
  <c r="F115" i="21"/>
  <c r="C102" i="21"/>
  <c r="F102" i="21"/>
  <c r="C97" i="21"/>
  <c r="F97" i="21"/>
  <c r="C115" i="13"/>
  <c r="F115" i="13"/>
  <c r="C97" i="13"/>
  <c r="F97" i="13"/>
  <c r="C115" i="11"/>
  <c r="F115" i="11"/>
  <c r="C97" i="11"/>
  <c r="F97" i="11"/>
  <c r="C115" i="10"/>
  <c r="F115" i="10"/>
  <c r="C97" i="10"/>
  <c r="F97" i="10"/>
  <c r="C115" i="9"/>
  <c r="F115" i="9"/>
  <c r="C97" i="9"/>
  <c r="F97" i="9"/>
  <c r="C115" i="8"/>
  <c r="F115" i="8"/>
  <c r="C97" i="8"/>
  <c r="F97" i="8"/>
  <c r="C115" i="7"/>
  <c r="F115" i="7"/>
  <c r="C97" i="7"/>
  <c r="F97" i="7"/>
  <c r="C115" i="16"/>
  <c r="F115" i="16"/>
  <c r="C97" i="16"/>
  <c r="F97" i="16"/>
  <c r="C115" i="17"/>
  <c r="F115" i="17"/>
  <c r="C97" i="17"/>
  <c r="F97" i="17"/>
  <c r="C115" i="15"/>
  <c r="F115" i="15"/>
  <c r="C97" i="15"/>
  <c r="F97" i="15"/>
  <c r="C115" i="18"/>
  <c r="F115" i="18"/>
  <c r="C97" i="18"/>
  <c r="F97" i="18"/>
  <c r="F115" i="19"/>
  <c r="C115" i="19"/>
  <c r="C97" i="19"/>
  <c r="F97" i="19"/>
  <c r="F115" i="20"/>
  <c r="C115" i="20"/>
  <c r="F97" i="20"/>
  <c r="C97" i="20"/>
  <c r="F115" i="14"/>
  <c r="C115" i="14"/>
  <c r="B82" i="26"/>
  <c r="C82" i="26" s="1"/>
  <c r="D82" i="26" s="1"/>
  <c r="C16" i="26" s="1"/>
  <c r="B82" i="24"/>
  <c r="C82" i="24" s="1"/>
  <c r="D82" i="24" s="1"/>
  <c r="C16" i="24" s="1"/>
  <c r="B87" i="23"/>
  <c r="B82" i="23"/>
  <c r="C82" i="23" s="1"/>
  <c r="D82" i="23" s="1"/>
  <c r="C16" i="23" s="1"/>
  <c r="B117" i="22"/>
  <c r="B104" i="22"/>
  <c r="B87" i="22"/>
  <c r="B83" i="22"/>
  <c r="B82" i="22"/>
  <c r="C82" i="22" s="1"/>
  <c r="D82" i="22" s="1"/>
  <c r="C16" i="22" s="1"/>
  <c r="B117" i="21"/>
  <c r="C117" i="21" s="1"/>
  <c r="B117" i="13"/>
  <c r="F117" i="13" s="1"/>
  <c r="B104" i="13"/>
  <c r="B82" i="13"/>
  <c r="B117" i="11"/>
  <c r="B104" i="11"/>
  <c r="B82" i="11"/>
  <c r="C82" i="11" s="1"/>
  <c r="D82" i="11" s="1"/>
  <c r="C16" i="11" s="1"/>
  <c r="B117" i="10"/>
  <c r="B87" i="10"/>
  <c r="C87" i="10" s="1"/>
  <c r="D87" i="10" s="1"/>
  <c r="C21" i="10" s="1"/>
  <c r="E21" i="10" s="1"/>
  <c r="H21" i="10" s="1"/>
  <c r="B82" i="10"/>
  <c r="B117" i="9"/>
  <c r="F117" i="9" s="1"/>
  <c r="B87" i="9"/>
  <c r="C87" i="9" s="1"/>
  <c r="D87" i="9" s="1"/>
  <c r="C21" i="9" s="1"/>
  <c r="B82" i="9"/>
  <c r="C82" i="9" s="1"/>
  <c r="D82" i="9" s="1"/>
  <c r="C16" i="9" s="1"/>
  <c r="B117" i="8"/>
  <c r="F117" i="8" s="1"/>
  <c r="B87" i="8"/>
  <c r="B82" i="8"/>
  <c r="C82" i="8" s="1"/>
  <c r="D82" i="8" s="1"/>
  <c r="C16" i="8" s="1"/>
  <c r="B117" i="7"/>
  <c r="F117" i="7" s="1"/>
  <c r="B104" i="7"/>
  <c r="B87" i="7"/>
  <c r="C87" i="7" s="1"/>
  <c r="D87" i="7" s="1"/>
  <c r="C21" i="7" s="1"/>
  <c r="B82" i="7"/>
  <c r="B117" i="17"/>
  <c r="B104" i="17"/>
  <c r="B87" i="17"/>
  <c r="C87" i="17" s="1"/>
  <c r="D87" i="17" s="1"/>
  <c r="C21" i="17" s="1"/>
  <c r="B83" i="17"/>
  <c r="C83" i="17" s="1"/>
  <c r="D83" i="17" s="1"/>
  <c r="C17" i="17" s="1"/>
  <c r="B82" i="17"/>
  <c r="C82" i="17" s="1"/>
  <c r="D82" i="17" s="1"/>
  <c r="C16" i="17" s="1"/>
  <c r="B117" i="15"/>
  <c r="B117" i="18"/>
  <c r="F117" i="18" s="1"/>
  <c r="B104" i="18"/>
  <c r="B78" i="18"/>
  <c r="C78" i="18" s="1"/>
  <c r="D78" i="18" s="1"/>
  <c r="C9" i="18" s="1"/>
  <c r="B82" i="18"/>
  <c r="B87" i="14"/>
  <c r="C87" i="14" s="1"/>
  <c r="D87" i="14" s="1"/>
  <c r="C21" i="14" s="1"/>
  <c r="B87" i="5"/>
  <c r="C87" i="5" s="1"/>
  <c r="D87" i="5" s="1"/>
  <c r="C21" i="5" s="1"/>
  <c r="B117" i="19"/>
  <c r="F117" i="19" s="1"/>
  <c r="B82" i="19"/>
  <c r="B117" i="20"/>
  <c r="F117" i="20" s="1"/>
  <c r="B82" i="20"/>
  <c r="C82" i="20" s="1"/>
  <c r="D82" i="20" s="1"/>
  <c r="C16" i="20" s="1"/>
  <c r="B117" i="14"/>
  <c r="C117" i="14" s="1"/>
  <c r="B104" i="14"/>
  <c r="F97" i="14"/>
  <c r="B82" i="14"/>
  <c r="C82" i="14" s="1"/>
  <c r="D82" i="14" s="1"/>
  <c r="C16" i="14" s="1"/>
  <c r="B82" i="5"/>
  <c r="C82" i="5" s="1"/>
  <c r="D82" i="5" s="1"/>
  <c r="C16" i="5" s="1"/>
  <c r="P8" i="6"/>
  <c r="Q8" i="6" s="1"/>
  <c r="O28" i="6"/>
  <c r="P9" i="6"/>
  <c r="C22" i="14" s="1"/>
  <c r="L80" i="49" s="1"/>
  <c r="P10" i="6"/>
  <c r="C22" i="20" s="1"/>
  <c r="L81" i="49" s="1"/>
  <c r="P11" i="6"/>
  <c r="C22" i="19" s="1"/>
  <c r="L82" i="49" s="1"/>
  <c r="P12" i="6"/>
  <c r="C22" i="18" s="1"/>
  <c r="L83" i="49" s="1"/>
  <c r="P13" i="6"/>
  <c r="C22" i="15" s="1"/>
  <c r="L84" i="49" s="1"/>
  <c r="P14" i="6"/>
  <c r="C22" i="17" s="1"/>
  <c r="L85" i="49" s="1"/>
  <c r="P15" i="6"/>
  <c r="C22" i="16" s="1"/>
  <c r="L86" i="49" s="1"/>
  <c r="P16" i="6"/>
  <c r="C22" i="7" s="1"/>
  <c r="L87" i="49" s="1"/>
  <c r="P17" i="6"/>
  <c r="C22" i="8" s="1"/>
  <c r="L88" i="49" s="1"/>
  <c r="P18" i="6"/>
  <c r="C22" i="9" s="1"/>
  <c r="L89" i="49" s="1"/>
  <c r="P19" i="6"/>
  <c r="C22" i="10" s="1"/>
  <c r="L90" i="49" s="1"/>
  <c r="P20" i="6"/>
  <c r="C22" i="11" s="1"/>
  <c r="L91" i="49" s="1"/>
  <c r="P21" i="6"/>
  <c r="P22" i="6"/>
  <c r="C22" i="21" s="1"/>
  <c r="L93" i="49" s="1"/>
  <c r="P23" i="6"/>
  <c r="Q23" i="6" s="1"/>
  <c r="P24" i="6"/>
  <c r="C22" i="23" s="1"/>
  <c r="L95" i="49" s="1"/>
  <c r="P25" i="6"/>
  <c r="C22" i="24" s="1"/>
  <c r="L96" i="49" s="1"/>
  <c r="P26" i="6"/>
  <c r="P27" i="6"/>
  <c r="C22" i="26" s="1"/>
  <c r="L98" i="49" s="1"/>
  <c r="P7" i="6"/>
  <c r="Q7" i="6" s="1"/>
  <c r="E28" i="6"/>
  <c r="B113" i="6"/>
  <c r="C13" i="29"/>
  <c r="G8" i="30" s="1"/>
  <c r="C90" i="5"/>
  <c r="B90" i="5"/>
  <c r="B9" i="30"/>
  <c r="C81" i="5"/>
  <c r="D81" i="5" s="1"/>
  <c r="C15" i="5" s="1"/>
  <c r="B11" i="30"/>
  <c r="B12" i="30"/>
  <c r="C83" i="5"/>
  <c r="D83" i="5" s="1"/>
  <c r="C17" i="5" s="1"/>
  <c r="B13" i="30"/>
  <c r="C84" i="5"/>
  <c r="D84" i="5" s="1"/>
  <c r="C18" i="5" s="1"/>
  <c r="B14" i="30"/>
  <c r="C85" i="5"/>
  <c r="D85" i="5" s="1"/>
  <c r="C19" i="5" s="1"/>
  <c r="E19" i="5" s="1"/>
  <c r="C86" i="5"/>
  <c r="D86" i="5" s="1"/>
  <c r="C20" i="5" s="1"/>
  <c r="B16" i="30"/>
  <c r="B17" i="30"/>
  <c r="B18" i="30"/>
  <c r="C23" i="5"/>
  <c r="B19" i="30"/>
  <c r="C128" i="5"/>
  <c r="C25" i="5" s="1"/>
  <c r="B21" i="30"/>
  <c r="C22" i="31"/>
  <c r="C129" i="12" s="1"/>
  <c r="C26" i="12" s="1"/>
  <c r="B22" i="30"/>
  <c r="C23" i="31"/>
  <c r="C130" i="20" s="1"/>
  <c r="C27" i="20" s="1"/>
  <c r="C130" i="5"/>
  <c r="C27" i="5" s="1"/>
  <c r="G27" i="5" s="1"/>
  <c r="B23" i="30"/>
  <c r="C131" i="5"/>
  <c r="C28" i="5" s="1"/>
  <c r="B24" i="30"/>
  <c r="B138" i="5"/>
  <c r="C138" i="5" s="1"/>
  <c r="I7" i="6"/>
  <c r="I8" i="6"/>
  <c r="I9" i="6"/>
  <c r="I10" i="6"/>
  <c r="I11" i="6"/>
  <c r="I12" i="6"/>
  <c r="I13" i="6"/>
  <c r="I14" i="6"/>
  <c r="I15" i="6"/>
  <c r="I16" i="6"/>
  <c r="I17" i="6"/>
  <c r="I18" i="6"/>
  <c r="I19" i="6"/>
  <c r="I20" i="6"/>
  <c r="I21" i="6"/>
  <c r="I22" i="6"/>
  <c r="I23" i="6"/>
  <c r="I24" i="6"/>
  <c r="I25" i="6"/>
  <c r="I26" i="6"/>
  <c r="I27" i="6"/>
  <c r="B28" i="30"/>
  <c r="B27" i="30"/>
  <c r="B26" i="30"/>
  <c r="C144" i="5"/>
  <c r="C145" i="5" s="1"/>
  <c r="C35" i="5" s="1"/>
  <c r="B29" i="30"/>
  <c r="C37" i="5"/>
  <c r="B31" i="30"/>
  <c r="C134" i="5"/>
  <c r="C38" i="5" s="1"/>
  <c r="B32" i="30"/>
  <c r="B33" i="30"/>
  <c r="B34" i="30"/>
  <c r="B35" i="30"/>
  <c r="C127" i="5"/>
  <c r="C42" i="5" s="1"/>
  <c r="B36" i="30"/>
  <c r="C79" i="6"/>
  <c r="B39" i="30"/>
  <c r="B40" i="30"/>
  <c r="C59" i="6"/>
  <c r="C60" i="6"/>
  <c r="B42" i="30"/>
  <c r="C62" i="6"/>
  <c r="C63" i="6"/>
  <c r="C64" i="6"/>
  <c r="C65" i="6"/>
  <c r="B43" i="30"/>
  <c r="C66" i="6"/>
  <c r="B44" i="30"/>
  <c r="C67" i="6"/>
  <c r="B45" i="30"/>
  <c r="C68" i="6"/>
  <c r="B46" i="30"/>
  <c r="C70" i="6"/>
  <c r="C71" i="6"/>
  <c r="B47" i="30"/>
  <c r="C72" i="6"/>
  <c r="B48" i="30"/>
  <c r="C73" i="6"/>
  <c r="B49" i="30"/>
  <c r="B50" i="30"/>
  <c r="AB7" i="6"/>
  <c r="C63" i="5" s="1"/>
  <c r="B51" i="30"/>
  <c r="B52" i="30"/>
  <c r="C74" i="5"/>
  <c r="D74" i="5" s="1"/>
  <c r="C6" i="5" s="1"/>
  <c r="C75" i="5"/>
  <c r="D75" i="5" s="1"/>
  <c r="C7" i="5" s="1"/>
  <c r="C76" i="5"/>
  <c r="D76" i="5" s="1"/>
  <c r="C8" i="5" s="1"/>
  <c r="C78" i="5"/>
  <c r="D78" i="5" s="1"/>
  <c r="C9" i="5" s="1"/>
  <c r="B5" i="30"/>
  <c r="B6" i="30"/>
  <c r="B7" i="30"/>
  <c r="B8" i="30"/>
  <c r="E10" i="19" s="1"/>
  <c r="F10" i="19" s="1"/>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C77" i="5"/>
  <c r="D77" i="5" s="1"/>
  <c r="C46" i="5" s="1"/>
  <c r="K78" i="49" s="1"/>
  <c r="B38" i="30"/>
  <c r="I1" i="5"/>
  <c r="M1" i="5"/>
  <c r="D11" i="5"/>
  <c r="Q65" i="5"/>
  <c r="C133" i="5"/>
  <c r="G154" i="5"/>
  <c r="G161" i="5"/>
  <c r="C167" i="5"/>
  <c r="G169" i="5"/>
  <c r="C170" i="5"/>
  <c r="C171" i="5"/>
  <c r="G190" i="5"/>
  <c r="B202" i="5"/>
  <c r="F2" i="27"/>
  <c r="P29" i="27"/>
  <c r="P34" i="27" s="1"/>
  <c r="B26" i="31"/>
  <c r="C29" i="27" s="1"/>
  <c r="P42" i="27"/>
  <c r="C42" i="27"/>
  <c r="P43" i="27"/>
  <c r="C43" i="27"/>
  <c r="P46" i="27"/>
  <c r="C46" i="27"/>
  <c r="P47" i="27"/>
  <c r="C47" i="27"/>
  <c r="P48" i="27"/>
  <c r="C48" i="27"/>
  <c r="P49" i="27"/>
  <c r="C49" i="27"/>
  <c r="P50" i="27"/>
  <c r="C50" i="27"/>
  <c r="P51" i="27"/>
  <c r="C51" i="27"/>
  <c r="P52" i="27"/>
  <c r="C52" i="27"/>
  <c r="P56" i="27"/>
  <c r="C56" i="27"/>
  <c r="BO56" i="27" s="1"/>
  <c r="Q29" i="27"/>
  <c r="Q34" i="27" s="1"/>
  <c r="Q42" i="27"/>
  <c r="Q43" i="27"/>
  <c r="Q46" i="27"/>
  <c r="Q47" i="27"/>
  <c r="Q48" i="27"/>
  <c r="Q49" i="27"/>
  <c r="Q50" i="27"/>
  <c r="Q51" i="27"/>
  <c r="Q52" i="27"/>
  <c r="Q56" i="27"/>
  <c r="R29" i="27"/>
  <c r="R34" i="27" s="1"/>
  <c r="R42" i="27"/>
  <c r="R43" i="27"/>
  <c r="R46" i="27"/>
  <c r="R47" i="27"/>
  <c r="R48" i="27"/>
  <c r="R49" i="27"/>
  <c r="R50" i="27"/>
  <c r="R51" i="27"/>
  <c r="R52" i="27"/>
  <c r="R56" i="27"/>
  <c r="S29" i="27"/>
  <c r="S34" i="27" s="1"/>
  <c r="S42" i="27"/>
  <c r="S43" i="27"/>
  <c r="S46" i="27"/>
  <c r="S47" i="27"/>
  <c r="S48" i="27"/>
  <c r="S49" i="27"/>
  <c r="S50" i="27"/>
  <c r="S51" i="27"/>
  <c r="S52" i="27"/>
  <c r="S56" i="27"/>
  <c r="K2" i="27"/>
  <c r="L16" i="27" s="1"/>
  <c r="T8" i="27"/>
  <c r="T9" i="27"/>
  <c r="T10" i="27"/>
  <c r="T34" i="27"/>
  <c r="U8" i="27"/>
  <c r="U9" i="27"/>
  <c r="U10" i="27"/>
  <c r="U34" i="27"/>
  <c r="V8" i="27"/>
  <c r="V9" i="27"/>
  <c r="V10" i="27"/>
  <c r="V34" i="27"/>
  <c r="W8" i="27"/>
  <c r="W9" i="27"/>
  <c r="W10" i="27"/>
  <c r="W34" i="27"/>
  <c r="T7" i="27"/>
  <c r="U7" i="27"/>
  <c r="V7" i="27"/>
  <c r="W7" i="27"/>
  <c r="C14" i="27"/>
  <c r="C15" i="27"/>
  <c r="C16" i="27"/>
  <c r="C17" i="27"/>
  <c r="C18" i="27"/>
  <c r="C19" i="27"/>
  <c r="C20" i="27"/>
  <c r="C22" i="27"/>
  <c r="C24" i="27"/>
  <c r="C25" i="27"/>
  <c r="C26" i="27"/>
  <c r="C27" i="27"/>
  <c r="B34" i="5"/>
  <c r="B33" i="12"/>
  <c r="C30" i="27"/>
  <c r="C32" i="27"/>
  <c r="C35" i="27"/>
  <c r="C36" i="27"/>
  <c r="C37" i="27"/>
  <c r="C38" i="27"/>
  <c r="C39" i="27"/>
  <c r="C31" i="27"/>
  <c r="C41" i="27"/>
  <c r="B58" i="31"/>
  <c r="C55" i="27"/>
  <c r="P55" i="27"/>
  <c r="Q55" i="27"/>
  <c r="R55" i="27"/>
  <c r="S55" i="27"/>
  <c r="C45" i="27"/>
  <c r="P45" i="27"/>
  <c r="Q45" i="27"/>
  <c r="R45" i="27"/>
  <c r="S45" i="27"/>
  <c r="B9" i="31"/>
  <c r="C12" i="27" s="1"/>
  <c r="C90" i="12"/>
  <c r="B90" i="12"/>
  <c r="C81" i="12"/>
  <c r="D81" i="12" s="1"/>
  <c r="C15" i="12" s="1"/>
  <c r="C82" i="12"/>
  <c r="D82" i="12" s="1"/>
  <c r="C16" i="12" s="1"/>
  <c r="C83" i="12"/>
  <c r="D83" i="12" s="1"/>
  <c r="C17" i="12" s="1"/>
  <c r="C84" i="12"/>
  <c r="D84" i="12" s="1"/>
  <c r="C18" i="12" s="1"/>
  <c r="C85" i="12"/>
  <c r="D85" i="12" s="1"/>
  <c r="C19" i="12" s="1"/>
  <c r="E19" i="12" s="1"/>
  <c r="C86" i="12"/>
  <c r="D86" i="12" s="1"/>
  <c r="C20" i="12" s="1"/>
  <c r="C87" i="12"/>
  <c r="D87" i="12" s="1"/>
  <c r="C21" i="12" s="1"/>
  <c r="C23" i="12"/>
  <c r="C128" i="12"/>
  <c r="C25" i="12" s="1"/>
  <c r="C131" i="12"/>
  <c r="C28" i="12" s="1"/>
  <c r="B138" i="12"/>
  <c r="C138" i="12" s="1"/>
  <c r="C144" i="12"/>
  <c r="C145" i="12" s="1"/>
  <c r="C35" i="12" s="1"/>
  <c r="C37" i="12"/>
  <c r="C134" i="12"/>
  <c r="C38" i="12" s="1"/>
  <c r="C124" i="12"/>
  <c r="C39" i="12" s="1"/>
  <c r="C125" i="12"/>
  <c r="C40" i="12" s="1"/>
  <c r="C126" i="12"/>
  <c r="C41" i="12" s="1"/>
  <c r="C127" i="12"/>
  <c r="C42" i="12" s="1"/>
  <c r="AB8" i="6"/>
  <c r="C63" i="12" s="1"/>
  <c r="C74" i="12"/>
  <c r="D74" i="12" s="1"/>
  <c r="C6" i="12" s="1"/>
  <c r="C75" i="12"/>
  <c r="D75" i="12" s="1"/>
  <c r="C7" i="12" s="1"/>
  <c r="C76" i="12"/>
  <c r="D76" i="12" s="1"/>
  <c r="C8" i="12" s="1"/>
  <c r="C78" i="12"/>
  <c r="D78" i="12" s="1"/>
  <c r="C9" i="12" s="1"/>
  <c r="C77" i="12"/>
  <c r="D77" i="12" s="1"/>
  <c r="C46" i="12" s="1"/>
  <c r="K79" i="49" s="1"/>
  <c r="I1" i="12"/>
  <c r="M1" i="12"/>
  <c r="B6" i="12"/>
  <c r="B7" i="12"/>
  <c r="B8" i="12"/>
  <c r="B9" i="12"/>
  <c r="D11" i="12"/>
  <c r="B15" i="12"/>
  <c r="B16" i="12"/>
  <c r="B17" i="12"/>
  <c r="B18" i="12"/>
  <c r="B19" i="12"/>
  <c r="B20" i="12"/>
  <c r="B21" i="12"/>
  <c r="Q65" i="12"/>
  <c r="C133" i="12"/>
  <c r="D14" i="29"/>
  <c r="C75" i="14"/>
  <c r="D75" i="14" s="1"/>
  <c r="C7" i="14" s="1"/>
  <c r="C75" i="20"/>
  <c r="D75" i="20" s="1"/>
  <c r="C7" i="20" s="1"/>
  <c r="C75" i="19"/>
  <c r="D75" i="19" s="1"/>
  <c r="C7" i="19" s="1"/>
  <c r="C75" i="18"/>
  <c r="C75" i="15"/>
  <c r="D75" i="15" s="1"/>
  <c r="C7" i="15" s="1"/>
  <c r="C75" i="17"/>
  <c r="D75" i="17" s="1"/>
  <c r="C7" i="17" s="1"/>
  <c r="C75" i="16"/>
  <c r="D75" i="16" s="1"/>
  <c r="C7" i="16" s="1"/>
  <c r="C75" i="7"/>
  <c r="D75" i="7" s="1"/>
  <c r="C7" i="7" s="1"/>
  <c r="C75" i="8"/>
  <c r="D75" i="8" s="1"/>
  <c r="C7" i="8" s="1"/>
  <c r="C75" i="9"/>
  <c r="D75" i="9" s="1"/>
  <c r="C7" i="9" s="1"/>
  <c r="C75" i="10"/>
  <c r="D75" i="10" s="1"/>
  <c r="C7" i="10" s="1"/>
  <c r="C75" i="11"/>
  <c r="C75" i="13"/>
  <c r="D75" i="13" s="1"/>
  <c r="C7" i="13" s="1"/>
  <c r="C75" i="21"/>
  <c r="D75" i="21" s="1"/>
  <c r="C7" i="21" s="1"/>
  <c r="C75" i="22"/>
  <c r="D75" i="22" s="1"/>
  <c r="C7" i="22" s="1"/>
  <c r="C75" i="23"/>
  <c r="D75" i="23" s="1"/>
  <c r="C7" i="23" s="1"/>
  <c r="C75" i="24"/>
  <c r="D75" i="24" s="1"/>
  <c r="C7" i="24" s="1"/>
  <c r="C75" i="25"/>
  <c r="D75" i="25" s="1"/>
  <c r="C7" i="25" s="1"/>
  <c r="C75" i="26"/>
  <c r="D75" i="26" s="1"/>
  <c r="C7" i="26" s="1"/>
  <c r="C76" i="14"/>
  <c r="C76" i="20"/>
  <c r="D76" i="20" s="1"/>
  <c r="C8" i="20" s="1"/>
  <c r="C76" i="19"/>
  <c r="D76" i="19" s="1"/>
  <c r="C8" i="19" s="1"/>
  <c r="C76" i="18"/>
  <c r="D76" i="18" s="1"/>
  <c r="C8" i="18" s="1"/>
  <c r="C76" i="15"/>
  <c r="D76" i="15" s="1"/>
  <c r="C8" i="15" s="1"/>
  <c r="E8" i="15" s="1"/>
  <c r="C76" i="17"/>
  <c r="D76" i="17" s="1"/>
  <c r="C8" i="17" s="1"/>
  <c r="C76" i="16"/>
  <c r="D76" i="16" s="1"/>
  <c r="C8" i="16" s="1"/>
  <c r="C76" i="7"/>
  <c r="D76" i="7" s="1"/>
  <c r="C8" i="7" s="1"/>
  <c r="C76" i="8"/>
  <c r="D76" i="8" s="1"/>
  <c r="C8" i="8" s="1"/>
  <c r="C76" i="9"/>
  <c r="D76" i="9" s="1"/>
  <c r="C8" i="9" s="1"/>
  <c r="C76" i="10"/>
  <c r="D76" i="10" s="1"/>
  <c r="C8" i="10" s="1"/>
  <c r="C76" i="11"/>
  <c r="D76" i="11" s="1"/>
  <c r="C8" i="11" s="1"/>
  <c r="C76" i="13"/>
  <c r="D76" i="13" s="1"/>
  <c r="C8" i="13" s="1"/>
  <c r="E8" i="13" s="1"/>
  <c r="C76" i="21"/>
  <c r="D76" i="21" s="1"/>
  <c r="C8" i="21" s="1"/>
  <c r="C76" i="22"/>
  <c r="D76" i="22" s="1"/>
  <c r="C8" i="22" s="1"/>
  <c r="C76" i="23"/>
  <c r="D76" i="23" s="1"/>
  <c r="C8" i="23" s="1"/>
  <c r="C76" i="24"/>
  <c r="C76" i="25"/>
  <c r="D76" i="25" s="1"/>
  <c r="C8" i="25" s="1"/>
  <c r="C76" i="26"/>
  <c r="D76" i="26" s="1"/>
  <c r="C8" i="26" s="1"/>
  <c r="C78" i="14"/>
  <c r="C78" i="20"/>
  <c r="C78" i="19"/>
  <c r="D78" i="19" s="1"/>
  <c r="C9" i="19" s="1"/>
  <c r="E9" i="19" s="1"/>
  <c r="C78" i="15"/>
  <c r="C78" i="17"/>
  <c r="C78" i="16"/>
  <c r="D78" i="16" s="1"/>
  <c r="C9" i="16" s="1"/>
  <c r="C78" i="7"/>
  <c r="D78" i="7" s="1"/>
  <c r="C9" i="7" s="1"/>
  <c r="E9" i="7" s="1"/>
  <c r="C78" i="8"/>
  <c r="D78" i="8" s="1"/>
  <c r="C9" i="8" s="1"/>
  <c r="C78" i="9"/>
  <c r="D78" i="9" s="1"/>
  <c r="C9" i="9" s="1"/>
  <c r="C78" i="10"/>
  <c r="D78" i="10" s="1"/>
  <c r="C9" i="10" s="1"/>
  <c r="C78" i="11"/>
  <c r="D78" i="11" s="1"/>
  <c r="C9" i="11" s="1"/>
  <c r="E9" i="11" s="1"/>
  <c r="C78" i="13"/>
  <c r="C78" i="21"/>
  <c r="C78" i="22"/>
  <c r="D78" i="22" s="1"/>
  <c r="C9" i="22" s="1"/>
  <c r="C78" i="23"/>
  <c r="D78" i="23" s="1"/>
  <c r="C9" i="23" s="1"/>
  <c r="E9" i="23" s="1"/>
  <c r="C78" i="24"/>
  <c r="D78" i="24" s="1"/>
  <c r="C9" i="24" s="1"/>
  <c r="C78" i="25"/>
  <c r="D78" i="25" s="1"/>
  <c r="C9" i="25" s="1"/>
  <c r="C78" i="26"/>
  <c r="D78" i="26" s="1"/>
  <c r="C9" i="26" s="1"/>
  <c r="E10" i="16"/>
  <c r="F10" i="16" s="1"/>
  <c r="C81" i="14"/>
  <c r="D81" i="14" s="1"/>
  <c r="C15" i="14" s="1"/>
  <c r="C81" i="20"/>
  <c r="D81" i="20" s="1"/>
  <c r="C15" i="20" s="1"/>
  <c r="C81" i="19"/>
  <c r="D81" i="19" s="1"/>
  <c r="C15" i="19" s="1"/>
  <c r="C81" i="18"/>
  <c r="D81" i="18" s="1"/>
  <c r="C15" i="18" s="1"/>
  <c r="C81" i="15"/>
  <c r="D81" i="15" s="1"/>
  <c r="C15" i="15" s="1"/>
  <c r="C81" i="17"/>
  <c r="D81" i="17" s="1"/>
  <c r="C15" i="17" s="1"/>
  <c r="C81" i="16"/>
  <c r="D81" i="16" s="1"/>
  <c r="C15" i="16" s="1"/>
  <c r="C81" i="7"/>
  <c r="D81" i="7" s="1"/>
  <c r="C15" i="7" s="1"/>
  <c r="C81" i="8"/>
  <c r="D81" i="8" s="1"/>
  <c r="C15" i="8" s="1"/>
  <c r="C81" i="9"/>
  <c r="D81" i="9" s="1"/>
  <c r="C15" i="9" s="1"/>
  <c r="C81" i="10"/>
  <c r="D81" i="10" s="1"/>
  <c r="C15" i="10" s="1"/>
  <c r="C81" i="11"/>
  <c r="D81" i="11" s="1"/>
  <c r="C15" i="11" s="1"/>
  <c r="C81" i="13"/>
  <c r="D81" i="13" s="1"/>
  <c r="C15" i="13" s="1"/>
  <c r="C81" i="21"/>
  <c r="D81" i="21" s="1"/>
  <c r="C15" i="21" s="1"/>
  <c r="C81" i="22"/>
  <c r="D81" i="22" s="1"/>
  <c r="C15" i="22" s="1"/>
  <c r="C81" i="23"/>
  <c r="D81" i="23" s="1"/>
  <c r="C15" i="23" s="1"/>
  <c r="C81" i="24"/>
  <c r="D81" i="24" s="1"/>
  <c r="C15" i="24" s="1"/>
  <c r="C81" i="25"/>
  <c r="D81" i="25" s="1"/>
  <c r="C15" i="25" s="1"/>
  <c r="C81" i="26"/>
  <c r="D81" i="26" s="1"/>
  <c r="C15" i="26" s="1"/>
  <c r="C82" i="19"/>
  <c r="D82" i="19" s="1"/>
  <c r="C16" i="19" s="1"/>
  <c r="C82" i="18"/>
  <c r="D82" i="18" s="1"/>
  <c r="C16" i="18" s="1"/>
  <c r="C82" i="15"/>
  <c r="D82" i="15" s="1"/>
  <c r="C16" i="15" s="1"/>
  <c r="C82" i="16"/>
  <c r="D82" i="16" s="1"/>
  <c r="C16" i="16" s="1"/>
  <c r="C82" i="7"/>
  <c r="D82" i="7" s="1"/>
  <c r="C16" i="7" s="1"/>
  <c r="C82" i="10"/>
  <c r="D82" i="10" s="1"/>
  <c r="C16" i="10" s="1"/>
  <c r="C82" i="13"/>
  <c r="D82" i="13" s="1"/>
  <c r="C16" i="13" s="1"/>
  <c r="E16" i="13" s="1"/>
  <c r="C82" i="21"/>
  <c r="D82" i="21" s="1"/>
  <c r="C16" i="21" s="1"/>
  <c r="C82" i="25"/>
  <c r="D82" i="25" s="1"/>
  <c r="C16" i="25" s="1"/>
  <c r="C83" i="14"/>
  <c r="D83" i="14" s="1"/>
  <c r="C17" i="14" s="1"/>
  <c r="E17" i="14" s="1"/>
  <c r="C83" i="20"/>
  <c r="D83" i="20" s="1"/>
  <c r="C17" i="20" s="1"/>
  <c r="C83" i="19"/>
  <c r="D83" i="19" s="1"/>
  <c r="C17" i="19" s="1"/>
  <c r="E17" i="19" s="1"/>
  <c r="C83" i="18"/>
  <c r="D83" i="18" s="1"/>
  <c r="C17" i="18" s="1"/>
  <c r="E17" i="18" s="1"/>
  <c r="C83" i="15"/>
  <c r="D83" i="15" s="1"/>
  <c r="C17" i="15" s="1"/>
  <c r="E17" i="15" s="1"/>
  <c r="C83" i="16"/>
  <c r="D83" i="16" s="1"/>
  <c r="C17" i="16" s="1"/>
  <c r="C83" i="7"/>
  <c r="D83" i="7" s="1"/>
  <c r="C17" i="7" s="1"/>
  <c r="E17" i="7" s="1"/>
  <c r="F17" i="7" s="1"/>
  <c r="C83" i="8"/>
  <c r="D83" i="8" s="1"/>
  <c r="C17" i="8" s="1"/>
  <c r="C83" i="9"/>
  <c r="D83" i="9" s="1"/>
  <c r="C17" i="9" s="1"/>
  <c r="E17" i="9" s="1"/>
  <c r="F17" i="9" s="1"/>
  <c r="C83" i="10"/>
  <c r="D83" i="10" s="1"/>
  <c r="C17" i="10" s="1"/>
  <c r="C83" i="11"/>
  <c r="D83" i="11" s="1"/>
  <c r="C17" i="11" s="1"/>
  <c r="E17" i="11" s="1"/>
  <c r="G17" i="11" s="1"/>
  <c r="C83" i="13"/>
  <c r="D83" i="13" s="1"/>
  <c r="C17" i="13" s="1"/>
  <c r="E17" i="13" s="1"/>
  <c r="C83" i="21"/>
  <c r="D83" i="21" s="1"/>
  <c r="C17" i="21" s="1"/>
  <c r="E17" i="21" s="1"/>
  <c r="F17" i="21" s="1"/>
  <c r="C83" i="22"/>
  <c r="D83" i="22" s="1"/>
  <c r="C17" i="22" s="1"/>
  <c r="C83" i="23"/>
  <c r="D83" i="23" s="1"/>
  <c r="C17" i="23" s="1"/>
  <c r="E17" i="23" s="1"/>
  <c r="G17" i="23" s="1"/>
  <c r="C83" i="24"/>
  <c r="D83" i="24" s="1"/>
  <c r="C17" i="24" s="1"/>
  <c r="C83" i="25"/>
  <c r="D83" i="25" s="1"/>
  <c r="C17" i="25" s="1"/>
  <c r="E17" i="25" s="1"/>
  <c r="F17" i="25" s="1"/>
  <c r="C83" i="26"/>
  <c r="D83" i="26" s="1"/>
  <c r="C17" i="26" s="1"/>
  <c r="C84" i="14"/>
  <c r="D84" i="14" s="1"/>
  <c r="C18" i="14" s="1"/>
  <c r="C84" i="20"/>
  <c r="D84" i="20" s="1"/>
  <c r="C18" i="20" s="1"/>
  <c r="C84" i="19"/>
  <c r="D84" i="19" s="1"/>
  <c r="C18" i="19" s="1"/>
  <c r="C84" i="18"/>
  <c r="D84" i="18" s="1"/>
  <c r="C18" i="18" s="1"/>
  <c r="C84" i="15"/>
  <c r="D84" i="15" s="1"/>
  <c r="C18" i="15" s="1"/>
  <c r="C84" i="17"/>
  <c r="D84" i="17" s="1"/>
  <c r="C18" i="17" s="1"/>
  <c r="C84" i="16"/>
  <c r="D84" i="16" s="1"/>
  <c r="C18" i="16" s="1"/>
  <c r="C84" i="7"/>
  <c r="D84" i="7" s="1"/>
  <c r="C18" i="7" s="1"/>
  <c r="C84" i="8"/>
  <c r="D84" i="8" s="1"/>
  <c r="C18" i="8" s="1"/>
  <c r="C84" i="9"/>
  <c r="D84" i="9" s="1"/>
  <c r="C18" i="9" s="1"/>
  <c r="C84" i="10"/>
  <c r="D84" i="10" s="1"/>
  <c r="C18" i="10" s="1"/>
  <c r="C84" i="11"/>
  <c r="D84" i="11" s="1"/>
  <c r="C18" i="11" s="1"/>
  <c r="C84" i="13"/>
  <c r="D84" i="13" s="1"/>
  <c r="C18" i="13" s="1"/>
  <c r="C84" i="21"/>
  <c r="D84" i="21" s="1"/>
  <c r="C18" i="21" s="1"/>
  <c r="C84" i="22"/>
  <c r="D84" i="22" s="1"/>
  <c r="C18" i="22" s="1"/>
  <c r="C84" i="23"/>
  <c r="D84" i="23" s="1"/>
  <c r="C18" i="23" s="1"/>
  <c r="C84" i="24"/>
  <c r="D84" i="24" s="1"/>
  <c r="C18" i="24" s="1"/>
  <c r="C84" i="25"/>
  <c r="D84" i="25" s="1"/>
  <c r="C18" i="25" s="1"/>
  <c r="C84" i="26"/>
  <c r="D84" i="26" s="1"/>
  <c r="C18" i="26" s="1"/>
  <c r="C85" i="14"/>
  <c r="D85" i="14" s="1"/>
  <c r="C19" i="14" s="1"/>
  <c r="E19" i="14" s="1"/>
  <c r="C85" i="20"/>
  <c r="D85" i="20" s="1"/>
  <c r="C19" i="20" s="1"/>
  <c r="E19" i="20" s="1"/>
  <c r="C85" i="19"/>
  <c r="D85" i="19" s="1"/>
  <c r="C19" i="19" s="1"/>
  <c r="C85" i="18"/>
  <c r="D85" i="18" s="1"/>
  <c r="C19" i="18" s="1"/>
  <c r="C85" i="15"/>
  <c r="D85" i="15" s="1"/>
  <c r="C19" i="15" s="1"/>
  <c r="E19" i="15" s="1"/>
  <c r="C85" i="17"/>
  <c r="D85" i="17" s="1"/>
  <c r="C19" i="17" s="1"/>
  <c r="C85" i="16"/>
  <c r="D85" i="16" s="1"/>
  <c r="C19" i="16" s="1"/>
  <c r="C85" i="7"/>
  <c r="D85" i="7" s="1"/>
  <c r="C19" i="7" s="1"/>
  <c r="C85" i="8"/>
  <c r="D85" i="8" s="1"/>
  <c r="C19" i="8" s="1"/>
  <c r="E19" i="8" s="1"/>
  <c r="C85" i="9"/>
  <c r="D85" i="9" s="1"/>
  <c r="C19" i="9" s="1"/>
  <c r="E19" i="9" s="1"/>
  <c r="C85" i="10"/>
  <c r="D85" i="10" s="1"/>
  <c r="C19" i="10" s="1"/>
  <c r="C85" i="11"/>
  <c r="D85" i="11" s="1"/>
  <c r="C19" i="11" s="1"/>
  <c r="C85" i="13"/>
  <c r="D85" i="13" s="1"/>
  <c r="C19" i="13" s="1"/>
  <c r="E19" i="13" s="1"/>
  <c r="C85" i="21"/>
  <c r="D85" i="21" s="1"/>
  <c r="C19" i="21" s="1"/>
  <c r="E19" i="21" s="1"/>
  <c r="C85" i="22"/>
  <c r="D85" i="22" s="1"/>
  <c r="C19" i="22" s="1"/>
  <c r="C85" i="23"/>
  <c r="D85" i="23" s="1"/>
  <c r="C19" i="23" s="1"/>
  <c r="C85" i="24"/>
  <c r="D85" i="24" s="1"/>
  <c r="C19" i="24" s="1"/>
  <c r="E19" i="24" s="1"/>
  <c r="C85" i="25"/>
  <c r="D85" i="25" s="1"/>
  <c r="C19" i="25" s="1"/>
  <c r="E19" i="25" s="1"/>
  <c r="C85" i="26"/>
  <c r="D85" i="26" s="1"/>
  <c r="C19" i="26" s="1"/>
  <c r="C86" i="14"/>
  <c r="D86" i="14" s="1"/>
  <c r="C20" i="14" s="1"/>
  <c r="C86" i="20"/>
  <c r="D86" i="20" s="1"/>
  <c r="C20" i="20" s="1"/>
  <c r="C86" i="19"/>
  <c r="D86" i="19" s="1"/>
  <c r="C20" i="19" s="1"/>
  <c r="C86" i="18"/>
  <c r="D86" i="18" s="1"/>
  <c r="C20" i="18" s="1"/>
  <c r="E20" i="18" s="1"/>
  <c r="C86" i="15"/>
  <c r="D86" i="15" s="1"/>
  <c r="C20" i="15" s="1"/>
  <c r="C86" i="17"/>
  <c r="D86" i="17" s="1"/>
  <c r="C20" i="17" s="1"/>
  <c r="C86" i="16"/>
  <c r="D86" i="16" s="1"/>
  <c r="C20" i="16" s="1"/>
  <c r="C86" i="7"/>
  <c r="D86" i="7" s="1"/>
  <c r="C20" i="7" s="1"/>
  <c r="C86" i="8"/>
  <c r="D86" i="8" s="1"/>
  <c r="C20" i="8" s="1"/>
  <c r="C86" i="9"/>
  <c r="D86" i="9" s="1"/>
  <c r="C20" i="9" s="1"/>
  <c r="C86" i="10"/>
  <c r="D86" i="10" s="1"/>
  <c r="C20" i="10" s="1"/>
  <c r="C86" i="11"/>
  <c r="D86" i="11" s="1"/>
  <c r="C20" i="11" s="1"/>
  <c r="E20" i="11" s="1"/>
  <c r="C86" i="13"/>
  <c r="D86" i="13" s="1"/>
  <c r="C20" i="13" s="1"/>
  <c r="C86" i="21"/>
  <c r="D86" i="21" s="1"/>
  <c r="C20" i="21" s="1"/>
  <c r="C86" i="22"/>
  <c r="D86" i="22" s="1"/>
  <c r="C20" i="22" s="1"/>
  <c r="C86" i="23"/>
  <c r="D86" i="23" s="1"/>
  <c r="C20" i="23" s="1"/>
  <c r="C86" i="24"/>
  <c r="D86" i="24" s="1"/>
  <c r="C20" i="24" s="1"/>
  <c r="C86" i="25"/>
  <c r="D86" i="25" s="1"/>
  <c r="C20" i="25" s="1"/>
  <c r="C86" i="26"/>
  <c r="D86" i="26" s="1"/>
  <c r="C20" i="26" s="1"/>
  <c r="C87" i="20"/>
  <c r="D87" i="20" s="1"/>
  <c r="C21" i="20" s="1"/>
  <c r="C87" i="19"/>
  <c r="D87" i="19" s="1"/>
  <c r="C21" i="19" s="1"/>
  <c r="C87" i="18"/>
  <c r="D87" i="18" s="1"/>
  <c r="C21" i="18" s="1"/>
  <c r="C87" i="15"/>
  <c r="D87" i="15" s="1"/>
  <c r="C21" i="15" s="1"/>
  <c r="C87" i="16"/>
  <c r="D87" i="16" s="1"/>
  <c r="C21" i="16" s="1"/>
  <c r="C87" i="8"/>
  <c r="D87" i="8" s="1"/>
  <c r="C21" i="8" s="1"/>
  <c r="C87" i="11"/>
  <c r="D87" i="11" s="1"/>
  <c r="C21" i="11" s="1"/>
  <c r="C87" i="13"/>
  <c r="D87" i="13" s="1"/>
  <c r="C21" i="13" s="1"/>
  <c r="C87" i="21"/>
  <c r="D87" i="21" s="1"/>
  <c r="C21" i="21" s="1"/>
  <c r="C87" i="22"/>
  <c r="D87" i="22" s="1"/>
  <c r="C21" i="22" s="1"/>
  <c r="C87" i="23"/>
  <c r="D87" i="23" s="1"/>
  <c r="C21" i="23" s="1"/>
  <c r="C87" i="24"/>
  <c r="D87" i="24" s="1"/>
  <c r="C21" i="24" s="1"/>
  <c r="C87" i="25"/>
  <c r="D87" i="25" s="1"/>
  <c r="C21" i="25" s="1"/>
  <c r="C87" i="26"/>
  <c r="D87" i="26" s="1"/>
  <c r="C21" i="26" s="1"/>
  <c r="E21" i="26" s="1"/>
  <c r="C23" i="14"/>
  <c r="C23" i="20"/>
  <c r="C23" i="19"/>
  <c r="E23" i="19" s="1"/>
  <c r="G23" i="19" s="1"/>
  <c r="C23" i="18"/>
  <c r="C23" i="15"/>
  <c r="C23" i="17"/>
  <c r="C23" i="16"/>
  <c r="C23" i="7"/>
  <c r="C23" i="8"/>
  <c r="C23" i="9"/>
  <c r="C23" i="10"/>
  <c r="E23" i="10" s="1"/>
  <c r="H23" i="10" s="1"/>
  <c r="C23" i="11"/>
  <c r="C23" i="13"/>
  <c r="C23" i="21"/>
  <c r="C23" i="22"/>
  <c r="C23" i="23"/>
  <c r="C23" i="24"/>
  <c r="C23" i="25"/>
  <c r="C23" i="26"/>
  <c r="E23" i="26" s="1"/>
  <c r="H23" i="26" s="1"/>
  <c r="C128" i="14"/>
  <c r="C25" i="14" s="1"/>
  <c r="C128" i="20"/>
  <c r="C25" i="20" s="1"/>
  <c r="C128" i="19"/>
  <c r="C25" i="19" s="1"/>
  <c r="C128" i="18"/>
  <c r="C25" i="18" s="1"/>
  <c r="C128" i="15"/>
  <c r="C25" i="15" s="1"/>
  <c r="C128" i="17"/>
  <c r="C25" i="17" s="1"/>
  <c r="C128" i="16"/>
  <c r="C25" i="16" s="1"/>
  <c r="C128" i="7"/>
  <c r="C25" i="7" s="1"/>
  <c r="C128" i="8"/>
  <c r="C25" i="8" s="1"/>
  <c r="C128" i="9"/>
  <c r="C25" i="9" s="1"/>
  <c r="C128" i="10"/>
  <c r="C25" i="10" s="1"/>
  <c r="C128" i="11"/>
  <c r="C25" i="11" s="1"/>
  <c r="C128" i="13"/>
  <c r="C25" i="13" s="1"/>
  <c r="C128" i="21"/>
  <c r="C25" i="21" s="1"/>
  <c r="C128" i="22"/>
  <c r="C25" i="22" s="1"/>
  <c r="C128" i="23"/>
  <c r="C25" i="23" s="1"/>
  <c r="C128" i="24"/>
  <c r="C25" i="24" s="1"/>
  <c r="C128" i="25"/>
  <c r="C25" i="25" s="1"/>
  <c r="C128" i="26"/>
  <c r="C25" i="26" s="1"/>
  <c r="C129" i="17"/>
  <c r="C26" i="17" s="1"/>
  <c r="H26" i="17" s="1"/>
  <c r="C129" i="21"/>
  <c r="C26" i="21" s="1"/>
  <c r="C130" i="16"/>
  <c r="C27" i="16" s="1"/>
  <c r="C130" i="9"/>
  <c r="C27" i="9" s="1"/>
  <c r="E27" i="9" s="1"/>
  <c r="C130" i="21"/>
  <c r="C27" i="21" s="1"/>
  <c r="E27" i="21" s="1"/>
  <c r="C130" i="22"/>
  <c r="C27" i="22" s="1"/>
  <c r="C131" i="14"/>
  <c r="C28" i="14" s="1"/>
  <c r="C131" i="20"/>
  <c r="C28" i="20" s="1"/>
  <c r="C131" i="19"/>
  <c r="C28" i="19" s="1"/>
  <c r="C131" i="18"/>
  <c r="C28" i="18" s="1"/>
  <c r="C131" i="15"/>
  <c r="C28" i="15" s="1"/>
  <c r="C131" i="17"/>
  <c r="C28" i="17" s="1"/>
  <c r="C131" i="16"/>
  <c r="C28" i="16" s="1"/>
  <c r="C131" i="7"/>
  <c r="C28" i="7" s="1"/>
  <c r="C131" i="8"/>
  <c r="C28" i="8" s="1"/>
  <c r="C131" i="9"/>
  <c r="C28" i="9" s="1"/>
  <c r="C131" i="10"/>
  <c r="C28" i="10" s="1"/>
  <c r="C131" i="11"/>
  <c r="C28" i="11" s="1"/>
  <c r="C131" i="13"/>
  <c r="C28" i="13" s="1"/>
  <c r="C131" i="21"/>
  <c r="C28" i="21" s="1"/>
  <c r="C131" i="22"/>
  <c r="C28" i="22" s="1"/>
  <c r="C131" i="23"/>
  <c r="C28" i="23" s="1"/>
  <c r="C131" i="24"/>
  <c r="C28" i="24" s="1"/>
  <c r="C131" i="25"/>
  <c r="C28" i="25" s="1"/>
  <c r="C131" i="26"/>
  <c r="C28" i="26" s="1"/>
  <c r="C90" i="14"/>
  <c r="B90" i="14"/>
  <c r="C90" i="20"/>
  <c r="B90" i="20"/>
  <c r="C90" i="19"/>
  <c r="B90" i="19"/>
  <c r="C90" i="18"/>
  <c r="B90" i="18"/>
  <c r="C90" i="15"/>
  <c r="B90" i="15"/>
  <c r="C90" i="17"/>
  <c r="B90" i="17"/>
  <c r="C90" i="16"/>
  <c r="B90" i="16"/>
  <c r="C90" i="7"/>
  <c r="B90" i="7"/>
  <c r="C90" i="8"/>
  <c r="B90" i="8"/>
  <c r="C90" i="9"/>
  <c r="B90" i="9"/>
  <c r="C90" i="10"/>
  <c r="B90" i="10"/>
  <c r="C90" i="11"/>
  <c r="B90" i="11"/>
  <c r="C90" i="13"/>
  <c r="B90" i="13"/>
  <c r="C90" i="21"/>
  <c r="B90" i="21"/>
  <c r="C90" i="22"/>
  <c r="B90" i="22"/>
  <c r="C90" i="23"/>
  <c r="B90" i="23"/>
  <c r="C90" i="24"/>
  <c r="B90" i="24"/>
  <c r="C90" i="25"/>
  <c r="B90" i="25"/>
  <c r="C90" i="26"/>
  <c r="B90" i="26"/>
  <c r="C144" i="14"/>
  <c r="C145" i="14" s="1"/>
  <c r="C35" i="14" s="1"/>
  <c r="C144" i="20"/>
  <c r="C145" i="20" s="1"/>
  <c r="C35" i="20" s="1"/>
  <c r="C144" i="19"/>
  <c r="C145" i="19" s="1"/>
  <c r="C35" i="19" s="1"/>
  <c r="C144" i="18"/>
  <c r="C145" i="18" s="1"/>
  <c r="C35" i="18" s="1"/>
  <c r="C144" i="15"/>
  <c r="C145" i="15" s="1"/>
  <c r="C35" i="15" s="1"/>
  <c r="C144" i="17"/>
  <c r="C145" i="17" s="1"/>
  <c r="C35" i="17" s="1"/>
  <c r="C144" i="16"/>
  <c r="C145" i="16" s="1"/>
  <c r="C35" i="16" s="1"/>
  <c r="C144" i="7"/>
  <c r="C145" i="7" s="1"/>
  <c r="C35" i="7" s="1"/>
  <c r="C144" i="8"/>
  <c r="C145" i="8" s="1"/>
  <c r="C35" i="8" s="1"/>
  <c r="C144" i="9"/>
  <c r="C145" i="9" s="1"/>
  <c r="C35" i="9" s="1"/>
  <c r="C144" i="10"/>
  <c r="C145" i="10" s="1"/>
  <c r="C35" i="10" s="1"/>
  <c r="C144" i="11"/>
  <c r="C145" i="11" s="1"/>
  <c r="C35" i="11" s="1"/>
  <c r="C144" i="13"/>
  <c r="C145" i="13" s="1"/>
  <c r="C35" i="13" s="1"/>
  <c r="C144" i="21"/>
  <c r="C145" i="21" s="1"/>
  <c r="C35" i="21" s="1"/>
  <c r="C144" i="22"/>
  <c r="C145" i="22" s="1"/>
  <c r="C35" i="22" s="1"/>
  <c r="C144" i="23"/>
  <c r="C145" i="23" s="1"/>
  <c r="C35" i="23" s="1"/>
  <c r="C144" i="24"/>
  <c r="C145" i="24" s="1"/>
  <c r="C35" i="24" s="1"/>
  <c r="C144" i="25"/>
  <c r="C145" i="25" s="1"/>
  <c r="C35" i="25" s="1"/>
  <c r="C144" i="26"/>
  <c r="C145" i="26" s="1"/>
  <c r="C35" i="26" s="1"/>
  <c r="C37" i="14"/>
  <c r="C37" i="20"/>
  <c r="C37" i="19"/>
  <c r="C37" i="18"/>
  <c r="C37" i="15"/>
  <c r="C37" i="17"/>
  <c r="C37" i="16"/>
  <c r="C37" i="7"/>
  <c r="C37" i="8"/>
  <c r="C37" i="9"/>
  <c r="C37" i="10"/>
  <c r="C37" i="11"/>
  <c r="C37" i="13"/>
  <c r="C37" i="21"/>
  <c r="C37" i="22"/>
  <c r="C37" i="23"/>
  <c r="C37" i="24"/>
  <c r="C37" i="25"/>
  <c r="C37" i="26"/>
  <c r="C38" i="14"/>
  <c r="C134" i="20"/>
  <c r="C38" i="20" s="1"/>
  <c r="C134" i="19"/>
  <c r="C38" i="19" s="1"/>
  <c r="C134" i="18"/>
  <c r="C38" i="18" s="1"/>
  <c r="C134" i="15"/>
  <c r="C38" i="15" s="1"/>
  <c r="C134" i="17"/>
  <c r="C38" i="17" s="1"/>
  <c r="C134" i="16"/>
  <c r="C38" i="16" s="1"/>
  <c r="C134" i="7"/>
  <c r="C38" i="7" s="1"/>
  <c r="C134" i="8"/>
  <c r="C38" i="8" s="1"/>
  <c r="C134" i="9"/>
  <c r="C38" i="9" s="1"/>
  <c r="C134" i="10"/>
  <c r="C38" i="10" s="1"/>
  <c r="C38" i="11"/>
  <c r="C134" i="13"/>
  <c r="C38" i="13" s="1"/>
  <c r="C134" i="21"/>
  <c r="C38" i="21" s="1"/>
  <c r="C38" i="22"/>
  <c r="C134" i="23"/>
  <c r="C38" i="23" s="1"/>
  <c r="C38" i="24"/>
  <c r="C134" i="25"/>
  <c r="C38" i="25" s="1"/>
  <c r="C134" i="26"/>
  <c r="C38" i="26" s="1"/>
  <c r="C124" i="14"/>
  <c r="C39" i="14" s="1"/>
  <c r="C124" i="20"/>
  <c r="C39" i="20" s="1"/>
  <c r="C124" i="19"/>
  <c r="C39" i="19" s="1"/>
  <c r="C124" i="18"/>
  <c r="C39" i="18" s="1"/>
  <c r="C124" i="15"/>
  <c r="C39" i="15" s="1"/>
  <c r="C124" i="17"/>
  <c r="C39" i="17" s="1"/>
  <c r="C124" i="16"/>
  <c r="C39" i="16" s="1"/>
  <c r="C124" i="7"/>
  <c r="C39" i="7" s="1"/>
  <c r="C124" i="8"/>
  <c r="C39" i="8" s="1"/>
  <c r="C124" i="9"/>
  <c r="C39" i="9" s="1"/>
  <c r="C124" i="10"/>
  <c r="C39" i="10" s="1"/>
  <c r="C124" i="11"/>
  <c r="C39" i="11" s="1"/>
  <c r="C124" i="13"/>
  <c r="C39" i="13" s="1"/>
  <c r="C124" i="21"/>
  <c r="C39" i="21" s="1"/>
  <c r="C124" i="22"/>
  <c r="C39" i="22" s="1"/>
  <c r="C124" i="23"/>
  <c r="C39" i="23" s="1"/>
  <c r="C124" i="24"/>
  <c r="C39" i="24" s="1"/>
  <c r="C124" i="25"/>
  <c r="C39" i="25" s="1"/>
  <c r="C124" i="26"/>
  <c r="C39" i="26" s="1"/>
  <c r="C125" i="14"/>
  <c r="C40" i="14" s="1"/>
  <c r="C125" i="20"/>
  <c r="C40" i="20" s="1"/>
  <c r="C125" i="19"/>
  <c r="C40" i="19" s="1"/>
  <c r="C125" i="18"/>
  <c r="C40" i="18" s="1"/>
  <c r="C125" i="15"/>
  <c r="C40" i="15" s="1"/>
  <c r="C125" i="17"/>
  <c r="C40" i="17" s="1"/>
  <c r="C125" i="16"/>
  <c r="C40" i="16" s="1"/>
  <c r="C125" i="7"/>
  <c r="C40" i="7" s="1"/>
  <c r="C125" i="8"/>
  <c r="C40" i="8" s="1"/>
  <c r="C125" i="9"/>
  <c r="C40" i="9" s="1"/>
  <c r="C125" i="10"/>
  <c r="C40" i="10" s="1"/>
  <c r="C125" i="11"/>
  <c r="C40" i="11" s="1"/>
  <c r="C125" i="13"/>
  <c r="C40" i="13" s="1"/>
  <c r="C125" i="21"/>
  <c r="C40" i="21" s="1"/>
  <c r="C125" i="22"/>
  <c r="C40" i="22" s="1"/>
  <c r="C125" i="23"/>
  <c r="C40" i="23" s="1"/>
  <c r="C125" i="24"/>
  <c r="C40" i="24" s="1"/>
  <c r="C125" i="25"/>
  <c r="C40" i="25" s="1"/>
  <c r="C125" i="26"/>
  <c r="C40" i="26" s="1"/>
  <c r="C126" i="14"/>
  <c r="C41" i="14" s="1"/>
  <c r="C126" i="20"/>
  <c r="C41" i="20" s="1"/>
  <c r="C126" i="19"/>
  <c r="C41" i="19" s="1"/>
  <c r="C126" i="18"/>
  <c r="C41" i="18" s="1"/>
  <c r="C126" i="15"/>
  <c r="C41" i="15" s="1"/>
  <c r="C126" i="17"/>
  <c r="C41" i="17" s="1"/>
  <c r="C126" i="16"/>
  <c r="C41" i="16" s="1"/>
  <c r="C126" i="7"/>
  <c r="C41" i="7" s="1"/>
  <c r="C126" i="8"/>
  <c r="C41" i="8" s="1"/>
  <c r="C126" i="9"/>
  <c r="C41" i="9" s="1"/>
  <c r="C126" i="10"/>
  <c r="C41" i="10" s="1"/>
  <c r="C126" i="11"/>
  <c r="C41" i="11" s="1"/>
  <c r="C126" i="13"/>
  <c r="C41" i="13" s="1"/>
  <c r="C126" i="21"/>
  <c r="C41" i="21" s="1"/>
  <c r="C126" i="22"/>
  <c r="C41" i="22" s="1"/>
  <c r="C126" i="23"/>
  <c r="C41" i="23" s="1"/>
  <c r="C126" i="24"/>
  <c r="C41" i="24" s="1"/>
  <c r="C126" i="25"/>
  <c r="C41" i="25" s="1"/>
  <c r="C126" i="26"/>
  <c r="C41" i="26" s="1"/>
  <c r="C127" i="14"/>
  <c r="C42" i="14" s="1"/>
  <c r="C127" i="20"/>
  <c r="C42" i="20" s="1"/>
  <c r="C127" i="19"/>
  <c r="C42" i="19" s="1"/>
  <c r="C127" i="18"/>
  <c r="C42" i="18" s="1"/>
  <c r="C127" i="15"/>
  <c r="C42" i="15" s="1"/>
  <c r="C127" i="17"/>
  <c r="C42" i="17" s="1"/>
  <c r="C127" i="16"/>
  <c r="C42" i="16" s="1"/>
  <c r="C127" i="7"/>
  <c r="C42" i="7" s="1"/>
  <c r="C127" i="8"/>
  <c r="C42" i="8" s="1"/>
  <c r="C127" i="9"/>
  <c r="C42" i="9" s="1"/>
  <c r="C127" i="10"/>
  <c r="C42" i="10" s="1"/>
  <c r="C127" i="11"/>
  <c r="C42" i="11" s="1"/>
  <c r="C127" i="13"/>
  <c r="C42" i="13" s="1"/>
  <c r="C127" i="21"/>
  <c r="C42" i="21" s="1"/>
  <c r="C127" i="22"/>
  <c r="C42" i="22" s="1"/>
  <c r="C127" i="23"/>
  <c r="C42" i="23" s="1"/>
  <c r="C127" i="24"/>
  <c r="C42" i="24" s="1"/>
  <c r="C127" i="25"/>
  <c r="C42" i="25" s="1"/>
  <c r="C127" i="26"/>
  <c r="C42" i="26" s="1"/>
  <c r="B138" i="14"/>
  <c r="C138" i="14" s="1"/>
  <c r="B139" i="14"/>
  <c r="B138" i="20"/>
  <c r="C138" i="20" s="1"/>
  <c r="B138" i="19"/>
  <c r="C138" i="19" s="1"/>
  <c r="B139" i="19"/>
  <c r="B138" i="18"/>
  <c r="C138" i="18" s="1"/>
  <c r="B138" i="15"/>
  <c r="C138" i="15" s="1"/>
  <c r="B139" i="15"/>
  <c r="B138" i="17"/>
  <c r="C138" i="17" s="1"/>
  <c r="B139" i="17"/>
  <c r="B138" i="16"/>
  <c r="C138" i="16" s="1"/>
  <c r="B139" i="16"/>
  <c r="B138" i="7"/>
  <c r="C138" i="7" s="1"/>
  <c r="B139" i="7"/>
  <c r="B138" i="8"/>
  <c r="C138" i="8" s="1"/>
  <c r="B139" i="8"/>
  <c r="B138" i="9"/>
  <c r="C138" i="9" s="1"/>
  <c r="B139" i="9"/>
  <c r="C138" i="10"/>
  <c r="B139" i="10"/>
  <c r="B138" i="11"/>
  <c r="C138" i="11" s="1"/>
  <c r="B139" i="11"/>
  <c r="B138" i="13"/>
  <c r="C138" i="13" s="1"/>
  <c r="B139" i="13"/>
  <c r="B138" i="21"/>
  <c r="C138" i="21" s="1"/>
  <c r="B139" i="21"/>
  <c r="B138" i="22"/>
  <c r="C138" i="22" s="1"/>
  <c r="B139" i="22"/>
  <c r="B138" i="23"/>
  <c r="C138" i="23" s="1"/>
  <c r="B139" i="23"/>
  <c r="B138" i="24"/>
  <c r="C138" i="24" s="1"/>
  <c r="B139" i="24"/>
  <c r="B138" i="25"/>
  <c r="C138" i="25" s="1"/>
  <c r="B139" i="25"/>
  <c r="B138" i="26"/>
  <c r="C138" i="26" s="1"/>
  <c r="B139" i="26"/>
  <c r="C77" i="14"/>
  <c r="D77" i="14" s="1"/>
  <c r="C46" i="14" s="1"/>
  <c r="K80" i="49" s="1"/>
  <c r="C77" i="20"/>
  <c r="D77" i="20" s="1"/>
  <c r="C46" i="20" s="1"/>
  <c r="K81" i="49" s="1"/>
  <c r="C77" i="19"/>
  <c r="D77" i="19" s="1"/>
  <c r="C46" i="19" s="1"/>
  <c r="K82" i="49" s="1"/>
  <c r="C77" i="18"/>
  <c r="D77" i="18" s="1"/>
  <c r="C46" i="18" s="1"/>
  <c r="K83" i="49" s="1"/>
  <c r="C77" i="15"/>
  <c r="D77" i="15" s="1"/>
  <c r="C46" i="15" s="1"/>
  <c r="K84" i="49" s="1"/>
  <c r="C77" i="17"/>
  <c r="D77" i="17" s="1"/>
  <c r="C46" i="17" s="1"/>
  <c r="K85" i="49" s="1"/>
  <c r="C77" i="16"/>
  <c r="D77" i="16" s="1"/>
  <c r="C46" i="16" s="1"/>
  <c r="K86" i="49" s="1"/>
  <c r="C77" i="7"/>
  <c r="D77" i="7" s="1"/>
  <c r="C46" i="7" s="1"/>
  <c r="K87" i="49" s="1"/>
  <c r="C77" i="8"/>
  <c r="D77" i="8" s="1"/>
  <c r="C46" i="8" s="1"/>
  <c r="K88" i="49" s="1"/>
  <c r="C77" i="9"/>
  <c r="D77" i="9" s="1"/>
  <c r="C46" i="9" s="1"/>
  <c r="K89" i="49" s="1"/>
  <c r="C77" i="10"/>
  <c r="D77" i="10" s="1"/>
  <c r="C46" i="10" s="1"/>
  <c r="K90" i="49" s="1"/>
  <c r="C77" i="11"/>
  <c r="D77" i="11" s="1"/>
  <c r="C46" i="11" s="1"/>
  <c r="K91" i="49" s="1"/>
  <c r="C77" i="13"/>
  <c r="D77" i="13" s="1"/>
  <c r="C46" i="13" s="1"/>
  <c r="K92" i="49" s="1"/>
  <c r="C77" i="21"/>
  <c r="D77" i="21" s="1"/>
  <c r="C46" i="21" s="1"/>
  <c r="K93" i="49" s="1"/>
  <c r="C77" i="22"/>
  <c r="D77" i="22" s="1"/>
  <c r="C46" i="22" s="1"/>
  <c r="K94" i="49" s="1"/>
  <c r="C77" i="23"/>
  <c r="D77" i="23" s="1"/>
  <c r="C46" i="23" s="1"/>
  <c r="K95" i="49" s="1"/>
  <c r="C77" i="24"/>
  <c r="D77" i="24" s="1"/>
  <c r="C46" i="24" s="1"/>
  <c r="K96" i="49" s="1"/>
  <c r="C77" i="25"/>
  <c r="D77" i="25" s="1"/>
  <c r="C46" i="25" s="1"/>
  <c r="K97" i="49" s="1"/>
  <c r="C77" i="26"/>
  <c r="D77" i="26" s="1"/>
  <c r="C46" i="26" s="1"/>
  <c r="K98" i="49" s="1"/>
  <c r="F100" i="14"/>
  <c r="C100" i="14"/>
  <c r="F102" i="14"/>
  <c r="C102" i="14"/>
  <c r="F100" i="20"/>
  <c r="C100" i="20"/>
  <c r="F102" i="20"/>
  <c r="C102" i="20"/>
  <c r="F100" i="19"/>
  <c r="C100" i="19"/>
  <c r="F102" i="19"/>
  <c r="C102" i="19"/>
  <c r="F100" i="18"/>
  <c r="C100" i="18"/>
  <c r="F102" i="18"/>
  <c r="C102" i="18"/>
  <c r="F100" i="15"/>
  <c r="C100" i="15"/>
  <c r="F102" i="15"/>
  <c r="C102" i="15"/>
  <c r="F100" i="17"/>
  <c r="C100" i="17"/>
  <c r="F101" i="17"/>
  <c r="C101" i="17"/>
  <c r="F102" i="17"/>
  <c r="C102" i="17"/>
  <c r="F100" i="16"/>
  <c r="C100" i="16"/>
  <c r="F102" i="16"/>
  <c r="C102" i="16"/>
  <c r="F100" i="7"/>
  <c r="C100" i="7"/>
  <c r="F102" i="7"/>
  <c r="C102" i="7"/>
  <c r="F100" i="8"/>
  <c r="C100" i="8"/>
  <c r="F102" i="8"/>
  <c r="C102" i="8"/>
  <c r="F100" i="9"/>
  <c r="C100" i="9"/>
  <c r="F102" i="9"/>
  <c r="C102" i="9"/>
  <c r="F100" i="10"/>
  <c r="C100" i="10"/>
  <c r="F102" i="10"/>
  <c r="C102" i="10"/>
  <c r="F100" i="11"/>
  <c r="C100" i="11"/>
  <c r="F102" i="11"/>
  <c r="C102" i="11"/>
  <c r="F100" i="13"/>
  <c r="C100" i="13"/>
  <c r="F102" i="13"/>
  <c r="C102" i="13"/>
  <c r="F100" i="21"/>
  <c r="C100" i="21"/>
  <c r="F100" i="22"/>
  <c r="C100" i="22"/>
  <c r="F102" i="22"/>
  <c r="C102" i="22"/>
  <c r="F106" i="14"/>
  <c r="C106" i="14"/>
  <c r="F106" i="20"/>
  <c r="C106" i="20"/>
  <c r="F106" i="19"/>
  <c r="C106" i="19"/>
  <c r="F106" i="18"/>
  <c r="C106" i="18"/>
  <c r="F106" i="15"/>
  <c r="C106" i="15"/>
  <c r="F106" i="17"/>
  <c r="C106" i="17"/>
  <c r="F106" i="16"/>
  <c r="C106" i="16"/>
  <c r="F106" i="7"/>
  <c r="C106" i="7"/>
  <c r="F106" i="8"/>
  <c r="C106" i="8"/>
  <c r="F106" i="9"/>
  <c r="C106" i="9"/>
  <c r="F106" i="10"/>
  <c r="C106" i="10"/>
  <c r="F106" i="11"/>
  <c r="C106" i="11"/>
  <c r="F106" i="13"/>
  <c r="C106" i="13"/>
  <c r="F106" i="21"/>
  <c r="C106" i="21"/>
  <c r="F106" i="22"/>
  <c r="C106" i="22"/>
  <c r="F108" i="14"/>
  <c r="C108" i="14"/>
  <c r="F108" i="20"/>
  <c r="C108" i="20"/>
  <c r="F108" i="19"/>
  <c r="C108" i="19"/>
  <c r="F108" i="18"/>
  <c r="C108" i="18"/>
  <c r="F108" i="15"/>
  <c r="C108" i="15"/>
  <c r="F108" i="17"/>
  <c r="C108" i="17"/>
  <c r="F108" i="16"/>
  <c r="C108" i="16"/>
  <c r="F108" i="7"/>
  <c r="C108" i="7"/>
  <c r="F108" i="8"/>
  <c r="C108" i="8"/>
  <c r="F108" i="9"/>
  <c r="C108" i="9"/>
  <c r="F108" i="10"/>
  <c r="C108" i="10"/>
  <c r="F108" i="11"/>
  <c r="C108" i="11"/>
  <c r="F108" i="13"/>
  <c r="C108" i="13"/>
  <c r="F108" i="21"/>
  <c r="C108" i="21"/>
  <c r="F108" i="22"/>
  <c r="C108" i="22"/>
  <c r="F110" i="14"/>
  <c r="C110" i="14"/>
  <c r="F110" i="20"/>
  <c r="C110" i="20"/>
  <c r="F110" i="19"/>
  <c r="C110" i="19"/>
  <c r="F110" i="18"/>
  <c r="C110" i="18"/>
  <c r="F110" i="15"/>
  <c r="C110" i="15"/>
  <c r="F110" i="17"/>
  <c r="C110" i="17"/>
  <c r="F110" i="16"/>
  <c r="C110" i="16"/>
  <c r="F110" i="7"/>
  <c r="C110" i="7"/>
  <c r="F110" i="8"/>
  <c r="C110" i="8"/>
  <c r="F110" i="9"/>
  <c r="C110" i="9"/>
  <c r="F110" i="10"/>
  <c r="C110" i="10"/>
  <c r="F110" i="11"/>
  <c r="C110" i="11"/>
  <c r="F110" i="13"/>
  <c r="C110" i="13"/>
  <c r="F110" i="21"/>
  <c r="C110" i="21"/>
  <c r="F110" i="22"/>
  <c r="C110" i="22"/>
  <c r="C117" i="20"/>
  <c r="C117" i="19"/>
  <c r="C117" i="18"/>
  <c r="F117" i="15"/>
  <c r="C117" i="15"/>
  <c r="F117" i="16"/>
  <c r="C117" i="16"/>
  <c r="C117" i="7"/>
  <c r="C117" i="9"/>
  <c r="C117" i="13"/>
  <c r="F117" i="21"/>
  <c r="F119" i="14"/>
  <c r="C119" i="14"/>
  <c r="F119" i="20"/>
  <c r="C119" i="20"/>
  <c r="F119" i="19"/>
  <c r="C119" i="19"/>
  <c r="F119" i="18"/>
  <c r="C119" i="18"/>
  <c r="F119" i="15"/>
  <c r="C119" i="15"/>
  <c r="F119" i="17"/>
  <c r="C119" i="17"/>
  <c r="F119" i="16"/>
  <c r="C119" i="16"/>
  <c r="F119" i="7"/>
  <c r="C119" i="7"/>
  <c r="F119" i="8"/>
  <c r="C119" i="8"/>
  <c r="F119" i="9"/>
  <c r="C119" i="9"/>
  <c r="F119" i="10"/>
  <c r="C119" i="10"/>
  <c r="F119" i="11"/>
  <c r="C119" i="11"/>
  <c r="F119" i="13"/>
  <c r="C119" i="13"/>
  <c r="F119" i="21"/>
  <c r="C119" i="21"/>
  <c r="F119" i="22"/>
  <c r="C119" i="22"/>
  <c r="E60" i="20"/>
  <c r="E60" i="9"/>
  <c r="E60" i="10"/>
  <c r="E60" i="11"/>
  <c r="E60" i="21"/>
  <c r="E60" i="23"/>
  <c r="B65" i="31"/>
  <c r="AB9" i="6"/>
  <c r="C63" i="14" s="1"/>
  <c r="AB10" i="6"/>
  <c r="C63" i="20" s="1"/>
  <c r="AB11" i="6"/>
  <c r="C63" i="19" s="1"/>
  <c r="AB12" i="6"/>
  <c r="C63" i="18" s="1"/>
  <c r="AB13" i="6"/>
  <c r="C63" i="15" s="1"/>
  <c r="AB14" i="6"/>
  <c r="C63" i="17" s="1"/>
  <c r="AB15" i="6"/>
  <c r="C63" i="16" s="1"/>
  <c r="AB16" i="6"/>
  <c r="C63" i="7" s="1"/>
  <c r="AB17" i="6"/>
  <c r="C63" i="8" s="1"/>
  <c r="AB18" i="6"/>
  <c r="C63" i="9" s="1"/>
  <c r="AB19" i="6"/>
  <c r="C63" i="10" s="1"/>
  <c r="AB20" i="6"/>
  <c r="C63" i="11" s="1"/>
  <c r="AB21" i="6"/>
  <c r="C63" i="13" s="1"/>
  <c r="AB22" i="6"/>
  <c r="C63" i="21" s="1"/>
  <c r="AB23" i="6"/>
  <c r="C63" i="22" s="1"/>
  <c r="AB24" i="6"/>
  <c r="C63" i="23" s="1"/>
  <c r="AB25" i="6"/>
  <c r="C63" i="24" s="1"/>
  <c r="AB26" i="6"/>
  <c r="C63" i="25" s="1"/>
  <c r="AB27" i="6"/>
  <c r="C63" i="26" s="1"/>
  <c r="C74" i="14"/>
  <c r="D74" i="14" s="1"/>
  <c r="C6" i="14" s="1"/>
  <c r="C74" i="20"/>
  <c r="D74" i="20" s="1"/>
  <c r="C6" i="20" s="1"/>
  <c r="C74" i="19"/>
  <c r="D74" i="19" s="1"/>
  <c r="C6" i="19" s="1"/>
  <c r="C74" i="18"/>
  <c r="D74" i="18" s="1"/>
  <c r="C6" i="18" s="1"/>
  <c r="C74" i="15"/>
  <c r="D74" i="15" s="1"/>
  <c r="C6" i="15" s="1"/>
  <c r="C74" i="17"/>
  <c r="D74" i="17" s="1"/>
  <c r="C6" i="17" s="1"/>
  <c r="E6" i="17" s="1"/>
  <c r="C74" i="16"/>
  <c r="D74" i="16" s="1"/>
  <c r="C6" i="16" s="1"/>
  <c r="C74" i="7"/>
  <c r="D74" i="7" s="1"/>
  <c r="C6" i="7" s="1"/>
  <c r="C74" i="8"/>
  <c r="D74" i="8" s="1"/>
  <c r="C6" i="8" s="1"/>
  <c r="C74" i="9"/>
  <c r="D74" i="9" s="1"/>
  <c r="C6" i="9" s="1"/>
  <c r="C74" i="10"/>
  <c r="D74" i="10" s="1"/>
  <c r="C6" i="10" s="1"/>
  <c r="E6" i="10" s="1"/>
  <c r="G6" i="10" s="1"/>
  <c r="C74" i="11"/>
  <c r="D74" i="11" s="1"/>
  <c r="C6" i="11" s="1"/>
  <c r="C74" i="13"/>
  <c r="D74" i="13" s="1"/>
  <c r="C6" i="13" s="1"/>
  <c r="C74" i="21"/>
  <c r="D74" i="21" s="1"/>
  <c r="C6" i="21" s="1"/>
  <c r="E6" i="21" s="1"/>
  <c r="C74" i="22"/>
  <c r="D74" i="22" s="1"/>
  <c r="C6" i="22" s="1"/>
  <c r="C74" i="23"/>
  <c r="D74" i="23" s="1"/>
  <c r="C6" i="23" s="1"/>
  <c r="E6" i="23" s="1"/>
  <c r="C74" i="24"/>
  <c r="D74" i="24" s="1"/>
  <c r="C6" i="24" s="1"/>
  <c r="E6" i="24" s="1"/>
  <c r="C74" i="25"/>
  <c r="D74" i="25" s="1"/>
  <c r="C6" i="25" s="1"/>
  <c r="C74" i="26"/>
  <c r="D74" i="26" s="1"/>
  <c r="C6" i="26" s="1"/>
  <c r="B34" i="32"/>
  <c r="C34" i="32"/>
  <c r="D34" i="32"/>
  <c r="E34" i="32"/>
  <c r="G7" i="6"/>
  <c r="G8" i="6"/>
  <c r="C64" i="12"/>
  <c r="G9" i="6"/>
  <c r="G10" i="6"/>
  <c r="G11" i="6"/>
  <c r="G12" i="6"/>
  <c r="G13" i="6"/>
  <c r="G14" i="6"/>
  <c r="C64" i="17"/>
  <c r="G15" i="6"/>
  <c r="C64" i="16"/>
  <c r="G16" i="6"/>
  <c r="G17" i="6"/>
  <c r="G18" i="6"/>
  <c r="C64" i="9"/>
  <c r="G19" i="6"/>
  <c r="C64" i="10"/>
  <c r="G20" i="6"/>
  <c r="C64" i="11"/>
  <c r="G21" i="6"/>
  <c r="G22" i="6"/>
  <c r="G23" i="6"/>
  <c r="C64" i="22"/>
  <c r="G24" i="6"/>
  <c r="G25" i="6"/>
  <c r="C64" i="24"/>
  <c r="G26" i="6"/>
  <c r="G27" i="6"/>
  <c r="C64" i="26"/>
  <c r="B28" i="6"/>
  <c r="C28" i="6"/>
  <c r="D28" i="6"/>
  <c r="F28" i="6"/>
  <c r="H28" i="6"/>
  <c r="Z28" i="6"/>
  <c r="B79" i="6"/>
  <c r="D79" i="6"/>
  <c r="I1" i="14"/>
  <c r="M1" i="14"/>
  <c r="B6" i="14"/>
  <c r="B7" i="14"/>
  <c r="B8" i="14"/>
  <c r="B9" i="14"/>
  <c r="D11" i="14"/>
  <c r="B15" i="14"/>
  <c r="B16" i="14"/>
  <c r="B17" i="14"/>
  <c r="B18" i="14"/>
  <c r="B19" i="14"/>
  <c r="B20" i="14"/>
  <c r="B21" i="14"/>
  <c r="Q65" i="14"/>
  <c r="C133" i="14"/>
  <c r="I1" i="20"/>
  <c r="M1" i="20"/>
  <c r="B6" i="20"/>
  <c r="B7" i="20"/>
  <c r="B8" i="20"/>
  <c r="B9" i="20"/>
  <c r="D11" i="20"/>
  <c r="B15" i="20"/>
  <c r="B16" i="20"/>
  <c r="B17" i="20"/>
  <c r="B18" i="20"/>
  <c r="B19" i="20"/>
  <c r="B20" i="20"/>
  <c r="B21" i="20"/>
  <c r="Q65" i="20"/>
  <c r="C133" i="20"/>
  <c r="I1" i="19"/>
  <c r="M1" i="19"/>
  <c r="B6" i="19"/>
  <c r="B7" i="19"/>
  <c r="B8" i="19"/>
  <c r="B9" i="19"/>
  <c r="D11" i="19"/>
  <c r="B15" i="19"/>
  <c r="B16" i="19"/>
  <c r="B17" i="19"/>
  <c r="B18" i="19"/>
  <c r="B19" i="19"/>
  <c r="B20" i="19"/>
  <c r="B21" i="19"/>
  <c r="Q65" i="19"/>
  <c r="B121" i="19"/>
  <c r="C133" i="19"/>
  <c r="AR34" i="27"/>
  <c r="AS12" i="27"/>
  <c r="AS34" i="27"/>
  <c r="AT12" i="27"/>
  <c r="AT34" i="27"/>
  <c r="AU12" i="27"/>
  <c r="AU34" i="27"/>
  <c r="BD12" i="27"/>
  <c r="BD14" i="27"/>
  <c r="BD15" i="27"/>
  <c r="BD16" i="27"/>
  <c r="BD17" i="27"/>
  <c r="BD18" i="27"/>
  <c r="BD19" i="27"/>
  <c r="BD20" i="27"/>
  <c r="BD21" i="27"/>
  <c r="BD22" i="27"/>
  <c r="BD24" i="27"/>
  <c r="BD25" i="27"/>
  <c r="BD26" i="27"/>
  <c r="BD27" i="27"/>
  <c r="BD31" i="27"/>
  <c r="BD30" i="27"/>
  <c r="BD34" i="27"/>
  <c r="B30" i="32"/>
  <c r="BL51" i="27" s="1"/>
  <c r="BD32" i="27"/>
  <c r="BD35" i="27"/>
  <c r="BD36" i="27"/>
  <c r="BD37" i="27"/>
  <c r="BD38" i="27"/>
  <c r="BD39" i="27"/>
  <c r="B29" i="32"/>
  <c r="BE12" i="27"/>
  <c r="BE14" i="27"/>
  <c r="BE15" i="27"/>
  <c r="BE16" i="27"/>
  <c r="BE17" i="27"/>
  <c r="BE18" i="27"/>
  <c r="BE19" i="27"/>
  <c r="BE20" i="27"/>
  <c r="BE21" i="27"/>
  <c r="BE22" i="27"/>
  <c r="BE24" i="27"/>
  <c r="BE25" i="27"/>
  <c r="BE26" i="27"/>
  <c r="BE27" i="27"/>
  <c r="BE31" i="27"/>
  <c r="BE30" i="27"/>
  <c r="BE34" i="27"/>
  <c r="C30" i="32"/>
  <c r="BM51" i="27" s="1"/>
  <c r="BE32" i="27"/>
  <c r="BE35" i="27"/>
  <c r="BE36" i="27"/>
  <c r="BE37" i="27"/>
  <c r="BE38" i="27"/>
  <c r="BE39" i="27"/>
  <c r="C29" i="32"/>
  <c r="BF12" i="27"/>
  <c r="BF14" i="27"/>
  <c r="BF15" i="27"/>
  <c r="BF16" i="27"/>
  <c r="BF17" i="27"/>
  <c r="BF18" i="27"/>
  <c r="BF19" i="27"/>
  <c r="BF20" i="27"/>
  <c r="BF21" i="27"/>
  <c r="BF22" i="27"/>
  <c r="BF24" i="27"/>
  <c r="BF25" i="27"/>
  <c r="BF26" i="27"/>
  <c r="BF27" i="27"/>
  <c r="BF31" i="27"/>
  <c r="BF30" i="27"/>
  <c r="BF34" i="27"/>
  <c r="D30" i="32"/>
  <c r="BN51" i="27" s="1"/>
  <c r="BF32" i="27"/>
  <c r="BF35" i="27"/>
  <c r="BF36" i="27"/>
  <c r="BF37" i="27"/>
  <c r="BF38" i="27"/>
  <c r="BF39" i="27"/>
  <c r="D29" i="32"/>
  <c r="BG12" i="27"/>
  <c r="BG14" i="27"/>
  <c r="BG15" i="27"/>
  <c r="BG16" i="27"/>
  <c r="BG17" i="27"/>
  <c r="BG18" i="27"/>
  <c r="BG19" i="27"/>
  <c r="BG20" i="27"/>
  <c r="BG21" i="27"/>
  <c r="BG22" i="27"/>
  <c r="BG24" i="27"/>
  <c r="BG25" i="27"/>
  <c r="BG26" i="27"/>
  <c r="BG27" i="27"/>
  <c r="BG31" i="27"/>
  <c r="BG30" i="27"/>
  <c r="BG34" i="27"/>
  <c r="E30" i="32"/>
  <c r="BG32" i="27"/>
  <c r="BG35" i="27"/>
  <c r="BG36" i="27"/>
  <c r="BG37" i="27"/>
  <c r="BG38" i="27"/>
  <c r="BG39" i="27"/>
  <c r="E29" i="32"/>
  <c r="D8" i="33"/>
  <c r="G17" i="33" s="1"/>
  <c r="D7" i="33"/>
  <c r="Y12" i="27"/>
  <c r="Z12" i="27"/>
  <c r="AA12" i="27"/>
  <c r="AO12" i="27"/>
  <c r="AP12" i="27"/>
  <c r="AQ12" i="27"/>
  <c r="AZ12" i="27"/>
  <c r="BA12" i="27"/>
  <c r="BB12" i="27"/>
  <c r="BC12" i="27"/>
  <c r="C8" i="33"/>
  <c r="D15" i="33" s="1"/>
  <c r="C7" i="33"/>
  <c r="AN14" i="27"/>
  <c r="AO14" i="27"/>
  <c r="AP14" i="27"/>
  <c r="AQ14" i="27"/>
  <c r="AZ14" i="27"/>
  <c r="BA14" i="27"/>
  <c r="BB14" i="27"/>
  <c r="BC14" i="27"/>
  <c r="AN15" i="27"/>
  <c r="AO15" i="27"/>
  <c r="AP15" i="27"/>
  <c r="AQ15" i="27"/>
  <c r="AZ15" i="27"/>
  <c r="BA15" i="27"/>
  <c r="BB15" i="27"/>
  <c r="BC15" i="27"/>
  <c r="Y16" i="27"/>
  <c r="Z16" i="27"/>
  <c r="AA16" i="27"/>
  <c r="AN16" i="27"/>
  <c r="AO16" i="27"/>
  <c r="AP16" i="27"/>
  <c r="AQ16" i="27"/>
  <c r="AZ16" i="27"/>
  <c r="BA16" i="27"/>
  <c r="BB16" i="27"/>
  <c r="BC16" i="27"/>
  <c r="Y17" i="27"/>
  <c r="Z17" i="27"/>
  <c r="AA17" i="27"/>
  <c r="AN17" i="27"/>
  <c r="AO17" i="27"/>
  <c r="AP17" i="27"/>
  <c r="AQ17" i="27"/>
  <c r="AZ17" i="27"/>
  <c r="BA17" i="27"/>
  <c r="BB17" i="27"/>
  <c r="BC17" i="27"/>
  <c r="AN18" i="27"/>
  <c r="AO18" i="27"/>
  <c r="AP18" i="27"/>
  <c r="AQ18" i="27"/>
  <c r="AZ18" i="27"/>
  <c r="BA18" i="27"/>
  <c r="BB18" i="27"/>
  <c r="BC18" i="27"/>
  <c r="AN19" i="27"/>
  <c r="AO19" i="27"/>
  <c r="AP19" i="27"/>
  <c r="AQ19" i="27"/>
  <c r="AZ19" i="27"/>
  <c r="BA19" i="27"/>
  <c r="BB19" i="27"/>
  <c r="BC19" i="27"/>
  <c r="AN20" i="27"/>
  <c r="AO20" i="27"/>
  <c r="AP20" i="27"/>
  <c r="AQ20" i="27"/>
  <c r="AZ20" i="27"/>
  <c r="BA20" i="27"/>
  <c r="BB20" i="27"/>
  <c r="BC20" i="27"/>
  <c r="AN21" i="27"/>
  <c r="AO21" i="27"/>
  <c r="AP21" i="27"/>
  <c r="AQ21" i="27"/>
  <c r="AZ21" i="27"/>
  <c r="BA21" i="27"/>
  <c r="BB21" i="27"/>
  <c r="BC21" i="27"/>
  <c r="AN22" i="27"/>
  <c r="AO22" i="27"/>
  <c r="AP22" i="27"/>
  <c r="AQ22" i="27"/>
  <c r="AV22" i="27"/>
  <c r="AW22" i="27"/>
  <c r="AX22" i="27"/>
  <c r="AY22" i="27"/>
  <c r="AZ22" i="27"/>
  <c r="BA22" i="27"/>
  <c r="BB22" i="27"/>
  <c r="BC22" i="27"/>
  <c r="AN24" i="27"/>
  <c r="AO24" i="27"/>
  <c r="AP24" i="27"/>
  <c r="AQ24" i="27"/>
  <c r="AZ24" i="27"/>
  <c r="BA24" i="27"/>
  <c r="BB24" i="27"/>
  <c r="BC24" i="27"/>
  <c r="AN25" i="27"/>
  <c r="AO25" i="27"/>
  <c r="AP25" i="27"/>
  <c r="AQ25" i="27"/>
  <c r="AZ25" i="27"/>
  <c r="BA25" i="27"/>
  <c r="BB25" i="27"/>
  <c r="BC25" i="27"/>
  <c r="AN26" i="27"/>
  <c r="AO26" i="27"/>
  <c r="AP26" i="27"/>
  <c r="AQ26" i="27"/>
  <c r="AZ26" i="27"/>
  <c r="BA26" i="27"/>
  <c r="BB26" i="27"/>
  <c r="BC26" i="27"/>
  <c r="AN27" i="27"/>
  <c r="AO27" i="27"/>
  <c r="AP27" i="27"/>
  <c r="AQ27" i="27"/>
  <c r="AZ27" i="27"/>
  <c r="BA27" i="27"/>
  <c r="BB27" i="27"/>
  <c r="BC27" i="27"/>
  <c r="AZ31" i="27"/>
  <c r="BA31" i="27"/>
  <c r="BB31" i="27"/>
  <c r="BC31" i="27"/>
  <c r="G24" i="33"/>
  <c r="AZ30" i="27"/>
  <c r="BA30" i="27"/>
  <c r="BB30" i="27"/>
  <c r="BC30" i="27"/>
  <c r="E24" i="33"/>
  <c r="AN32" i="27"/>
  <c r="AO32" i="27"/>
  <c r="AP32" i="27"/>
  <c r="AQ32" i="27"/>
  <c r="AZ32" i="27"/>
  <c r="BA32" i="27"/>
  <c r="BB32" i="27"/>
  <c r="BC32" i="27"/>
  <c r="D34" i="27"/>
  <c r="E34" i="27"/>
  <c r="J34" i="27"/>
  <c r="O34" i="27"/>
  <c r="AB34" i="27"/>
  <c r="AC34" i="27"/>
  <c r="AD34" i="27"/>
  <c r="AE34" i="27"/>
  <c r="AF34" i="27"/>
  <c r="AG34" i="27"/>
  <c r="AH34" i="27"/>
  <c r="AI34" i="27"/>
  <c r="AJ34" i="27"/>
  <c r="AK34" i="27"/>
  <c r="AL34" i="27"/>
  <c r="AM34" i="27"/>
  <c r="AN34" i="27"/>
  <c r="AO34" i="27"/>
  <c r="AP34" i="27"/>
  <c r="AQ34" i="27"/>
  <c r="AV34" i="27"/>
  <c r="AW34" i="27"/>
  <c r="AX34" i="27"/>
  <c r="AY34" i="27"/>
  <c r="AZ34" i="27"/>
  <c r="BA34" i="27"/>
  <c r="BB34" i="27"/>
  <c r="BC34" i="27"/>
  <c r="AN35" i="27"/>
  <c r="AO35" i="27"/>
  <c r="AP35" i="27"/>
  <c r="AQ35" i="27"/>
  <c r="AZ35" i="27"/>
  <c r="BA35" i="27"/>
  <c r="BB35" i="27"/>
  <c r="BC35" i="27"/>
  <c r="AZ36" i="27"/>
  <c r="BA36" i="27"/>
  <c r="BB36" i="27"/>
  <c r="BC36" i="27"/>
  <c r="AZ37" i="27"/>
  <c r="BA37" i="27"/>
  <c r="BB37" i="27"/>
  <c r="BC37" i="27"/>
  <c r="AZ38" i="27"/>
  <c r="BA38" i="27"/>
  <c r="BB38" i="27"/>
  <c r="BC38" i="27"/>
  <c r="AZ39" i="27"/>
  <c r="BA39" i="27"/>
  <c r="BB39" i="27"/>
  <c r="BC39" i="27"/>
  <c r="AB41" i="27"/>
  <c r="AC41" i="27"/>
  <c r="AD41" i="27"/>
  <c r="AE41" i="27"/>
  <c r="AB42" i="27"/>
  <c r="AC42" i="27"/>
  <c r="AD42" i="27"/>
  <c r="AE42" i="27"/>
  <c r="AB43" i="27"/>
  <c r="AC43" i="27"/>
  <c r="AD43" i="27"/>
  <c r="AE43" i="27"/>
  <c r="AV45" i="27"/>
  <c r="AW45" i="27"/>
  <c r="AX45" i="27"/>
  <c r="AY45" i="27"/>
  <c r="AV47" i="27"/>
  <c r="AW47" i="27"/>
  <c r="AX47" i="27"/>
  <c r="AY47" i="27"/>
  <c r="AV51" i="27"/>
  <c r="AW51" i="27"/>
  <c r="AX51" i="27"/>
  <c r="AY51" i="27"/>
  <c r="AV52" i="27"/>
  <c r="AW52" i="27"/>
  <c r="AX52" i="27"/>
  <c r="AY52" i="27"/>
  <c r="AN53" i="27"/>
  <c r="AO53" i="27"/>
  <c r="AP53" i="27"/>
  <c r="AQ53" i="27"/>
  <c r="AV53" i="27"/>
  <c r="AW53" i="27"/>
  <c r="AX53" i="27"/>
  <c r="AY53" i="27"/>
  <c r="I1" i="18"/>
  <c r="M1" i="18"/>
  <c r="B6" i="18"/>
  <c r="B7" i="18"/>
  <c r="B8" i="18"/>
  <c r="B9" i="18"/>
  <c r="D11" i="18"/>
  <c r="B15" i="18"/>
  <c r="B16" i="18"/>
  <c r="B17" i="18"/>
  <c r="B18" i="18"/>
  <c r="B19" i="18"/>
  <c r="B20" i="18"/>
  <c r="B21" i="18"/>
  <c r="Q65" i="18"/>
  <c r="C133" i="18"/>
  <c r="B31" i="31"/>
  <c r="I1" i="15"/>
  <c r="M1" i="15"/>
  <c r="B6" i="15"/>
  <c r="B7" i="15"/>
  <c r="B8" i="15"/>
  <c r="B9" i="15"/>
  <c r="D11" i="15"/>
  <c r="B15" i="15"/>
  <c r="B16" i="15"/>
  <c r="B17" i="15"/>
  <c r="B18" i="15"/>
  <c r="B19" i="15"/>
  <c r="B20" i="15"/>
  <c r="B21" i="15"/>
  <c r="Q65" i="15"/>
  <c r="B121" i="15"/>
  <c r="C133" i="15"/>
  <c r="D18" i="33"/>
  <c r="I1" i="17"/>
  <c r="M1" i="17"/>
  <c r="B6" i="17"/>
  <c r="B7" i="17"/>
  <c r="B8" i="17"/>
  <c r="B9" i="17"/>
  <c r="D11" i="17"/>
  <c r="B15" i="17"/>
  <c r="B16" i="17"/>
  <c r="B17" i="17"/>
  <c r="B18" i="17"/>
  <c r="B19" i="17"/>
  <c r="B20" i="17"/>
  <c r="B21" i="17"/>
  <c r="B31" i="17"/>
  <c r="B34" i="17"/>
  <c r="Q65" i="17"/>
  <c r="C133" i="17"/>
  <c r="I1" i="16"/>
  <c r="M1" i="16"/>
  <c r="B6" i="16"/>
  <c r="B7" i="16"/>
  <c r="B8" i="16"/>
  <c r="B9" i="16"/>
  <c r="D11" i="16"/>
  <c r="B15" i="16"/>
  <c r="B16" i="16"/>
  <c r="B17" i="16"/>
  <c r="B18" i="16"/>
  <c r="B19" i="16"/>
  <c r="B20" i="16"/>
  <c r="B21" i="16"/>
  <c r="Q65" i="16"/>
  <c r="B121" i="16"/>
  <c r="C133" i="16"/>
  <c r="I1" i="7"/>
  <c r="M1" i="7"/>
  <c r="B6" i="7"/>
  <c r="B7" i="7"/>
  <c r="B8" i="7"/>
  <c r="B9" i="7"/>
  <c r="D11" i="7"/>
  <c r="B15" i="7"/>
  <c r="B16" i="7"/>
  <c r="B17" i="7"/>
  <c r="B18" i="7"/>
  <c r="B19" i="7"/>
  <c r="B20" i="7"/>
  <c r="B21" i="7"/>
  <c r="Q65" i="7"/>
  <c r="C133" i="7"/>
  <c r="I1" i="8"/>
  <c r="M1" i="8"/>
  <c r="B6" i="8"/>
  <c r="B7" i="8"/>
  <c r="B8" i="8"/>
  <c r="B9" i="8"/>
  <c r="D11" i="8"/>
  <c r="B15" i="8"/>
  <c r="B16" i="8"/>
  <c r="B17" i="8"/>
  <c r="B18" i="8"/>
  <c r="B19" i="8"/>
  <c r="B20" i="8"/>
  <c r="B21" i="8"/>
  <c r="Q65" i="8"/>
  <c r="C133" i="8"/>
  <c r="I1" i="9"/>
  <c r="M1" i="9"/>
  <c r="B6" i="9"/>
  <c r="B7" i="9"/>
  <c r="B8" i="9"/>
  <c r="B9" i="9"/>
  <c r="D11" i="9"/>
  <c r="B15" i="9"/>
  <c r="B16" i="9"/>
  <c r="B17" i="9"/>
  <c r="B18" i="9"/>
  <c r="B19" i="9"/>
  <c r="B20" i="9"/>
  <c r="B21" i="9"/>
  <c r="Q65" i="9"/>
  <c r="C133" i="9"/>
  <c r="I1" i="10"/>
  <c r="M1" i="10"/>
  <c r="B6" i="10"/>
  <c r="B7" i="10"/>
  <c r="B8" i="10"/>
  <c r="B9" i="10"/>
  <c r="D11" i="10"/>
  <c r="B15" i="10"/>
  <c r="B16" i="10"/>
  <c r="B17" i="10"/>
  <c r="B18" i="10"/>
  <c r="B19" i="10"/>
  <c r="B20" i="10"/>
  <c r="B21" i="10"/>
  <c r="Q65" i="10"/>
  <c r="C133" i="10"/>
  <c r="I1" i="11"/>
  <c r="M1" i="11"/>
  <c r="B6" i="11"/>
  <c r="B7" i="11"/>
  <c r="B8" i="11"/>
  <c r="B9" i="11"/>
  <c r="D11" i="11"/>
  <c r="B15" i="11"/>
  <c r="B16" i="11"/>
  <c r="B17" i="11"/>
  <c r="B18" i="11"/>
  <c r="B19" i="11"/>
  <c r="B20" i="11"/>
  <c r="B21" i="11"/>
  <c r="Q65" i="11"/>
  <c r="B121" i="11"/>
  <c r="C133" i="11"/>
  <c r="I1" i="13"/>
  <c r="M1" i="13"/>
  <c r="B6" i="13"/>
  <c r="B7" i="13"/>
  <c r="B8" i="13"/>
  <c r="B9" i="13"/>
  <c r="D11" i="13"/>
  <c r="B15" i="13"/>
  <c r="B16" i="13"/>
  <c r="B17" i="13"/>
  <c r="B18" i="13"/>
  <c r="B19" i="13"/>
  <c r="B20" i="13"/>
  <c r="B21" i="13"/>
  <c r="B31" i="13"/>
  <c r="Q65" i="13"/>
  <c r="B121" i="13"/>
  <c r="C133" i="13"/>
  <c r="I1" i="21"/>
  <c r="M1" i="21"/>
  <c r="B6" i="21"/>
  <c r="B7" i="21"/>
  <c r="B8" i="21"/>
  <c r="B9" i="21"/>
  <c r="D11" i="21"/>
  <c r="B15" i="21"/>
  <c r="B16" i="21"/>
  <c r="B17" i="21"/>
  <c r="B18" i="21"/>
  <c r="B19" i="21"/>
  <c r="B20" i="21"/>
  <c r="B21" i="21"/>
  <c r="Q65" i="21"/>
  <c r="C133" i="21"/>
  <c r="I1" i="22"/>
  <c r="M1" i="22"/>
  <c r="B6" i="22"/>
  <c r="B7" i="22"/>
  <c r="B8" i="22"/>
  <c r="B9" i="22"/>
  <c r="D11" i="22"/>
  <c r="B15" i="22"/>
  <c r="B16" i="22"/>
  <c r="B17" i="22"/>
  <c r="B18" i="22"/>
  <c r="B19" i="22"/>
  <c r="B20" i="22"/>
  <c r="B21" i="22"/>
  <c r="Q65" i="22"/>
  <c r="C133" i="22"/>
  <c r="I1" i="23"/>
  <c r="M1" i="23"/>
  <c r="B6" i="23"/>
  <c r="B7" i="23"/>
  <c r="B8" i="23"/>
  <c r="B9" i="23"/>
  <c r="D11" i="23"/>
  <c r="B15" i="23"/>
  <c r="B16" i="23"/>
  <c r="B17" i="23"/>
  <c r="B18" i="23"/>
  <c r="B19" i="23"/>
  <c r="B20" i="23"/>
  <c r="B21" i="23"/>
  <c r="Q65" i="23"/>
  <c r="C133" i="23"/>
  <c r="K25" i="34"/>
  <c r="I1" i="24"/>
  <c r="M1" i="24"/>
  <c r="B6" i="24"/>
  <c r="B7" i="24"/>
  <c r="B8" i="24"/>
  <c r="B9" i="24"/>
  <c r="D11" i="24"/>
  <c r="B15" i="24"/>
  <c r="B16" i="24"/>
  <c r="B17" i="24"/>
  <c r="B18" i="24"/>
  <c r="B19" i="24"/>
  <c r="B20" i="24"/>
  <c r="B21" i="24"/>
  <c r="Q65" i="24"/>
  <c r="C133" i="24"/>
  <c r="B35" i="32"/>
  <c r="C35" i="32"/>
  <c r="D35" i="32"/>
  <c r="E35" i="32"/>
  <c r="B36" i="32"/>
  <c r="C36" i="32"/>
  <c r="D36" i="32"/>
  <c r="E36" i="32"/>
  <c r="B37" i="32"/>
  <c r="C37" i="32"/>
  <c r="D37" i="32"/>
  <c r="E37" i="32"/>
  <c r="I1" i="25"/>
  <c r="M1" i="25"/>
  <c r="B6" i="25"/>
  <c r="B7" i="25"/>
  <c r="B8" i="25"/>
  <c r="B9" i="25"/>
  <c r="D11" i="25"/>
  <c r="B15" i="25"/>
  <c r="B16" i="25"/>
  <c r="B17" i="25"/>
  <c r="B18" i="25"/>
  <c r="B19" i="25"/>
  <c r="B20" i="25"/>
  <c r="B21" i="25"/>
  <c r="Q65" i="25"/>
  <c r="C133" i="25"/>
  <c r="I1" i="26"/>
  <c r="M1" i="26"/>
  <c r="B6" i="26"/>
  <c r="B7" i="26"/>
  <c r="B8" i="26"/>
  <c r="B9" i="26"/>
  <c r="D11" i="26"/>
  <c r="B15" i="26"/>
  <c r="B16" i="26"/>
  <c r="B17" i="26"/>
  <c r="B18" i="26"/>
  <c r="B19" i="26"/>
  <c r="B20" i="26"/>
  <c r="B21" i="26"/>
  <c r="Q65" i="26"/>
  <c r="C133" i="26"/>
  <c r="E60" i="14"/>
  <c r="G19" i="33"/>
  <c r="H15" i="33"/>
  <c r="B121" i="8" l="1"/>
  <c r="C117" i="8"/>
  <c r="H8" i="30"/>
  <c r="I8" i="30" s="1"/>
  <c r="F5" i="49"/>
  <c r="B5" i="53" s="1"/>
  <c r="D17" i="33"/>
  <c r="D20" i="33"/>
  <c r="D23" i="33"/>
  <c r="D21" i="33"/>
  <c r="G42" i="25"/>
  <c r="F42" i="25"/>
  <c r="H42" i="25"/>
  <c r="G42" i="21"/>
  <c r="F42" i="21"/>
  <c r="H42" i="21"/>
  <c r="G42" i="9"/>
  <c r="F42" i="9"/>
  <c r="H42" i="9"/>
  <c r="G42" i="17"/>
  <c r="F42" i="17"/>
  <c r="H42" i="17"/>
  <c r="G42" i="20"/>
  <c r="F42" i="20"/>
  <c r="H42" i="20"/>
  <c r="F41" i="24"/>
  <c r="G41" i="24"/>
  <c r="H41" i="24"/>
  <c r="F41" i="13"/>
  <c r="G41" i="13"/>
  <c r="H41" i="13"/>
  <c r="F41" i="8"/>
  <c r="G41" i="8"/>
  <c r="H41" i="8"/>
  <c r="F41" i="15"/>
  <c r="G41" i="15"/>
  <c r="H41" i="15"/>
  <c r="F41" i="14"/>
  <c r="G41" i="14"/>
  <c r="H41" i="14"/>
  <c r="G40" i="23"/>
  <c r="H40" i="23"/>
  <c r="F40" i="23"/>
  <c r="G40" i="11"/>
  <c r="H40" i="11"/>
  <c r="F40" i="11"/>
  <c r="G40" i="7"/>
  <c r="F40" i="7"/>
  <c r="H40" i="7"/>
  <c r="G40" i="18"/>
  <c r="F40" i="18"/>
  <c r="H40" i="18"/>
  <c r="G39" i="26"/>
  <c r="H39" i="26"/>
  <c r="F39" i="26"/>
  <c r="G39" i="22"/>
  <c r="H39" i="22"/>
  <c r="F39" i="22"/>
  <c r="G39" i="10"/>
  <c r="H39" i="10"/>
  <c r="F39" i="10"/>
  <c r="G39" i="16"/>
  <c r="H39" i="16"/>
  <c r="F39" i="16"/>
  <c r="G39" i="19"/>
  <c r="H39" i="19"/>
  <c r="F39" i="19"/>
  <c r="G38" i="25"/>
  <c r="F38" i="25"/>
  <c r="H38" i="25"/>
  <c r="G38" i="21"/>
  <c r="F38" i="21"/>
  <c r="H38" i="21"/>
  <c r="G38" i="9"/>
  <c r="F38" i="9"/>
  <c r="H38" i="9"/>
  <c r="E38" i="17"/>
  <c r="D38" i="17" s="1"/>
  <c r="G38" i="17"/>
  <c r="F38" i="17"/>
  <c r="H38" i="17"/>
  <c r="G38" i="20"/>
  <c r="F38" i="20"/>
  <c r="H38" i="20"/>
  <c r="F23" i="49"/>
  <c r="B23" i="53" s="1"/>
  <c r="F23" i="53" s="1"/>
  <c r="F37" i="24"/>
  <c r="G37" i="24"/>
  <c r="H37" i="24"/>
  <c r="F19" i="49"/>
  <c r="B19" i="53" s="1"/>
  <c r="F19" i="53" s="1"/>
  <c r="F37" i="13"/>
  <c r="G37" i="13"/>
  <c r="H37" i="13"/>
  <c r="F15" i="49"/>
  <c r="B15" i="53" s="1"/>
  <c r="F37" i="8"/>
  <c r="G37" i="8"/>
  <c r="H37" i="8"/>
  <c r="F11" i="49"/>
  <c r="B11" i="53" s="1"/>
  <c r="F11" i="53" s="1"/>
  <c r="F37" i="15"/>
  <c r="G37" i="15"/>
  <c r="H37" i="15"/>
  <c r="F7" i="49"/>
  <c r="B7" i="53" s="1"/>
  <c r="F7" i="53" s="1"/>
  <c r="F37" i="14"/>
  <c r="G37" i="14"/>
  <c r="H37" i="14"/>
  <c r="H22" i="49"/>
  <c r="G35" i="23"/>
  <c r="H35" i="23"/>
  <c r="F35" i="23"/>
  <c r="H18" i="49"/>
  <c r="G35" i="11"/>
  <c r="F35" i="11"/>
  <c r="H35" i="11"/>
  <c r="H14" i="49"/>
  <c r="H35" i="7"/>
  <c r="G35" i="7"/>
  <c r="F35" i="7"/>
  <c r="H10" i="49"/>
  <c r="G35" i="18"/>
  <c r="F35" i="18"/>
  <c r="H35" i="18"/>
  <c r="M97" i="49"/>
  <c r="M93" i="49"/>
  <c r="M89" i="49"/>
  <c r="M85" i="49"/>
  <c r="M81" i="49"/>
  <c r="BM45" i="27"/>
  <c r="L45" i="27" s="1"/>
  <c r="BM49" i="27"/>
  <c r="L49" i="27" s="1"/>
  <c r="BN47" i="27"/>
  <c r="BN43" i="27"/>
  <c r="G42" i="5"/>
  <c r="H42" i="5"/>
  <c r="F42" i="5"/>
  <c r="C22" i="50"/>
  <c r="C69" i="49"/>
  <c r="D69" i="49" s="1"/>
  <c r="E69" i="49" s="1"/>
  <c r="F69" i="49" s="1"/>
  <c r="C18" i="50"/>
  <c r="C65" i="49"/>
  <c r="D65" i="49" s="1"/>
  <c r="E65" i="49" s="1"/>
  <c r="F65" i="49" s="1"/>
  <c r="C14" i="50"/>
  <c r="C61" i="49"/>
  <c r="D61" i="49" s="1"/>
  <c r="E61" i="49" s="1"/>
  <c r="F61" i="49" s="1"/>
  <c r="C10" i="50"/>
  <c r="C57" i="49"/>
  <c r="D57" i="49" s="1"/>
  <c r="E57" i="49" s="1"/>
  <c r="F57" i="49" s="1"/>
  <c r="C6" i="50"/>
  <c r="C53" i="49"/>
  <c r="D53" i="49" s="1"/>
  <c r="E53" i="49" s="1"/>
  <c r="F53" i="49" s="1"/>
  <c r="F39" i="5"/>
  <c r="G39" i="5"/>
  <c r="H39" i="5"/>
  <c r="G23" i="33"/>
  <c r="B121" i="21"/>
  <c r="B121" i="9"/>
  <c r="D16" i="33"/>
  <c r="D25" i="33"/>
  <c r="D22" i="33"/>
  <c r="D14" i="33"/>
  <c r="F117" i="14"/>
  <c r="H42" i="24"/>
  <c r="F42" i="24"/>
  <c r="G42" i="24"/>
  <c r="H42" i="13"/>
  <c r="F42" i="13"/>
  <c r="G42" i="13"/>
  <c r="H42" i="8"/>
  <c r="G42" i="8"/>
  <c r="F42" i="8"/>
  <c r="H42" i="15"/>
  <c r="G42" i="15"/>
  <c r="F42" i="15"/>
  <c r="H42" i="14"/>
  <c r="G42" i="14"/>
  <c r="F42" i="14"/>
  <c r="H41" i="23"/>
  <c r="F41" i="23"/>
  <c r="G41" i="23"/>
  <c r="H41" i="11"/>
  <c r="F41" i="11"/>
  <c r="G41" i="11"/>
  <c r="H41" i="7"/>
  <c r="G41" i="7"/>
  <c r="F41" i="7"/>
  <c r="H41" i="18"/>
  <c r="G41" i="18"/>
  <c r="F41" i="18"/>
  <c r="H40" i="26"/>
  <c r="F40" i="26"/>
  <c r="G40" i="26"/>
  <c r="H40" i="22"/>
  <c r="F40" i="22"/>
  <c r="G40" i="22"/>
  <c r="H40" i="10"/>
  <c r="F40" i="10"/>
  <c r="G40" i="10"/>
  <c r="H40" i="16"/>
  <c r="F40" i="16"/>
  <c r="G40" i="16"/>
  <c r="H40" i="19"/>
  <c r="F40" i="19"/>
  <c r="G40" i="19"/>
  <c r="H39" i="25"/>
  <c r="F39" i="25"/>
  <c r="G39" i="25"/>
  <c r="H39" i="21"/>
  <c r="F39" i="21"/>
  <c r="G39" i="21"/>
  <c r="H39" i="9"/>
  <c r="F39" i="9"/>
  <c r="G39" i="9"/>
  <c r="H39" i="17"/>
  <c r="F39" i="17"/>
  <c r="G39" i="17"/>
  <c r="H39" i="20"/>
  <c r="F39" i="20"/>
  <c r="G39" i="20"/>
  <c r="H38" i="24"/>
  <c r="G38" i="24"/>
  <c r="F38" i="24"/>
  <c r="E38" i="13"/>
  <c r="D38" i="13" s="1"/>
  <c r="H38" i="13"/>
  <c r="F38" i="13"/>
  <c r="G38" i="13"/>
  <c r="E38" i="8"/>
  <c r="D38" i="8" s="1"/>
  <c r="H38" i="8"/>
  <c r="G38" i="8"/>
  <c r="F38" i="8"/>
  <c r="H38" i="15"/>
  <c r="G38" i="15"/>
  <c r="F38" i="15"/>
  <c r="H38" i="14"/>
  <c r="G38" i="14"/>
  <c r="F38" i="14"/>
  <c r="F22" i="49"/>
  <c r="B22" i="53" s="1"/>
  <c r="F22" i="53" s="1"/>
  <c r="H37" i="23"/>
  <c r="F37" i="23"/>
  <c r="G37" i="23"/>
  <c r="F18" i="49"/>
  <c r="B18" i="53" s="1"/>
  <c r="F18" i="53" s="1"/>
  <c r="H37" i="11"/>
  <c r="F37" i="11"/>
  <c r="G37" i="11"/>
  <c r="F14" i="49"/>
  <c r="B14" i="53" s="1"/>
  <c r="F14" i="53" s="1"/>
  <c r="H37" i="7"/>
  <c r="F37" i="7"/>
  <c r="G37" i="7"/>
  <c r="F10" i="49"/>
  <c r="B10" i="53" s="1"/>
  <c r="F10" i="53" s="1"/>
  <c r="H37" i="18"/>
  <c r="F37" i="18"/>
  <c r="G37" i="18"/>
  <c r="H25" i="49"/>
  <c r="G35" i="26"/>
  <c r="H35" i="26"/>
  <c r="F35" i="26"/>
  <c r="H21" i="49"/>
  <c r="G35" i="22"/>
  <c r="H35" i="22"/>
  <c r="F35" i="22"/>
  <c r="H17" i="49"/>
  <c r="G35" i="10"/>
  <c r="H35" i="10"/>
  <c r="F35" i="10"/>
  <c r="H13" i="49"/>
  <c r="H35" i="16"/>
  <c r="F35" i="16"/>
  <c r="G35" i="16"/>
  <c r="H9" i="49"/>
  <c r="H35" i="19"/>
  <c r="G35" i="19"/>
  <c r="F35" i="19"/>
  <c r="M96" i="49"/>
  <c r="M92" i="49"/>
  <c r="M88" i="49"/>
  <c r="M84" i="49"/>
  <c r="M80" i="49"/>
  <c r="K99" i="49"/>
  <c r="BO55" i="27"/>
  <c r="N55" i="27" s="1"/>
  <c r="G38" i="5"/>
  <c r="F38" i="5"/>
  <c r="H38" i="5"/>
  <c r="H5" i="49"/>
  <c r="E5" i="53" s="1"/>
  <c r="G35" i="5"/>
  <c r="F35" i="5"/>
  <c r="H35" i="5"/>
  <c r="C25" i="50"/>
  <c r="C72" i="49"/>
  <c r="D72" i="49" s="1"/>
  <c r="E72" i="49" s="1"/>
  <c r="F72" i="49" s="1"/>
  <c r="C21" i="50"/>
  <c r="C68" i="49"/>
  <c r="D68" i="49" s="1"/>
  <c r="E68" i="49" s="1"/>
  <c r="F68" i="49" s="1"/>
  <c r="C17" i="50"/>
  <c r="C64" i="49"/>
  <c r="D64" i="49" s="1"/>
  <c r="E64" i="49" s="1"/>
  <c r="F64" i="49" s="1"/>
  <c r="C13" i="50"/>
  <c r="C60" i="49"/>
  <c r="D60" i="49" s="1"/>
  <c r="E60" i="49" s="1"/>
  <c r="F60" i="49" s="1"/>
  <c r="C9" i="50"/>
  <c r="C56" i="49"/>
  <c r="D56" i="49" s="1"/>
  <c r="E56" i="49" s="1"/>
  <c r="F56" i="49" s="1"/>
  <c r="C5" i="50"/>
  <c r="C52" i="49"/>
  <c r="M78" i="49"/>
  <c r="B121" i="14"/>
  <c r="E42" i="23"/>
  <c r="D42" i="23" s="1"/>
  <c r="G42" i="23"/>
  <c r="F42" i="23"/>
  <c r="H42" i="23"/>
  <c r="G42" i="11"/>
  <c r="F42" i="11"/>
  <c r="H42" i="11"/>
  <c r="G42" i="7"/>
  <c r="F42" i="7"/>
  <c r="H42" i="7"/>
  <c r="G42" i="18"/>
  <c r="F42" i="18"/>
  <c r="H42" i="18"/>
  <c r="F41" i="26"/>
  <c r="G41" i="26"/>
  <c r="H41" i="26"/>
  <c r="F41" i="22"/>
  <c r="G41" i="22"/>
  <c r="H41" i="22"/>
  <c r="F41" i="10"/>
  <c r="G41" i="10"/>
  <c r="H41" i="10"/>
  <c r="F41" i="16"/>
  <c r="G41" i="16"/>
  <c r="H41" i="16"/>
  <c r="F41" i="19"/>
  <c r="G41" i="19"/>
  <c r="H41" i="19"/>
  <c r="G40" i="25"/>
  <c r="H40" i="25"/>
  <c r="F40" i="25"/>
  <c r="G40" i="21"/>
  <c r="H40" i="21"/>
  <c r="F40" i="21"/>
  <c r="G40" i="9"/>
  <c r="H40" i="9"/>
  <c r="F40" i="9"/>
  <c r="G40" i="17"/>
  <c r="H40" i="17"/>
  <c r="F40" i="17"/>
  <c r="G40" i="20"/>
  <c r="H40" i="20"/>
  <c r="F40" i="20"/>
  <c r="G39" i="24"/>
  <c r="H39" i="24"/>
  <c r="F39" i="24"/>
  <c r="G39" i="13"/>
  <c r="H39" i="13"/>
  <c r="F39" i="13"/>
  <c r="G39" i="8"/>
  <c r="H39" i="8"/>
  <c r="F39" i="8"/>
  <c r="G39" i="15"/>
  <c r="H39" i="15"/>
  <c r="F39" i="15"/>
  <c r="G39" i="14"/>
  <c r="F39" i="14"/>
  <c r="H39" i="14"/>
  <c r="G38" i="23"/>
  <c r="F38" i="23"/>
  <c r="H38" i="23"/>
  <c r="G38" i="11"/>
  <c r="F38" i="11"/>
  <c r="H38" i="11"/>
  <c r="G38" i="7"/>
  <c r="F38" i="7"/>
  <c r="H38" i="7"/>
  <c r="G38" i="18"/>
  <c r="F38" i="18"/>
  <c r="H38" i="18"/>
  <c r="F25" i="49"/>
  <c r="B25" i="53" s="1"/>
  <c r="F25" i="53" s="1"/>
  <c r="F37" i="26"/>
  <c r="G37" i="26"/>
  <c r="H37" i="26"/>
  <c r="F21" i="49"/>
  <c r="B21" i="53" s="1"/>
  <c r="F21" i="53" s="1"/>
  <c r="F37" i="22"/>
  <c r="G37" i="22"/>
  <c r="H37" i="22"/>
  <c r="F17" i="49"/>
  <c r="B17" i="53" s="1"/>
  <c r="F17" i="53" s="1"/>
  <c r="F37" i="10"/>
  <c r="G37" i="10"/>
  <c r="H37" i="10"/>
  <c r="F13" i="49"/>
  <c r="B13" i="53" s="1"/>
  <c r="F13" i="53" s="1"/>
  <c r="F37" i="16"/>
  <c r="G37" i="16"/>
  <c r="H37" i="16"/>
  <c r="F9" i="49"/>
  <c r="B9" i="53" s="1"/>
  <c r="F9" i="53" s="1"/>
  <c r="F37" i="19"/>
  <c r="G37" i="19"/>
  <c r="H37" i="19"/>
  <c r="H24" i="49"/>
  <c r="H35" i="25"/>
  <c r="F35" i="25"/>
  <c r="G35" i="25"/>
  <c r="H20" i="49"/>
  <c r="H35" i="21"/>
  <c r="F35" i="21"/>
  <c r="G35" i="21"/>
  <c r="H16" i="49"/>
  <c r="H35" i="9"/>
  <c r="F35" i="9"/>
  <c r="G35" i="9"/>
  <c r="H12" i="49"/>
  <c r="F35" i="17"/>
  <c r="G35" i="17"/>
  <c r="H35" i="17"/>
  <c r="H8" i="49"/>
  <c r="F35" i="20"/>
  <c r="G35" i="20"/>
  <c r="H35" i="20"/>
  <c r="M95" i="49"/>
  <c r="M91" i="49"/>
  <c r="M87" i="49"/>
  <c r="M83" i="49"/>
  <c r="BO52" i="27"/>
  <c r="N52" i="27" s="1"/>
  <c r="BM50" i="27"/>
  <c r="BM48" i="27"/>
  <c r="BO46" i="27"/>
  <c r="BM42" i="27"/>
  <c r="C24" i="50"/>
  <c r="C71" i="49"/>
  <c r="D71" i="49" s="1"/>
  <c r="E71" i="49" s="1"/>
  <c r="F71" i="49" s="1"/>
  <c r="C20" i="50"/>
  <c r="C67" i="49"/>
  <c r="D67" i="49" s="1"/>
  <c r="E67" i="49" s="1"/>
  <c r="F67" i="49" s="1"/>
  <c r="C16" i="50"/>
  <c r="C63" i="49"/>
  <c r="D63" i="49" s="1"/>
  <c r="E63" i="49" s="1"/>
  <c r="F63" i="49" s="1"/>
  <c r="C12" i="50"/>
  <c r="C59" i="49"/>
  <c r="D59" i="49" s="1"/>
  <c r="E59" i="49" s="1"/>
  <c r="F59" i="49" s="1"/>
  <c r="C8" i="50"/>
  <c r="C55" i="49"/>
  <c r="D55" i="49" s="1"/>
  <c r="E55" i="49" s="1"/>
  <c r="F55" i="49" s="1"/>
  <c r="G41" i="5"/>
  <c r="H41" i="5"/>
  <c r="F41" i="5"/>
  <c r="B121" i="7"/>
  <c r="D24" i="33"/>
  <c r="F24" i="33" s="1"/>
  <c r="D19" i="33"/>
  <c r="H42" i="26"/>
  <c r="F42" i="26"/>
  <c r="G42" i="26"/>
  <c r="H42" i="22"/>
  <c r="G42" i="22"/>
  <c r="F42" i="22"/>
  <c r="H42" i="10"/>
  <c r="F42" i="10"/>
  <c r="G42" i="10"/>
  <c r="H42" i="16"/>
  <c r="F42" i="16"/>
  <c r="G42" i="16"/>
  <c r="H42" i="19"/>
  <c r="F42" i="19"/>
  <c r="G42" i="19"/>
  <c r="H41" i="25"/>
  <c r="F41" i="25"/>
  <c r="G41" i="25"/>
  <c r="H41" i="21"/>
  <c r="F41" i="21"/>
  <c r="G41" i="21"/>
  <c r="H41" i="9"/>
  <c r="G41" i="9"/>
  <c r="F41" i="9"/>
  <c r="H41" i="17"/>
  <c r="G41" i="17"/>
  <c r="F41" i="17"/>
  <c r="H41" i="20"/>
  <c r="G41" i="20"/>
  <c r="F41" i="20"/>
  <c r="H40" i="24"/>
  <c r="F40" i="24"/>
  <c r="G40" i="24"/>
  <c r="H40" i="13"/>
  <c r="F40" i="13"/>
  <c r="G40" i="13"/>
  <c r="H40" i="8"/>
  <c r="F40" i="8"/>
  <c r="G40" i="8"/>
  <c r="H40" i="15"/>
  <c r="F40" i="15"/>
  <c r="G40" i="15"/>
  <c r="G40" i="14"/>
  <c r="F40" i="14"/>
  <c r="H40" i="14"/>
  <c r="H39" i="23"/>
  <c r="F39" i="23"/>
  <c r="G39" i="23"/>
  <c r="H39" i="11"/>
  <c r="F39" i="11"/>
  <c r="G39" i="11"/>
  <c r="H39" i="7"/>
  <c r="F39" i="7"/>
  <c r="G39" i="7"/>
  <c r="H39" i="18"/>
  <c r="F39" i="18"/>
  <c r="G39" i="18"/>
  <c r="H38" i="26"/>
  <c r="G38" i="26"/>
  <c r="F38" i="26"/>
  <c r="H38" i="22"/>
  <c r="F38" i="22"/>
  <c r="G38" i="22"/>
  <c r="H38" i="10"/>
  <c r="G38" i="10"/>
  <c r="F38" i="10"/>
  <c r="H38" i="16"/>
  <c r="G38" i="16"/>
  <c r="F38" i="16"/>
  <c r="H38" i="19"/>
  <c r="G38" i="19"/>
  <c r="F38" i="19"/>
  <c r="F24" i="49"/>
  <c r="B24" i="53" s="1"/>
  <c r="F24" i="53" s="1"/>
  <c r="H37" i="25"/>
  <c r="F37" i="25"/>
  <c r="G37" i="25"/>
  <c r="F20" i="49"/>
  <c r="B20" i="53" s="1"/>
  <c r="F20" i="53" s="1"/>
  <c r="H37" i="21"/>
  <c r="F37" i="21"/>
  <c r="G37" i="21"/>
  <c r="F16" i="49"/>
  <c r="B16" i="53" s="1"/>
  <c r="F16" i="53" s="1"/>
  <c r="H37" i="9"/>
  <c r="G37" i="9"/>
  <c r="F37" i="9"/>
  <c r="F12" i="49"/>
  <c r="B12" i="53" s="1"/>
  <c r="F12" i="53" s="1"/>
  <c r="H37" i="17"/>
  <c r="G37" i="17"/>
  <c r="F37" i="17"/>
  <c r="F8" i="49"/>
  <c r="B8" i="53" s="1"/>
  <c r="F8" i="53" s="1"/>
  <c r="H37" i="20"/>
  <c r="G37" i="20"/>
  <c r="F37" i="20"/>
  <c r="H23" i="49"/>
  <c r="F35" i="24"/>
  <c r="H35" i="24"/>
  <c r="G35" i="24"/>
  <c r="H19" i="49"/>
  <c r="F35" i="13"/>
  <c r="G35" i="13"/>
  <c r="H35" i="13"/>
  <c r="H15" i="49"/>
  <c r="E15" i="53" s="1"/>
  <c r="F35" i="8"/>
  <c r="H35" i="8"/>
  <c r="G35" i="8"/>
  <c r="H11" i="49"/>
  <c r="H35" i="15"/>
  <c r="F35" i="15"/>
  <c r="G35" i="15"/>
  <c r="H7" i="49"/>
  <c r="G35" i="14"/>
  <c r="H35" i="14"/>
  <c r="F35" i="14"/>
  <c r="E20" i="13"/>
  <c r="D20" i="13" s="1"/>
  <c r="E20" i="15"/>
  <c r="D20" i="15" s="1"/>
  <c r="M98" i="49"/>
  <c r="M94" i="49"/>
  <c r="M90" i="49"/>
  <c r="M86" i="49"/>
  <c r="M82" i="49"/>
  <c r="E8" i="12"/>
  <c r="F8" i="12" s="1"/>
  <c r="G37" i="5"/>
  <c r="H37" i="5"/>
  <c r="F37" i="5"/>
  <c r="C23" i="50"/>
  <c r="C70" i="49"/>
  <c r="D70" i="49" s="1"/>
  <c r="E70" i="49" s="1"/>
  <c r="F70" i="49" s="1"/>
  <c r="C19" i="50"/>
  <c r="C66" i="49"/>
  <c r="D66" i="49" s="1"/>
  <c r="E66" i="49" s="1"/>
  <c r="F66" i="49" s="1"/>
  <c r="C15" i="50"/>
  <c r="C62" i="49"/>
  <c r="D62" i="49" s="1"/>
  <c r="E62" i="49" s="1"/>
  <c r="F62" i="49" s="1"/>
  <c r="C11" i="50"/>
  <c r="C58" i="49"/>
  <c r="D58" i="49" s="1"/>
  <c r="E58" i="49" s="1"/>
  <c r="F58" i="49" s="1"/>
  <c r="C7" i="50"/>
  <c r="C54" i="49"/>
  <c r="D54" i="49" s="1"/>
  <c r="E54" i="49" s="1"/>
  <c r="F54" i="49" s="1"/>
  <c r="E27" i="20"/>
  <c r="D27" i="20" s="1"/>
  <c r="B121" i="18"/>
  <c r="E17" i="17"/>
  <c r="G17" i="17" s="1"/>
  <c r="H40" i="5"/>
  <c r="F40" i="5"/>
  <c r="G40" i="5"/>
  <c r="B121" i="5"/>
  <c r="H39" i="12"/>
  <c r="F39" i="12"/>
  <c r="G39" i="12"/>
  <c r="H38" i="12"/>
  <c r="F38" i="12"/>
  <c r="G38" i="12"/>
  <c r="F6" i="49"/>
  <c r="B6" i="53" s="1"/>
  <c r="G37" i="12"/>
  <c r="H37" i="12"/>
  <c r="F37" i="12"/>
  <c r="H6" i="49"/>
  <c r="H35" i="12"/>
  <c r="F35" i="12"/>
  <c r="G35" i="12"/>
  <c r="H42" i="12"/>
  <c r="F42" i="12"/>
  <c r="G42" i="12"/>
  <c r="B121" i="12"/>
  <c r="F41" i="12"/>
  <c r="G41" i="12"/>
  <c r="H41" i="12"/>
  <c r="M79" i="49"/>
  <c r="C117" i="12"/>
  <c r="D117" i="12" s="1"/>
  <c r="E117" i="12" s="1"/>
  <c r="G117" i="12" s="1"/>
  <c r="C58" i="12" s="1"/>
  <c r="G40" i="12"/>
  <c r="H40" i="12"/>
  <c r="F40" i="12"/>
  <c r="E15" i="26"/>
  <c r="D15" i="26" s="1"/>
  <c r="E15" i="10"/>
  <c r="F15" i="10" s="1"/>
  <c r="E22" i="24"/>
  <c r="F22" i="24" s="1"/>
  <c r="E15" i="11"/>
  <c r="H15" i="11" s="1"/>
  <c r="E22" i="9"/>
  <c r="D22" i="9" s="1"/>
  <c r="E15" i="12"/>
  <c r="F15" i="12" s="1"/>
  <c r="E15" i="18"/>
  <c r="G15" i="18" s="1"/>
  <c r="E22" i="20"/>
  <c r="D22" i="20" s="1"/>
  <c r="BL42" i="27"/>
  <c r="K42" i="27" s="1"/>
  <c r="C34" i="27"/>
  <c r="BM29" i="27"/>
  <c r="BM34" i="27" s="1"/>
  <c r="D27" i="21"/>
  <c r="C129" i="13"/>
  <c r="C26" i="13" s="1"/>
  <c r="F26" i="13" s="1"/>
  <c r="C130" i="10"/>
  <c r="C27" i="10" s="1"/>
  <c r="G27" i="10" s="1"/>
  <c r="C129" i="9"/>
  <c r="C26" i="9" s="1"/>
  <c r="F26" i="9" s="1"/>
  <c r="C130" i="17"/>
  <c r="C27" i="17" s="1"/>
  <c r="E27" i="17" s="1"/>
  <c r="D27" i="17" s="1"/>
  <c r="C129" i="15"/>
  <c r="C26" i="15" s="1"/>
  <c r="E26" i="15" s="1"/>
  <c r="D26" i="15" s="1"/>
  <c r="C130" i="26"/>
  <c r="C27" i="26" s="1"/>
  <c r="E27" i="26" s="1"/>
  <c r="D27" i="26" s="1"/>
  <c r="C130" i="19"/>
  <c r="C27" i="19" s="1"/>
  <c r="E27" i="19" s="1"/>
  <c r="D27" i="19" s="1"/>
  <c r="C130" i="12"/>
  <c r="C27" i="12" s="1"/>
  <c r="F27" i="12" s="1"/>
  <c r="C53" i="27"/>
  <c r="D60" i="23" s="1"/>
  <c r="C130" i="25"/>
  <c r="C27" i="25" s="1"/>
  <c r="E27" i="25" s="1"/>
  <c r="D27" i="25" s="1"/>
  <c r="E41" i="8"/>
  <c r="D41" i="8" s="1"/>
  <c r="E10" i="17"/>
  <c r="G10" i="17" s="1"/>
  <c r="E9" i="22"/>
  <c r="H9" i="22" s="1"/>
  <c r="E9" i="16"/>
  <c r="F9" i="16" s="1"/>
  <c r="E41" i="16"/>
  <c r="D41" i="16" s="1"/>
  <c r="E64" i="15"/>
  <c r="D64" i="15" s="1"/>
  <c r="F64" i="13"/>
  <c r="H64" i="13"/>
  <c r="G64" i="5"/>
  <c r="F64" i="5"/>
  <c r="G64" i="13"/>
  <c r="H64" i="5"/>
  <c r="H64" i="25"/>
  <c r="F64" i="21"/>
  <c r="H64" i="15"/>
  <c r="H64" i="23"/>
  <c r="H64" i="18"/>
  <c r="G64" i="25"/>
  <c r="F64" i="8"/>
  <c r="G64" i="15"/>
  <c r="G64" i="8"/>
  <c r="G64" i="23"/>
  <c r="F64" i="15"/>
  <c r="F64" i="25"/>
  <c r="H64" i="8"/>
  <c r="G64" i="18"/>
  <c r="F64" i="18"/>
  <c r="F64" i="7"/>
  <c r="F64" i="23"/>
  <c r="H64" i="7"/>
  <c r="H64" i="21"/>
  <c r="G64" i="7"/>
  <c r="G64" i="21"/>
  <c r="E37" i="25"/>
  <c r="D37" i="25" s="1"/>
  <c r="E41" i="10"/>
  <c r="D41" i="10" s="1"/>
  <c r="E41" i="19"/>
  <c r="D41" i="19" s="1"/>
  <c r="E22" i="8"/>
  <c r="H22" i="8" s="1"/>
  <c r="E41" i="22"/>
  <c r="D41" i="22" s="1"/>
  <c r="E37" i="10"/>
  <c r="E41" i="23"/>
  <c r="D41" i="23" s="1"/>
  <c r="E41" i="7"/>
  <c r="D41" i="7" s="1"/>
  <c r="E37" i="20"/>
  <c r="D37" i="20" s="1"/>
  <c r="E9" i="24"/>
  <c r="G9" i="24" s="1"/>
  <c r="E9" i="8"/>
  <c r="G9" i="8" s="1"/>
  <c r="G60" i="22"/>
  <c r="F60" i="11"/>
  <c r="G60" i="18"/>
  <c r="H60" i="22"/>
  <c r="H60" i="16"/>
  <c r="F60" i="18"/>
  <c r="F60" i="5"/>
  <c r="F60" i="22"/>
  <c r="F60" i="16"/>
  <c r="H60" i="5"/>
  <c r="H60" i="13"/>
  <c r="G60" i="16"/>
  <c r="G60" i="5"/>
  <c r="G60" i="13"/>
  <c r="F60" i="13"/>
  <c r="H60" i="11"/>
  <c r="F60" i="15"/>
  <c r="G60" i="11"/>
  <c r="H60" i="18"/>
  <c r="H60" i="15"/>
  <c r="G60" i="15"/>
  <c r="H60" i="26"/>
  <c r="F60" i="24"/>
  <c r="G60" i="10"/>
  <c r="H60" i="7"/>
  <c r="F60" i="19"/>
  <c r="F60" i="12"/>
  <c r="F60" i="23"/>
  <c r="G60" i="9"/>
  <c r="H60" i="21"/>
  <c r="H60" i="14"/>
  <c r="H60" i="8"/>
  <c r="G60" i="26"/>
  <c r="H60" i="23"/>
  <c r="F60" i="10"/>
  <c r="G60" i="7"/>
  <c r="H60" i="20"/>
  <c r="H60" i="12"/>
  <c r="H60" i="17"/>
  <c r="G60" i="17"/>
  <c r="G60" i="21"/>
  <c r="G60" i="14"/>
  <c r="F60" i="26"/>
  <c r="G60" i="23"/>
  <c r="H60" i="9"/>
  <c r="F60" i="7"/>
  <c r="G60" i="20"/>
  <c r="H60" i="25"/>
  <c r="F60" i="20"/>
  <c r="G60" i="25"/>
  <c r="F60" i="9"/>
  <c r="F60" i="25"/>
  <c r="F60" i="17"/>
  <c r="H60" i="24"/>
  <c r="F60" i="21"/>
  <c r="G60" i="8"/>
  <c r="H60" i="19"/>
  <c r="F60" i="14"/>
  <c r="G60" i="24"/>
  <c r="H60" i="10"/>
  <c r="F60" i="8"/>
  <c r="G60" i="19"/>
  <c r="G60" i="12"/>
  <c r="G20" i="34"/>
  <c r="E35" i="22"/>
  <c r="G47" i="34" s="1"/>
  <c r="E39" i="21"/>
  <c r="D39" i="21" s="1"/>
  <c r="E40" i="9"/>
  <c r="D40" i="9" s="1"/>
  <c r="E35" i="17"/>
  <c r="G38" i="34" s="1"/>
  <c r="F63" i="26"/>
  <c r="H63" i="26"/>
  <c r="G63" i="26"/>
  <c r="H64" i="26"/>
  <c r="G64" i="26"/>
  <c r="F64" i="26"/>
  <c r="H63" i="25"/>
  <c r="F63" i="25"/>
  <c r="G63" i="25"/>
  <c r="G64" i="24"/>
  <c r="F64" i="24"/>
  <c r="H64" i="24"/>
  <c r="B121" i="24"/>
  <c r="H63" i="24"/>
  <c r="G63" i="24"/>
  <c r="F63" i="24"/>
  <c r="H63" i="23"/>
  <c r="G63" i="23"/>
  <c r="F63" i="23"/>
  <c r="H63" i="22"/>
  <c r="F63" i="22"/>
  <c r="G63" i="22"/>
  <c r="G64" i="22"/>
  <c r="F64" i="22"/>
  <c r="H64" i="22"/>
  <c r="F63" i="21"/>
  <c r="H63" i="21"/>
  <c r="G63" i="21"/>
  <c r="E37" i="21"/>
  <c r="E35" i="21"/>
  <c r="G46" i="34" s="1"/>
  <c r="H63" i="13"/>
  <c r="G63" i="13"/>
  <c r="F63" i="13"/>
  <c r="E35" i="13"/>
  <c r="D35" i="13" s="1"/>
  <c r="H63" i="11"/>
  <c r="G63" i="11"/>
  <c r="F63" i="11"/>
  <c r="H64" i="11"/>
  <c r="G64" i="11"/>
  <c r="F64" i="11"/>
  <c r="H63" i="10"/>
  <c r="G63" i="10"/>
  <c r="F63" i="10"/>
  <c r="E42" i="10"/>
  <c r="D42" i="10" s="1"/>
  <c r="F64" i="10"/>
  <c r="H64" i="10"/>
  <c r="G64" i="10"/>
  <c r="H64" i="9"/>
  <c r="F64" i="9"/>
  <c r="G64" i="9"/>
  <c r="F63" i="9"/>
  <c r="H63" i="9"/>
  <c r="G63" i="9"/>
  <c r="C65" i="8"/>
  <c r="H63" i="8"/>
  <c r="G63" i="8"/>
  <c r="F63" i="8"/>
  <c r="H63" i="7"/>
  <c r="F63" i="7"/>
  <c r="G63" i="7"/>
  <c r="H63" i="16"/>
  <c r="F63" i="16"/>
  <c r="G63" i="16"/>
  <c r="G64" i="16"/>
  <c r="F64" i="16"/>
  <c r="H64" i="16"/>
  <c r="H64" i="17"/>
  <c r="G64" i="17"/>
  <c r="F64" i="17"/>
  <c r="B121" i="17"/>
  <c r="E37" i="17"/>
  <c r="F63" i="17"/>
  <c r="H63" i="17"/>
  <c r="G63" i="17"/>
  <c r="G63" i="15"/>
  <c r="H63" i="15"/>
  <c r="F63" i="15"/>
  <c r="H63" i="18"/>
  <c r="G63" i="18"/>
  <c r="F63" i="18"/>
  <c r="H63" i="19"/>
  <c r="G63" i="19"/>
  <c r="F63" i="19"/>
  <c r="B121" i="20"/>
  <c r="H63" i="20"/>
  <c r="G63" i="20"/>
  <c r="F63" i="20"/>
  <c r="H63" i="14"/>
  <c r="G63" i="14"/>
  <c r="F63" i="14"/>
  <c r="E38" i="14"/>
  <c r="D38" i="14" s="1"/>
  <c r="H63" i="12"/>
  <c r="G63" i="12"/>
  <c r="F63" i="12"/>
  <c r="H64" i="12"/>
  <c r="G64" i="12"/>
  <c r="F64" i="12"/>
  <c r="C66" i="29"/>
  <c r="G51" i="30" s="1"/>
  <c r="H63" i="5"/>
  <c r="G63" i="5"/>
  <c r="F63" i="5"/>
  <c r="B33" i="15"/>
  <c r="B33" i="18"/>
  <c r="D119" i="13"/>
  <c r="E119" i="13" s="1"/>
  <c r="G119" i="13" s="1"/>
  <c r="C59" i="13" s="1"/>
  <c r="E59" i="13" s="1"/>
  <c r="D119" i="8"/>
  <c r="E119" i="8" s="1"/>
  <c r="G119" i="8" s="1"/>
  <c r="C59" i="8" s="1"/>
  <c r="E59" i="8" s="1"/>
  <c r="D119" i="15"/>
  <c r="E119" i="15" s="1"/>
  <c r="G119" i="15" s="1"/>
  <c r="C59" i="15" s="1"/>
  <c r="E59" i="15" s="1"/>
  <c r="D119" i="14"/>
  <c r="E119" i="14" s="1"/>
  <c r="G119" i="14" s="1"/>
  <c r="C59" i="14" s="1"/>
  <c r="E59" i="14" s="1"/>
  <c r="D100" i="16"/>
  <c r="E100" i="16" s="1"/>
  <c r="Q14" i="6"/>
  <c r="T28" i="6"/>
  <c r="L7" i="6"/>
  <c r="B143" i="5" s="1"/>
  <c r="C143" i="5" s="1"/>
  <c r="B140" i="5"/>
  <c r="C140" i="5" s="1"/>
  <c r="J7" i="6"/>
  <c r="C5" i="45" s="1"/>
  <c r="K7" i="6"/>
  <c r="B142" i="5" s="1"/>
  <c r="C142" i="5" s="1"/>
  <c r="C33" i="5" s="1"/>
  <c r="E19" i="18"/>
  <c r="F19" i="18" s="1"/>
  <c r="E19" i="10"/>
  <c r="H19" i="10" s="1"/>
  <c r="E19" i="11"/>
  <c r="F19" i="11" s="1"/>
  <c r="E19" i="7"/>
  <c r="G19" i="7" s="1"/>
  <c r="E19" i="22"/>
  <c r="G19" i="22" s="1"/>
  <c r="E19" i="16"/>
  <c r="G19" i="16" s="1"/>
  <c r="E19" i="19"/>
  <c r="F19" i="19" s="1"/>
  <c r="E19" i="17"/>
  <c r="H19" i="17" s="1"/>
  <c r="E19" i="26"/>
  <c r="F19" i="26" s="1"/>
  <c r="E19" i="23"/>
  <c r="F19" i="23" s="1"/>
  <c r="D19" i="5"/>
  <c r="G19" i="5"/>
  <c r="H19" i="5"/>
  <c r="F19" i="5"/>
  <c r="E22" i="23"/>
  <c r="F22" i="23" s="1"/>
  <c r="E38" i="11"/>
  <c r="D38" i="11" s="1"/>
  <c r="E23" i="23"/>
  <c r="F23" i="23" s="1"/>
  <c r="E23" i="7"/>
  <c r="F23" i="7" s="1"/>
  <c r="E38" i="5"/>
  <c r="D38" i="5" s="1"/>
  <c r="E37" i="5"/>
  <c r="D37" i="5" s="1"/>
  <c r="E37" i="9"/>
  <c r="E38" i="7"/>
  <c r="D38" i="7" s="1"/>
  <c r="E64" i="25"/>
  <c r="D64" i="25" s="1"/>
  <c r="E22" i="15"/>
  <c r="H22" i="15" s="1"/>
  <c r="H28" i="17"/>
  <c r="F23" i="10"/>
  <c r="E38" i="25"/>
  <c r="D38" i="25" s="1"/>
  <c r="E64" i="21"/>
  <c r="D64" i="21" s="1"/>
  <c r="G25" i="25"/>
  <c r="G25" i="9"/>
  <c r="G25" i="20"/>
  <c r="E23" i="13"/>
  <c r="F23" i="13" s="1"/>
  <c r="E23" i="15"/>
  <c r="F23" i="15" s="1"/>
  <c r="G26" i="21"/>
  <c r="E10" i="5"/>
  <c r="H10" i="5" s="1"/>
  <c r="G28" i="22"/>
  <c r="G28" i="16"/>
  <c r="E23" i="11"/>
  <c r="F23" i="11" s="1"/>
  <c r="E23" i="18"/>
  <c r="G23" i="18" s="1"/>
  <c r="E10" i="22"/>
  <c r="F10" i="22" s="1"/>
  <c r="A27" i="31"/>
  <c r="B30" i="27"/>
  <c r="A27" i="30"/>
  <c r="L14" i="6"/>
  <c r="B143" i="17" s="1"/>
  <c r="B140" i="17"/>
  <c r="C140" i="17" s="1"/>
  <c r="K14" i="6"/>
  <c r="B142" i="17" s="1"/>
  <c r="C142" i="17" s="1"/>
  <c r="C33" i="17" s="1"/>
  <c r="J14" i="6"/>
  <c r="L13" i="6"/>
  <c r="B143" i="15" s="1"/>
  <c r="B140" i="15"/>
  <c r="C140" i="15" s="1"/>
  <c r="K13" i="6"/>
  <c r="B142" i="15" s="1"/>
  <c r="C142" i="15" s="1"/>
  <c r="C33" i="15" s="1"/>
  <c r="J13" i="6"/>
  <c r="L12" i="6"/>
  <c r="B143" i="18" s="1"/>
  <c r="B140" i="18"/>
  <c r="K12" i="6"/>
  <c r="B142" i="18" s="1"/>
  <c r="C142" i="18" s="1"/>
  <c r="C33" i="18" s="1"/>
  <c r="J12" i="6"/>
  <c r="L19" i="6"/>
  <c r="B143" i="10" s="1"/>
  <c r="B140" i="10"/>
  <c r="C140" i="10" s="1"/>
  <c r="K19" i="6"/>
  <c r="B142" i="10" s="1"/>
  <c r="C142" i="10" s="1"/>
  <c r="C33" i="10" s="1"/>
  <c r="J19" i="6"/>
  <c r="L25" i="6"/>
  <c r="B143" i="24" s="1"/>
  <c r="B140" i="24"/>
  <c r="C140" i="24" s="1"/>
  <c r="K25" i="6"/>
  <c r="B142" i="24" s="1"/>
  <c r="C142" i="24" s="1"/>
  <c r="C33" i="24" s="1"/>
  <c r="J25" i="6"/>
  <c r="L17" i="6"/>
  <c r="B143" i="8" s="1"/>
  <c r="B140" i="8"/>
  <c r="C140" i="8" s="1"/>
  <c r="J17" i="6"/>
  <c r="K17" i="6"/>
  <c r="B142" i="8" s="1"/>
  <c r="C142" i="8" s="1"/>
  <c r="C33" i="8" s="1"/>
  <c r="L9" i="6"/>
  <c r="B140" i="14"/>
  <c r="C140" i="14" s="1"/>
  <c r="J9" i="6"/>
  <c r="K9" i="6"/>
  <c r="C142" i="14" s="1"/>
  <c r="C33" i="14" s="1"/>
  <c r="L21" i="6"/>
  <c r="B143" i="13" s="1"/>
  <c r="B140" i="13"/>
  <c r="C140" i="13" s="1"/>
  <c r="J21" i="6"/>
  <c r="K21" i="6"/>
  <c r="B142" i="13" s="1"/>
  <c r="C142" i="13" s="1"/>
  <c r="C33" i="13" s="1"/>
  <c r="L20" i="6"/>
  <c r="B143" i="11" s="1"/>
  <c r="B140" i="11"/>
  <c r="K20" i="6"/>
  <c r="B142" i="11" s="1"/>
  <c r="C142" i="11" s="1"/>
  <c r="C33" i="11" s="1"/>
  <c r="J20" i="6"/>
  <c r="L11" i="6"/>
  <c r="B143" i="19" s="1"/>
  <c r="B140" i="19"/>
  <c r="C140" i="19" s="1"/>
  <c r="K11" i="6"/>
  <c r="B142" i="19" s="1"/>
  <c r="C142" i="19" s="1"/>
  <c r="C33" i="19" s="1"/>
  <c r="J11" i="6"/>
  <c r="L26" i="6"/>
  <c r="B143" i="25" s="1"/>
  <c r="B140" i="25"/>
  <c r="C140" i="25" s="1"/>
  <c r="K26" i="6"/>
  <c r="B142" i="25" s="1"/>
  <c r="C142" i="25" s="1"/>
  <c r="C33" i="25" s="1"/>
  <c r="J26" i="6"/>
  <c r="L24" i="6"/>
  <c r="B143" i="23" s="1"/>
  <c r="B140" i="23"/>
  <c r="C140" i="23" s="1"/>
  <c r="J24" i="6"/>
  <c r="K24" i="6"/>
  <c r="B142" i="23" s="1"/>
  <c r="C142" i="23" s="1"/>
  <c r="C33" i="23" s="1"/>
  <c r="L16" i="6"/>
  <c r="B143" i="7" s="1"/>
  <c r="B140" i="7"/>
  <c r="C140" i="7" s="1"/>
  <c r="J16" i="6"/>
  <c r="K16" i="6"/>
  <c r="B142" i="7" s="1"/>
  <c r="C142" i="7" s="1"/>
  <c r="C33" i="7" s="1"/>
  <c r="L8" i="6"/>
  <c r="B140" i="12"/>
  <c r="J8" i="6"/>
  <c r="K8" i="6"/>
  <c r="L22" i="6"/>
  <c r="B143" i="21" s="1"/>
  <c r="B140" i="21"/>
  <c r="C140" i="21" s="1"/>
  <c r="K22" i="6"/>
  <c r="B142" i="21" s="1"/>
  <c r="C142" i="21" s="1"/>
  <c r="C33" i="21" s="1"/>
  <c r="J22" i="6"/>
  <c r="L27" i="6"/>
  <c r="B143" i="26" s="1"/>
  <c r="B140" i="26"/>
  <c r="C140" i="26" s="1"/>
  <c r="K27" i="6"/>
  <c r="B142" i="26" s="1"/>
  <c r="C142" i="26" s="1"/>
  <c r="C33" i="26" s="1"/>
  <c r="J27" i="6"/>
  <c r="L18" i="6"/>
  <c r="B143" i="9" s="1"/>
  <c r="B140" i="9"/>
  <c r="J18" i="6"/>
  <c r="K18" i="6"/>
  <c r="B142" i="9" s="1"/>
  <c r="C142" i="9" s="1"/>
  <c r="C33" i="9" s="1"/>
  <c r="L10" i="6"/>
  <c r="B143" i="20" s="1"/>
  <c r="B140" i="20"/>
  <c r="C140" i="20" s="1"/>
  <c r="J10" i="6"/>
  <c r="K10" i="6"/>
  <c r="B142" i="20" s="1"/>
  <c r="C142" i="20" s="1"/>
  <c r="C33" i="20" s="1"/>
  <c r="L23" i="6"/>
  <c r="B143" i="22" s="1"/>
  <c r="B140" i="22"/>
  <c r="J23" i="6"/>
  <c r="K23" i="6"/>
  <c r="B142" i="22" s="1"/>
  <c r="C142" i="22" s="1"/>
  <c r="C33" i="22" s="1"/>
  <c r="L15" i="6"/>
  <c r="B143" i="16" s="1"/>
  <c r="B140" i="16"/>
  <c r="C140" i="16" s="1"/>
  <c r="K15" i="6"/>
  <c r="B142" i="16" s="1"/>
  <c r="C142" i="16" s="1"/>
  <c r="C33" i="16" s="1"/>
  <c r="J15" i="6"/>
  <c r="G23" i="34"/>
  <c r="E35" i="25"/>
  <c r="G50" i="34" s="1"/>
  <c r="E35" i="24"/>
  <c r="D35" i="24" s="1"/>
  <c r="E35" i="23"/>
  <c r="G48" i="34" s="1"/>
  <c r="E35" i="10"/>
  <c r="D35" i="10" s="1"/>
  <c r="E35" i="9"/>
  <c r="G42" i="34" s="1"/>
  <c r="E35" i="8"/>
  <c r="G41" i="34" s="1"/>
  <c r="E35" i="7"/>
  <c r="G40" i="34" s="1"/>
  <c r="E35" i="16"/>
  <c r="G39" i="34" s="1"/>
  <c r="G12" i="34"/>
  <c r="E35" i="20"/>
  <c r="D35" i="20" s="1"/>
  <c r="E35" i="14"/>
  <c r="D35" i="14" s="1"/>
  <c r="E20" i="26"/>
  <c r="F20" i="26" s="1"/>
  <c r="E20" i="10"/>
  <c r="G20" i="10" s="1"/>
  <c r="E20" i="19"/>
  <c r="F20" i="19" s="1"/>
  <c r="E15" i="25"/>
  <c r="H15" i="25" s="1"/>
  <c r="E15" i="9"/>
  <c r="H15" i="9" s="1"/>
  <c r="E15" i="20"/>
  <c r="G15" i="20" s="1"/>
  <c r="E8" i="11"/>
  <c r="H8" i="11" s="1"/>
  <c r="E8" i="18"/>
  <c r="H8" i="18" s="1"/>
  <c r="E64" i="23"/>
  <c r="D64" i="23" s="1"/>
  <c r="H28" i="23"/>
  <c r="E28" i="7"/>
  <c r="D28" i="7" s="1"/>
  <c r="E21" i="23"/>
  <c r="D21" i="23" s="1"/>
  <c r="E21" i="16"/>
  <c r="D21" i="16" s="1"/>
  <c r="E20" i="25"/>
  <c r="D20" i="25" s="1"/>
  <c r="E20" i="9"/>
  <c r="D20" i="9" s="1"/>
  <c r="E20" i="20"/>
  <c r="D20" i="20" s="1"/>
  <c r="E18" i="23"/>
  <c r="H18" i="23" s="1"/>
  <c r="E18" i="7"/>
  <c r="D18" i="7" s="1"/>
  <c r="E17" i="26"/>
  <c r="H17" i="26" s="1"/>
  <c r="E17" i="10"/>
  <c r="G17" i="10" s="1"/>
  <c r="E17" i="20"/>
  <c r="F17" i="20" s="1"/>
  <c r="E15" i="24"/>
  <c r="F15" i="24" s="1"/>
  <c r="E15" i="8"/>
  <c r="F15" i="8" s="1"/>
  <c r="E15" i="14"/>
  <c r="D15" i="14" s="1"/>
  <c r="E21" i="12"/>
  <c r="F21" i="12" s="1"/>
  <c r="E9" i="18"/>
  <c r="F9" i="18" s="1"/>
  <c r="E16" i="9"/>
  <c r="D16" i="9" s="1"/>
  <c r="E21" i="22"/>
  <c r="D21" i="22" s="1"/>
  <c r="E20" i="8"/>
  <c r="F20" i="8" s="1"/>
  <c r="E15" i="23"/>
  <c r="G15" i="23" s="1"/>
  <c r="E21" i="9"/>
  <c r="D21" i="9" s="1"/>
  <c r="E64" i="8"/>
  <c r="D64" i="8" s="1"/>
  <c r="E28" i="21"/>
  <c r="D28" i="21" s="1"/>
  <c r="E27" i="22"/>
  <c r="D27" i="22" s="1"/>
  <c r="H26" i="21"/>
  <c r="E20" i="23"/>
  <c r="H20" i="23" s="1"/>
  <c r="E20" i="7"/>
  <c r="H20" i="7" s="1"/>
  <c r="E17" i="24"/>
  <c r="F17" i="24" s="1"/>
  <c r="N17" i="24" s="1"/>
  <c r="E17" i="8"/>
  <c r="D17" i="8" s="1"/>
  <c r="E15" i="22"/>
  <c r="G15" i="22" s="1"/>
  <c r="E15" i="16"/>
  <c r="D15" i="16" s="1"/>
  <c r="E10" i="21"/>
  <c r="F10" i="21" s="1"/>
  <c r="E8" i="8"/>
  <c r="G8" i="8" s="1"/>
  <c r="E22" i="7"/>
  <c r="D22" i="7" s="1"/>
  <c r="E20" i="14"/>
  <c r="F20" i="14" s="1"/>
  <c r="E15" i="7"/>
  <c r="F15" i="7" s="1"/>
  <c r="E64" i="7"/>
  <c r="D64" i="7" s="1"/>
  <c r="E41" i="15"/>
  <c r="D41" i="15" s="1"/>
  <c r="E20" i="22"/>
  <c r="F20" i="22" s="1"/>
  <c r="E20" i="16"/>
  <c r="F20" i="16" s="1"/>
  <c r="E15" i="21"/>
  <c r="H15" i="21" s="1"/>
  <c r="E15" i="17"/>
  <c r="F15" i="17" s="1"/>
  <c r="E8" i="7"/>
  <c r="G8" i="7" s="1"/>
  <c r="E20" i="24"/>
  <c r="F20" i="24" s="1"/>
  <c r="E26" i="9"/>
  <c r="D26" i="9" s="1"/>
  <c r="E20" i="21"/>
  <c r="F20" i="21" s="1"/>
  <c r="E20" i="17"/>
  <c r="G20" i="17" s="1"/>
  <c r="E17" i="22"/>
  <c r="D17" i="22" s="1"/>
  <c r="E17" i="16"/>
  <c r="D17" i="16" s="1"/>
  <c r="E15" i="13"/>
  <c r="F15" i="13" s="1"/>
  <c r="E15" i="15"/>
  <c r="G15" i="15" s="1"/>
  <c r="E17" i="12"/>
  <c r="D17" i="12" s="1"/>
  <c r="E27" i="5"/>
  <c r="D27" i="5" s="1"/>
  <c r="G27" i="22"/>
  <c r="E42" i="18"/>
  <c r="D42" i="18" s="1"/>
  <c r="E42" i="19"/>
  <c r="D42" i="19" s="1"/>
  <c r="E9" i="26"/>
  <c r="G9" i="26" s="1"/>
  <c r="E9" i="10"/>
  <c r="H9" i="10" s="1"/>
  <c r="G10" i="19"/>
  <c r="H25" i="9"/>
  <c r="E42" i="21"/>
  <c r="D42" i="21" s="1"/>
  <c r="E42" i="13"/>
  <c r="D42" i="13" s="1"/>
  <c r="E9" i="25"/>
  <c r="F9" i="25" s="1"/>
  <c r="E9" i="9"/>
  <c r="H9" i="9" s="1"/>
  <c r="E40" i="24"/>
  <c r="D40" i="24" s="1"/>
  <c r="G28" i="21"/>
  <c r="G28" i="17"/>
  <c r="G23" i="10"/>
  <c r="E40" i="26"/>
  <c r="D40" i="26" s="1"/>
  <c r="E63" i="21"/>
  <c r="D63" i="21" s="1"/>
  <c r="E7" i="15"/>
  <c r="F7" i="15" s="1"/>
  <c r="E40" i="14"/>
  <c r="D40" i="14" s="1"/>
  <c r="E40" i="25"/>
  <c r="D40" i="25" s="1"/>
  <c r="E28" i="11"/>
  <c r="D28" i="11" s="1"/>
  <c r="E39" i="14"/>
  <c r="D39" i="14" s="1"/>
  <c r="G28" i="10"/>
  <c r="E7" i="8"/>
  <c r="H7" i="8" s="1"/>
  <c r="E16" i="14"/>
  <c r="D16" i="14" s="1"/>
  <c r="E16" i="22"/>
  <c r="D16" i="22" s="1"/>
  <c r="E40" i="8"/>
  <c r="D40" i="8" s="1"/>
  <c r="E26" i="21"/>
  <c r="D26" i="21" s="1"/>
  <c r="H28" i="21"/>
  <c r="E42" i="7"/>
  <c r="D42" i="7" s="1"/>
  <c r="E39" i="13"/>
  <c r="D39" i="13" s="1"/>
  <c r="E42" i="26"/>
  <c r="D42" i="26" s="1"/>
  <c r="E28" i="25"/>
  <c r="D28" i="25" s="1"/>
  <c r="E28" i="9"/>
  <c r="D28" i="9" s="1"/>
  <c r="H28" i="20"/>
  <c r="E23" i="22"/>
  <c r="D23" i="22" s="1"/>
  <c r="E23" i="16"/>
  <c r="H23" i="16" s="1"/>
  <c r="E21" i="14"/>
  <c r="F21" i="14" s="1"/>
  <c r="E7" i="23"/>
  <c r="H7" i="23" s="1"/>
  <c r="E7" i="7"/>
  <c r="G7" i="7" s="1"/>
  <c r="E22" i="11"/>
  <c r="F22" i="11" s="1"/>
  <c r="E22" i="18"/>
  <c r="H22" i="18" s="1"/>
  <c r="E28" i="23"/>
  <c r="D28" i="23" s="1"/>
  <c r="E28" i="22"/>
  <c r="D28" i="22" s="1"/>
  <c r="E39" i="15"/>
  <c r="D39" i="15" s="1"/>
  <c r="E63" i="9"/>
  <c r="D63" i="9" s="1"/>
  <c r="G28" i="26"/>
  <c r="E28" i="19"/>
  <c r="D28" i="19" s="1"/>
  <c r="E7" i="14"/>
  <c r="F7" i="14" s="1"/>
  <c r="E16" i="8"/>
  <c r="F16" i="8" s="1"/>
  <c r="E40" i="10"/>
  <c r="D40" i="10" s="1"/>
  <c r="E42" i="11"/>
  <c r="D42" i="11" s="1"/>
  <c r="E39" i="24"/>
  <c r="D39" i="24" s="1"/>
  <c r="E39" i="16"/>
  <c r="D39" i="16" s="1"/>
  <c r="G28" i="24"/>
  <c r="E28" i="8"/>
  <c r="D28" i="8" s="1"/>
  <c r="E28" i="14"/>
  <c r="D28" i="14" s="1"/>
  <c r="E23" i="21"/>
  <c r="D23" i="21" s="1"/>
  <c r="E23" i="17"/>
  <c r="H23" i="17" s="1"/>
  <c r="E21" i="7"/>
  <c r="G21" i="7" s="1"/>
  <c r="E18" i="24"/>
  <c r="H18" i="24" s="1"/>
  <c r="E18" i="8"/>
  <c r="G18" i="8" s="1"/>
  <c r="E18" i="14"/>
  <c r="H18" i="14" s="1"/>
  <c r="E7" i="22"/>
  <c r="H7" i="22" s="1"/>
  <c r="E7" i="16"/>
  <c r="H7" i="16" s="1"/>
  <c r="E23" i="12"/>
  <c r="G23" i="12" s="1"/>
  <c r="E22" i="26"/>
  <c r="G22" i="26" s="1"/>
  <c r="E22" i="10"/>
  <c r="G22" i="10" s="1"/>
  <c r="E22" i="19"/>
  <c r="G22" i="19" s="1"/>
  <c r="H25" i="25"/>
  <c r="E63" i="17"/>
  <c r="D63" i="17" s="1"/>
  <c r="G25" i="5"/>
  <c r="E63" i="15"/>
  <c r="D63" i="15" s="1"/>
  <c r="G25" i="23"/>
  <c r="G28" i="5"/>
  <c r="F23" i="26"/>
  <c r="E40" i="17"/>
  <c r="D40" i="17" s="1"/>
  <c r="G23" i="26"/>
  <c r="G28" i="14"/>
  <c r="E42" i="15"/>
  <c r="D42" i="15" s="1"/>
  <c r="E42" i="25"/>
  <c r="D42" i="25" s="1"/>
  <c r="E40" i="7"/>
  <c r="D40" i="7" s="1"/>
  <c r="E39" i="26"/>
  <c r="D39" i="26" s="1"/>
  <c r="G28" i="13"/>
  <c r="E28" i="15"/>
  <c r="D28" i="15" s="1"/>
  <c r="E25" i="16"/>
  <c r="D25" i="16" s="1"/>
  <c r="E23" i="25"/>
  <c r="F23" i="25" s="1"/>
  <c r="E23" i="9"/>
  <c r="D23" i="9" s="1"/>
  <c r="E23" i="20"/>
  <c r="H23" i="20" s="1"/>
  <c r="E21" i="18"/>
  <c r="D21" i="18" s="1"/>
  <c r="E18" i="13"/>
  <c r="F18" i="13" s="1"/>
  <c r="E18" i="15"/>
  <c r="H18" i="15" s="1"/>
  <c r="E16" i="24"/>
  <c r="G16" i="24" s="1"/>
  <c r="E16" i="15"/>
  <c r="G16" i="15" s="1"/>
  <c r="E7" i="26"/>
  <c r="H7" i="26" s="1"/>
  <c r="E7" i="19"/>
  <c r="H7" i="19" s="1"/>
  <c r="E46" i="12"/>
  <c r="D46" i="12" s="1"/>
  <c r="D49" i="12" s="1"/>
  <c r="E22" i="16"/>
  <c r="G22" i="16" s="1"/>
  <c r="G25" i="14"/>
  <c r="E7" i="13"/>
  <c r="H7" i="13" s="1"/>
  <c r="E40" i="20"/>
  <c r="D40" i="20" s="1"/>
  <c r="H27" i="20"/>
  <c r="E63" i="13"/>
  <c r="D63" i="13" s="1"/>
  <c r="E28" i="17"/>
  <c r="D28" i="17" s="1"/>
  <c r="H28" i="7"/>
  <c r="E39" i="20"/>
  <c r="D39" i="20" s="1"/>
  <c r="H28" i="11"/>
  <c r="H28" i="18"/>
  <c r="G25" i="21"/>
  <c r="G25" i="17"/>
  <c r="E23" i="24"/>
  <c r="D23" i="24" s="1"/>
  <c r="E23" i="8"/>
  <c r="G23" i="8" s="1"/>
  <c r="E23" i="14"/>
  <c r="F23" i="14" s="1"/>
  <c r="E21" i="11"/>
  <c r="D21" i="11" s="1"/>
  <c r="E21" i="19"/>
  <c r="D21" i="19" s="1"/>
  <c r="E18" i="11"/>
  <c r="G18" i="11" s="1"/>
  <c r="E18" i="18"/>
  <c r="H18" i="18" s="1"/>
  <c r="E16" i="18"/>
  <c r="F16" i="18" s="1"/>
  <c r="E7" i="25"/>
  <c r="G7" i="25" s="1"/>
  <c r="E7" i="9"/>
  <c r="F7" i="9" s="1"/>
  <c r="E7" i="20"/>
  <c r="F7" i="20" s="1"/>
  <c r="E22" i="21"/>
  <c r="G22" i="21" s="1"/>
  <c r="E22" i="17"/>
  <c r="F22" i="17" s="1"/>
  <c r="B33" i="5"/>
  <c r="A142" i="25"/>
  <c r="A142" i="10"/>
  <c r="A142" i="26"/>
  <c r="A142" i="24"/>
  <c r="A142" i="23"/>
  <c r="A142" i="21"/>
  <c r="A142" i="13"/>
  <c r="A142" i="11"/>
  <c r="A142" i="22"/>
  <c r="A142" i="15"/>
  <c r="B33" i="16"/>
  <c r="A142" i="12"/>
  <c r="A142" i="17"/>
  <c r="A142" i="16"/>
  <c r="A142" i="18"/>
  <c r="A142" i="7"/>
  <c r="A142" i="9"/>
  <c r="A142" i="8"/>
  <c r="A142" i="20"/>
  <c r="A142" i="19"/>
  <c r="A142" i="5"/>
  <c r="A142" i="14"/>
  <c r="G26" i="17"/>
  <c r="E26" i="17"/>
  <c r="D26" i="17" s="1"/>
  <c r="H10" i="19"/>
  <c r="H10" i="16"/>
  <c r="G10" i="16"/>
  <c r="E28" i="26"/>
  <c r="D28" i="26" s="1"/>
  <c r="A141" i="8"/>
  <c r="B32" i="8"/>
  <c r="A141" i="7"/>
  <c r="B32" i="7"/>
  <c r="A141" i="16"/>
  <c r="B32" i="16"/>
  <c r="A141" i="17"/>
  <c r="B32" i="17"/>
  <c r="A141" i="15"/>
  <c r="B32" i="15"/>
  <c r="A141" i="18"/>
  <c r="B32" i="18"/>
  <c r="A141" i="19"/>
  <c r="B32" i="19"/>
  <c r="A141" i="20"/>
  <c r="B32" i="20"/>
  <c r="A141" i="14"/>
  <c r="B32" i="14"/>
  <c r="A141" i="12"/>
  <c r="B32" i="12"/>
  <c r="G28" i="11"/>
  <c r="E60" i="15"/>
  <c r="BN42" i="27"/>
  <c r="M42" i="27" s="1"/>
  <c r="BM52" i="27"/>
  <c r="L52" i="27" s="1"/>
  <c r="BN52" i="27"/>
  <c r="D19" i="14"/>
  <c r="E28" i="18"/>
  <c r="D28" i="18" s="1"/>
  <c r="G28" i="19"/>
  <c r="E60" i="18"/>
  <c r="G28" i="18"/>
  <c r="D19" i="8"/>
  <c r="H28" i="26"/>
  <c r="BM43" i="27"/>
  <c r="G16" i="34"/>
  <c r="D19" i="24"/>
  <c r="E28" i="10"/>
  <c r="D28" i="10" s="1"/>
  <c r="E39" i="25"/>
  <c r="D39" i="25" s="1"/>
  <c r="E28" i="13"/>
  <c r="D28" i="13" s="1"/>
  <c r="G9" i="34"/>
  <c r="BN46" i="27"/>
  <c r="E42" i="8"/>
  <c r="D42" i="8" s="1"/>
  <c r="E42" i="14"/>
  <c r="D42" i="14" s="1"/>
  <c r="E40" i="16"/>
  <c r="D40" i="16" s="1"/>
  <c r="E39" i="9"/>
  <c r="D39" i="9" s="1"/>
  <c r="E40" i="22"/>
  <c r="D40" i="22" s="1"/>
  <c r="E28" i="5"/>
  <c r="D28" i="5" s="1"/>
  <c r="E37" i="23"/>
  <c r="D37" i="23" s="1"/>
  <c r="E41" i="18"/>
  <c r="D41" i="18" s="1"/>
  <c r="E42" i="24"/>
  <c r="D42" i="24" s="1"/>
  <c r="BN48" i="27"/>
  <c r="E60" i="8"/>
  <c r="E41" i="26"/>
  <c r="D41" i="26" s="1"/>
  <c r="E39" i="8"/>
  <c r="D39" i="8" s="1"/>
  <c r="E38" i="18"/>
  <c r="D38" i="18" s="1"/>
  <c r="E37" i="22"/>
  <c r="G15" i="34"/>
  <c r="G7" i="34"/>
  <c r="D27" i="9"/>
  <c r="D19" i="25"/>
  <c r="D19" i="9"/>
  <c r="D19" i="20"/>
  <c r="G17" i="34"/>
  <c r="E42" i="22"/>
  <c r="D42" i="22" s="1"/>
  <c r="E38" i="26"/>
  <c r="D38" i="26" s="1"/>
  <c r="G6" i="34"/>
  <c r="E35" i="26"/>
  <c r="E35" i="18"/>
  <c r="E60" i="19"/>
  <c r="G14" i="34"/>
  <c r="H25" i="17"/>
  <c r="H28" i="9"/>
  <c r="E38" i="15"/>
  <c r="D38" i="15" s="1"/>
  <c r="E42" i="17"/>
  <c r="D42" i="17" s="1"/>
  <c r="BM46" i="27"/>
  <c r="E39" i="17"/>
  <c r="D39" i="17" s="1"/>
  <c r="E38" i="24"/>
  <c r="D38" i="24" s="1"/>
  <c r="E37" i="18"/>
  <c r="D37" i="18" s="1"/>
  <c r="D17" i="18"/>
  <c r="E40" i="23"/>
  <c r="D40" i="23" s="1"/>
  <c r="E39" i="10"/>
  <c r="D39" i="10" s="1"/>
  <c r="E37" i="14"/>
  <c r="D37" i="14" s="1"/>
  <c r="E42" i="20"/>
  <c r="D42" i="20" s="1"/>
  <c r="E39" i="19"/>
  <c r="B35" i="34" s="1"/>
  <c r="BN50" i="27"/>
  <c r="M50" i="27" s="1"/>
  <c r="E42" i="16"/>
  <c r="D42" i="16" s="1"/>
  <c r="G22" i="34"/>
  <c r="E35" i="19"/>
  <c r="D35" i="19" s="1"/>
  <c r="E37" i="24"/>
  <c r="D37" i="24" s="1"/>
  <c r="E41" i="9"/>
  <c r="D41" i="9" s="1"/>
  <c r="G21" i="34"/>
  <c r="E40" i="18"/>
  <c r="D40" i="18" s="1"/>
  <c r="E28" i="20"/>
  <c r="D28" i="20" s="1"/>
  <c r="H28" i="25"/>
  <c r="H27" i="21"/>
  <c r="G28" i="8"/>
  <c r="E60" i="13"/>
  <c r="G8" i="34"/>
  <c r="BN55" i="27"/>
  <c r="D60" i="11"/>
  <c r="E38" i="23"/>
  <c r="D38" i="23" s="1"/>
  <c r="E37" i="26"/>
  <c r="D37" i="26" s="1"/>
  <c r="E37" i="19"/>
  <c r="G19" i="34"/>
  <c r="G11" i="34"/>
  <c r="E39" i="7"/>
  <c r="D39" i="7" s="1"/>
  <c r="E38" i="19"/>
  <c r="D38" i="19" s="1"/>
  <c r="E41" i="24"/>
  <c r="D41" i="24" s="1"/>
  <c r="E38" i="20"/>
  <c r="D38" i="20" s="1"/>
  <c r="E37" i="13"/>
  <c r="D37" i="13" s="1"/>
  <c r="G13" i="34"/>
  <c r="H25" i="21"/>
  <c r="E37" i="7"/>
  <c r="D37" i="7" s="1"/>
  <c r="E38" i="10"/>
  <c r="D38" i="10" s="1"/>
  <c r="E35" i="11"/>
  <c r="E38" i="9"/>
  <c r="D38" i="9" s="1"/>
  <c r="E39" i="22"/>
  <c r="D39" i="22" s="1"/>
  <c r="G24" i="34"/>
  <c r="E41" i="21"/>
  <c r="D41" i="21" s="1"/>
  <c r="E41" i="17"/>
  <c r="D41" i="17" s="1"/>
  <c r="E39" i="11"/>
  <c r="D39" i="11" s="1"/>
  <c r="E39" i="18"/>
  <c r="D39" i="18" s="1"/>
  <c r="E38" i="16"/>
  <c r="D38" i="16" s="1"/>
  <c r="D19" i="13"/>
  <c r="D19" i="15"/>
  <c r="A141" i="5"/>
  <c r="B32" i="5"/>
  <c r="E42" i="5"/>
  <c r="D42" i="5" s="1"/>
  <c r="E40" i="5"/>
  <c r="D40" i="5" s="1"/>
  <c r="E60" i="5"/>
  <c r="E39" i="5"/>
  <c r="D39" i="5" s="1"/>
  <c r="D117" i="8"/>
  <c r="E117" i="8" s="1"/>
  <c r="G117" i="8" s="1"/>
  <c r="C58" i="8" s="1"/>
  <c r="E58" i="8" s="1"/>
  <c r="D117" i="18"/>
  <c r="E117" i="18" s="1"/>
  <c r="G117" i="18" s="1"/>
  <c r="C58" i="18" s="1"/>
  <c r="E58" i="18" s="1"/>
  <c r="G28" i="6"/>
  <c r="B31" i="21"/>
  <c r="B34" i="11"/>
  <c r="B31" i="16"/>
  <c r="B31" i="26"/>
  <c r="B31" i="22"/>
  <c r="B31" i="7"/>
  <c r="B31" i="14"/>
  <c r="M56" i="27"/>
  <c r="O64" i="13" s="1"/>
  <c r="B31" i="23"/>
  <c r="B31" i="10"/>
  <c r="B31" i="8"/>
  <c r="B34" i="18"/>
  <c r="B34" i="20"/>
  <c r="F16" i="27"/>
  <c r="B34" i="15"/>
  <c r="B31" i="18"/>
  <c r="B31" i="20"/>
  <c r="B31" i="15"/>
  <c r="B31" i="25"/>
  <c r="B31" i="11"/>
  <c r="B34" i="10"/>
  <c r="B31" i="24"/>
  <c r="B34" i="22"/>
  <c r="B31" i="9"/>
  <c r="B31" i="19"/>
  <c r="N17" i="27"/>
  <c r="K36" i="27"/>
  <c r="M39" i="14" s="1"/>
  <c r="G51" i="27"/>
  <c r="G45" i="27"/>
  <c r="G34" i="27"/>
  <c r="H22" i="27"/>
  <c r="N7" i="27"/>
  <c r="P6" i="12" s="1"/>
  <c r="F15" i="27"/>
  <c r="I16" i="15" s="1"/>
  <c r="F51" i="27"/>
  <c r="F45" i="27"/>
  <c r="F34" i="27"/>
  <c r="K27" i="27"/>
  <c r="M34" i="27"/>
  <c r="L24" i="27"/>
  <c r="L35" i="27"/>
  <c r="K30" i="27"/>
  <c r="M46" i="27"/>
  <c r="M20" i="27"/>
  <c r="K7" i="27"/>
  <c r="K29" i="27"/>
  <c r="N12" i="27"/>
  <c r="M43" i="27"/>
  <c r="K26" i="27"/>
  <c r="M27" i="14" s="1"/>
  <c r="K20" i="27"/>
  <c r="L17" i="27"/>
  <c r="N8" i="27"/>
  <c r="N30" i="27"/>
  <c r="M45" i="27"/>
  <c r="M37" i="27"/>
  <c r="O40" i="23" s="1"/>
  <c r="L38" i="27"/>
  <c r="N41" i="22" s="1"/>
  <c r="K51" i="27"/>
  <c r="N18" i="27"/>
  <c r="P19" i="5" s="1"/>
  <c r="M17" i="27"/>
  <c r="K25" i="27"/>
  <c r="M26" i="20" s="1"/>
  <c r="L21" i="27"/>
  <c r="M18" i="27"/>
  <c r="O19" i="5" s="1"/>
  <c r="N15" i="27"/>
  <c r="L31" i="27"/>
  <c r="N53" i="27"/>
  <c r="N43" i="27"/>
  <c r="N9" i="27"/>
  <c r="P8" i="10" s="1"/>
  <c r="M47" i="27"/>
  <c r="M35" i="27"/>
  <c r="O38" i="18" s="1"/>
  <c r="L48" i="27"/>
  <c r="L36" i="27"/>
  <c r="K37" i="27"/>
  <c r="N14" i="27"/>
  <c r="N51" i="27"/>
  <c r="N39" i="27"/>
  <c r="P42" i="19" s="1"/>
  <c r="L34" i="27"/>
  <c r="K47" i="27"/>
  <c r="K14" i="27"/>
  <c r="M15" i="20" s="1"/>
  <c r="L30" i="27"/>
  <c r="N21" i="27"/>
  <c r="M31" i="27"/>
  <c r="N38" i="27"/>
  <c r="P41" i="14" s="1"/>
  <c r="L43" i="27"/>
  <c r="K46" i="27"/>
  <c r="M7" i="27"/>
  <c r="L27" i="27"/>
  <c r="K16" i="27"/>
  <c r="M17" i="22" s="1"/>
  <c r="L11" i="27"/>
  <c r="N10" i="5" s="1"/>
  <c r="L32" i="27"/>
  <c r="M27" i="27"/>
  <c r="O28" i="18" s="1"/>
  <c r="N24" i="27"/>
  <c r="K55" i="27"/>
  <c r="L12" i="27"/>
  <c r="F25" i="27"/>
  <c r="N37" i="27"/>
  <c r="M51" i="27"/>
  <c r="M39" i="27"/>
  <c r="O42" i="26" s="1"/>
  <c r="L42" i="27"/>
  <c r="K53" i="27"/>
  <c r="K9" i="27"/>
  <c r="M8" i="26" s="1"/>
  <c r="B33" i="11"/>
  <c r="I7" i="27"/>
  <c r="L6" i="5" s="1"/>
  <c r="L7" i="27"/>
  <c r="L18" i="27"/>
  <c r="N19" i="5" s="1"/>
  <c r="K17" i="27"/>
  <c r="L26" i="27"/>
  <c r="N19" i="27"/>
  <c r="L41" i="27"/>
  <c r="N46" i="24" s="1"/>
  <c r="M53" i="27"/>
  <c r="K35" i="27"/>
  <c r="L8" i="27"/>
  <c r="M25" i="27"/>
  <c r="N41" i="27"/>
  <c r="F24" i="27"/>
  <c r="M52" i="27"/>
  <c r="L53" i="27"/>
  <c r="K19" i="27"/>
  <c r="M20" i="11" s="1"/>
  <c r="K18" i="27"/>
  <c r="L15" i="27"/>
  <c r="M10" i="27"/>
  <c r="M29" i="27"/>
  <c r="N26" i="27"/>
  <c r="M55" i="27"/>
  <c r="K31" i="27"/>
  <c r="M34" i="5" s="1"/>
  <c r="N36" i="27"/>
  <c r="M38" i="27"/>
  <c r="L51" i="27"/>
  <c r="L39" i="27"/>
  <c r="N25" i="27"/>
  <c r="M21" i="27"/>
  <c r="K11" i="27"/>
  <c r="K10" i="27"/>
  <c r="M22" i="27"/>
  <c r="O23" i="9" s="1"/>
  <c r="K12" i="27"/>
  <c r="L46" i="27"/>
  <c r="M14" i="27"/>
  <c r="N35" i="27"/>
  <c r="L50" i="27"/>
  <c r="K39" i="27"/>
  <c r="M42" i="13" s="1"/>
  <c r="L9" i="27"/>
  <c r="N8" i="25" s="1"/>
  <c r="K22" i="27"/>
  <c r="L19" i="27"/>
  <c r="M16" i="27"/>
  <c r="N11" i="27"/>
  <c r="N32" i="27"/>
  <c r="N56" i="27"/>
  <c r="N46" i="27"/>
  <c r="N34" i="27"/>
  <c r="M48" i="27"/>
  <c r="M36" i="27"/>
  <c r="L37" i="27"/>
  <c r="K38" i="27"/>
  <c r="N16" i="27"/>
  <c r="B33" i="23"/>
  <c r="B33" i="7"/>
  <c r="F53" i="27"/>
  <c r="F52" i="27"/>
  <c r="B34" i="12"/>
  <c r="F14" i="27"/>
  <c r="F22" i="27"/>
  <c r="I23" i="7" s="1"/>
  <c r="B34" i="24"/>
  <c r="B33" i="10"/>
  <c r="B34" i="9"/>
  <c r="H51" i="27"/>
  <c r="H45" i="27"/>
  <c r="H34" i="27"/>
  <c r="I22" i="27"/>
  <c r="I8" i="27"/>
  <c r="N22" i="27"/>
  <c r="M26" i="27"/>
  <c r="L22" i="27"/>
  <c r="K21" i="27"/>
  <c r="F17" i="27"/>
  <c r="F26" i="27"/>
  <c r="I53" i="27"/>
  <c r="I52" i="27"/>
  <c r="G22" i="27"/>
  <c r="F18" i="27"/>
  <c r="I19" i="5" s="1"/>
  <c r="F27" i="27"/>
  <c r="B34" i="26"/>
  <c r="B33" i="25"/>
  <c r="B33" i="21"/>
  <c r="B34" i="13"/>
  <c r="H53" i="27"/>
  <c r="H52" i="27"/>
  <c r="H47" i="27"/>
  <c r="B33" i="14"/>
  <c r="F55" i="27"/>
  <c r="N10" i="27"/>
  <c r="P9" i="21" s="1"/>
  <c r="M9" i="27"/>
  <c r="I49" i="27"/>
  <c r="B33" i="26"/>
  <c r="B33" i="13"/>
  <c r="I47" i="27"/>
  <c r="F9" i="27"/>
  <c r="F19" i="27"/>
  <c r="F30" i="27"/>
  <c r="B34" i="25"/>
  <c r="B33" i="22"/>
  <c r="B34" i="21"/>
  <c r="B33" i="17"/>
  <c r="G53" i="27"/>
  <c r="G52" i="27"/>
  <c r="G47" i="27"/>
  <c r="I11" i="27"/>
  <c r="B33" i="20"/>
  <c r="B34" i="14"/>
  <c r="M12" i="27"/>
  <c r="G10" i="27"/>
  <c r="I42" i="27"/>
  <c r="F10" i="27"/>
  <c r="F20" i="27"/>
  <c r="B33" i="8"/>
  <c r="F47" i="27"/>
  <c r="I10" i="27"/>
  <c r="B33" i="19"/>
  <c r="F11" i="27"/>
  <c r="F21" i="27"/>
  <c r="I22" i="14" s="1"/>
  <c r="B33" i="24"/>
  <c r="B34" i="23"/>
  <c r="B33" i="9"/>
  <c r="B34" i="8"/>
  <c r="B34" i="7"/>
  <c r="I51" i="27"/>
  <c r="I45" i="27"/>
  <c r="I34" i="27"/>
  <c r="I9" i="27"/>
  <c r="B34" i="19"/>
  <c r="K41" i="27"/>
  <c r="N27" i="27"/>
  <c r="K32" i="27"/>
  <c r="F7" i="27"/>
  <c r="F29" i="27"/>
  <c r="D117" i="16"/>
  <c r="E117" i="16" s="1"/>
  <c r="G117" i="16" s="1"/>
  <c r="C58" i="16" s="1"/>
  <c r="E58" i="16" s="1"/>
  <c r="D117" i="20"/>
  <c r="E117" i="20" s="1"/>
  <c r="G117" i="20" s="1"/>
  <c r="C58" i="20" s="1"/>
  <c r="D117" i="13"/>
  <c r="E117" i="13" s="1"/>
  <c r="G117" i="13" s="1"/>
  <c r="C58" i="13" s="1"/>
  <c r="E58" i="13" s="1"/>
  <c r="F58" i="13" s="1"/>
  <c r="D117" i="9"/>
  <c r="E117" i="9" s="1"/>
  <c r="G117" i="9" s="1"/>
  <c r="C58" i="9" s="1"/>
  <c r="E58" i="9" s="1"/>
  <c r="D117" i="15"/>
  <c r="E117" i="15" s="1"/>
  <c r="G117" i="15" s="1"/>
  <c r="C58" i="15" s="1"/>
  <c r="E58" i="15" s="1"/>
  <c r="H58" i="15" s="1"/>
  <c r="D117" i="7"/>
  <c r="E117" i="7" s="1"/>
  <c r="G117" i="7" s="1"/>
  <c r="C58" i="7" s="1"/>
  <c r="E58" i="7" s="1"/>
  <c r="D117" i="19"/>
  <c r="E117" i="19" s="1"/>
  <c r="G117" i="19" s="1"/>
  <c r="C58" i="19" s="1"/>
  <c r="E58" i="19" s="1"/>
  <c r="D117" i="21"/>
  <c r="E117" i="21" s="1"/>
  <c r="G117" i="21" s="1"/>
  <c r="C58" i="21" s="1"/>
  <c r="E58" i="21" s="1"/>
  <c r="D108" i="11"/>
  <c r="E108" i="11" s="1"/>
  <c r="G108" i="11" s="1"/>
  <c r="C55" i="11" s="1"/>
  <c r="E55" i="11" s="1"/>
  <c r="D108" i="7"/>
  <c r="E108" i="7" s="1"/>
  <c r="G108" i="7" s="1"/>
  <c r="C55" i="7" s="1"/>
  <c r="E55" i="7" s="1"/>
  <c r="D108" i="18"/>
  <c r="E108" i="18" s="1"/>
  <c r="G108" i="18" s="1"/>
  <c r="C55" i="18" s="1"/>
  <c r="E55" i="18" s="1"/>
  <c r="F104" i="24"/>
  <c r="D119" i="26"/>
  <c r="E119" i="26" s="1"/>
  <c r="G119" i="26" s="1"/>
  <c r="C59" i="26" s="1"/>
  <c r="E59" i="26" s="1"/>
  <c r="F59" i="26" s="1"/>
  <c r="H17" i="25"/>
  <c r="G17" i="25"/>
  <c r="Q22" i="6"/>
  <c r="G19" i="15"/>
  <c r="C65" i="21"/>
  <c r="E63" i="5"/>
  <c r="H19" i="15"/>
  <c r="D106" i="21"/>
  <c r="E106" i="21" s="1"/>
  <c r="G106" i="21" s="1"/>
  <c r="C54" i="21" s="1"/>
  <c r="E54" i="21" s="1"/>
  <c r="D106" i="9"/>
  <c r="E106" i="9" s="1"/>
  <c r="G106" i="9" s="1"/>
  <c r="C54" i="9" s="1"/>
  <c r="E54" i="9" s="1"/>
  <c r="D106" i="17"/>
  <c r="E106" i="17" s="1"/>
  <c r="G106" i="17" s="1"/>
  <c r="C54" i="17" s="1"/>
  <c r="E54" i="17" s="1"/>
  <c r="D106" i="20"/>
  <c r="E106" i="20" s="1"/>
  <c r="G106" i="20" s="1"/>
  <c r="C54" i="20" s="1"/>
  <c r="E54" i="20" s="1"/>
  <c r="D106" i="11"/>
  <c r="E106" i="11" s="1"/>
  <c r="G106" i="11" s="1"/>
  <c r="C54" i="11" s="1"/>
  <c r="E54" i="11" s="1"/>
  <c r="D106" i="7"/>
  <c r="E106" i="7" s="1"/>
  <c r="G106" i="7" s="1"/>
  <c r="C54" i="7" s="1"/>
  <c r="E54" i="7" s="1"/>
  <c r="D106" i="18"/>
  <c r="E106" i="18" s="1"/>
  <c r="G106" i="18" s="1"/>
  <c r="C54" i="18" s="1"/>
  <c r="E54" i="18" s="1"/>
  <c r="D102" i="17"/>
  <c r="E102" i="17" s="1"/>
  <c r="G102" i="17" s="1"/>
  <c r="H19" i="13"/>
  <c r="C22" i="22"/>
  <c r="L94" i="49" s="1"/>
  <c r="D102" i="9"/>
  <c r="E102" i="9" s="1"/>
  <c r="G102" i="9" s="1"/>
  <c r="G19" i="13"/>
  <c r="Q15" i="6"/>
  <c r="D119" i="22"/>
  <c r="E119" i="22" s="1"/>
  <c r="G119" i="22" s="1"/>
  <c r="C59" i="22" s="1"/>
  <c r="E59" i="22" s="1"/>
  <c r="D119" i="10"/>
  <c r="E119" i="10" s="1"/>
  <c r="G119" i="10" s="1"/>
  <c r="C59" i="10" s="1"/>
  <c r="E59" i="10" s="1"/>
  <c r="H59" i="10" s="1"/>
  <c r="D119" i="16"/>
  <c r="E119" i="16" s="1"/>
  <c r="G119" i="16" s="1"/>
  <c r="C59" i="16" s="1"/>
  <c r="E59" i="16" s="1"/>
  <c r="D119" i="19"/>
  <c r="E119" i="19" s="1"/>
  <c r="G119" i="19" s="1"/>
  <c r="C59" i="19" s="1"/>
  <c r="E59" i="19" s="1"/>
  <c r="F59" i="19" s="1"/>
  <c r="D108" i="22"/>
  <c r="E108" i="22" s="1"/>
  <c r="G108" i="22" s="1"/>
  <c r="C55" i="22" s="1"/>
  <c r="E55" i="22" s="1"/>
  <c r="D108" i="10"/>
  <c r="E108" i="10" s="1"/>
  <c r="G108" i="10" s="1"/>
  <c r="C55" i="10" s="1"/>
  <c r="E55" i="10" s="1"/>
  <c r="D108" i="16"/>
  <c r="E108" i="16" s="1"/>
  <c r="G108" i="16" s="1"/>
  <c r="C55" i="16" s="1"/>
  <c r="E55" i="16" s="1"/>
  <c r="D108" i="19"/>
  <c r="E108" i="19" s="1"/>
  <c r="G108" i="19" s="1"/>
  <c r="C55" i="19" s="1"/>
  <c r="E55" i="19" s="1"/>
  <c r="G55" i="19" s="1"/>
  <c r="D100" i="21"/>
  <c r="E100" i="21" s="1"/>
  <c r="D100" i="11"/>
  <c r="E100" i="11" s="1"/>
  <c r="D100" i="7"/>
  <c r="D102" i="7"/>
  <c r="E102" i="7" s="1"/>
  <c r="G102" i="7" s="1"/>
  <c r="D102" i="11"/>
  <c r="E102" i="11" s="1"/>
  <c r="G102" i="11" s="1"/>
  <c r="D108" i="21"/>
  <c r="E108" i="21" s="1"/>
  <c r="G108" i="21" s="1"/>
  <c r="C55" i="21" s="1"/>
  <c r="E55" i="21" s="1"/>
  <c r="F55" i="21" s="1"/>
  <c r="D108" i="9"/>
  <c r="E108" i="9" s="1"/>
  <c r="G108" i="9" s="1"/>
  <c r="C55" i="9" s="1"/>
  <c r="E55" i="9" s="1"/>
  <c r="F55" i="9" s="1"/>
  <c r="D108" i="17"/>
  <c r="E108" i="17" s="1"/>
  <c r="G108" i="17" s="1"/>
  <c r="C55" i="17" s="1"/>
  <c r="E55" i="17" s="1"/>
  <c r="D108" i="20"/>
  <c r="E108" i="20" s="1"/>
  <c r="G108" i="20" s="1"/>
  <c r="C55" i="20" s="1"/>
  <c r="E55" i="20" s="1"/>
  <c r="C65" i="7"/>
  <c r="F15" i="18"/>
  <c r="C104" i="18"/>
  <c r="C121" i="18" s="1"/>
  <c r="C104" i="20"/>
  <c r="C121" i="20" s="1"/>
  <c r="F19" i="9"/>
  <c r="H17" i="18"/>
  <c r="F17" i="23"/>
  <c r="N17" i="23" s="1"/>
  <c r="C104" i="19"/>
  <c r="C121" i="19" s="1"/>
  <c r="F104" i="23"/>
  <c r="F104" i="26"/>
  <c r="F19" i="13"/>
  <c r="H17" i="9"/>
  <c r="Q9" i="6"/>
  <c r="C104" i="5"/>
  <c r="H19" i="25"/>
  <c r="G19" i="25"/>
  <c r="Q17" i="6"/>
  <c r="F19" i="15"/>
  <c r="C65" i="24"/>
  <c r="G19" i="9"/>
  <c r="Q16" i="6"/>
  <c r="C22" i="12"/>
  <c r="L79" i="49" s="1"/>
  <c r="D102" i="18"/>
  <c r="E102" i="18" s="1"/>
  <c r="G102" i="18" s="1"/>
  <c r="D102" i="20"/>
  <c r="E102" i="20" s="1"/>
  <c r="G102" i="20" s="1"/>
  <c r="F17" i="18"/>
  <c r="N17" i="18" s="1"/>
  <c r="Q20" i="6"/>
  <c r="F104" i="9"/>
  <c r="F121" i="9" s="1"/>
  <c r="D117" i="14"/>
  <c r="E117" i="14" s="1"/>
  <c r="G117" i="14" s="1"/>
  <c r="C58" i="14" s="1"/>
  <c r="E58" i="14" s="1"/>
  <c r="Q12" i="6"/>
  <c r="D102" i="13"/>
  <c r="E102" i="13" s="1"/>
  <c r="G102" i="13" s="1"/>
  <c r="D102" i="16"/>
  <c r="E102" i="16" s="1"/>
  <c r="G102" i="16" s="1"/>
  <c r="G17" i="9"/>
  <c r="C104" i="21"/>
  <c r="C121" i="21" s="1"/>
  <c r="C65" i="10"/>
  <c r="G17" i="18"/>
  <c r="D102" i="8"/>
  <c r="E102" i="8" s="1"/>
  <c r="G102" i="8" s="1"/>
  <c r="C104" i="11"/>
  <c r="Q27" i="6"/>
  <c r="D108" i="13"/>
  <c r="E108" i="13" s="1"/>
  <c r="G108" i="13" s="1"/>
  <c r="C55" i="13" s="1"/>
  <c r="E55" i="13" s="1"/>
  <c r="D108" i="8"/>
  <c r="E108" i="8" s="1"/>
  <c r="G108" i="8" s="1"/>
  <c r="C55" i="8" s="1"/>
  <c r="E55" i="8" s="1"/>
  <c r="D108" i="15"/>
  <c r="E108" i="15" s="1"/>
  <c r="G108" i="15" s="1"/>
  <c r="C55" i="15" s="1"/>
  <c r="E55" i="15" s="1"/>
  <c r="D108" i="14"/>
  <c r="E108" i="14" s="1"/>
  <c r="G108" i="14" s="1"/>
  <c r="C55" i="14" s="1"/>
  <c r="E55" i="14" s="1"/>
  <c r="D102" i="22"/>
  <c r="E102" i="22" s="1"/>
  <c r="G102" i="22" s="1"/>
  <c r="D102" i="15"/>
  <c r="E102" i="15" s="1"/>
  <c r="G102" i="15" s="1"/>
  <c r="D102" i="19"/>
  <c r="E102" i="19" s="1"/>
  <c r="G102" i="19" s="1"/>
  <c r="D102" i="14"/>
  <c r="E102" i="14" s="1"/>
  <c r="G102" i="14" s="1"/>
  <c r="D102" i="10"/>
  <c r="E102" i="10" s="1"/>
  <c r="G102" i="10" s="1"/>
  <c r="H15" i="18"/>
  <c r="H17" i="21"/>
  <c r="H19" i="8"/>
  <c r="G17" i="21"/>
  <c r="H19" i="26"/>
  <c r="Q25" i="6"/>
  <c r="D106" i="25"/>
  <c r="E106" i="25" s="1"/>
  <c r="G106" i="25" s="1"/>
  <c r="C54" i="25" s="1"/>
  <c r="E54" i="25" s="1"/>
  <c r="H17" i="7"/>
  <c r="H19" i="20"/>
  <c r="G19" i="8"/>
  <c r="H19" i="24"/>
  <c r="C65" i="13"/>
  <c r="Q11" i="6"/>
  <c r="Q19" i="6"/>
  <c r="G17" i="7"/>
  <c r="H17" i="23"/>
  <c r="G19" i="20"/>
  <c r="F19" i="8"/>
  <c r="G19" i="24"/>
  <c r="C104" i="7"/>
  <c r="C121" i="7" s="1"/>
  <c r="C65" i="15"/>
  <c r="Q24" i="6"/>
  <c r="Q18" i="6"/>
  <c r="C23" i="29"/>
  <c r="G16" i="30" s="1"/>
  <c r="F19" i="25"/>
  <c r="F19" i="20"/>
  <c r="H19" i="9"/>
  <c r="F19" i="24"/>
  <c r="C65" i="23"/>
  <c r="Q10" i="6"/>
  <c r="C22" i="29"/>
  <c r="G15" i="30" s="1"/>
  <c r="C104" i="23"/>
  <c r="C121" i="23" s="1"/>
  <c r="C104" i="26"/>
  <c r="E37" i="15"/>
  <c r="G43" i="27"/>
  <c r="I31" i="27"/>
  <c r="G48" i="27"/>
  <c r="I28" i="6"/>
  <c r="E41" i="25"/>
  <c r="D41" i="25" s="1"/>
  <c r="E25" i="23"/>
  <c r="D25" i="23" s="1"/>
  <c r="E21" i="34"/>
  <c r="E39" i="23"/>
  <c r="E38" i="22"/>
  <c r="D38" i="22" s="1"/>
  <c r="E38" i="21"/>
  <c r="D38" i="21" s="1"/>
  <c r="E19" i="34"/>
  <c r="E40" i="21"/>
  <c r="E41" i="13"/>
  <c r="D41" i="13" s="1"/>
  <c r="E40" i="13"/>
  <c r="D40" i="13" s="1"/>
  <c r="E17" i="34"/>
  <c r="E41" i="11"/>
  <c r="D41" i="11" s="1"/>
  <c r="E40" i="11"/>
  <c r="D40" i="11" s="1"/>
  <c r="H27" i="9"/>
  <c r="E42" i="9"/>
  <c r="D42" i="9" s="1"/>
  <c r="H28" i="8"/>
  <c r="E13" i="34"/>
  <c r="E37" i="16"/>
  <c r="G25" i="16"/>
  <c r="E11" i="34"/>
  <c r="G28" i="15"/>
  <c r="E40" i="15"/>
  <c r="D40" i="15" s="1"/>
  <c r="E9" i="34"/>
  <c r="F23" i="19"/>
  <c r="H23" i="19"/>
  <c r="E40" i="19"/>
  <c r="D40" i="19" s="1"/>
  <c r="H25" i="20"/>
  <c r="E41" i="20"/>
  <c r="D41" i="20" s="1"/>
  <c r="E6" i="34"/>
  <c r="H25" i="14"/>
  <c r="E25" i="14"/>
  <c r="D25" i="14" s="1"/>
  <c r="E41" i="14"/>
  <c r="E25" i="5"/>
  <c r="D25" i="5" s="1"/>
  <c r="D21" i="26"/>
  <c r="F21" i="26"/>
  <c r="G21" i="26"/>
  <c r="H21" i="26"/>
  <c r="D21" i="10"/>
  <c r="F21" i="10"/>
  <c r="R9" i="6"/>
  <c r="S9" i="6"/>
  <c r="H48" i="14" s="1"/>
  <c r="F19" i="14"/>
  <c r="G19" i="14"/>
  <c r="O19" i="14" s="1"/>
  <c r="D78" i="20"/>
  <c r="C9" i="20" s="1"/>
  <c r="E9" i="20" s="1"/>
  <c r="H9" i="20" s="1"/>
  <c r="C117" i="10"/>
  <c r="D117" i="10" s="1"/>
  <c r="E117" i="10" s="1"/>
  <c r="B121" i="10"/>
  <c r="F117" i="10"/>
  <c r="C117" i="26"/>
  <c r="D117" i="26" s="1"/>
  <c r="E117" i="26" s="1"/>
  <c r="F117" i="26"/>
  <c r="R21" i="6"/>
  <c r="S21" i="6"/>
  <c r="R13" i="6"/>
  <c r="S13" i="6"/>
  <c r="G48" i="15" s="1"/>
  <c r="D19" i="21"/>
  <c r="F19" i="21"/>
  <c r="H19" i="21"/>
  <c r="D17" i="11"/>
  <c r="F17" i="11"/>
  <c r="N17" i="11" s="1"/>
  <c r="H17" i="11"/>
  <c r="F17" i="19"/>
  <c r="N17" i="19" s="1"/>
  <c r="G17" i="19"/>
  <c r="H17" i="19"/>
  <c r="C22" i="13"/>
  <c r="L92" i="49" s="1"/>
  <c r="Q21" i="6"/>
  <c r="G19" i="21"/>
  <c r="D76" i="24"/>
  <c r="C8" i="24" s="1"/>
  <c r="D76" i="14"/>
  <c r="C8" i="14" s="1"/>
  <c r="E8" i="14" s="1"/>
  <c r="F8" i="14" s="1"/>
  <c r="R25" i="6"/>
  <c r="S25" i="6"/>
  <c r="F48" i="24" s="1"/>
  <c r="R17" i="6"/>
  <c r="S17" i="6"/>
  <c r="G48" i="8" s="1"/>
  <c r="BL47" i="27"/>
  <c r="BL48" i="27"/>
  <c r="K48" i="27" s="1"/>
  <c r="BL46" i="27"/>
  <c r="BL49" i="27"/>
  <c r="K49" i="27" s="1"/>
  <c r="BL52" i="27"/>
  <c r="K52" i="27" s="1"/>
  <c r="BL50" i="27"/>
  <c r="K50" i="27" s="1"/>
  <c r="BL29" i="27"/>
  <c r="BL34" i="27" s="1"/>
  <c r="K34" i="27" s="1"/>
  <c r="BL45" i="27"/>
  <c r="K45" i="27" s="1"/>
  <c r="BL43" i="27"/>
  <c r="K43" i="27" s="1"/>
  <c r="G27" i="16"/>
  <c r="E27" i="16"/>
  <c r="D27" i="16" s="1"/>
  <c r="BO51" i="27"/>
  <c r="BO50" i="27"/>
  <c r="N50" i="27" s="1"/>
  <c r="BO48" i="27"/>
  <c r="N48" i="27" s="1"/>
  <c r="BO43" i="27"/>
  <c r="BO42" i="27"/>
  <c r="N42" i="27" s="1"/>
  <c r="BO47" i="27"/>
  <c r="N47" i="27" s="1"/>
  <c r="G22" i="33"/>
  <c r="G20" i="33"/>
  <c r="G21" i="33"/>
  <c r="G25" i="33"/>
  <c r="G15" i="33"/>
  <c r="I15" i="33" s="1"/>
  <c r="X18" i="27" s="1"/>
  <c r="G16" i="33"/>
  <c r="G14" i="33"/>
  <c r="G18" i="33"/>
  <c r="D23" i="26"/>
  <c r="BN56" i="27"/>
  <c r="D110" i="5"/>
  <c r="E110" i="5" s="1"/>
  <c r="G110" i="5" s="1"/>
  <c r="E37" i="8"/>
  <c r="E37" i="11"/>
  <c r="E28" i="24"/>
  <c r="D28" i="24" s="1"/>
  <c r="E28" i="16"/>
  <c r="D28" i="16" s="1"/>
  <c r="E63" i="25"/>
  <c r="C65" i="25"/>
  <c r="E63" i="20"/>
  <c r="D63" i="20" s="1"/>
  <c r="E15" i="34"/>
  <c r="E7" i="34"/>
  <c r="G18" i="34"/>
  <c r="G10" i="34"/>
  <c r="E35" i="15"/>
  <c r="D78" i="14"/>
  <c r="C9" i="14" s="1"/>
  <c r="E10" i="12"/>
  <c r="H10" i="12" s="1"/>
  <c r="E10" i="7"/>
  <c r="H10" i="7" s="1"/>
  <c r="E10" i="23"/>
  <c r="F10" i="23" s="1"/>
  <c r="E10" i="14"/>
  <c r="E10" i="8"/>
  <c r="F10" i="8" s="1"/>
  <c r="E10" i="24"/>
  <c r="H10" i="24" s="1"/>
  <c r="E10" i="18"/>
  <c r="H10" i="18" s="1"/>
  <c r="E10" i="11"/>
  <c r="H10" i="11" s="1"/>
  <c r="E10" i="15"/>
  <c r="F10" i="15" s="1"/>
  <c r="E10" i="13"/>
  <c r="F10" i="13" s="1"/>
  <c r="E10" i="26"/>
  <c r="E10" i="9"/>
  <c r="E10" i="10"/>
  <c r="E10" i="20"/>
  <c r="F10" i="20" s="1"/>
  <c r="E10" i="25"/>
  <c r="C129" i="16"/>
  <c r="C26" i="16" s="1"/>
  <c r="C129" i="22"/>
  <c r="C26" i="22" s="1"/>
  <c r="H26" i="22" s="1"/>
  <c r="C129" i="7"/>
  <c r="C26" i="7" s="1"/>
  <c r="F26" i="7" s="1"/>
  <c r="C129" i="23"/>
  <c r="C26" i="23" s="1"/>
  <c r="H26" i="23" s="1"/>
  <c r="C129" i="5"/>
  <c r="C26" i="5" s="1"/>
  <c r="H26" i="5" s="1"/>
  <c r="C129" i="19"/>
  <c r="C26" i="19" s="1"/>
  <c r="F26" i="19" s="1"/>
  <c r="C129" i="10"/>
  <c r="C26" i="10" s="1"/>
  <c r="F26" i="10" s="1"/>
  <c r="C129" i="26"/>
  <c r="C26" i="26" s="1"/>
  <c r="F26" i="26" s="1"/>
  <c r="C129" i="18"/>
  <c r="C26" i="18" s="1"/>
  <c r="C129" i="11"/>
  <c r="C26" i="11" s="1"/>
  <c r="G26" i="11" s="1"/>
  <c r="C129" i="14"/>
  <c r="C26" i="14" s="1"/>
  <c r="F26" i="14" s="1"/>
  <c r="C129" i="24"/>
  <c r="C26" i="24" s="1"/>
  <c r="F26" i="24" s="1"/>
  <c r="C129" i="20"/>
  <c r="C26" i="20" s="1"/>
  <c r="F26" i="20" s="1"/>
  <c r="C129" i="25"/>
  <c r="C26" i="25" s="1"/>
  <c r="G26" i="25" s="1"/>
  <c r="C129" i="8"/>
  <c r="C26" i="8" s="1"/>
  <c r="F26" i="8" s="1"/>
  <c r="I113" i="6"/>
  <c r="C117" i="5"/>
  <c r="D117" i="5" s="1"/>
  <c r="E117" i="5" s="1"/>
  <c r="F117" i="5"/>
  <c r="B121" i="26"/>
  <c r="BM47" i="27"/>
  <c r="L47" i="27" s="1"/>
  <c r="D78" i="21"/>
  <c r="C9" i="21" s="1"/>
  <c r="D78" i="17"/>
  <c r="C9" i="17" s="1"/>
  <c r="E9" i="17" s="1"/>
  <c r="H9" i="17" s="1"/>
  <c r="D23" i="10"/>
  <c r="D23" i="19"/>
  <c r="D78" i="13"/>
  <c r="C9" i="13" s="1"/>
  <c r="E9" i="13" s="1"/>
  <c r="F9" i="13" s="1"/>
  <c r="D78" i="15"/>
  <c r="C9" i="15" s="1"/>
  <c r="E9" i="15" s="1"/>
  <c r="F9" i="15" s="1"/>
  <c r="H197" i="5"/>
  <c r="C22" i="25"/>
  <c r="L97" i="49" s="1"/>
  <c r="Q26" i="6"/>
  <c r="F117" i="17"/>
  <c r="C117" i="17"/>
  <c r="F117" i="11"/>
  <c r="C117" i="11"/>
  <c r="D117" i="11" s="1"/>
  <c r="E117" i="11" s="1"/>
  <c r="BL55" i="27"/>
  <c r="BL56" i="27"/>
  <c r="K56" i="27" s="1"/>
  <c r="C65" i="9"/>
  <c r="D110" i="11"/>
  <c r="E110" i="11" s="1"/>
  <c r="G110" i="11" s="1"/>
  <c r="C56" i="11" s="1"/>
  <c r="E56" i="11" s="1"/>
  <c r="D110" i="7"/>
  <c r="E110" i="7" s="1"/>
  <c r="G110" i="7" s="1"/>
  <c r="C56" i="7" s="1"/>
  <c r="E56" i="7" s="1"/>
  <c r="D110" i="18"/>
  <c r="E110" i="18" s="1"/>
  <c r="G110" i="18" s="1"/>
  <c r="C56" i="18" s="1"/>
  <c r="E56" i="18" s="1"/>
  <c r="D101" i="17"/>
  <c r="E101" i="17" s="1"/>
  <c r="G101" i="17" s="1"/>
  <c r="E16" i="11"/>
  <c r="D16" i="11" s="1"/>
  <c r="P28" i="6"/>
  <c r="C22" i="5"/>
  <c r="L78" i="49" s="1"/>
  <c r="S22" i="6"/>
  <c r="G48" i="21" s="1"/>
  <c r="R22" i="6"/>
  <c r="S14" i="6"/>
  <c r="R14" i="6"/>
  <c r="E16" i="7"/>
  <c r="D16" i="7" s="1"/>
  <c r="C130" i="18"/>
  <c r="C27" i="18" s="1"/>
  <c r="F27" i="18" s="1"/>
  <c r="C130" i="11"/>
  <c r="C27" i="11" s="1"/>
  <c r="G27" i="11" s="1"/>
  <c r="C130" i="15"/>
  <c r="C27" i="15" s="1"/>
  <c r="F27" i="15" s="1"/>
  <c r="C130" i="13"/>
  <c r="C27" i="13" s="1"/>
  <c r="H27" i="13" s="1"/>
  <c r="C130" i="7"/>
  <c r="C27" i="7" s="1"/>
  <c r="F27" i="7" s="1"/>
  <c r="C130" i="23"/>
  <c r="C27" i="23" s="1"/>
  <c r="C130" i="14"/>
  <c r="C27" i="14" s="1"/>
  <c r="H27" i="14" s="1"/>
  <c r="C130" i="8"/>
  <c r="C27" i="8" s="1"/>
  <c r="F27" i="8" s="1"/>
  <c r="C130" i="24"/>
  <c r="C27" i="24" s="1"/>
  <c r="H27" i="24" s="1"/>
  <c r="E16" i="20"/>
  <c r="F16" i="20" s="1"/>
  <c r="F117" i="22"/>
  <c r="C117" i="22"/>
  <c r="D117" i="22" s="1"/>
  <c r="E117" i="22" s="1"/>
  <c r="F104" i="5"/>
  <c r="B66" i="31"/>
  <c r="B67" i="31"/>
  <c r="D110" i="21"/>
  <c r="E110" i="21" s="1"/>
  <c r="G110" i="21" s="1"/>
  <c r="C56" i="21" s="1"/>
  <c r="E56" i="21" s="1"/>
  <c r="D56" i="21" s="1"/>
  <c r="D110" i="9"/>
  <c r="E110" i="9" s="1"/>
  <c r="G110" i="9" s="1"/>
  <c r="C56" i="9" s="1"/>
  <c r="E56" i="9" s="1"/>
  <c r="D56" i="9" s="1"/>
  <c r="D110" i="17"/>
  <c r="E110" i="17" s="1"/>
  <c r="G110" i="17" s="1"/>
  <c r="C56" i="17" s="1"/>
  <c r="E56" i="17" s="1"/>
  <c r="D110" i="20"/>
  <c r="E110" i="20" s="1"/>
  <c r="G110" i="20" s="1"/>
  <c r="C56" i="20" s="1"/>
  <c r="E56" i="20" s="1"/>
  <c r="D56" i="20" s="1"/>
  <c r="E16" i="25"/>
  <c r="D16" i="25" s="1"/>
  <c r="F42" i="27"/>
  <c r="G42" i="27"/>
  <c r="G49" i="27"/>
  <c r="I48" i="27"/>
  <c r="I43" i="27"/>
  <c r="F41" i="27"/>
  <c r="H55" i="27"/>
  <c r="D119" i="21"/>
  <c r="E119" i="21" s="1"/>
  <c r="G119" i="21" s="1"/>
  <c r="C59" i="21" s="1"/>
  <c r="E59" i="21" s="1"/>
  <c r="D119" i="9"/>
  <c r="E119" i="9" s="1"/>
  <c r="G119" i="9" s="1"/>
  <c r="C59" i="9" s="1"/>
  <c r="E59" i="9" s="1"/>
  <c r="D119" i="17"/>
  <c r="E119" i="17" s="1"/>
  <c r="G119" i="17" s="1"/>
  <c r="C59" i="17" s="1"/>
  <c r="E59" i="17" s="1"/>
  <c r="D59" i="17" s="1"/>
  <c r="D119" i="20"/>
  <c r="E119" i="20" s="1"/>
  <c r="G119" i="20" s="1"/>
  <c r="C59" i="20" s="1"/>
  <c r="E59" i="20" s="1"/>
  <c r="D110" i="22"/>
  <c r="E110" i="22" s="1"/>
  <c r="G110" i="22" s="1"/>
  <c r="C56" i="22" s="1"/>
  <c r="E56" i="22" s="1"/>
  <c r="D110" i="10"/>
  <c r="E110" i="10" s="1"/>
  <c r="G110" i="10" s="1"/>
  <c r="C56" i="10" s="1"/>
  <c r="E56" i="10" s="1"/>
  <c r="D110" i="16"/>
  <c r="E110" i="16" s="1"/>
  <c r="G110" i="16" s="1"/>
  <c r="C56" i="16" s="1"/>
  <c r="E56" i="16" s="1"/>
  <c r="D110" i="19"/>
  <c r="E110" i="19" s="1"/>
  <c r="G110" i="19" s="1"/>
  <c r="C56" i="19" s="1"/>
  <c r="E56" i="19" s="1"/>
  <c r="D106" i="13"/>
  <c r="E106" i="13" s="1"/>
  <c r="G106" i="13" s="1"/>
  <c r="C54" i="13" s="1"/>
  <c r="E54" i="13" s="1"/>
  <c r="D106" i="8"/>
  <c r="E106" i="8" s="1"/>
  <c r="G106" i="8" s="1"/>
  <c r="C54" i="8" s="1"/>
  <c r="E54" i="8" s="1"/>
  <c r="D106" i="15"/>
  <c r="E106" i="15" s="1"/>
  <c r="G106" i="15" s="1"/>
  <c r="C54" i="15" s="1"/>
  <c r="D106" i="14"/>
  <c r="E106" i="14" s="1"/>
  <c r="G106" i="14" s="1"/>
  <c r="C54" i="14" s="1"/>
  <c r="E54" i="14" s="1"/>
  <c r="D100" i="17"/>
  <c r="E100" i="17" s="1"/>
  <c r="D100" i="18"/>
  <c r="D100" i="20"/>
  <c r="E100" i="20" s="1"/>
  <c r="E21" i="21"/>
  <c r="E21" i="17"/>
  <c r="E18" i="22"/>
  <c r="F18" i="22" s="1"/>
  <c r="E18" i="16"/>
  <c r="D18" i="16" s="1"/>
  <c r="E16" i="10"/>
  <c r="D16" i="10" s="1"/>
  <c r="E16" i="19"/>
  <c r="F16" i="19" s="1"/>
  <c r="E8" i="26"/>
  <c r="F8" i="26" s="1"/>
  <c r="E8" i="10"/>
  <c r="G8" i="10" s="1"/>
  <c r="E8" i="19"/>
  <c r="F8" i="19" s="1"/>
  <c r="N20" i="27"/>
  <c r="M32" i="27"/>
  <c r="K15" i="27"/>
  <c r="F104" i="12"/>
  <c r="F121" i="12" s="1"/>
  <c r="C104" i="25"/>
  <c r="C121" i="25" s="1"/>
  <c r="S24" i="6"/>
  <c r="F48" i="23" s="1"/>
  <c r="R24" i="6"/>
  <c r="S16" i="6"/>
  <c r="G48" i="7" s="1"/>
  <c r="R16" i="6"/>
  <c r="S8" i="6"/>
  <c r="E48" i="12" s="1"/>
  <c r="R8" i="6"/>
  <c r="E25" i="21"/>
  <c r="D25" i="21" s="1"/>
  <c r="E25" i="17"/>
  <c r="D25" i="17" s="1"/>
  <c r="E21" i="13"/>
  <c r="E21" i="15"/>
  <c r="E18" i="21"/>
  <c r="D18" i="21" s="1"/>
  <c r="E18" i="17"/>
  <c r="D18" i="17" s="1"/>
  <c r="E8" i="25"/>
  <c r="F8" i="25" s="1"/>
  <c r="E8" i="9"/>
  <c r="G8" i="9" s="1"/>
  <c r="E8" i="20"/>
  <c r="H8" i="20" s="1"/>
  <c r="F104" i="25"/>
  <c r="F121" i="25" s="1"/>
  <c r="R23" i="6"/>
  <c r="S23" i="6"/>
  <c r="R15" i="6"/>
  <c r="S15" i="6"/>
  <c r="G48" i="16" s="1"/>
  <c r="D119" i="11"/>
  <c r="E119" i="11" s="1"/>
  <c r="G119" i="11" s="1"/>
  <c r="C59" i="11" s="1"/>
  <c r="E59" i="11" s="1"/>
  <c r="D119" i="7"/>
  <c r="E119" i="7" s="1"/>
  <c r="G119" i="7" s="1"/>
  <c r="C59" i="7" s="1"/>
  <c r="E59" i="7" s="1"/>
  <c r="D119" i="18"/>
  <c r="E119" i="18" s="1"/>
  <c r="G119" i="18" s="1"/>
  <c r="C59" i="18" s="1"/>
  <c r="E59" i="18" s="1"/>
  <c r="D110" i="13"/>
  <c r="E110" i="13" s="1"/>
  <c r="G110" i="13" s="1"/>
  <c r="C56" i="13" s="1"/>
  <c r="E56" i="13" s="1"/>
  <c r="D110" i="8"/>
  <c r="E110" i="8" s="1"/>
  <c r="G110" i="8" s="1"/>
  <c r="C56" i="8" s="1"/>
  <c r="E56" i="8" s="1"/>
  <c r="D110" i="15"/>
  <c r="E110" i="15" s="1"/>
  <c r="G110" i="15" s="1"/>
  <c r="C56" i="15" s="1"/>
  <c r="E56" i="15" s="1"/>
  <c r="D110" i="14"/>
  <c r="E110" i="14" s="1"/>
  <c r="G110" i="14" s="1"/>
  <c r="C56" i="14" s="1"/>
  <c r="E56" i="14" s="1"/>
  <c r="F56" i="14" s="1"/>
  <c r="D106" i="22"/>
  <c r="E106" i="22" s="1"/>
  <c r="G106" i="22" s="1"/>
  <c r="C54" i="22" s="1"/>
  <c r="E54" i="22" s="1"/>
  <c r="G54" i="22" s="1"/>
  <c r="D106" i="10"/>
  <c r="E106" i="10" s="1"/>
  <c r="G106" i="10" s="1"/>
  <c r="C54" i="10" s="1"/>
  <c r="E54" i="10" s="1"/>
  <c r="G54" i="10" s="1"/>
  <c r="D106" i="16"/>
  <c r="E106" i="16" s="1"/>
  <c r="G106" i="16" s="1"/>
  <c r="C54" i="16" s="1"/>
  <c r="E54" i="16" s="1"/>
  <c r="D54" i="16" s="1"/>
  <c r="D106" i="19"/>
  <c r="E106" i="19" s="1"/>
  <c r="G106" i="19" s="1"/>
  <c r="C54" i="19" s="1"/>
  <c r="E54" i="19" s="1"/>
  <c r="H54" i="19" s="1"/>
  <c r="D100" i="22"/>
  <c r="E100" i="22" s="1"/>
  <c r="D100" i="15"/>
  <c r="D100" i="19"/>
  <c r="E100" i="19" s="1"/>
  <c r="E21" i="25"/>
  <c r="E21" i="20"/>
  <c r="E18" i="26"/>
  <c r="G18" i="26" s="1"/>
  <c r="E18" i="10"/>
  <c r="G18" i="10" s="1"/>
  <c r="E18" i="19"/>
  <c r="F18" i="19" s="1"/>
  <c r="E16" i="16"/>
  <c r="H16" i="16" s="1"/>
  <c r="E8" i="22"/>
  <c r="G8" i="22" s="1"/>
  <c r="E8" i="16"/>
  <c r="G8" i="16" s="1"/>
  <c r="E16" i="12"/>
  <c r="H16" i="12" s="1"/>
  <c r="M11" i="27"/>
  <c r="L14" i="27"/>
  <c r="K24" i="27"/>
  <c r="R7" i="6"/>
  <c r="S7" i="6"/>
  <c r="S20" i="6"/>
  <c r="R20" i="6"/>
  <c r="S12" i="6"/>
  <c r="F48" i="18" s="1"/>
  <c r="R12" i="6"/>
  <c r="E25" i="25"/>
  <c r="D25" i="25" s="1"/>
  <c r="E25" i="9"/>
  <c r="D25" i="9" s="1"/>
  <c r="E25" i="20"/>
  <c r="D25" i="20" s="1"/>
  <c r="E21" i="24"/>
  <c r="E21" i="8"/>
  <c r="E18" i="25"/>
  <c r="D18" i="25" s="1"/>
  <c r="E18" i="9"/>
  <c r="F18" i="9" s="1"/>
  <c r="E18" i="20"/>
  <c r="F18" i="20" s="1"/>
  <c r="E16" i="21"/>
  <c r="D16" i="21" s="1"/>
  <c r="E16" i="17"/>
  <c r="D16" i="17" s="1"/>
  <c r="E8" i="21"/>
  <c r="F8" i="21" s="1"/>
  <c r="E8" i="17"/>
  <c r="F8" i="17" s="1"/>
  <c r="C104" i="24"/>
  <c r="C121" i="24" s="1"/>
  <c r="R27" i="6"/>
  <c r="S27" i="6"/>
  <c r="G48" i="26" s="1"/>
  <c r="R19" i="6"/>
  <c r="S19" i="6"/>
  <c r="G48" i="10" s="1"/>
  <c r="R11" i="6"/>
  <c r="S11" i="6"/>
  <c r="H48" i="19" s="1"/>
  <c r="B121" i="23"/>
  <c r="S26" i="6"/>
  <c r="R26" i="6"/>
  <c r="S18" i="6"/>
  <c r="F48" i="9" s="1"/>
  <c r="R18" i="6"/>
  <c r="S10" i="6"/>
  <c r="G48" i="20" s="1"/>
  <c r="R10" i="6"/>
  <c r="F56" i="27"/>
  <c r="F50" i="27"/>
  <c r="F49" i="27"/>
  <c r="F48" i="27"/>
  <c r="F46" i="27"/>
  <c r="F43" i="27"/>
  <c r="G10" i="21"/>
  <c r="E20" i="5"/>
  <c r="E16" i="26"/>
  <c r="H16" i="26" s="1"/>
  <c r="E16" i="23"/>
  <c r="D16" i="23" s="1"/>
  <c r="E18" i="5"/>
  <c r="E15" i="5"/>
  <c r="E9" i="5"/>
  <c r="H9" i="5" s="1"/>
  <c r="E7" i="5"/>
  <c r="F7" i="5" s="1"/>
  <c r="D115" i="14"/>
  <c r="E115" i="14" s="1"/>
  <c r="G115" i="14" s="1"/>
  <c r="D97" i="20"/>
  <c r="E97" i="20" s="1"/>
  <c r="G97" i="20" s="1"/>
  <c r="D115" i="20"/>
  <c r="E115" i="20" s="1"/>
  <c r="G115" i="20" s="1"/>
  <c r="D115" i="19"/>
  <c r="E115" i="19" s="1"/>
  <c r="G115" i="19" s="1"/>
  <c r="D96" i="12"/>
  <c r="E96" i="12" s="1"/>
  <c r="G96" i="12" s="1"/>
  <c r="D95" i="5"/>
  <c r="E95" i="5" s="1"/>
  <c r="G95" i="5" s="1"/>
  <c r="D96" i="5"/>
  <c r="E96" i="5" s="1"/>
  <c r="G96" i="5" s="1"/>
  <c r="D101" i="5"/>
  <c r="E101" i="5" s="1"/>
  <c r="G101" i="5" s="1"/>
  <c r="D102" i="5"/>
  <c r="E102" i="5" s="1"/>
  <c r="G102" i="5" s="1"/>
  <c r="D103" i="5"/>
  <c r="E103" i="5" s="1"/>
  <c r="G103" i="5" s="1"/>
  <c r="D115" i="5"/>
  <c r="E115" i="5" s="1"/>
  <c r="G115" i="5" s="1"/>
  <c r="C57" i="5" s="1"/>
  <c r="E57" i="5" s="1"/>
  <c r="D119" i="5"/>
  <c r="E119" i="5" s="1"/>
  <c r="G119" i="5" s="1"/>
  <c r="D106" i="23"/>
  <c r="E106" i="23" s="1"/>
  <c r="G106" i="23" s="1"/>
  <c r="C54" i="23" s="1"/>
  <c r="E54" i="23" s="1"/>
  <c r="D108" i="23"/>
  <c r="E108" i="23" s="1"/>
  <c r="G108" i="23" s="1"/>
  <c r="C55" i="23" s="1"/>
  <c r="E55" i="23" s="1"/>
  <c r="H55" i="23" s="1"/>
  <c r="D110" i="23"/>
  <c r="E110" i="23" s="1"/>
  <c r="G110" i="23" s="1"/>
  <c r="D115" i="23"/>
  <c r="E115" i="23" s="1"/>
  <c r="G115" i="23" s="1"/>
  <c r="C57" i="23" s="1"/>
  <c r="E57" i="23" s="1"/>
  <c r="G57" i="23" s="1"/>
  <c r="D117" i="23"/>
  <c r="E117" i="23" s="1"/>
  <c r="D102" i="24"/>
  <c r="E102" i="24" s="1"/>
  <c r="G102" i="24" s="1"/>
  <c r="D119" i="24"/>
  <c r="E119" i="24" s="1"/>
  <c r="G119" i="24" s="1"/>
  <c r="C59" i="24" s="1"/>
  <c r="E59" i="24" s="1"/>
  <c r="D117" i="25"/>
  <c r="E117" i="25" s="1"/>
  <c r="G117" i="25" s="1"/>
  <c r="C58" i="25" s="1"/>
  <c r="E58" i="25" s="1"/>
  <c r="D106" i="26"/>
  <c r="E106" i="26" s="1"/>
  <c r="G106" i="26" s="1"/>
  <c r="C54" i="26" s="1"/>
  <c r="E54" i="26" s="1"/>
  <c r="H54" i="26" s="1"/>
  <c r="D108" i="26"/>
  <c r="E108" i="26" s="1"/>
  <c r="G108" i="26" s="1"/>
  <c r="C55" i="26" s="1"/>
  <c r="E55" i="26" s="1"/>
  <c r="D110" i="26"/>
  <c r="E110" i="26" s="1"/>
  <c r="G110" i="26" s="1"/>
  <c r="C56" i="26" s="1"/>
  <c r="E56" i="26" s="1"/>
  <c r="D115" i="26"/>
  <c r="E115" i="26" s="1"/>
  <c r="G115" i="26" s="1"/>
  <c r="C57" i="26" s="1"/>
  <c r="E57" i="26" s="1"/>
  <c r="H19" i="14"/>
  <c r="D97" i="19"/>
  <c r="E97" i="19" s="1"/>
  <c r="G97" i="19" s="1"/>
  <c r="D97" i="18"/>
  <c r="E97" i="18" s="1"/>
  <c r="G97" i="18" s="1"/>
  <c r="D115" i="18"/>
  <c r="E115" i="18" s="1"/>
  <c r="G115" i="18" s="1"/>
  <c r="C57" i="18" s="1"/>
  <c r="E57" i="18" s="1"/>
  <c r="D57" i="18" s="1"/>
  <c r="D97" i="15"/>
  <c r="E97" i="15" s="1"/>
  <c r="G97" i="15" s="1"/>
  <c r="D115" i="15"/>
  <c r="E115" i="15" s="1"/>
  <c r="G115" i="15" s="1"/>
  <c r="D97" i="17"/>
  <c r="E97" i="17" s="1"/>
  <c r="G97" i="17" s="1"/>
  <c r="D115" i="17"/>
  <c r="E115" i="17" s="1"/>
  <c r="G115" i="17" s="1"/>
  <c r="D97" i="16"/>
  <c r="E97" i="16" s="1"/>
  <c r="G97" i="16" s="1"/>
  <c r="D115" i="16"/>
  <c r="E115" i="16" s="1"/>
  <c r="G115" i="16" s="1"/>
  <c r="D97" i="7"/>
  <c r="E97" i="7" s="1"/>
  <c r="G97" i="7" s="1"/>
  <c r="D115" i="7"/>
  <c r="E115" i="7" s="1"/>
  <c r="G115" i="7" s="1"/>
  <c r="D97" i="8"/>
  <c r="E97" i="8" s="1"/>
  <c r="G97" i="8" s="1"/>
  <c r="D115" i="8"/>
  <c r="E115" i="8" s="1"/>
  <c r="G115" i="8" s="1"/>
  <c r="D97" i="9"/>
  <c r="E97" i="9" s="1"/>
  <c r="G97" i="9" s="1"/>
  <c r="C52" i="9" s="1"/>
  <c r="D115" i="9"/>
  <c r="E115" i="9" s="1"/>
  <c r="G115" i="9" s="1"/>
  <c r="D97" i="10"/>
  <c r="E97" i="10" s="1"/>
  <c r="G97" i="10" s="1"/>
  <c r="D115" i="10"/>
  <c r="E115" i="10" s="1"/>
  <c r="G115" i="10" s="1"/>
  <c r="D97" i="11"/>
  <c r="E97" i="11" s="1"/>
  <c r="G97" i="11" s="1"/>
  <c r="D115" i="11"/>
  <c r="E115" i="11" s="1"/>
  <c r="G115" i="11" s="1"/>
  <c r="C57" i="11" s="1"/>
  <c r="E57" i="11" s="1"/>
  <c r="D97" i="13"/>
  <c r="E97" i="13" s="1"/>
  <c r="G97" i="13" s="1"/>
  <c r="D115" i="13"/>
  <c r="E115" i="13" s="1"/>
  <c r="G115" i="13" s="1"/>
  <c r="D97" i="21"/>
  <c r="E97" i="21" s="1"/>
  <c r="G97" i="21" s="1"/>
  <c r="D102" i="21"/>
  <c r="D115" i="21"/>
  <c r="E115" i="21" s="1"/>
  <c r="G115" i="21" s="1"/>
  <c r="D97" i="22"/>
  <c r="E97" i="22" s="1"/>
  <c r="G97" i="22" s="1"/>
  <c r="D115" i="22"/>
  <c r="E115" i="22" s="1"/>
  <c r="G115" i="22" s="1"/>
  <c r="D95" i="12"/>
  <c r="E95" i="12" s="1"/>
  <c r="D100" i="12"/>
  <c r="E100" i="12" s="1"/>
  <c r="D101" i="12"/>
  <c r="E101" i="12" s="1"/>
  <c r="G101" i="12" s="1"/>
  <c r="D102" i="12"/>
  <c r="E102" i="12" s="1"/>
  <c r="G102" i="12" s="1"/>
  <c r="D103" i="12"/>
  <c r="E103" i="12" s="1"/>
  <c r="G103" i="12" s="1"/>
  <c r="D106" i="12"/>
  <c r="E106" i="12" s="1"/>
  <c r="G106" i="12" s="1"/>
  <c r="C54" i="12" s="1"/>
  <c r="E54" i="12" s="1"/>
  <c r="G54" i="12" s="1"/>
  <c r="D108" i="12"/>
  <c r="E108" i="12" s="1"/>
  <c r="G108" i="12" s="1"/>
  <c r="C55" i="12" s="1"/>
  <c r="D110" i="12"/>
  <c r="E110" i="12" s="1"/>
  <c r="G110" i="12" s="1"/>
  <c r="C56" i="12" s="1"/>
  <c r="E56" i="12" s="1"/>
  <c r="D119" i="12"/>
  <c r="E119" i="12" s="1"/>
  <c r="G119" i="12" s="1"/>
  <c r="C59" i="12" s="1"/>
  <c r="D97" i="12"/>
  <c r="E97" i="12" s="1"/>
  <c r="D115" i="12"/>
  <c r="E115" i="12" s="1"/>
  <c r="G115" i="12" s="1"/>
  <c r="D106" i="5"/>
  <c r="E106" i="5" s="1"/>
  <c r="G106" i="5" s="1"/>
  <c r="C55" i="5" s="1"/>
  <c r="D108" i="5"/>
  <c r="E108" i="5" s="1"/>
  <c r="G108" i="5" s="1"/>
  <c r="C56" i="5" s="1"/>
  <c r="D102" i="23"/>
  <c r="E102" i="23" s="1"/>
  <c r="G102" i="23" s="1"/>
  <c r="D119" i="23"/>
  <c r="E119" i="23" s="1"/>
  <c r="G119" i="23" s="1"/>
  <c r="C59" i="23" s="1"/>
  <c r="E59" i="23" s="1"/>
  <c r="D106" i="24"/>
  <c r="E106" i="24" s="1"/>
  <c r="G106" i="24" s="1"/>
  <c r="C54" i="24" s="1"/>
  <c r="E54" i="24" s="1"/>
  <c r="D108" i="24"/>
  <c r="E108" i="24" s="1"/>
  <c r="G108" i="24" s="1"/>
  <c r="C55" i="24" s="1"/>
  <c r="E55" i="24" s="1"/>
  <c r="D110" i="24"/>
  <c r="E110" i="24" s="1"/>
  <c r="G110" i="24" s="1"/>
  <c r="C56" i="24" s="1"/>
  <c r="E56" i="24" s="1"/>
  <c r="D115" i="24"/>
  <c r="E115" i="24" s="1"/>
  <c r="G115" i="24" s="1"/>
  <c r="C57" i="24" s="1"/>
  <c r="D117" i="24"/>
  <c r="E117" i="24" s="1"/>
  <c r="D102" i="25"/>
  <c r="E102" i="25" s="1"/>
  <c r="G102" i="25" s="1"/>
  <c r="D108" i="25"/>
  <c r="E108" i="25" s="1"/>
  <c r="G108" i="25" s="1"/>
  <c r="C55" i="25" s="1"/>
  <c r="E55" i="25" s="1"/>
  <c r="D110" i="25"/>
  <c r="E110" i="25" s="1"/>
  <c r="G110" i="25" s="1"/>
  <c r="C56" i="25" s="1"/>
  <c r="E56" i="25" s="1"/>
  <c r="G56" i="25" s="1"/>
  <c r="D115" i="25"/>
  <c r="E115" i="25" s="1"/>
  <c r="G115" i="25" s="1"/>
  <c r="C57" i="25" s="1"/>
  <c r="E57" i="25" s="1"/>
  <c r="D119" i="25"/>
  <c r="E119" i="25" s="1"/>
  <c r="G119" i="25" s="1"/>
  <c r="C59" i="25" s="1"/>
  <c r="E59" i="25" s="1"/>
  <c r="D97" i="26"/>
  <c r="E97" i="26" s="1"/>
  <c r="G97" i="26" s="1"/>
  <c r="D102" i="26"/>
  <c r="E102" i="26" s="1"/>
  <c r="G102" i="26" s="1"/>
  <c r="C65" i="26"/>
  <c r="C65" i="11"/>
  <c r="C65" i="17"/>
  <c r="E64" i="18"/>
  <c r="D64" i="18" s="1"/>
  <c r="C65" i="18"/>
  <c r="E64" i="5"/>
  <c r="C65" i="5"/>
  <c r="E64" i="12"/>
  <c r="D64" i="12" s="1"/>
  <c r="E35" i="5"/>
  <c r="D35" i="5" s="1"/>
  <c r="G4" i="34"/>
  <c r="E60" i="16"/>
  <c r="N17" i="20"/>
  <c r="N17" i="7"/>
  <c r="N17" i="9"/>
  <c r="N17" i="21"/>
  <c r="N17" i="25"/>
  <c r="C140" i="9"/>
  <c r="B31" i="12"/>
  <c r="M41" i="27"/>
  <c r="N31" i="27"/>
  <c r="M30" i="27"/>
  <c r="M24" i="27"/>
  <c r="M19" i="27"/>
  <c r="M15" i="27"/>
  <c r="M8" i="27"/>
  <c r="L25" i="27"/>
  <c r="L20" i="27"/>
  <c r="L10" i="27"/>
  <c r="K8" i="27"/>
  <c r="E23" i="5"/>
  <c r="E60" i="26"/>
  <c r="E60" i="24"/>
  <c r="D60" i="24" s="1"/>
  <c r="G25" i="26"/>
  <c r="E25" i="26"/>
  <c r="D25" i="26" s="1"/>
  <c r="H25" i="26"/>
  <c r="G25" i="24"/>
  <c r="H25" i="24"/>
  <c r="G25" i="11"/>
  <c r="E25" i="11"/>
  <c r="D25" i="11" s="1"/>
  <c r="H25" i="11"/>
  <c r="G25" i="15"/>
  <c r="H25" i="15"/>
  <c r="G25" i="19"/>
  <c r="E25" i="19"/>
  <c r="D25" i="19" s="1"/>
  <c r="H25" i="19"/>
  <c r="E60" i="25"/>
  <c r="G25" i="13"/>
  <c r="H25" i="13"/>
  <c r="E25" i="10"/>
  <c r="D25" i="10" s="1"/>
  <c r="H25" i="10"/>
  <c r="G25" i="10"/>
  <c r="G25" i="8"/>
  <c r="H25" i="8"/>
  <c r="H25" i="18"/>
  <c r="G25" i="18"/>
  <c r="E25" i="18"/>
  <c r="D25" i="18" s="1"/>
  <c r="D17" i="15"/>
  <c r="G17" i="15"/>
  <c r="F17" i="15"/>
  <c r="N17" i="15" s="1"/>
  <c r="H17" i="15"/>
  <c r="E64" i="17"/>
  <c r="D64" i="17" s="1"/>
  <c r="C43" i="29"/>
  <c r="E4" i="34"/>
  <c r="D17" i="13"/>
  <c r="G17" i="13"/>
  <c r="F17" i="13"/>
  <c r="N17" i="13" s="1"/>
  <c r="H17" i="13"/>
  <c r="H6" i="17"/>
  <c r="F6" i="17"/>
  <c r="H9" i="11"/>
  <c r="G9" i="11"/>
  <c r="E64" i="11"/>
  <c r="D64" i="11" s="1"/>
  <c r="C104" i="12"/>
  <c r="D100" i="26"/>
  <c r="D97" i="25"/>
  <c r="D100" i="25"/>
  <c r="D97" i="24"/>
  <c r="F117" i="24"/>
  <c r="D100" i="24"/>
  <c r="D97" i="23"/>
  <c r="F117" i="23"/>
  <c r="D100" i="23"/>
  <c r="D97" i="5"/>
  <c r="D100" i="5"/>
  <c r="E41" i="5"/>
  <c r="D41" i="5" s="1"/>
  <c r="C26" i="29"/>
  <c r="G19" i="30" s="1"/>
  <c r="E41" i="12"/>
  <c r="C44" i="29"/>
  <c r="C42" i="29"/>
  <c r="E39" i="12"/>
  <c r="C40" i="29"/>
  <c r="E37" i="12"/>
  <c r="E5" i="34"/>
  <c r="E28" i="12"/>
  <c r="D28" i="12" s="1"/>
  <c r="H28" i="12"/>
  <c r="C31" i="29"/>
  <c r="G24" i="30" s="1"/>
  <c r="G28" i="12"/>
  <c r="E26" i="12"/>
  <c r="D26" i="12" s="1"/>
  <c r="H26" i="12"/>
  <c r="C45" i="29"/>
  <c r="E42" i="12"/>
  <c r="C41" i="29"/>
  <c r="E38" i="12"/>
  <c r="D38" i="12" s="1"/>
  <c r="G5" i="34"/>
  <c r="C38" i="29"/>
  <c r="G29" i="30" s="1"/>
  <c r="E35" i="12"/>
  <c r="E63" i="23"/>
  <c r="E63" i="11"/>
  <c r="AB28" i="6"/>
  <c r="E63" i="7"/>
  <c r="E63" i="18"/>
  <c r="E63" i="12"/>
  <c r="C65" i="12"/>
  <c r="E60" i="22"/>
  <c r="E25" i="22"/>
  <c r="D25" i="22" s="1"/>
  <c r="G25" i="22"/>
  <c r="C104" i="17"/>
  <c r="C97" i="14"/>
  <c r="D97" i="14" s="1"/>
  <c r="E97" i="14" s="1"/>
  <c r="G97" i="14" s="1"/>
  <c r="C52" i="14" s="1"/>
  <c r="E60" i="12"/>
  <c r="E20" i="12"/>
  <c r="F20" i="12" s="1"/>
  <c r="E18" i="12"/>
  <c r="G18" i="12" s="1"/>
  <c r="C21" i="29"/>
  <c r="G14" i="30" s="1"/>
  <c r="G15" i="26"/>
  <c r="B121" i="22"/>
  <c r="F104" i="13"/>
  <c r="F9" i="11"/>
  <c r="F104" i="10"/>
  <c r="G21" i="10"/>
  <c r="H25" i="7"/>
  <c r="E25" i="7"/>
  <c r="D25" i="7" s="1"/>
  <c r="C28" i="29"/>
  <c r="G21" i="30" s="1"/>
  <c r="E60" i="7"/>
  <c r="H9" i="7"/>
  <c r="F9" i="7"/>
  <c r="G9" i="7"/>
  <c r="E15" i="19"/>
  <c r="C18" i="29"/>
  <c r="G11" i="30" s="1"/>
  <c r="F104" i="14"/>
  <c r="F121" i="14" s="1"/>
  <c r="F17" i="14"/>
  <c r="N17" i="14" s="1"/>
  <c r="H17" i="14"/>
  <c r="G17" i="14"/>
  <c r="D17" i="14"/>
  <c r="C58" i="5"/>
  <c r="E58" i="5" s="1"/>
  <c r="E21" i="5"/>
  <c r="D21" i="5" s="1"/>
  <c r="C24" i="29"/>
  <c r="G17" i="30" s="1"/>
  <c r="E16" i="5"/>
  <c r="C19" i="29"/>
  <c r="G12" i="30" s="1"/>
  <c r="H14" i="33"/>
  <c r="H23" i="33"/>
  <c r="I23" i="33" s="1"/>
  <c r="H25" i="33"/>
  <c r="H20" i="33"/>
  <c r="I20" i="33" s="1"/>
  <c r="H19" i="33"/>
  <c r="I19" i="33" s="1"/>
  <c r="H24" i="33"/>
  <c r="I24" i="33" s="1"/>
  <c r="H22" i="33"/>
  <c r="C104" i="15"/>
  <c r="C121" i="15" s="1"/>
  <c r="BM55" i="27"/>
  <c r="L55" i="27" s="1"/>
  <c r="BM56" i="27"/>
  <c r="L56" i="27" s="1"/>
  <c r="H21" i="33"/>
  <c r="H18" i="33"/>
  <c r="I18" i="33" s="1"/>
  <c r="H17" i="33"/>
  <c r="I17" i="33" s="1"/>
  <c r="H16" i="33"/>
  <c r="E14" i="33"/>
  <c r="F14" i="33" s="1"/>
  <c r="E21" i="33"/>
  <c r="E22" i="33"/>
  <c r="E23" i="33"/>
  <c r="F23" i="33" s="1"/>
  <c r="E20" i="33"/>
  <c r="F20" i="33" s="1"/>
  <c r="E16" i="33"/>
  <c r="F16" i="33" s="1"/>
  <c r="E17" i="33"/>
  <c r="F17" i="33" s="1"/>
  <c r="E18" i="33"/>
  <c r="F18" i="33" s="1"/>
  <c r="E15" i="33"/>
  <c r="F15" i="33" s="1"/>
  <c r="E19" i="33"/>
  <c r="E25" i="33"/>
  <c r="F25" i="33" s="1"/>
  <c r="C104" i="22"/>
  <c r="C104" i="16"/>
  <c r="C121" i="16" s="1"/>
  <c r="BO29" i="27"/>
  <c r="BO34" i="27" s="1"/>
  <c r="BO45" i="27"/>
  <c r="N45" i="27" s="1"/>
  <c r="BO49" i="27"/>
  <c r="N49" i="27" s="1"/>
  <c r="BN29" i="27"/>
  <c r="BN34" i="27" s="1"/>
  <c r="BN45" i="27"/>
  <c r="BN49" i="27"/>
  <c r="M49" i="27" s="1"/>
  <c r="E64" i="22"/>
  <c r="D64" i="22" s="1"/>
  <c r="C65" i="22"/>
  <c r="E60" i="17"/>
  <c r="C63" i="29"/>
  <c r="G50" i="30" s="1"/>
  <c r="E63" i="26"/>
  <c r="D63" i="26" s="1"/>
  <c r="E63" i="24"/>
  <c r="E63" i="22"/>
  <c r="E63" i="10"/>
  <c r="D63" i="10" s="1"/>
  <c r="E63" i="8"/>
  <c r="E63" i="16"/>
  <c r="E63" i="19"/>
  <c r="D63" i="19" s="1"/>
  <c r="E63" i="14"/>
  <c r="E64" i="13"/>
  <c r="F8" i="27"/>
  <c r="F32" i="27"/>
  <c r="F35" i="27"/>
  <c r="F36" i="27"/>
  <c r="F37" i="27"/>
  <c r="F38" i="27"/>
  <c r="F39" i="27"/>
  <c r="G14" i="27"/>
  <c r="G15" i="27"/>
  <c r="G16" i="27"/>
  <c r="G17" i="27"/>
  <c r="G18" i="27"/>
  <c r="J19" i="5" s="1"/>
  <c r="G19" i="27"/>
  <c r="G20" i="27"/>
  <c r="G21" i="27"/>
  <c r="G24" i="27"/>
  <c r="G25" i="27"/>
  <c r="G26" i="27"/>
  <c r="G27" i="27"/>
  <c r="G30" i="27"/>
  <c r="G29" i="27"/>
  <c r="G32" i="27"/>
  <c r="G35" i="27"/>
  <c r="G36" i="27"/>
  <c r="G37" i="27"/>
  <c r="G38" i="27"/>
  <c r="G39" i="27"/>
  <c r="G46" i="27"/>
  <c r="G50" i="27"/>
  <c r="G56" i="27"/>
  <c r="H8" i="27"/>
  <c r="H9" i="27"/>
  <c r="H10" i="27"/>
  <c r="H11" i="27"/>
  <c r="H14" i="27"/>
  <c r="H15" i="27"/>
  <c r="H16" i="27"/>
  <c r="H17" i="27"/>
  <c r="H18" i="27"/>
  <c r="K19" i="5" s="1"/>
  <c r="H19" i="27"/>
  <c r="H20" i="27"/>
  <c r="H21" i="27"/>
  <c r="H24" i="27"/>
  <c r="H25" i="27"/>
  <c r="H26" i="27"/>
  <c r="H27" i="27"/>
  <c r="H30" i="27"/>
  <c r="H29" i="27"/>
  <c r="H32" i="27"/>
  <c r="H35" i="27"/>
  <c r="H36" i="27"/>
  <c r="H37" i="27"/>
  <c r="H38" i="27"/>
  <c r="H39" i="27"/>
  <c r="H46" i="27"/>
  <c r="H50" i="27"/>
  <c r="H56" i="27"/>
  <c r="I14" i="27"/>
  <c r="I15" i="27"/>
  <c r="I16" i="27"/>
  <c r="I17" i="27"/>
  <c r="I18" i="27"/>
  <c r="L19" i="5" s="1"/>
  <c r="I19" i="27"/>
  <c r="I20" i="27"/>
  <c r="I21" i="27"/>
  <c r="I24" i="27"/>
  <c r="I25" i="27"/>
  <c r="I26" i="27"/>
  <c r="I27" i="27"/>
  <c r="I30" i="27"/>
  <c r="I29" i="27"/>
  <c r="I32" i="27"/>
  <c r="I35" i="27"/>
  <c r="I36" i="27"/>
  <c r="I37" i="27"/>
  <c r="I38" i="27"/>
  <c r="I39" i="27"/>
  <c r="I46" i="27"/>
  <c r="I50" i="27"/>
  <c r="I56" i="27"/>
  <c r="G9" i="27"/>
  <c r="G11" i="27"/>
  <c r="G7" i="27"/>
  <c r="F12" i="27"/>
  <c r="G12" i="27"/>
  <c r="H12" i="27"/>
  <c r="I12" i="27"/>
  <c r="F31" i="27"/>
  <c r="H31" i="27"/>
  <c r="H41" i="27"/>
  <c r="I41" i="27"/>
  <c r="G55" i="27"/>
  <c r="I55" i="27"/>
  <c r="H42" i="27"/>
  <c r="H43" i="27"/>
  <c r="H48" i="27"/>
  <c r="H49" i="27"/>
  <c r="G8" i="27"/>
  <c r="H7" i="27"/>
  <c r="G31" i="27"/>
  <c r="G41" i="27"/>
  <c r="F104" i="22"/>
  <c r="F104" i="21"/>
  <c r="F121" i="21" s="1"/>
  <c r="F104" i="11"/>
  <c r="F104" i="8"/>
  <c r="F121" i="8" s="1"/>
  <c r="F104" i="7"/>
  <c r="F104" i="16"/>
  <c r="F121" i="16" s="1"/>
  <c r="F104" i="17"/>
  <c r="F104" i="15"/>
  <c r="F121" i="15" s="1"/>
  <c r="H10" i="17"/>
  <c r="D90" i="26"/>
  <c r="C13" i="26" s="1"/>
  <c r="D90" i="24"/>
  <c r="C13" i="24" s="1"/>
  <c r="D90" i="23"/>
  <c r="C13" i="23" s="1"/>
  <c r="D90" i="22"/>
  <c r="C13" i="22" s="1"/>
  <c r="E13" i="22" s="1"/>
  <c r="D90" i="13"/>
  <c r="C13" i="13" s="1"/>
  <c r="D17" i="25"/>
  <c r="D17" i="23"/>
  <c r="D17" i="7"/>
  <c r="D17" i="19"/>
  <c r="D17" i="21"/>
  <c r="D17" i="9"/>
  <c r="D15" i="18"/>
  <c r="D90" i="12"/>
  <c r="C13" i="12" s="1"/>
  <c r="G28" i="25"/>
  <c r="G28" i="23"/>
  <c r="H27" i="22"/>
  <c r="H28" i="13"/>
  <c r="G27" i="9"/>
  <c r="G28" i="9"/>
  <c r="G28" i="7"/>
  <c r="H27" i="16"/>
  <c r="H26" i="15"/>
  <c r="H28" i="15"/>
  <c r="G27" i="20"/>
  <c r="G28" i="20"/>
  <c r="G26" i="12"/>
  <c r="H28" i="5"/>
  <c r="H25" i="16"/>
  <c r="H25" i="22"/>
  <c r="H28" i="22"/>
  <c r="G25" i="7"/>
  <c r="H27" i="5"/>
  <c r="H25" i="5"/>
  <c r="H28" i="14"/>
  <c r="H28" i="24"/>
  <c r="G26" i="9"/>
  <c r="G27" i="21"/>
  <c r="H28" i="10"/>
  <c r="H28" i="16"/>
  <c r="H28" i="19"/>
  <c r="F28" i="26"/>
  <c r="F25" i="26"/>
  <c r="F28" i="25"/>
  <c r="F25" i="25"/>
  <c r="F28" i="24"/>
  <c r="F25" i="24"/>
  <c r="F25" i="23"/>
  <c r="F28" i="23"/>
  <c r="H25" i="23"/>
  <c r="F27" i="22"/>
  <c r="F28" i="22"/>
  <c r="F25" i="22"/>
  <c r="F27" i="21"/>
  <c r="F28" i="21"/>
  <c r="F25" i="21"/>
  <c r="F26" i="21"/>
  <c r="F28" i="13"/>
  <c r="F28" i="11"/>
  <c r="F25" i="11"/>
  <c r="F28" i="10"/>
  <c r="F25" i="10"/>
  <c r="F27" i="9"/>
  <c r="F28" i="9"/>
  <c r="F25" i="9"/>
  <c r="F28" i="8"/>
  <c r="F25" i="7"/>
  <c r="F28" i="7"/>
  <c r="F25" i="16"/>
  <c r="F28" i="16"/>
  <c r="F27" i="16"/>
  <c r="F28" i="17"/>
  <c r="F25" i="17"/>
  <c r="F26" i="17"/>
  <c r="F28" i="15"/>
  <c r="F26" i="15"/>
  <c r="F28" i="18"/>
  <c r="F25" i="18"/>
  <c r="F28" i="19"/>
  <c r="F25" i="19"/>
  <c r="F27" i="20"/>
  <c r="F28" i="20"/>
  <c r="F25" i="20"/>
  <c r="F28" i="14"/>
  <c r="F25" i="14"/>
  <c r="F26" i="12"/>
  <c r="F25" i="12"/>
  <c r="F28" i="12"/>
  <c r="E9" i="12"/>
  <c r="E46" i="26"/>
  <c r="E46" i="13"/>
  <c r="E46" i="16"/>
  <c r="E46" i="19"/>
  <c r="E46" i="14"/>
  <c r="C49" i="29"/>
  <c r="G38" i="30" s="1"/>
  <c r="E46" i="5"/>
  <c r="E46" i="9"/>
  <c r="E46" i="7"/>
  <c r="E46" i="17"/>
  <c r="E46" i="18"/>
  <c r="E46" i="20"/>
  <c r="H6" i="21"/>
  <c r="F6" i="21"/>
  <c r="E64" i="26"/>
  <c r="E64" i="10"/>
  <c r="E64" i="16"/>
  <c r="D64" i="16" s="1"/>
  <c r="C65" i="16"/>
  <c r="D100" i="13"/>
  <c r="C104" i="13"/>
  <c r="D100" i="10"/>
  <c r="C104" i="10"/>
  <c r="D100" i="9"/>
  <c r="C104" i="9"/>
  <c r="D100" i="8"/>
  <c r="C104" i="8"/>
  <c r="D100" i="14"/>
  <c r="C104" i="14"/>
  <c r="E46" i="25"/>
  <c r="E46" i="24"/>
  <c r="E46" i="23"/>
  <c r="E46" i="22"/>
  <c r="E46" i="21"/>
  <c r="E46" i="11"/>
  <c r="E46" i="10"/>
  <c r="E46" i="8"/>
  <c r="E46" i="15"/>
  <c r="F25" i="13"/>
  <c r="E25" i="13"/>
  <c r="D25" i="13" s="1"/>
  <c r="F25" i="8"/>
  <c r="E25" i="8"/>
  <c r="D25" i="8" s="1"/>
  <c r="F25" i="15"/>
  <c r="E25" i="15"/>
  <c r="D25" i="15" s="1"/>
  <c r="E25" i="12"/>
  <c r="G25" i="12"/>
  <c r="H25" i="12"/>
  <c r="E24" i="34"/>
  <c r="E22" i="34"/>
  <c r="E20" i="34"/>
  <c r="E18" i="34"/>
  <c r="E16" i="34"/>
  <c r="E14" i="34"/>
  <c r="E12" i="34"/>
  <c r="E10" i="34"/>
  <c r="E8" i="34"/>
  <c r="E23" i="34"/>
  <c r="E64" i="24"/>
  <c r="E64" i="9"/>
  <c r="F104" i="18"/>
  <c r="F121" i="18" s="1"/>
  <c r="F104" i="19"/>
  <c r="F121" i="19" s="1"/>
  <c r="F104" i="20"/>
  <c r="F121" i="20" s="1"/>
  <c r="D75" i="11"/>
  <c r="C7" i="11" s="1"/>
  <c r="E7" i="11" s="1"/>
  <c r="D75" i="18"/>
  <c r="C7" i="18" s="1"/>
  <c r="E7" i="18" s="1"/>
  <c r="F7" i="18" s="1"/>
  <c r="E25" i="24"/>
  <c r="D25" i="24" s="1"/>
  <c r="E22" i="14"/>
  <c r="E40" i="12"/>
  <c r="C59" i="5"/>
  <c r="E8" i="23"/>
  <c r="C11" i="23"/>
  <c r="C22" i="49" s="1"/>
  <c r="J95" i="49" s="1"/>
  <c r="F8" i="13"/>
  <c r="H8" i="13"/>
  <c r="G8" i="13"/>
  <c r="E7" i="10"/>
  <c r="C11" i="10"/>
  <c r="C17" i="49" s="1"/>
  <c r="J90" i="49" s="1"/>
  <c r="E7" i="12"/>
  <c r="E7" i="24"/>
  <c r="E7" i="21"/>
  <c r="E7" i="17"/>
  <c r="C11" i="26"/>
  <c r="C25" i="49" s="1"/>
  <c r="J98" i="49" s="1"/>
  <c r="E6" i="26"/>
  <c r="E6" i="22"/>
  <c r="G6" i="22" s="1"/>
  <c r="C11" i="22"/>
  <c r="C21" i="49" s="1"/>
  <c r="J94" i="49" s="1"/>
  <c r="E6" i="13"/>
  <c r="G6" i="13" s="1"/>
  <c r="E6" i="9"/>
  <c r="C11" i="9"/>
  <c r="C16" i="49" s="1"/>
  <c r="J89" i="49" s="1"/>
  <c r="E6" i="16"/>
  <c r="G6" i="16" s="1"/>
  <c r="C11" i="16"/>
  <c r="C13" i="49" s="1"/>
  <c r="J86" i="49" s="1"/>
  <c r="E6" i="18"/>
  <c r="F6" i="18" s="1"/>
  <c r="E6" i="19"/>
  <c r="G6" i="19" s="1"/>
  <c r="C11" i="19"/>
  <c r="C9" i="49" s="1"/>
  <c r="J82" i="49" s="1"/>
  <c r="E6" i="25"/>
  <c r="C11" i="25"/>
  <c r="C24" i="49" s="1"/>
  <c r="J97" i="49" s="1"/>
  <c r="E6" i="11"/>
  <c r="H6" i="11" s="1"/>
  <c r="E6" i="8"/>
  <c r="G6" i="8" s="1"/>
  <c r="C11" i="8"/>
  <c r="C15" i="49" s="1"/>
  <c r="J88" i="49" s="1"/>
  <c r="E6" i="7"/>
  <c r="F6" i="7" s="1"/>
  <c r="C11" i="7"/>
  <c r="C14" i="49" s="1"/>
  <c r="J87" i="49" s="1"/>
  <c r="E6" i="15"/>
  <c r="G6" i="15" s="1"/>
  <c r="E6" i="20"/>
  <c r="H6" i="20" s="1"/>
  <c r="E6" i="14"/>
  <c r="E6" i="12"/>
  <c r="C11" i="12"/>
  <c r="C6" i="49" s="1"/>
  <c r="C9" i="29"/>
  <c r="G4" i="30" s="1"/>
  <c r="E6" i="5"/>
  <c r="D90" i="11"/>
  <c r="C13" i="11" s="1"/>
  <c r="E13" i="11" s="1"/>
  <c r="D90" i="10"/>
  <c r="C13" i="10" s="1"/>
  <c r="E13" i="10" s="1"/>
  <c r="D90" i="8"/>
  <c r="C13" i="8" s="1"/>
  <c r="D90" i="7"/>
  <c r="C13" i="7" s="1"/>
  <c r="E13" i="7" s="1"/>
  <c r="D90" i="16"/>
  <c r="C13" i="16" s="1"/>
  <c r="E13" i="16" s="1"/>
  <c r="D90" i="15"/>
  <c r="C13" i="15" s="1"/>
  <c r="E13" i="15" s="1"/>
  <c r="D90" i="18"/>
  <c r="C13" i="18" s="1"/>
  <c r="D90" i="19"/>
  <c r="C13" i="19" s="1"/>
  <c r="E13" i="19" s="1"/>
  <c r="F9" i="22"/>
  <c r="G9" i="19"/>
  <c r="F9" i="19"/>
  <c r="H9" i="19"/>
  <c r="G9" i="23"/>
  <c r="F9" i="23"/>
  <c r="H9" i="23"/>
  <c r="F19" i="12"/>
  <c r="H19" i="12"/>
  <c r="G19" i="12"/>
  <c r="D19" i="12"/>
  <c r="G20" i="11"/>
  <c r="D20" i="11"/>
  <c r="F20" i="11"/>
  <c r="H20" i="11"/>
  <c r="D20" i="18"/>
  <c r="G20" i="18"/>
  <c r="F20" i="18"/>
  <c r="H20" i="18"/>
  <c r="G20" i="13"/>
  <c r="D16" i="13"/>
  <c r="G16" i="13"/>
  <c r="F16" i="13"/>
  <c r="H16" i="13"/>
  <c r="G8" i="15"/>
  <c r="F8" i="15"/>
  <c r="H8" i="15"/>
  <c r="D90" i="25"/>
  <c r="C13" i="25" s="1"/>
  <c r="D90" i="21"/>
  <c r="C13" i="21" s="1"/>
  <c r="C29" i="21" s="1"/>
  <c r="D20" i="49" s="1"/>
  <c r="E93" i="49" s="1"/>
  <c r="D90" i="9"/>
  <c r="C13" i="9" s="1"/>
  <c r="D90" i="17"/>
  <c r="C13" i="17" s="1"/>
  <c r="E13" i="17" s="1"/>
  <c r="D90" i="20"/>
  <c r="C13" i="20" s="1"/>
  <c r="D90" i="14"/>
  <c r="C13" i="14" s="1"/>
  <c r="D90" i="5"/>
  <c r="C13" i="5" s="1"/>
  <c r="G6" i="24"/>
  <c r="F6" i="24"/>
  <c r="H6" i="24"/>
  <c r="F6" i="10"/>
  <c r="H6" i="10"/>
  <c r="F6" i="23"/>
  <c r="H6" i="23"/>
  <c r="G6" i="23"/>
  <c r="G6" i="21"/>
  <c r="G6" i="17"/>
  <c r="E17" i="5"/>
  <c r="C20" i="29"/>
  <c r="G13" i="30" s="1"/>
  <c r="E8" i="5"/>
  <c r="C11" i="5"/>
  <c r="C5" i="49" s="1"/>
  <c r="E26" i="53" l="1"/>
  <c r="F15" i="53"/>
  <c r="F5" i="53"/>
  <c r="J8" i="30"/>
  <c r="K8" i="30" s="1"/>
  <c r="R10" i="49"/>
  <c r="G32" i="30"/>
  <c r="H50" i="30"/>
  <c r="I50" i="30" s="1"/>
  <c r="H24" i="30"/>
  <c r="I24" i="30" s="1"/>
  <c r="R5" i="49"/>
  <c r="G35" i="30"/>
  <c r="H15" i="30"/>
  <c r="H4" i="30"/>
  <c r="I4" i="30" s="1"/>
  <c r="H13" i="30"/>
  <c r="I13" i="30" s="1"/>
  <c r="H12" i="30"/>
  <c r="I12" i="30" s="1"/>
  <c r="H21" i="30"/>
  <c r="I21" i="30" s="1"/>
  <c r="R9" i="49"/>
  <c r="G31" i="30"/>
  <c r="H19" i="30"/>
  <c r="I19" i="30" s="1"/>
  <c r="H38" i="30"/>
  <c r="R8" i="49"/>
  <c r="G36" i="30"/>
  <c r="H14" i="30"/>
  <c r="I14" i="30" s="1"/>
  <c r="J14" i="30" s="1"/>
  <c r="R7" i="49"/>
  <c r="G34" i="30"/>
  <c r="H51" i="30"/>
  <c r="I51" i="30"/>
  <c r="J51" i="30" s="1"/>
  <c r="K51" i="30" s="1"/>
  <c r="H17" i="30"/>
  <c r="I17" i="30"/>
  <c r="H11" i="30"/>
  <c r="I11" i="30" s="1"/>
  <c r="H29" i="30"/>
  <c r="I29" i="30" s="1"/>
  <c r="R6" i="49"/>
  <c r="G33" i="30"/>
  <c r="H16" i="30"/>
  <c r="I16" i="30" s="1"/>
  <c r="F6" i="53"/>
  <c r="F26" i="53" s="1"/>
  <c r="B26" i="53"/>
  <c r="H9" i="24"/>
  <c r="H10" i="21"/>
  <c r="F9" i="24"/>
  <c r="G26" i="15"/>
  <c r="F27" i="17"/>
  <c r="D23" i="13"/>
  <c r="H22" i="20"/>
  <c r="H26" i="13"/>
  <c r="G26" i="13"/>
  <c r="H20" i="15"/>
  <c r="G22" i="24"/>
  <c r="F17" i="17"/>
  <c r="N17" i="17" s="1"/>
  <c r="H17" i="17"/>
  <c r="F20" i="15"/>
  <c r="G10" i="8"/>
  <c r="H22" i="24"/>
  <c r="H15" i="10"/>
  <c r="M55" i="8"/>
  <c r="H27" i="25"/>
  <c r="D35" i="16"/>
  <c r="H27" i="26"/>
  <c r="P64" i="23"/>
  <c r="G9" i="16"/>
  <c r="G15" i="11"/>
  <c r="G20" i="15"/>
  <c r="O37" i="19"/>
  <c r="N64" i="21"/>
  <c r="G27" i="12"/>
  <c r="F27" i="10"/>
  <c r="D17" i="17"/>
  <c r="G15" i="10"/>
  <c r="D15" i="10"/>
  <c r="H23" i="14"/>
  <c r="D22" i="24"/>
  <c r="H20" i="13"/>
  <c r="F27" i="25"/>
  <c r="H27" i="10"/>
  <c r="G27" i="19"/>
  <c r="M54" i="23"/>
  <c r="E27" i="10"/>
  <c r="D27" i="10" s="1"/>
  <c r="G27" i="25"/>
  <c r="M59" i="21"/>
  <c r="F15" i="11"/>
  <c r="F20" i="13"/>
  <c r="M64" i="15"/>
  <c r="D35" i="17"/>
  <c r="H26" i="49"/>
  <c r="S15" i="49" s="1"/>
  <c r="F26" i="49"/>
  <c r="Q15" i="49" s="1"/>
  <c r="BH37" i="27"/>
  <c r="BK37" i="27"/>
  <c r="BI37" i="27"/>
  <c r="BJ37" i="27"/>
  <c r="C49" i="22"/>
  <c r="E21" i="49" s="1"/>
  <c r="F94" i="49" s="1"/>
  <c r="B21" i="52"/>
  <c r="C21" i="52" s="1"/>
  <c r="E47" i="21"/>
  <c r="M47" i="21" s="1"/>
  <c r="B20" i="52"/>
  <c r="C20" i="52" s="1"/>
  <c r="F47" i="14"/>
  <c r="N47" i="14" s="1"/>
  <c r="B7" i="52"/>
  <c r="C7" i="52" s="1"/>
  <c r="N18" i="50"/>
  <c r="O18" i="50" s="1"/>
  <c r="D18" i="50"/>
  <c r="E18" i="50" s="1"/>
  <c r="J18" i="50"/>
  <c r="I18" i="50"/>
  <c r="H18" i="50"/>
  <c r="P18" i="50"/>
  <c r="F18" i="50"/>
  <c r="G18" i="50" s="1"/>
  <c r="F10" i="17"/>
  <c r="H15" i="26"/>
  <c r="H47" i="18"/>
  <c r="P47" i="18" s="1"/>
  <c r="B10" i="52"/>
  <c r="C10" i="52" s="1"/>
  <c r="F47" i="7"/>
  <c r="J47" i="7" s="1"/>
  <c r="B14" i="52"/>
  <c r="C14" i="52" s="1"/>
  <c r="H27" i="17"/>
  <c r="E5" i="45"/>
  <c r="M5" i="45"/>
  <c r="D5" i="45"/>
  <c r="M99" i="49"/>
  <c r="N11" i="50"/>
  <c r="O11" i="50" s="1"/>
  <c r="D11" i="50"/>
  <c r="E11" i="50" s="1"/>
  <c r="H11" i="50"/>
  <c r="J11" i="50"/>
  <c r="F11" i="50"/>
  <c r="G11" i="50" s="1"/>
  <c r="P11" i="50"/>
  <c r="I11" i="50"/>
  <c r="F20" i="50"/>
  <c r="G20" i="50" s="1"/>
  <c r="N20" i="50"/>
  <c r="O20" i="50" s="1"/>
  <c r="I20" i="50"/>
  <c r="H20" i="50"/>
  <c r="P20" i="50"/>
  <c r="D20" i="50"/>
  <c r="E20" i="50" s="1"/>
  <c r="J20" i="50"/>
  <c r="F17" i="50"/>
  <c r="G17" i="50" s="1"/>
  <c r="P17" i="50"/>
  <c r="I17" i="50"/>
  <c r="N17" i="50"/>
  <c r="O17" i="50" s="1"/>
  <c r="J17" i="50"/>
  <c r="D17" i="50"/>
  <c r="E17" i="50" s="1"/>
  <c r="H17" i="50"/>
  <c r="G8" i="12"/>
  <c r="F27" i="19"/>
  <c r="F19" i="33"/>
  <c r="F21" i="33"/>
  <c r="F22" i="20"/>
  <c r="F15" i="26"/>
  <c r="D22" i="8"/>
  <c r="H47" i="5"/>
  <c r="L47" i="5" s="1"/>
  <c r="B5" i="52"/>
  <c r="F47" i="16"/>
  <c r="N47" i="16" s="1"/>
  <c r="B13" i="52"/>
  <c r="C13" i="52" s="1"/>
  <c r="E47" i="17"/>
  <c r="I47" i="17" s="1"/>
  <c r="B12" i="52"/>
  <c r="C12" i="52" s="1"/>
  <c r="F47" i="8"/>
  <c r="N47" i="8" s="1"/>
  <c r="B15" i="52"/>
  <c r="C15" i="52" s="1"/>
  <c r="H47" i="13"/>
  <c r="P47" i="13" s="1"/>
  <c r="B19" i="52"/>
  <c r="C19" i="52" s="1"/>
  <c r="H22" i="9"/>
  <c r="G23" i="13"/>
  <c r="D52" i="49"/>
  <c r="C73" i="49"/>
  <c r="F6" i="50"/>
  <c r="G6" i="50" s="1"/>
  <c r="I6" i="50"/>
  <c r="H6" i="50"/>
  <c r="D6" i="50"/>
  <c r="E6" i="50" s="1"/>
  <c r="P6" i="50"/>
  <c r="N6" i="50"/>
  <c r="O6" i="50" s="1"/>
  <c r="J6" i="50"/>
  <c r="N14" i="50"/>
  <c r="O14" i="50" s="1"/>
  <c r="J14" i="50"/>
  <c r="P14" i="50"/>
  <c r="F14" i="50"/>
  <c r="G14" i="50" s="1"/>
  <c r="I14" i="50"/>
  <c r="D14" i="50"/>
  <c r="E14" i="50" s="1"/>
  <c r="H14" i="50"/>
  <c r="I22" i="50"/>
  <c r="H22" i="50"/>
  <c r="D22" i="50"/>
  <c r="E22" i="50" s="1"/>
  <c r="N22" i="50"/>
  <c r="O22" i="50" s="1"/>
  <c r="J22" i="50"/>
  <c r="F22" i="50"/>
  <c r="G22" i="50" s="1"/>
  <c r="P22" i="50"/>
  <c r="J78" i="49"/>
  <c r="B23" i="52"/>
  <c r="C23" i="52" s="1"/>
  <c r="H47" i="15"/>
  <c r="P47" i="15" s="1"/>
  <c r="B11" i="52"/>
  <c r="C11" i="52" s="1"/>
  <c r="F10" i="50"/>
  <c r="G10" i="50" s="1"/>
  <c r="P10" i="50"/>
  <c r="I10" i="50"/>
  <c r="J10" i="50"/>
  <c r="H10" i="50"/>
  <c r="N10" i="50"/>
  <c r="O10" i="50" s="1"/>
  <c r="D10" i="50"/>
  <c r="E10" i="50" s="1"/>
  <c r="H8" i="12"/>
  <c r="E27" i="12"/>
  <c r="D27" i="12" s="1"/>
  <c r="G27" i="17"/>
  <c r="F22" i="33"/>
  <c r="F47" i="9"/>
  <c r="N47" i="9" s="1"/>
  <c r="B16" i="52"/>
  <c r="C16" i="52" s="1"/>
  <c r="F47" i="10"/>
  <c r="N47" i="10" s="1"/>
  <c r="B17" i="52"/>
  <c r="C17" i="52" s="1"/>
  <c r="G45" i="34"/>
  <c r="F19" i="50"/>
  <c r="G19" i="50" s="1"/>
  <c r="P19" i="50"/>
  <c r="I19" i="50"/>
  <c r="H19" i="50"/>
  <c r="D19" i="50"/>
  <c r="E19" i="50" s="1"/>
  <c r="N19" i="50"/>
  <c r="O19" i="50" s="1"/>
  <c r="J19" i="50"/>
  <c r="N12" i="50"/>
  <c r="O12" i="50" s="1"/>
  <c r="F12" i="50"/>
  <c r="G12" i="50" s="1"/>
  <c r="J12" i="50"/>
  <c r="I12" i="50"/>
  <c r="D12" i="50"/>
  <c r="E12" i="50" s="1"/>
  <c r="H12" i="50"/>
  <c r="P12" i="50"/>
  <c r="N9" i="50"/>
  <c r="O9" i="50" s="1"/>
  <c r="F9" i="50"/>
  <c r="G9" i="50" s="1"/>
  <c r="I9" i="50"/>
  <c r="H9" i="50"/>
  <c r="J9" i="50"/>
  <c r="P9" i="50"/>
  <c r="D9" i="50"/>
  <c r="E9" i="50" s="1"/>
  <c r="N25" i="50"/>
  <c r="O25" i="50" s="1"/>
  <c r="D25" i="50"/>
  <c r="E25" i="50" s="1"/>
  <c r="H25" i="50"/>
  <c r="J25" i="50"/>
  <c r="P25" i="50"/>
  <c r="I25" i="50"/>
  <c r="F25" i="50"/>
  <c r="G25" i="50" s="1"/>
  <c r="D15" i="11"/>
  <c r="I22" i="33"/>
  <c r="I25" i="33"/>
  <c r="I26" i="33" s="1"/>
  <c r="L29" i="27"/>
  <c r="G47" i="20"/>
  <c r="O47" i="20" s="1"/>
  <c r="B8" i="52"/>
  <c r="C8" i="52" s="1"/>
  <c r="H47" i="25"/>
  <c r="P47" i="25" s="1"/>
  <c r="B24" i="52"/>
  <c r="C24" i="52" s="1"/>
  <c r="H47" i="19"/>
  <c r="L47" i="19" s="1"/>
  <c r="B9" i="52"/>
  <c r="C9" i="52" s="1"/>
  <c r="F47" i="26"/>
  <c r="N47" i="26" s="1"/>
  <c r="B25" i="52"/>
  <c r="C25" i="52" s="1"/>
  <c r="G47" i="11"/>
  <c r="O47" i="11" s="1"/>
  <c r="B18" i="52"/>
  <c r="C18" i="52" s="1"/>
  <c r="H47" i="12"/>
  <c r="P47" i="12" s="1"/>
  <c r="B6" i="52"/>
  <c r="C6" i="52" s="1"/>
  <c r="F47" i="23"/>
  <c r="J47" i="23" s="1"/>
  <c r="B22" i="52"/>
  <c r="C22" i="52" s="1"/>
  <c r="F22" i="9"/>
  <c r="G22" i="20"/>
  <c r="L99" i="49"/>
  <c r="N29" i="27"/>
  <c r="D7" i="50"/>
  <c r="E7" i="50" s="1"/>
  <c r="P7" i="50"/>
  <c r="J7" i="50"/>
  <c r="H7" i="50"/>
  <c r="N7" i="50"/>
  <c r="O7" i="50" s="1"/>
  <c r="I7" i="50"/>
  <c r="F7" i="50"/>
  <c r="G7" i="50" s="1"/>
  <c r="N15" i="50"/>
  <c r="O15" i="50" s="1"/>
  <c r="F15" i="50"/>
  <c r="G15" i="50" s="1"/>
  <c r="I15" i="50"/>
  <c r="P15" i="50"/>
  <c r="D15" i="50"/>
  <c r="E15" i="50" s="1"/>
  <c r="J15" i="50"/>
  <c r="H15" i="50"/>
  <c r="I23" i="50"/>
  <c r="H23" i="50"/>
  <c r="D23" i="50"/>
  <c r="E23" i="50" s="1"/>
  <c r="J23" i="50"/>
  <c r="P23" i="50"/>
  <c r="N23" i="50"/>
  <c r="O23" i="50" s="1"/>
  <c r="F23" i="50"/>
  <c r="G23" i="50" s="1"/>
  <c r="I8" i="50"/>
  <c r="H8" i="50"/>
  <c r="D8" i="50"/>
  <c r="E8" i="50" s="1"/>
  <c r="N8" i="50"/>
  <c r="O8" i="50" s="1"/>
  <c r="J8" i="50"/>
  <c r="F8" i="50"/>
  <c r="G8" i="50" s="1"/>
  <c r="P8" i="50"/>
  <c r="P16" i="50"/>
  <c r="F16" i="50"/>
  <c r="G16" i="50" s="1"/>
  <c r="H16" i="50"/>
  <c r="N16" i="50"/>
  <c r="O16" i="50" s="1"/>
  <c r="I16" i="50"/>
  <c r="D16" i="50"/>
  <c r="E16" i="50" s="1"/>
  <c r="J16" i="50"/>
  <c r="P24" i="50"/>
  <c r="J24" i="50"/>
  <c r="N24" i="50"/>
  <c r="O24" i="50" s="1"/>
  <c r="F24" i="50"/>
  <c r="G24" i="50" s="1"/>
  <c r="H24" i="50"/>
  <c r="I24" i="50"/>
  <c r="D24" i="50"/>
  <c r="E24" i="50" s="1"/>
  <c r="D5" i="50"/>
  <c r="F5" i="50"/>
  <c r="I5" i="50"/>
  <c r="J5" i="50"/>
  <c r="P5" i="50"/>
  <c r="H5" i="50"/>
  <c r="N5" i="50"/>
  <c r="C26" i="50"/>
  <c r="P13" i="50"/>
  <c r="J13" i="50"/>
  <c r="F13" i="50"/>
  <c r="G13" i="50" s="1"/>
  <c r="D13" i="50"/>
  <c r="E13" i="50" s="1"/>
  <c r="H13" i="50"/>
  <c r="N13" i="50"/>
  <c r="O13" i="50" s="1"/>
  <c r="I13" i="50"/>
  <c r="N21" i="50"/>
  <c r="O21" i="50" s="1"/>
  <c r="D21" i="50"/>
  <c r="E21" i="50" s="1"/>
  <c r="P21" i="50"/>
  <c r="F21" i="50"/>
  <c r="G21" i="50" s="1"/>
  <c r="J21" i="50"/>
  <c r="H21" i="50"/>
  <c r="I21" i="50"/>
  <c r="C121" i="12"/>
  <c r="D15" i="12"/>
  <c r="J79" i="49"/>
  <c r="H15" i="12"/>
  <c r="G15" i="12"/>
  <c r="H27" i="12"/>
  <c r="E22" i="5"/>
  <c r="G22" i="5" s="1"/>
  <c r="E22" i="22"/>
  <c r="G22" i="22" s="1"/>
  <c r="D22" i="23"/>
  <c r="H9" i="16"/>
  <c r="G22" i="9"/>
  <c r="E52" i="9"/>
  <c r="F52" i="9" s="1"/>
  <c r="E22" i="25"/>
  <c r="D22" i="25" s="1"/>
  <c r="E22" i="13"/>
  <c r="D22" i="13" s="1"/>
  <c r="E22" i="12"/>
  <c r="F22" i="12" s="1"/>
  <c r="D60" i="18"/>
  <c r="D37" i="19"/>
  <c r="D60" i="10"/>
  <c r="D37" i="21"/>
  <c r="D37" i="15"/>
  <c r="D37" i="22"/>
  <c r="D37" i="16"/>
  <c r="D37" i="9"/>
  <c r="D37" i="17"/>
  <c r="D37" i="10"/>
  <c r="D60" i="9"/>
  <c r="H27" i="19"/>
  <c r="D60" i="8"/>
  <c r="H26" i="9"/>
  <c r="D60" i="15"/>
  <c r="D27" i="48"/>
  <c r="E26" i="13"/>
  <c r="D26" i="13" s="1"/>
  <c r="C29" i="9"/>
  <c r="D16" i="49" s="1"/>
  <c r="E89" i="49" s="1"/>
  <c r="G22" i="15"/>
  <c r="D60" i="5"/>
  <c r="D60" i="19"/>
  <c r="D60" i="14"/>
  <c r="F27" i="26"/>
  <c r="D60" i="13"/>
  <c r="G22" i="23"/>
  <c r="D60" i="20"/>
  <c r="D60" i="21"/>
  <c r="G27" i="26"/>
  <c r="G22" i="8"/>
  <c r="F22" i="8"/>
  <c r="D35" i="22"/>
  <c r="H9" i="8"/>
  <c r="H22" i="23"/>
  <c r="F9" i="8"/>
  <c r="G9" i="22"/>
  <c r="H17" i="10"/>
  <c r="H10" i="22"/>
  <c r="G19" i="11"/>
  <c r="D19" i="18"/>
  <c r="M42" i="16"/>
  <c r="P41" i="21"/>
  <c r="M39" i="18"/>
  <c r="P17" i="14"/>
  <c r="P41" i="10"/>
  <c r="M39" i="22"/>
  <c r="O23" i="17"/>
  <c r="O19" i="24"/>
  <c r="P42" i="17"/>
  <c r="M42" i="15"/>
  <c r="O40" i="13"/>
  <c r="N8" i="11"/>
  <c r="O23" i="26"/>
  <c r="P42" i="21"/>
  <c r="M42" i="5"/>
  <c r="D19" i="26"/>
  <c r="B24" i="34"/>
  <c r="G19" i="26"/>
  <c r="B23" i="34"/>
  <c r="B21" i="34"/>
  <c r="D35" i="23"/>
  <c r="D23" i="23"/>
  <c r="B20" i="34"/>
  <c r="H21" i="22"/>
  <c r="D35" i="21"/>
  <c r="D65" i="21"/>
  <c r="D17" i="10"/>
  <c r="B16" i="34"/>
  <c r="B15" i="34"/>
  <c r="B14" i="34"/>
  <c r="B13" i="34"/>
  <c r="B12" i="34"/>
  <c r="D22" i="15"/>
  <c r="F22" i="15"/>
  <c r="D19" i="19"/>
  <c r="G19" i="19"/>
  <c r="H19" i="19"/>
  <c r="B8" i="34"/>
  <c r="G66" i="29"/>
  <c r="F66" i="29"/>
  <c r="H66" i="29"/>
  <c r="D64" i="5"/>
  <c r="D63" i="5"/>
  <c r="E66" i="29"/>
  <c r="N25" i="11"/>
  <c r="P42" i="7"/>
  <c r="N10" i="9"/>
  <c r="P42" i="9"/>
  <c r="M57" i="23"/>
  <c r="P42" i="20"/>
  <c r="M8" i="5"/>
  <c r="M19" i="14"/>
  <c r="M19" i="5"/>
  <c r="F21" i="16"/>
  <c r="L37" i="24"/>
  <c r="G19" i="10"/>
  <c r="H19" i="22"/>
  <c r="D19" i="22"/>
  <c r="D19" i="11"/>
  <c r="D18" i="15"/>
  <c r="F8" i="8"/>
  <c r="G19" i="18"/>
  <c r="H19" i="18"/>
  <c r="C5" i="46"/>
  <c r="F5" i="46" s="1"/>
  <c r="G5" i="45"/>
  <c r="H5" i="45" s="1"/>
  <c r="B141" i="5"/>
  <c r="C141" i="5" s="1"/>
  <c r="C32" i="5" s="1"/>
  <c r="H19" i="11"/>
  <c r="F19" i="22"/>
  <c r="G20" i="24"/>
  <c r="G19" i="23"/>
  <c r="F19" i="16"/>
  <c r="G22" i="11"/>
  <c r="G17" i="16"/>
  <c r="H20" i="24"/>
  <c r="H9" i="26"/>
  <c r="G19" i="17"/>
  <c r="F19" i="7"/>
  <c r="D19" i="10"/>
  <c r="E65" i="25"/>
  <c r="H19" i="7"/>
  <c r="G10" i="22"/>
  <c r="F18" i="14"/>
  <c r="F19" i="17"/>
  <c r="F10" i="5"/>
  <c r="G10" i="5"/>
  <c r="D19" i="7"/>
  <c r="G23" i="7"/>
  <c r="D19" i="17"/>
  <c r="H19" i="23"/>
  <c r="H19" i="16"/>
  <c r="F19" i="10"/>
  <c r="E22" i="29"/>
  <c r="D22" i="29" s="1"/>
  <c r="H22" i="21"/>
  <c r="D23" i="17"/>
  <c r="D19" i="16"/>
  <c r="D19" i="23"/>
  <c r="F18" i="15"/>
  <c r="H15" i="14"/>
  <c r="G43" i="34"/>
  <c r="G23" i="15"/>
  <c r="F23" i="18"/>
  <c r="G23" i="22"/>
  <c r="G17" i="20"/>
  <c r="H23" i="13"/>
  <c r="G23" i="11"/>
  <c r="E65" i="15"/>
  <c r="H23" i="18"/>
  <c r="D35" i="25"/>
  <c r="H65" i="7"/>
  <c r="D23" i="18"/>
  <c r="H23" i="12"/>
  <c r="F23" i="12"/>
  <c r="H23" i="15"/>
  <c r="G16" i="22"/>
  <c r="H8" i="8"/>
  <c r="F10" i="11"/>
  <c r="D23" i="12"/>
  <c r="G33" i="34"/>
  <c r="G49" i="34"/>
  <c r="D23" i="7"/>
  <c r="H22" i="16"/>
  <c r="H23" i="7"/>
  <c r="D23" i="15"/>
  <c r="G22" i="7"/>
  <c r="D35" i="7"/>
  <c r="D15" i="25"/>
  <c r="H18" i="8"/>
  <c r="G23" i="20"/>
  <c r="H23" i="11"/>
  <c r="F22" i="7"/>
  <c r="G34" i="34"/>
  <c r="D23" i="14"/>
  <c r="D17" i="26"/>
  <c r="G16" i="9"/>
  <c r="H23" i="23"/>
  <c r="D23" i="11"/>
  <c r="G23" i="14"/>
  <c r="D35" i="9"/>
  <c r="D35" i="8"/>
  <c r="G17" i="26"/>
  <c r="H16" i="22"/>
  <c r="H10" i="13"/>
  <c r="G23" i="23"/>
  <c r="M19" i="17"/>
  <c r="M34" i="24"/>
  <c r="O64" i="10"/>
  <c r="M26" i="8"/>
  <c r="N27" i="5"/>
  <c r="P6" i="14"/>
  <c r="P20" i="23"/>
  <c r="M19" i="25"/>
  <c r="M26" i="26"/>
  <c r="M26" i="13"/>
  <c r="P8" i="16"/>
  <c r="N27" i="25"/>
  <c r="P8" i="25"/>
  <c r="M26" i="17"/>
  <c r="N27" i="20"/>
  <c r="O64" i="7"/>
  <c r="M17" i="7"/>
  <c r="P8" i="14"/>
  <c r="P20" i="7"/>
  <c r="M17" i="5"/>
  <c r="P20" i="18"/>
  <c r="M19" i="8"/>
  <c r="O64" i="12"/>
  <c r="M17" i="15"/>
  <c r="P8" i="12"/>
  <c r="C19" i="46"/>
  <c r="C19" i="45"/>
  <c r="B141" i="13"/>
  <c r="C141" i="13" s="1"/>
  <c r="C32" i="13" s="1"/>
  <c r="F20" i="17"/>
  <c r="F22" i="16"/>
  <c r="G20" i="16"/>
  <c r="F15" i="22"/>
  <c r="G9" i="25"/>
  <c r="G65" i="15"/>
  <c r="H16" i="14"/>
  <c r="G15" i="21"/>
  <c r="C13" i="46"/>
  <c r="C13" i="45"/>
  <c r="B141" i="16"/>
  <c r="C141" i="16" s="1"/>
  <c r="C32" i="16" s="1"/>
  <c r="C25" i="46"/>
  <c r="C25" i="45"/>
  <c r="B141" i="26"/>
  <c r="C141" i="26" s="1"/>
  <c r="C32" i="26" s="1"/>
  <c r="C9" i="46"/>
  <c r="C9" i="45"/>
  <c r="B141" i="19"/>
  <c r="C141" i="19" s="1"/>
  <c r="C32" i="19" s="1"/>
  <c r="C17" i="46"/>
  <c r="C17" i="45"/>
  <c r="B141" i="10"/>
  <c r="C141" i="10" s="1"/>
  <c r="C32" i="10" s="1"/>
  <c r="C11" i="46"/>
  <c r="C11" i="45"/>
  <c r="B141" i="15"/>
  <c r="C141" i="15" s="1"/>
  <c r="C32" i="15" s="1"/>
  <c r="C8" i="46"/>
  <c r="C8" i="45"/>
  <c r="B141" i="20"/>
  <c r="C141" i="20" s="1"/>
  <c r="C32" i="20" s="1"/>
  <c r="C6" i="46"/>
  <c r="C6" i="45"/>
  <c r="C141" i="12"/>
  <c r="C32" i="12" s="1"/>
  <c r="C22" i="46"/>
  <c r="C22" i="45"/>
  <c r="B141" i="23"/>
  <c r="C141" i="23" s="1"/>
  <c r="C32" i="23" s="1"/>
  <c r="C15" i="46"/>
  <c r="C15" i="45"/>
  <c r="B141" i="8"/>
  <c r="C141" i="8" s="1"/>
  <c r="C32" i="8" s="1"/>
  <c r="D21" i="12"/>
  <c r="F22" i="19"/>
  <c r="H22" i="19"/>
  <c r="G7" i="9"/>
  <c r="C23" i="46"/>
  <c r="C23" i="45"/>
  <c r="B141" i="24"/>
  <c r="C141" i="24" s="1"/>
  <c r="C32" i="24" s="1"/>
  <c r="F18" i="23"/>
  <c r="H17" i="8"/>
  <c r="F16" i="14"/>
  <c r="G15" i="17"/>
  <c r="D22" i="19"/>
  <c r="D22" i="16"/>
  <c r="C21" i="46"/>
  <c r="C21" i="45"/>
  <c r="B141" i="22"/>
  <c r="C141" i="22" s="1"/>
  <c r="C32" i="22" s="1"/>
  <c r="C16" i="46"/>
  <c r="C16" i="45"/>
  <c r="B141" i="9"/>
  <c r="C141" i="9" s="1"/>
  <c r="C32" i="9" s="1"/>
  <c r="C14" i="46"/>
  <c r="C14" i="45"/>
  <c r="B141" i="7"/>
  <c r="C141" i="7" s="1"/>
  <c r="C32" i="7" s="1"/>
  <c r="C7" i="46"/>
  <c r="C7" i="45"/>
  <c r="C141" i="14"/>
  <c r="C32" i="14" s="1"/>
  <c r="G65" i="25"/>
  <c r="G18" i="7"/>
  <c r="G21" i="12"/>
  <c r="G16" i="14"/>
  <c r="C20" i="46"/>
  <c r="C20" i="45"/>
  <c r="B141" i="21"/>
  <c r="C141" i="21" s="1"/>
  <c r="C32" i="21" s="1"/>
  <c r="C18" i="46"/>
  <c r="C18" i="45"/>
  <c r="B141" i="11"/>
  <c r="C141" i="11" s="1"/>
  <c r="C32" i="11" s="1"/>
  <c r="C12" i="46"/>
  <c r="C12" i="45"/>
  <c r="B141" i="17"/>
  <c r="C141" i="17" s="1"/>
  <c r="C32" i="17" s="1"/>
  <c r="F17" i="8"/>
  <c r="N17" i="8" s="1"/>
  <c r="C24" i="46"/>
  <c r="C24" i="45"/>
  <c r="B141" i="25"/>
  <c r="C141" i="25" s="1"/>
  <c r="C32" i="25" s="1"/>
  <c r="C10" i="46"/>
  <c r="C10" i="45"/>
  <c r="B141" i="18"/>
  <c r="C141" i="18" s="1"/>
  <c r="C32" i="18" s="1"/>
  <c r="H20" i="19"/>
  <c r="D22" i="10"/>
  <c r="F46" i="12"/>
  <c r="E65" i="21"/>
  <c r="F7" i="23"/>
  <c r="D15" i="21"/>
  <c r="D15" i="17"/>
  <c r="F18" i="24"/>
  <c r="G20" i="21"/>
  <c r="H9" i="18"/>
  <c r="G7" i="23"/>
  <c r="D18" i="24"/>
  <c r="H18" i="7"/>
  <c r="H20" i="17"/>
  <c r="D20" i="21"/>
  <c r="G9" i="18"/>
  <c r="D15" i="9"/>
  <c r="D15" i="13"/>
  <c r="F21" i="7"/>
  <c r="H7" i="9"/>
  <c r="H15" i="13"/>
  <c r="H15" i="20"/>
  <c r="G15" i="9"/>
  <c r="D20" i="19"/>
  <c r="D20" i="17"/>
  <c r="G21" i="18"/>
  <c r="H21" i="18"/>
  <c r="G20" i="19"/>
  <c r="G18" i="23"/>
  <c r="H15" i="22"/>
  <c r="H8" i="7"/>
  <c r="G15" i="16"/>
  <c r="F15" i="23"/>
  <c r="H16" i="8"/>
  <c r="G20" i="8"/>
  <c r="G8" i="11"/>
  <c r="D15" i="22"/>
  <c r="F15" i="16"/>
  <c r="H21" i="16"/>
  <c r="H7" i="20"/>
  <c r="H7" i="15"/>
  <c r="H9" i="25"/>
  <c r="G18" i="24"/>
  <c r="F18" i="7"/>
  <c r="H15" i="17"/>
  <c r="F21" i="18"/>
  <c r="D18" i="13"/>
  <c r="F16" i="9"/>
  <c r="H21" i="12"/>
  <c r="G17" i="8"/>
  <c r="F17" i="26"/>
  <c r="N17" i="26" s="1"/>
  <c r="F18" i="8"/>
  <c r="D18" i="23"/>
  <c r="H20" i="21"/>
  <c r="P20" i="21" s="1"/>
  <c r="D18" i="8"/>
  <c r="H20" i="10"/>
  <c r="D20" i="22"/>
  <c r="F20" i="7"/>
  <c r="G7" i="15"/>
  <c r="D15" i="15"/>
  <c r="F15" i="21"/>
  <c r="F16" i="22"/>
  <c r="D20" i="10"/>
  <c r="H15" i="16"/>
  <c r="H7" i="7"/>
  <c r="F7" i="7"/>
  <c r="F20" i="10"/>
  <c r="F8" i="11"/>
  <c r="F9" i="9"/>
  <c r="G15" i="25"/>
  <c r="G7" i="20"/>
  <c r="G18" i="13"/>
  <c r="H16" i="9"/>
  <c r="D20" i="23"/>
  <c r="G9" i="9"/>
  <c r="H17" i="20"/>
  <c r="F20" i="23"/>
  <c r="F7" i="26"/>
  <c r="H18" i="13"/>
  <c r="D20" i="8"/>
  <c r="F8" i="7"/>
  <c r="H20" i="25"/>
  <c r="D15" i="23"/>
  <c r="F17" i="22"/>
  <c r="N17" i="22" s="1"/>
  <c r="F15" i="20"/>
  <c r="F15" i="25"/>
  <c r="F15" i="15"/>
  <c r="H20" i="8"/>
  <c r="F18" i="18"/>
  <c r="G17" i="12"/>
  <c r="D17" i="20"/>
  <c r="H17" i="22"/>
  <c r="G21" i="16"/>
  <c r="G20" i="22"/>
  <c r="G20" i="7"/>
  <c r="G20" i="23"/>
  <c r="D18" i="18"/>
  <c r="H17" i="12"/>
  <c r="F9" i="10"/>
  <c r="D15" i="20"/>
  <c r="G15" i="13"/>
  <c r="G17" i="22"/>
  <c r="G15" i="24"/>
  <c r="M34" i="11"/>
  <c r="N25" i="8"/>
  <c r="N25" i="19"/>
  <c r="O40" i="15"/>
  <c r="M8" i="13"/>
  <c r="N8" i="19"/>
  <c r="P42" i="18"/>
  <c r="M20" i="18"/>
  <c r="M27" i="12"/>
  <c r="M27" i="11"/>
  <c r="P17" i="23"/>
  <c r="M20" i="22"/>
  <c r="N25" i="12"/>
  <c r="N25" i="9"/>
  <c r="N25" i="26"/>
  <c r="M20" i="25"/>
  <c r="M27" i="24"/>
  <c r="P42" i="10"/>
  <c r="N8" i="12"/>
  <c r="M64" i="24"/>
  <c r="O64" i="22"/>
  <c r="D20" i="16"/>
  <c r="G20" i="26"/>
  <c r="H23" i="21"/>
  <c r="D15" i="7"/>
  <c r="H23" i="22"/>
  <c r="H17" i="24"/>
  <c r="D17" i="24"/>
  <c r="D20" i="24"/>
  <c r="F8" i="18"/>
  <c r="G20" i="20"/>
  <c r="G20" i="9"/>
  <c r="G20" i="25"/>
  <c r="G7" i="19"/>
  <c r="G23" i="21"/>
  <c r="D15" i="8"/>
  <c r="G65" i="8"/>
  <c r="G20" i="14"/>
  <c r="G15" i="14"/>
  <c r="F23" i="22"/>
  <c r="F22" i="21"/>
  <c r="H21" i="9"/>
  <c r="F17" i="10"/>
  <c r="N17" i="10" s="1"/>
  <c r="H15" i="15"/>
  <c r="H15" i="24"/>
  <c r="G15" i="8"/>
  <c r="G23" i="17"/>
  <c r="G17" i="24"/>
  <c r="G8" i="18"/>
  <c r="H20" i="20"/>
  <c r="H23" i="25"/>
  <c r="F15" i="14"/>
  <c r="F21" i="9"/>
  <c r="G21" i="9"/>
  <c r="F20" i="20"/>
  <c r="F20" i="9"/>
  <c r="F20" i="25"/>
  <c r="G23" i="25"/>
  <c r="G23" i="16"/>
  <c r="H15" i="23"/>
  <c r="F15" i="9"/>
  <c r="G21" i="23"/>
  <c r="G21" i="22"/>
  <c r="D20" i="26"/>
  <c r="G18" i="18"/>
  <c r="F17" i="12"/>
  <c r="N17" i="12" s="1"/>
  <c r="H20" i="9"/>
  <c r="H15" i="7"/>
  <c r="H20" i="16"/>
  <c r="H20" i="22"/>
  <c r="H20" i="26"/>
  <c r="G7" i="26"/>
  <c r="G10" i="18"/>
  <c r="D15" i="24"/>
  <c r="D23" i="16"/>
  <c r="H20" i="14"/>
  <c r="H22" i="7"/>
  <c r="H21" i="23"/>
  <c r="F21" i="23"/>
  <c r="G15" i="7"/>
  <c r="D23" i="25"/>
  <c r="D20" i="7"/>
  <c r="D20" i="14"/>
  <c r="F23" i="21"/>
  <c r="G18" i="15"/>
  <c r="F17" i="16"/>
  <c r="N17" i="16" s="1"/>
  <c r="F21" i="22"/>
  <c r="H17" i="16"/>
  <c r="H15" i="8"/>
  <c r="D16" i="8"/>
  <c r="H22" i="10"/>
  <c r="G46" i="12"/>
  <c r="D21" i="7"/>
  <c r="F7" i="8"/>
  <c r="H65" i="23"/>
  <c r="G16" i="8"/>
  <c r="F7" i="19"/>
  <c r="G10" i="13"/>
  <c r="G10" i="7"/>
  <c r="F22" i="10"/>
  <c r="G9" i="10"/>
  <c r="D21" i="14"/>
  <c r="F23" i="20"/>
  <c r="G35" i="34"/>
  <c r="G7" i="22"/>
  <c r="D23" i="20"/>
  <c r="H21" i="14"/>
  <c r="F10" i="7"/>
  <c r="F23" i="16"/>
  <c r="H22" i="11"/>
  <c r="G23" i="24"/>
  <c r="H7" i="25"/>
  <c r="E26" i="29"/>
  <c r="D26" i="29" s="1"/>
  <c r="G22" i="18"/>
  <c r="F7" i="25"/>
  <c r="F23" i="17"/>
  <c r="H65" i="25"/>
  <c r="H46" i="12"/>
  <c r="F9" i="26"/>
  <c r="H65" i="21"/>
  <c r="G10" i="23"/>
  <c r="D18" i="14"/>
  <c r="H21" i="7"/>
  <c r="F22" i="26"/>
  <c r="G21" i="14"/>
  <c r="H23" i="24"/>
  <c r="D16" i="18"/>
  <c r="G7" i="14"/>
  <c r="F21" i="11"/>
  <c r="G18" i="14"/>
  <c r="D22" i="21"/>
  <c r="G7" i="8"/>
  <c r="G22" i="17"/>
  <c r="D65" i="15"/>
  <c r="F23" i="24"/>
  <c r="G7" i="16"/>
  <c r="D18" i="11"/>
  <c r="G26" i="20"/>
  <c r="F22" i="18"/>
  <c r="H21" i="11"/>
  <c r="D22" i="18"/>
  <c r="H21" i="19"/>
  <c r="F16" i="15"/>
  <c r="F16" i="24"/>
  <c r="G16" i="18"/>
  <c r="H18" i="11"/>
  <c r="H7" i="14"/>
  <c r="F7" i="16"/>
  <c r="E11" i="23"/>
  <c r="B48" i="34" s="1"/>
  <c r="F7" i="22"/>
  <c r="G23" i="9"/>
  <c r="D22" i="11"/>
  <c r="H23" i="9"/>
  <c r="F7" i="13"/>
  <c r="G21" i="11"/>
  <c r="G21" i="19"/>
  <c r="D22" i="26"/>
  <c r="H10" i="8"/>
  <c r="H16" i="15"/>
  <c r="F10" i="18"/>
  <c r="D22" i="17"/>
  <c r="C29" i="20"/>
  <c r="D8" i="49" s="1"/>
  <c r="E81" i="49" s="1"/>
  <c r="D16" i="15"/>
  <c r="D16" i="24"/>
  <c r="H16" i="18"/>
  <c r="F18" i="11"/>
  <c r="C29" i="24"/>
  <c r="D23" i="49" s="1"/>
  <c r="E96" i="49" s="1"/>
  <c r="H10" i="23"/>
  <c r="F23" i="9"/>
  <c r="E40" i="34"/>
  <c r="G7" i="13"/>
  <c r="F21" i="19"/>
  <c r="H22" i="26"/>
  <c r="H22" i="17"/>
  <c r="H65" i="11"/>
  <c r="H65" i="18"/>
  <c r="F23" i="8"/>
  <c r="D23" i="8"/>
  <c r="H23" i="8"/>
  <c r="H16" i="24"/>
  <c r="G10" i="11"/>
  <c r="G10" i="15"/>
  <c r="F26" i="25"/>
  <c r="H10" i="15"/>
  <c r="H10" i="20"/>
  <c r="D39" i="19"/>
  <c r="G10" i="20"/>
  <c r="F27" i="14"/>
  <c r="M59" i="8"/>
  <c r="E51" i="34"/>
  <c r="M59" i="9"/>
  <c r="E49" i="34"/>
  <c r="F26" i="11"/>
  <c r="M57" i="18"/>
  <c r="G25" i="34"/>
  <c r="E34" i="34"/>
  <c r="N64" i="9"/>
  <c r="G27" i="7"/>
  <c r="E43" i="34"/>
  <c r="G31" i="34"/>
  <c r="E42" i="34"/>
  <c r="D35" i="18"/>
  <c r="G36" i="34"/>
  <c r="F26" i="23"/>
  <c r="G26" i="7"/>
  <c r="D35" i="11"/>
  <c r="G44" i="34"/>
  <c r="G51" i="34"/>
  <c r="D35" i="26"/>
  <c r="O37" i="7"/>
  <c r="I16" i="10"/>
  <c r="I16" i="16"/>
  <c r="E36" i="34"/>
  <c r="H27" i="8"/>
  <c r="P48" i="19"/>
  <c r="I16" i="24"/>
  <c r="O37" i="21"/>
  <c r="E38" i="34"/>
  <c r="E37" i="34"/>
  <c r="E45" i="34"/>
  <c r="L37" i="13"/>
  <c r="M19" i="24"/>
  <c r="L37" i="8"/>
  <c r="N64" i="8"/>
  <c r="M8" i="24"/>
  <c r="O37" i="8"/>
  <c r="O37" i="18"/>
  <c r="P41" i="9"/>
  <c r="P6" i="25"/>
  <c r="M8" i="7"/>
  <c r="M8" i="11"/>
  <c r="L37" i="22"/>
  <c r="P6" i="15"/>
  <c r="P6" i="21"/>
  <c r="P41" i="18"/>
  <c r="M8" i="14"/>
  <c r="N10" i="25"/>
  <c r="O37" i="26"/>
  <c r="P41" i="5"/>
  <c r="N10" i="19"/>
  <c r="O18" i="26"/>
  <c r="M8" i="17"/>
  <c r="O37" i="9"/>
  <c r="N10" i="16"/>
  <c r="M19" i="10"/>
  <c r="P41" i="11"/>
  <c r="O18" i="15"/>
  <c r="O18" i="13"/>
  <c r="P20" i="22"/>
  <c r="O18" i="18"/>
  <c r="M19" i="13"/>
  <c r="O37" i="23"/>
  <c r="N64" i="11"/>
  <c r="P6" i="20"/>
  <c r="P20" i="14"/>
  <c r="M8" i="21"/>
  <c r="O18" i="8"/>
  <c r="O18" i="7"/>
  <c r="N64" i="16"/>
  <c r="P41" i="17"/>
  <c r="P41" i="26"/>
  <c r="N10" i="18"/>
  <c r="P6" i="9"/>
  <c r="M19" i="9"/>
  <c r="P41" i="12"/>
  <c r="N64" i="13"/>
  <c r="P20" i="13"/>
  <c r="M19" i="18"/>
  <c r="L37" i="19"/>
  <c r="N64" i="25"/>
  <c r="P41" i="8"/>
  <c r="N10" i="11"/>
  <c r="O18" i="12"/>
  <c r="M19" i="22"/>
  <c r="P6" i="22"/>
  <c r="P6" i="17"/>
  <c r="N10" i="13"/>
  <c r="N64" i="15"/>
  <c r="P20" i="8"/>
  <c r="P20" i="24"/>
  <c r="P20" i="20"/>
  <c r="P20" i="9"/>
  <c r="P20" i="25"/>
  <c r="M13" i="15"/>
  <c r="N10" i="23"/>
  <c r="M8" i="23"/>
  <c r="P18" i="8"/>
  <c r="N25" i="7"/>
  <c r="N25" i="10"/>
  <c r="N25" i="21"/>
  <c r="O64" i="18"/>
  <c r="O64" i="26"/>
  <c r="M26" i="24"/>
  <c r="P17" i="8"/>
  <c r="M20" i="5"/>
  <c r="N27" i="7"/>
  <c r="O23" i="15"/>
  <c r="M42" i="23"/>
  <c r="P8" i="5"/>
  <c r="M42" i="22"/>
  <c r="P54" i="26"/>
  <c r="M20" i="23"/>
  <c r="M26" i="25"/>
  <c r="M59" i="7"/>
  <c r="M17" i="20"/>
  <c r="M59" i="13"/>
  <c r="M17" i="14"/>
  <c r="M20" i="8"/>
  <c r="P42" i="24"/>
  <c r="P8" i="7"/>
  <c r="M48" i="12"/>
  <c r="I16" i="12"/>
  <c r="O23" i="13"/>
  <c r="M17" i="26"/>
  <c r="M42" i="17"/>
  <c r="M17" i="19"/>
  <c r="M59" i="16"/>
  <c r="P17" i="26"/>
  <c r="P18" i="15"/>
  <c r="P18" i="7"/>
  <c r="P18" i="23"/>
  <c r="N27" i="8"/>
  <c r="N27" i="9"/>
  <c r="N27" i="26"/>
  <c r="O64" i="24"/>
  <c r="M26" i="18"/>
  <c r="O23" i="25"/>
  <c r="N27" i="18"/>
  <c r="M20" i="9"/>
  <c r="P42" i="26"/>
  <c r="P8" i="21"/>
  <c r="M59" i="23"/>
  <c r="I16" i="26"/>
  <c r="O23" i="5"/>
  <c r="M26" i="22"/>
  <c r="M34" i="10"/>
  <c r="O23" i="23"/>
  <c r="M42" i="24"/>
  <c r="M34" i="8"/>
  <c r="N27" i="14"/>
  <c r="N25" i="23"/>
  <c r="M26" i="23"/>
  <c r="O23" i="19"/>
  <c r="M42" i="12"/>
  <c r="P8" i="24"/>
  <c r="I16" i="25"/>
  <c r="M34" i="23"/>
  <c r="M46" i="17"/>
  <c r="N6" i="26"/>
  <c r="O8" i="13"/>
  <c r="M57" i="5"/>
  <c r="M42" i="8"/>
  <c r="M40" i="14"/>
  <c r="O64" i="5"/>
  <c r="O64" i="17"/>
  <c r="P34" i="5"/>
  <c r="M20" i="26"/>
  <c r="M42" i="11"/>
  <c r="P42" i="14"/>
  <c r="P42" i="13"/>
  <c r="M42" i="25"/>
  <c r="O38" i="26"/>
  <c r="O19" i="7"/>
  <c r="O19" i="11"/>
  <c r="M34" i="20"/>
  <c r="M34" i="18"/>
  <c r="P9" i="16"/>
  <c r="M34" i="9"/>
  <c r="N40" i="16"/>
  <c r="P35" i="14"/>
  <c r="M9" i="19"/>
  <c r="N42" i="17"/>
  <c r="P46" i="14"/>
  <c r="M18" i="13"/>
  <c r="M60" i="25"/>
  <c r="O34" i="23"/>
  <c r="M56" i="8"/>
  <c r="P7" i="9"/>
  <c r="M6" i="8"/>
  <c r="M28" i="26"/>
  <c r="P63" i="8"/>
  <c r="O41" i="17"/>
  <c r="N41" i="18"/>
  <c r="N9" i="12"/>
  <c r="O38" i="12"/>
  <c r="O19" i="26"/>
  <c r="O19" i="17"/>
  <c r="M35" i="17"/>
  <c r="O23" i="8"/>
  <c r="M59" i="10"/>
  <c r="M20" i="16"/>
  <c r="M17" i="12"/>
  <c r="P60" i="9"/>
  <c r="N20" i="16"/>
  <c r="N27" i="16"/>
  <c r="N27" i="21"/>
  <c r="O64" i="23"/>
  <c r="M59" i="14"/>
  <c r="M39" i="16"/>
  <c r="M17" i="11"/>
  <c r="N27" i="12"/>
  <c r="O64" i="11"/>
  <c r="O64" i="21"/>
  <c r="M59" i="15"/>
  <c r="M59" i="25"/>
  <c r="M57" i="11"/>
  <c r="M39" i="10"/>
  <c r="M17" i="23"/>
  <c r="O23" i="21"/>
  <c r="M15" i="19"/>
  <c r="M20" i="7"/>
  <c r="O23" i="7"/>
  <c r="O23" i="11"/>
  <c r="P42" i="23"/>
  <c r="P42" i="5"/>
  <c r="M42" i="20"/>
  <c r="M59" i="22"/>
  <c r="O19" i="22"/>
  <c r="O15" i="17"/>
  <c r="M57" i="25"/>
  <c r="M42" i="9"/>
  <c r="O64" i="9"/>
  <c r="M59" i="18"/>
  <c r="M34" i="25"/>
  <c r="M34" i="12"/>
  <c r="M17" i="25"/>
  <c r="P10" i="23"/>
  <c r="P38" i="14"/>
  <c r="O63" i="12"/>
  <c r="O6" i="13"/>
  <c r="P15" i="9"/>
  <c r="N34" i="25"/>
  <c r="O39" i="9"/>
  <c r="O7" i="10"/>
  <c r="N63" i="26"/>
  <c r="M59" i="24"/>
  <c r="M17" i="8"/>
  <c r="O23" i="16"/>
  <c r="P42" i="11"/>
  <c r="M59" i="19"/>
  <c r="P42" i="8"/>
  <c r="M34" i="17"/>
  <c r="M34" i="19"/>
  <c r="M17" i="10"/>
  <c r="M40" i="25"/>
  <c r="P23" i="5"/>
  <c r="M23" i="18"/>
  <c r="O9" i="9"/>
  <c r="O60" i="13"/>
  <c r="O28" i="17"/>
  <c r="M54" i="7"/>
  <c r="N27" i="19"/>
  <c r="N27" i="15"/>
  <c r="N27" i="17"/>
  <c r="N27" i="10"/>
  <c r="N27" i="22"/>
  <c r="O64" i="8"/>
  <c r="M59" i="20"/>
  <c r="M17" i="13"/>
  <c r="O23" i="10"/>
  <c r="M20" i="13"/>
  <c r="M20" i="21"/>
  <c r="P42" i="25"/>
  <c r="P42" i="22"/>
  <c r="M42" i="14"/>
  <c r="M42" i="10"/>
  <c r="M42" i="19"/>
  <c r="M59" i="11"/>
  <c r="M20" i="10"/>
  <c r="M20" i="14"/>
  <c r="O23" i="24"/>
  <c r="O23" i="14"/>
  <c r="M17" i="9"/>
  <c r="M59" i="26"/>
  <c r="M20" i="15"/>
  <c r="M34" i="13"/>
  <c r="M34" i="26"/>
  <c r="N8" i="7"/>
  <c r="P40" i="26"/>
  <c r="N35" i="8"/>
  <c r="N37" i="23"/>
  <c r="P8" i="23"/>
  <c r="M26" i="9"/>
  <c r="N23" i="17"/>
  <c r="N7" i="15"/>
  <c r="M21" i="16"/>
  <c r="M15" i="22"/>
  <c r="O38" i="17"/>
  <c r="O40" i="5"/>
  <c r="M27" i="25"/>
  <c r="M39" i="24"/>
  <c r="M20" i="20"/>
  <c r="M27" i="7"/>
  <c r="O40" i="19"/>
  <c r="P42" i="16"/>
  <c r="M42" i="7"/>
  <c r="M42" i="26"/>
  <c r="O15" i="8"/>
  <c r="O23" i="18"/>
  <c r="O64" i="16"/>
  <c r="M17" i="16"/>
  <c r="P37" i="20"/>
  <c r="P39" i="21"/>
  <c r="N60" i="24"/>
  <c r="N38" i="24"/>
  <c r="N20" i="13"/>
  <c r="O64" i="15"/>
  <c r="M64" i="8"/>
  <c r="M59" i="17"/>
  <c r="M57" i="26"/>
  <c r="M17" i="18"/>
  <c r="M17" i="24"/>
  <c r="O23" i="20"/>
  <c r="O23" i="22"/>
  <c r="N20" i="12"/>
  <c r="P25" i="18"/>
  <c r="M7" i="11"/>
  <c r="M20" i="19"/>
  <c r="M20" i="17"/>
  <c r="M27" i="15"/>
  <c r="O38" i="11"/>
  <c r="P42" i="15"/>
  <c r="P42" i="12"/>
  <c r="M42" i="21"/>
  <c r="M42" i="18"/>
  <c r="O40" i="22"/>
  <c r="O19" i="10"/>
  <c r="O19" i="18"/>
  <c r="M20" i="24"/>
  <c r="O23" i="12"/>
  <c r="M17" i="17"/>
  <c r="M17" i="21"/>
  <c r="M34" i="7"/>
  <c r="M34" i="21"/>
  <c r="O64" i="25"/>
  <c r="M41" i="17"/>
  <c r="P64" i="10"/>
  <c r="M19" i="19"/>
  <c r="M8" i="16"/>
  <c r="N10" i="21"/>
  <c r="P41" i="19"/>
  <c r="N64" i="12"/>
  <c r="O37" i="5"/>
  <c r="P6" i="26"/>
  <c r="J9" i="15"/>
  <c r="I19" i="12"/>
  <c r="J23" i="24"/>
  <c r="I33" i="11"/>
  <c r="I25" i="5"/>
  <c r="L10" i="20"/>
  <c r="L10" i="13"/>
  <c r="L10" i="15"/>
  <c r="L10" i="23"/>
  <c r="L10" i="7"/>
  <c r="L10" i="26"/>
  <c r="L10" i="10"/>
  <c r="L10" i="19"/>
  <c r="L10" i="21"/>
  <c r="L10" i="25"/>
  <c r="L10" i="24"/>
  <c r="L10" i="8"/>
  <c r="L10" i="14"/>
  <c r="L10" i="11"/>
  <c r="L10" i="18"/>
  <c r="L10" i="22"/>
  <c r="L10" i="16"/>
  <c r="L10" i="9"/>
  <c r="L10" i="17"/>
  <c r="I16" i="18"/>
  <c r="I16" i="22"/>
  <c r="I22" i="15"/>
  <c r="I21" i="11"/>
  <c r="I20" i="5"/>
  <c r="I18" i="10"/>
  <c r="I26" i="26"/>
  <c r="L6" i="19"/>
  <c r="L6" i="25"/>
  <c r="L6" i="9"/>
  <c r="L6" i="20"/>
  <c r="L6" i="13"/>
  <c r="L6" i="15"/>
  <c r="L6" i="23"/>
  <c r="L6" i="7"/>
  <c r="L6" i="26"/>
  <c r="K6" i="12"/>
  <c r="L6" i="21"/>
  <c r="L6" i="17"/>
  <c r="K6" i="5"/>
  <c r="L6" i="24"/>
  <c r="L6" i="8"/>
  <c r="L6" i="14"/>
  <c r="L6" i="11"/>
  <c r="L6" i="18"/>
  <c r="L6" i="12"/>
  <c r="L6" i="22"/>
  <c r="L6" i="16"/>
  <c r="L6" i="10"/>
  <c r="J6" i="5"/>
  <c r="L10" i="5"/>
  <c r="L10" i="12"/>
  <c r="K37" i="14"/>
  <c r="L37" i="5"/>
  <c r="J8" i="5"/>
  <c r="L9" i="25"/>
  <c r="L9" i="13"/>
  <c r="L9" i="8"/>
  <c r="L9" i="23"/>
  <c r="L9" i="7"/>
  <c r="L9" i="26"/>
  <c r="L9" i="10"/>
  <c r="L9" i="19"/>
  <c r="L9" i="21"/>
  <c r="L9" i="17"/>
  <c r="L9" i="24"/>
  <c r="L9" i="11"/>
  <c r="L9" i="18"/>
  <c r="L9" i="22"/>
  <c r="L9" i="16"/>
  <c r="L9" i="9"/>
  <c r="L9" i="20"/>
  <c r="L9" i="15"/>
  <c r="L9" i="14"/>
  <c r="I16" i="7"/>
  <c r="I10" i="7"/>
  <c r="I9" i="5"/>
  <c r="I8" i="21"/>
  <c r="I63" i="9"/>
  <c r="I37" i="24"/>
  <c r="I17" i="12"/>
  <c r="L7" i="26"/>
  <c r="L7" i="21"/>
  <c r="L7" i="17"/>
  <c r="L7" i="24"/>
  <c r="L7" i="8"/>
  <c r="L7" i="14"/>
  <c r="L7" i="11"/>
  <c r="L7" i="18"/>
  <c r="L7" i="16"/>
  <c r="L7" i="9"/>
  <c r="L7" i="20"/>
  <c r="L7" i="25"/>
  <c r="L7" i="13"/>
  <c r="L7" i="15"/>
  <c r="L7" i="23"/>
  <c r="L7" i="7"/>
  <c r="L7" i="10"/>
  <c r="L7" i="19"/>
  <c r="L7" i="22"/>
  <c r="I46" i="11"/>
  <c r="L37" i="23"/>
  <c r="I27" i="13"/>
  <c r="K23" i="22"/>
  <c r="L8" i="23"/>
  <c r="L8" i="7"/>
  <c r="L8" i="26"/>
  <c r="L8" i="10"/>
  <c r="L8" i="19"/>
  <c r="L8" i="21"/>
  <c r="L8" i="17"/>
  <c r="L8" i="24"/>
  <c r="L8" i="8"/>
  <c r="L8" i="14"/>
  <c r="L8" i="11"/>
  <c r="L8" i="22"/>
  <c r="L8" i="16"/>
  <c r="L8" i="18"/>
  <c r="L8" i="9"/>
  <c r="L8" i="20"/>
  <c r="L8" i="25"/>
  <c r="L8" i="13"/>
  <c r="L8" i="15"/>
  <c r="I28" i="18"/>
  <c r="I60" i="20"/>
  <c r="J46" i="5"/>
  <c r="L34" i="17"/>
  <c r="J34" i="8"/>
  <c r="L9" i="12"/>
  <c r="L9" i="5"/>
  <c r="L46" i="12"/>
  <c r="K60" i="5"/>
  <c r="L7" i="5"/>
  <c r="L7" i="12"/>
  <c r="I23" i="12"/>
  <c r="I16" i="11"/>
  <c r="I16" i="21"/>
  <c r="I16" i="20"/>
  <c r="I6" i="15"/>
  <c r="L8" i="12"/>
  <c r="L8" i="5"/>
  <c r="I15" i="18"/>
  <c r="P17" i="18"/>
  <c r="N25" i="22"/>
  <c r="O18" i="14"/>
  <c r="E33" i="15"/>
  <c r="D33" i="15" s="1"/>
  <c r="F33" i="15"/>
  <c r="N33" i="15" s="1"/>
  <c r="H33" i="15"/>
  <c r="P33" i="15" s="1"/>
  <c r="G33" i="15"/>
  <c r="O33" i="15" s="1"/>
  <c r="H33" i="9"/>
  <c r="P33" i="9" s="1"/>
  <c r="F33" i="9"/>
  <c r="N33" i="9" s="1"/>
  <c r="G33" i="9"/>
  <c r="G33" i="5"/>
  <c r="O33" i="5" s="1"/>
  <c r="H33" i="5"/>
  <c r="P33" i="5" s="1"/>
  <c r="F33" i="21"/>
  <c r="N33" i="21" s="1"/>
  <c r="G33" i="21"/>
  <c r="O33" i="21" s="1"/>
  <c r="H33" i="21"/>
  <c r="P33" i="21" s="1"/>
  <c r="G33" i="25"/>
  <c r="O33" i="25" s="1"/>
  <c r="F33" i="25"/>
  <c r="N33" i="25" s="1"/>
  <c r="H33" i="25"/>
  <c r="P33" i="25" s="1"/>
  <c r="N20" i="19"/>
  <c r="G33" i="19"/>
  <c r="O33" i="19" s="1"/>
  <c r="H33" i="19"/>
  <c r="P33" i="19" s="1"/>
  <c r="F33" i="19"/>
  <c r="G33" i="10"/>
  <c r="O33" i="10" s="1"/>
  <c r="F33" i="10"/>
  <c r="N33" i="10" s="1"/>
  <c r="H33" i="10"/>
  <c r="P33" i="10" s="1"/>
  <c r="P20" i="10"/>
  <c r="G33" i="16"/>
  <c r="O33" i="16" s="1"/>
  <c r="H33" i="16"/>
  <c r="P33" i="16" s="1"/>
  <c r="F33" i="16"/>
  <c r="O17" i="22"/>
  <c r="O22" i="24"/>
  <c r="G33" i="13"/>
  <c r="O33" i="13" s="1"/>
  <c r="H33" i="13"/>
  <c r="P33" i="13" s="1"/>
  <c r="F33" i="13"/>
  <c r="N33" i="13" s="1"/>
  <c r="E33" i="22"/>
  <c r="H33" i="22"/>
  <c r="P33" i="22" s="1"/>
  <c r="F33" i="22"/>
  <c r="N33" i="22" s="1"/>
  <c r="G33" i="22"/>
  <c r="O33" i="22" s="1"/>
  <c r="F33" i="14"/>
  <c r="N33" i="14" s="1"/>
  <c r="G33" i="14"/>
  <c r="O33" i="14" s="1"/>
  <c r="H33" i="14"/>
  <c r="P33" i="14" s="1"/>
  <c r="F33" i="7"/>
  <c r="N33" i="7" s="1"/>
  <c r="G33" i="7"/>
  <c r="O33" i="7" s="1"/>
  <c r="H33" i="7"/>
  <c r="P33" i="7" s="1"/>
  <c r="N22" i="8"/>
  <c r="G33" i="24"/>
  <c r="O33" i="24" s="1"/>
  <c r="H33" i="24"/>
  <c r="P33" i="24" s="1"/>
  <c r="F33" i="24"/>
  <c r="N33" i="24" s="1"/>
  <c r="G33" i="26"/>
  <c r="H33" i="26"/>
  <c r="F33" i="26"/>
  <c r="N33" i="26" s="1"/>
  <c r="G33" i="11"/>
  <c r="O33" i="11" s="1"/>
  <c r="H33" i="11"/>
  <c r="P33" i="11" s="1"/>
  <c r="F33" i="11"/>
  <c r="N33" i="11" s="1"/>
  <c r="E33" i="18"/>
  <c r="D33" i="18" s="1"/>
  <c r="F33" i="18"/>
  <c r="N33" i="18" s="1"/>
  <c r="G33" i="18"/>
  <c r="O33" i="18" s="1"/>
  <c r="H33" i="18"/>
  <c r="H33" i="20"/>
  <c r="P33" i="20" s="1"/>
  <c r="F33" i="20"/>
  <c r="N33" i="20" s="1"/>
  <c r="G33" i="20"/>
  <c r="O33" i="20" s="1"/>
  <c r="M20" i="12"/>
  <c r="N28" i="25"/>
  <c r="F33" i="8"/>
  <c r="N33" i="8" s="1"/>
  <c r="G33" i="8"/>
  <c r="O33" i="8" s="1"/>
  <c r="H33" i="8"/>
  <c r="P33" i="8" s="1"/>
  <c r="H33" i="23"/>
  <c r="P33" i="23" s="1"/>
  <c r="F33" i="23"/>
  <c r="N33" i="23" s="1"/>
  <c r="G33" i="23"/>
  <c r="P33" i="18"/>
  <c r="G33" i="17"/>
  <c r="H33" i="17"/>
  <c r="P33" i="17" s="1"/>
  <c r="F33" i="17"/>
  <c r="N33" i="17" s="1"/>
  <c r="M22" i="22"/>
  <c r="N19" i="22"/>
  <c r="P22" i="8"/>
  <c r="N18" i="9"/>
  <c r="K37" i="9"/>
  <c r="K37" i="7"/>
  <c r="I20" i="20"/>
  <c r="I25" i="13"/>
  <c r="I25" i="24"/>
  <c r="I18" i="11"/>
  <c r="I9" i="15"/>
  <c r="I9" i="21"/>
  <c r="I20" i="10"/>
  <c r="K37" i="11"/>
  <c r="I25" i="16"/>
  <c r="I9" i="9"/>
  <c r="I25" i="22"/>
  <c r="K37" i="25"/>
  <c r="K37" i="24"/>
  <c r="I20" i="9"/>
  <c r="I25" i="7"/>
  <c r="I25" i="9"/>
  <c r="I9" i="17"/>
  <c r="I20" i="24"/>
  <c r="I10" i="25"/>
  <c r="I25" i="12"/>
  <c r="I25" i="20"/>
  <c r="I25" i="15"/>
  <c r="I25" i="8"/>
  <c r="K37" i="20"/>
  <c r="K37" i="18"/>
  <c r="I9" i="24"/>
  <c r="I20" i="25"/>
  <c r="I25" i="23"/>
  <c r="I25" i="25"/>
  <c r="I25" i="11"/>
  <c r="I20" i="11"/>
  <c r="I9" i="7"/>
  <c r="K37" i="23"/>
  <c r="I9" i="12"/>
  <c r="I20" i="21"/>
  <c r="I25" i="21"/>
  <c r="I25" i="26"/>
  <c r="I25" i="17"/>
  <c r="I25" i="18"/>
  <c r="I9" i="16"/>
  <c r="I25" i="10"/>
  <c r="I25" i="19"/>
  <c r="I25" i="14"/>
  <c r="P23" i="19"/>
  <c r="N38" i="20"/>
  <c r="L23" i="23"/>
  <c r="I21" i="18"/>
  <c r="I22" i="8"/>
  <c r="K60" i="8"/>
  <c r="K60" i="10"/>
  <c r="I33" i="7"/>
  <c r="M19" i="15"/>
  <c r="O37" i="11"/>
  <c r="O37" i="12"/>
  <c r="P41" i="25"/>
  <c r="P41" i="15"/>
  <c r="I21" i="7"/>
  <c r="O37" i="25"/>
  <c r="N10" i="7"/>
  <c r="P20" i="17"/>
  <c r="P20" i="26"/>
  <c r="M19" i="26"/>
  <c r="I22" i="9"/>
  <c r="M8" i="15"/>
  <c r="P6" i="7"/>
  <c r="O37" i="14"/>
  <c r="P20" i="15"/>
  <c r="M8" i="20"/>
  <c r="N64" i="18"/>
  <c r="N10" i="15"/>
  <c r="I22" i="21"/>
  <c r="I22" i="5"/>
  <c r="M19" i="7"/>
  <c r="N64" i="26"/>
  <c r="N64" i="17"/>
  <c r="O37" i="22"/>
  <c r="P41" i="20"/>
  <c r="P64" i="26"/>
  <c r="P41" i="7"/>
  <c r="O37" i="15"/>
  <c r="N64" i="24"/>
  <c r="N10" i="10"/>
  <c r="P20" i="19"/>
  <c r="O18" i="10"/>
  <c r="P6" i="8"/>
  <c r="P6" i="11"/>
  <c r="P6" i="24"/>
  <c r="M19" i="21"/>
  <c r="M19" i="20"/>
  <c r="I22" i="24"/>
  <c r="M8" i="8"/>
  <c r="I22" i="25"/>
  <c r="P6" i="16"/>
  <c r="P20" i="11"/>
  <c r="O18" i="24"/>
  <c r="O37" i="24"/>
  <c r="O18" i="11"/>
  <c r="P6" i="23"/>
  <c r="N10" i="20"/>
  <c r="M19" i="11"/>
  <c r="N64" i="22"/>
  <c r="O37" i="10"/>
  <c r="P41" i="24"/>
  <c r="P64" i="21"/>
  <c r="P41" i="23"/>
  <c r="O37" i="13"/>
  <c r="M41" i="8"/>
  <c r="N10" i="22"/>
  <c r="P20" i="16"/>
  <c r="I33" i="20"/>
  <c r="P6" i="10"/>
  <c r="I27" i="9"/>
  <c r="M19" i="12"/>
  <c r="M8" i="10"/>
  <c r="I22" i="23"/>
  <c r="M8" i="12"/>
  <c r="M8" i="9"/>
  <c r="P6" i="5"/>
  <c r="M8" i="25"/>
  <c r="N10" i="17"/>
  <c r="O37" i="17"/>
  <c r="N10" i="14"/>
  <c r="P41" i="16"/>
  <c r="M19" i="23"/>
  <c r="N64" i="10"/>
  <c r="N64" i="5"/>
  <c r="O37" i="16"/>
  <c r="P41" i="13"/>
  <c r="O37" i="20"/>
  <c r="N10" i="26"/>
  <c r="O18" i="23"/>
  <c r="I22" i="22"/>
  <c r="M8" i="19"/>
  <c r="I22" i="12"/>
  <c r="M8" i="22"/>
  <c r="M8" i="18"/>
  <c r="P6" i="18"/>
  <c r="P6" i="13"/>
  <c r="P6" i="19"/>
  <c r="N64" i="23"/>
  <c r="N64" i="7"/>
  <c r="M19" i="16"/>
  <c r="P41" i="22"/>
  <c r="J9" i="9"/>
  <c r="P39" i="12"/>
  <c r="O60" i="20"/>
  <c r="M46" i="7"/>
  <c r="M46" i="20"/>
  <c r="M46" i="13"/>
  <c r="M23" i="17"/>
  <c r="P39" i="16"/>
  <c r="M46" i="16"/>
  <c r="O60" i="11"/>
  <c r="M46" i="22"/>
  <c r="N7" i="14"/>
  <c r="O9" i="23"/>
  <c r="P39" i="19"/>
  <c r="M46" i="11"/>
  <c r="N38" i="25"/>
  <c r="J9" i="16"/>
  <c r="N25" i="18"/>
  <c r="N25" i="24"/>
  <c r="I23" i="17"/>
  <c r="M26" i="15"/>
  <c r="P17" i="24"/>
  <c r="N25" i="25"/>
  <c r="P8" i="15"/>
  <c r="P8" i="13"/>
  <c r="I22" i="13"/>
  <c r="I22" i="7"/>
  <c r="N8" i="23"/>
  <c r="I16" i="5"/>
  <c r="N25" i="17"/>
  <c r="I16" i="9"/>
  <c r="M26" i="21"/>
  <c r="M26" i="12"/>
  <c r="N35" i="22"/>
  <c r="N16" i="18"/>
  <c r="N25" i="14"/>
  <c r="N37" i="15"/>
  <c r="M26" i="7"/>
  <c r="P18" i="24"/>
  <c r="P18" i="18"/>
  <c r="P8" i="17"/>
  <c r="P8" i="11"/>
  <c r="I22" i="26"/>
  <c r="I22" i="11"/>
  <c r="N8" i="15"/>
  <c r="P54" i="19"/>
  <c r="P8" i="26"/>
  <c r="I16" i="23"/>
  <c r="I16" i="17"/>
  <c r="N25" i="5"/>
  <c r="P17" i="12"/>
  <c r="M26" i="10"/>
  <c r="P18" i="13"/>
  <c r="J9" i="7"/>
  <c r="I17" i="18"/>
  <c r="N25" i="15"/>
  <c r="M26" i="11"/>
  <c r="P8" i="19"/>
  <c r="P8" i="8"/>
  <c r="P8" i="18"/>
  <c r="P8" i="22"/>
  <c r="I22" i="17"/>
  <c r="I22" i="16"/>
  <c r="I16" i="8"/>
  <c r="I16" i="13"/>
  <c r="I16" i="19"/>
  <c r="P18" i="11"/>
  <c r="N25" i="20"/>
  <c r="M26" i="5"/>
  <c r="M26" i="19"/>
  <c r="N25" i="13"/>
  <c r="M26" i="14"/>
  <c r="N25" i="16"/>
  <c r="P8" i="20"/>
  <c r="P8" i="9"/>
  <c r="I22" i="18"/>
  <c r="N8" i="9"/>
  <c r="I16" i="14"/>
  <c r="P18" i="14"/>
  <c r="P17" i="20"/>
  <c r="N8" i="10"/>
  <c r="M26" i="16"/>
  <c r="M9" i="11"/>
  <c r="I63" i="17"/>
  <c r="L37" i="11"/>
  <c r="N38" i="16"/>
  <c r="I37" i="18"/>
  <c r="N42" i="15"/>
  <c r="P35" i="21"/>
  <c r="M23" i="9"/>
  <c r="O9" i="16"/>
  <c r="J60" i="23"/>
  <c r="N23" i="12"/>
  <c r="P23" i="10"/>
  <c r="L37" i="18"/>
  <c r="O60" i="23"/>
  <c r="P37" i="10"/>
  <c r="M54" i="19"/>
  <c r="P35" i="18"/>
  <c r="O28" i="20"/>
  <c r="M9" i="20"/>
  <c r="M9" i="23"/>
  <c r="N40" i="17"/>
  <c r="P35" i="15"/>
  <c r="N42" i="9"/>
  <c r="O21" i="18"/>
  <c r="L37" i="26"/>
  <c r="L37" i="15"/>
  <c r="K60" i="9"/>
  <c r="I19" i="7"/>
  <c r="O28" i="11"/>
  <c r="I63" i="23"/>
  <c r="L37" i="12"/>
  <c r="P23" i="23"/>
  <c r="N63" i="14"/>
  <c r="N38" i="13"/>
  <c r="O9" i="21"/>
  <c r="N38" i="10"/>
  <c r="N40" i="21"/>
  <c r="M23" i="7"/>
  <c r="J60" i="20"/>
  <c r="J60" i="25"/>
  <c r="N42" i="21"/>
  <c r="P37" i="9"/>
  <c r="N63" i="5"/>
  <c r="N38" i="18"/>
  <c r="N38" i="14"/>
  <c r="N60" i="7"/>
  <c r="N40" i="18"/>
  <c r="N42" i="16"/>
  <c r="N40" i="8"/>
  <c r="N42" i="13"/>
  <c r="N63" i="9"/>
  <c r="N42" i="18"/>
  <c r="O21" i="14"/>
  <c r="M9" i="9"/>
  <c r="J9" i="24"/>
  <c r="J60" i="16"/>
  <c r="J9" i="25"/>
  <c r="N63" i="13"/>
  <c r="P35" i="24"/>
  <c r="P35" i="8"/>
  <c r="J9" i="5"/>
  <c r="O9" i="18"/>
  <c r="J60" i="14"/>
  <c r="J60" i="17"/>
  <c r="J60" i="7"/>
  <c r="J60" i="8"/>
  <c r="J60" i="9"/>
  <c r="I63" i="22"/>
  <c r="J9" i="11"/>
  <c r="P37" i="5"/>
  <c r="I28" i="21"/>
  <c r="M9" i="24"/>
  <c r="O28" i="24"/>
  <c r="I37" i="25"/>
  <c r="M9" i="18"/>
  <c r="M9" i="26"/>
  <c r="P23" i="26"/>
  <c r="I63" i="21"/>
  <c r="J9" i="10"/>
  <c r="N63" i="21"/>
  <c r="N65" i="21" s="1"/>
  <c r="N63" i="18"/>
  <c r="M9" i="7"/>
  <c r="N42" i="14"/>
  <c r="P35" i="19"/>
  <c r="N38" i="12"/>
  <c r="O60" i="25"/>
  <c r="N40" i="19"/>
  <c r="P35" i="9"/>
  <c r="N42" i="12"/>
  <c r="N38" i="26"/>
  <c r="N40" i="22"/>
  <c r="P35" i="25"/>
  <c r="N42" i="8"/>
  <c r="L37" i="16"/>
  <c r="P35" i="5"/>
  <c r="N60" i="8"/>
  <c r="M35" i="16"/>
  <c r="N63" i="10"/>
  <c r="P35" i="7"/>
  <c r="N40" i="11"/>
  <c r="J9" i="17"/>
  <c r="N63" i="23"/>
  <c r="N40" i="7"/>
  <c r="N40" i="14"/>
  <c r="P35" i="13"/>
  <c r="N42" i="23"/>
  <c r="N42" i="5"/>
  <c r="I63" i="15"/>
  <c r="M23" i="25"/>
  <c r="O9" i="19"/>
  <c r="J60" i="18"/>
  <c r="J60" i="15"/>
  <c r="J60" i="11"/>
  <c r="J60" i="21"/>
  <c r="I63" i="8"/>
  <c r="J9" i="18"/>
  <c r="I17" i="16"/>
  <c r="M9" i="14"/>
  <c r="M9" i="21"/>
  <c r="O28" i="7"/>
  <c r="P23" i="22"/>
  <c r="J9" i="22"/>
  <c r="N63" i="7"/>
  <c r="N40" i="9"/>
  <c r="N40" i="20"/>
  <c r="P35" i="23"/>
  <c r="M23" i="13"/>
  <c r="N42" i="26"/>
  <c r="N42" i="7"/>
  <c r="K60" i="14"/>
  <c r="N40" i="12"/>
  <c r="P35" i="20"/>
  <c r="M54" i="26"/>
  <c r="M22" i="18"/>
  <c r="M54" i="17"/>
  <c r="J9" i="8"/>
  <c r="I63" i="7"/>
  <c r="N40" i="24"/>
  <c r="M9" i="5"/>
  <c r="J60" i="13"/>
  <c r="N40" i="5"/>
  <c r="N40" i="25"/>
  <c r="J9" i="20"/>
  <c r="I17" i="19"/>
  <c r="M9" i="25"/>
  <c r="J9" i="26"/>
  <c r="N40" i="15"/>
  <c r="P35" i="12"/>
  <c r="N42" i="19"/>
  <c r="N42" i="10"/>
  <c r="J9" i="14"/>
  <c r="O9" i="10"/>
  <c r="J60" i="19"/>
  <c r="J60" i="10"/>
  <c r="J9" i="23"/>
  <c r="P37" i="17"/>
  <c r="M9" i="8"/>
  <c r="N22" i="11"/>
  <c r="O28" i="14"/>
  <c r="I63" i="12"/>
  <c r="I8" i="20"/>
  <c r="M9" i="16"/>
  <c r="I17" i="8"/>
  <c r="I63" i="13"/>
  <c r="J9" i="19"/>
  <c r="N63" i="22"/>
  <c r="N63" i="15"/>
  <c r="P27" i="12"/>
  <c r="N38" i="11"/>
  <c r="O60" i="5"/>
  <c r="N40" i="23"/>
  <c r="N42" i="24"/>
  <c r="P35" i="11"/>
  <c r="N42" i="11"/>
  <c r="N40" i="10"/>
  <c r="P35" i="17"/>
  <c r="M9" i="10"/>
  <c r="P35" i="10"/>
  <c r="N63" i="19"/>
  <c r="N42" i="20"/>
  <c r="N38" i="5"/>
  <c r="M9" i="17"/>
  <c r="N42" i="25"/>
  <c r="M22" i="8"/>
  <c r="J60" i="24"/>
  <c r="M9" i="15"/>
  <c r="I63" i="11"/>
  <c r="M9" i="12"/>
  <c r="N63" i="8"/>
  <c r="P35" i="22"/>
  <c r="N63" i="12"/>
  <c r="J9" i="12"/>
  <c r="O9" i="22"/>
  <c r="J60" i="12"/>
  <c r="J60" i="22"/>
  <c r="J60" i="26"/>
  <c r="I63" i="14"/>
  <c r="J9" i="21"/>
  <c r="N57" i="25"/>
  <c r="N41" i="8"/>
  <c r="M9" i="13"/>
  <c r="N22" i="24"/>
  <c r="O28" i="13"/>
  <c r="I63" i="18"/>
  <c r="I8" i="25"/>
  <c r="M9" i="22"/>
  <c r="J9" i="13"/>
  <c r="N63" i="20"/>
  <c r="N63" i="11"/>
  <c r="P27" i="13"/>
  <c r="N38" i="22"/>
  <c r="O60" i="16"/>
  <c r="N40" i="26"/>
  <c r="O9" i="25"/>
  <c r="P35" i="16"/>
  <c r="N42" i="22"/>
  <c r="N40" i="13"/>
  <c r="P35" i="26"/>
  <c r="L37" i="7"/>
  <c r="N38" i="21"/>
  <c r="N48" i="23"/>
  <c r="I26" i="22"/>
  <c r="I17" i="10"/>
  <c r="I17" i="5"/>
  <c r="I26" i="24"/>
  <c r="I17" i="11"/>
  <c r="I37" i="19"/>
  <c r="L37" i="25"/>
  <c r="M54" i="25"/>
  <c r="L37" i="20"/>
  <c r="I37" i="9"/>
  <c r="I17" i="14"/>
  <c r="O21" i="16"/>
  <c r="M28" i="11"/>
  <c r="N20" i="10"/>
  <c r="O9" i="26"/>
  <c r="L37" i="10"/>
  <c r="P55" i="23"/>
  <c r="I19" i="19"/>
  <c r="I17" i="21"/>
  <c r="I17" i="7"/>
  <c r="O28" i="23"/>
  <c r="I37" i="13"/>
  <c r="I17" i="24"/>
  <c r="K60" i="16"/>
  <c r="P17" i="7"/>
  <c r="P23" i="7"/>
  <c r="L37" i="17"/>
  <c r="M46" i="10"/>
  <c r="N38" i="7"/>
  <c r="O60" i="9"/>
  <c r="M21" i="12"/>
  <c r="P27" i="16"/>
  <c r="P10" i="19"/>
  <c r="N8" i="20"/>
  <c r="M46" i="8"/>
  <c r="P17" i="16"/>
  <c r="J58" i="13"/>
  <c r="P17" i="21"/>
  <c r="M54" i="24"/>
  <c r="N60" i="21"/>
  <c r="N48" i="9"/>
  <c r="N23" i="5"/>
  <c r="I17" i="25"/>
  <c r="I19" i="25"/>
  <c r="I37" i="8"/>
  <c r="I26" i="13"/>
  <c r="L23" i="21"/>
  <c r="O9" i="7"/>
  <c r="L37" i="14"/>
  <c r="I17" i="26"/>
  <c r="I17" i="17"/>
  <c r="I17" i="15"/>
  <c r="O28" i="15"/>
  <c r="N34" i="8"/>
  <c r="I37" i="15"/>
  <c r="P17" i="11"/>
  <c r="N23" i="25"/>
  <c r="P23" i="16"/>
  <c r="L37" i="9"/>
  <c r="M46" i="9"/>
  <c r="I33" i="17"/>
  <c r="P10" i="10"/>
  <c r="N38" i="17"/>
  <c r="O60" i="24"/>
  <c r="O21" i="26"/>
  <c r="O9" i="15"/>
  <c r="N8" i="18"/>
  <c r="N38" i="9"/>
  <c r="I37" i="23"/>
  <c r="N60" i="23"/>
  <c r="N38" i="23"/>
  <c r="N28" i="18"/>
  <c r="I17" i="9"/>
  <c r="I17" i="23"/>
  <c r="P10" i="21"/>
  <c r="O9" i="11"/>
  <c r="O39" i="15"/>
  <c r="P59" i="10"/>
  <c r="I17" i="22"/>
  <c r="I17" i="20"/>
  <c r="I17" i="13"/>
  <c r="O28" i="8"/>
  <c r="I37" i="5"/>
  <c r="L23" i="11"/>
  <c r="J23" i="20"/>
  <c r="N23" i="9"/>
  <c r="M46" i="24"/>
  <c r="O60" i="17"/>
  <c r="N38" i="8"/>
  <c r="O21" i="9"/>
  <c r="L37" i="21"/>
  <c r="L59" i="10"/>
  <c r="N60" i="16"/>
  <c r="M54" i="10"/>
  <c r="N38" i="19"/>
  <c r="N38" i="15"/>
  <c r="M55" i="26"/>
  <c r="M55" i="16"/>
  <c r="M55" i="22"/>
  <c r="M55" i="10"/>
  <c r="M55" i="19"/>
  <c r="M55" i="11"/>
  <c r="M55" i="21"/>
  <c r="M55" i="14"/>
  <c r="M55" i="9"/>
  <c r="M55" i="23"/>
  <c r="M55" i="7"/>
  <c r="M55" i="20"/>
  <c r="M55" i="25"/>
  <c r="M55" i="15"/>
  <c r="M10" i="17"/>
  <c r="M10" i="14"/>
  <c r="M10" i="5"/>
  <c r="M10" i="8"/>
  <c r="M10" i="22"/>
  <c r="M10" i="20"/>
  <c r="M10" i="25"/>
  <c r="M10" i="13"/>
  <c r="M10" i="15"/>
  <c r="M10" i="10"/>
  <c r="M10" i="9"/>
  <c r="M10" i="16"/>
  <c r="M10" i="7"/>
  <c r="M10" i="11"/>
  <c r="M10" i="12"/>
  <c r="M10" i="26"/>
  <c r="I26" i="18"/>
  <c r="I26" i="7"/>
  <c r="I26" i="15"/>
  <c r="I26" i="12"/>
  <c r="I26" i="21"/>
  <c r="I26" i="25"/>
  <c r="I26" i="16"/>
  <c r="I26" i="23"/>
  <c r="I26" i="11"/>
  <c r="I26" i="9"/>
  <c r="M28" i="23"/>
  <c r="J37" i="11"/>
  <c r="K23" i="23"/>
  <c r="P7" i="21"/>
  <c r="M18" i="11"/>
  <c r="M55" i="18"/>
  <c r="J37" i="8"/>
  <c r="J37" i="22"/>
  <c r="I26" i="14"/>
  <c r="I26" i="8"/>
  <c r="P46" i="21"/>
  <c r="M18" i="24"/>
  <c r="M40" i="17"/>
  <c r="K23" i="14"/>
  <c r="M10" i="21"/>
  <c r="M40" i="19"/>
  <c r="P28" i="15"/>
  <c r="P28" i="13"/>
  <c r="P28" i="26"/>
  <c r="P28" i="14"/>
  <c r="P28" i="19"/>
  <c r="P19" i="18"/>
  <c r="P19" i="10"/>
  <c r="P19" i="24"/>
  <c r="P19" i="13"/>
  <c r="P19" i="9"/>
  <c r="P19" i="12"/>
  <c r="P19" i="16"/>
  <c r="P19" i="17"/>
  <c r="P19" i="11"/>
  <c r="P19" i="23"/>
  <c r="P19" i="22"/>
  <c r="P19" i="21"/>
  <c r="P19" i="15"/>
  <c r="P19" i="14"/>
  <c r="P19" i="7"/>
  <c r="P19" i="19"/>
  <c r="P19" i="20"/>
  <c r="P19" i="25"/>
  <c r="P19" i="8"/>
  <c r="P19" i="26"/>
  <c r="M55" i="13"/>
  <c r="P10" i="9"/>
  <c r="P10" i="20"/>
  <c r="P10" i="11"/>
  <c r="P10" i="18"/>
  <c r="P10" i="7"/>
  <c r="P10" i="8"/>
  <c r="P10" i="26"/>
  <c r="P10" i="5"/>
  <c r="P10" i="24"/>
  <c r="P10" i="13"/>
  <c r="P10" i="22"/>
  <c r="P10" i="16"/>
  <c r="P10" i="25"/>
  <c r="P10" i="12"/>
  <c r="P10" i="14"/>
  <c r="P10" i="17"/>
  <c r="P10" i="15"/>
  <c r="M60" i="10"/>
  <c r="M60" i="21"/>
  <c r="M60" i="8"/>
  <c r="M60" i="17"/>
  <c r="M60" i="15"/>
  <c r="M60" i="13"/>
  <c r="M60" i="7"/>
  <c r="M60" i="18"/>
  <c r="M60" i="14"/>
  <c r="M60" i="9"/>
  <c r="M60" i="11"/>
  <c r="M60" i="26"/>
  <c r="M60" i="22"/>
  <c r="M60" i="23"/>
  <c r="M60" i="12"/>
  <c r="M60" i="24"/>
  <c r="M60" i="5"/>
  <c r="I26" i="10"/>
  <c r="M55" i="24"/>
  <c r="K23" i="16"/>
  <c r="M18" i="22"/>
  <c r="M40" i="20"/>
  <c r="P60" i="12"/>
  <c r="M60" i="19"/>
  <c r="N28" i="9"/>
  <c r="J23" i="13"/>
  <c r="J23" i="22"/>
  <c r="J23" i="8"/>
  <c r="J23" i="10"/>
  <c r="J23" i="7"/>
  <c r="O27" i="19"/>
  <c r="O27" i="17"/>
  <c r="O27" i="25"/>
  <c r="O27" i="26"/>
  <c r="O27" i="9"/>
  <c r="O27" i="7"/>
  <c r="O27" i="12"/>
  <c r="M28" i="14"/>
  <c r="J37" i="21"/>
  <c r="I26" i="19"/>
  <c r="M55" i="17"/>
  <c r="M18" i="12"/>
  <c r="M18" i="21"/>
  <c r="K23" i="7"/>
  <c r="M60" i="16"/>
  <c r="O27" i="21"/>
  <c r="M10" i="18"/>
  <c r="P60" i="16"/>
  <c r="P60" i="14"/>
  <c r="P60" i="19"/>
  <c r="P60" i="18"/>
  <c r="P60" i="24"/>
  <c r="P60" i="23"/>
  <c r="P60" i="13"/>
  <c r="P60" i="15"/>
  <c r="P60" i="11"/>
  <c r="P60" i="7"/>
  <c r="P60" i="21"/>
  <c r="P60" i="25"/>
  <c r="P60" i="20"/>
  <c r="P60" i="17"/>
  <c r="P60" i="10"/>
  <c r="P60" i="22"/>
  <c r="P60" i="26"/>
  <c r="K23" i="10"/>
  <c r="K23" i="18"/>
  <c r="K23" i="13"/>
  <c r="K23" i="19"/>
  <c r="K23" i="8"/>
  <c r="K23" i="24"/>
  <c r="K23" i="26"/>
  <c r="K23" i="15"/>
  <c r="P38" i="20"/>
  <c r="P38" i="17"/>
  <c r="P38" i="19"/>
  <c r="P38" i="10"/>
  <c r="P38" i="23"/>
  <c r="P38" i="12"/>
  <c r="P38" i="25"/>
  <c r="P38" i="8"/>
  <c r="P38" i="21"/>
  <c r="P38" i="13"/>
  <c r="P38" i="9"/>
  <c r="P38" i="18"/>
  <c r="P38" i="22"/>
  <c r="P38" i="26"/>
  <c r="P38" i="7"/>
  <c r="P38" i="11"/>
  <c r="P38" i="16"/>
  <c r="P46" i="5"/>
  <c r="P46" i="18"/>
  <c r="P46" i="11"/>
  <c r="P46" i="26"/>
  <c r="P46" i="16"/>
  <c r="P46" i="22"/>
  <c r="P46" i="19"/>
  <c r="P46" i="12"/>
  <c r="P46" i="7"/>
  <c r="P46" i="8"/>
  <c r="P46" i="25"/>
  <c r="P46" i="15"/>
  <c r="P46" i="9"/>
  <c r="P46" i="13"/>
  <c r="P46" i="23"/>
  <c r="O34" i="19"/>
  <c r="O34" i="20"/>
  <c r="O34" i="11"/>
  <c r="O34" i="26"/>
  <c r="O34" i="25"/>
  <c r="O34" i="22"/>
  <c r="O34" i="18"/>
  <c r="O34" i="9"/>
  <c r="O34" i="15"/>
  <c r="O34" i="16"/>
  <c r="O34" i="24"/>
  <c r="O34" i="7"/>
  <c r="O34" i="12"/>
  <c r="O34" i="13"/>
  <c r="O34" i="10"/>
  <c r="O34" i="8"/>
  <c r="M6" i="5"/>
  <c r="M6" i="18"/>
  <c r="M6" i="15"/>
  <c r="M6" i="26"/>
  <c r="M6" i="12"/>
  <c r="M6" i="25"/>
  <c r="M6" i="13"/>
  <c r="M6" i="10"/>
  <c r="M6" i="16"/>
  <c r="M6" i="24"/>
  <c r="M6" i="11"/>
  <c r="M6" i="7"/>
  <c r="M6" i="21"/>
  <c r="M6" i="22"/>
  <c r="M6" i="23"/>
  <c r="M6" i="9"/>
  <c r="M6" i="14"/>
  <c r="M6" i="17"/>
  <c r="M6" i="19"/>
  <c r="M28" i="8"/>
  <c r="I26" i="17"/>
  <c r="P60" i="5"/>
  <c r="M10" i="24"/>
  <c r="O34" i="5"/>
  <c r="O34" i="14"/>
  <c r="J23" i="21"/>
  <c r="I26" i="20"/>
  <c r="P46" i="20"/>
  <c r="M60" i="20"/>
  <c r="P38" i="24"/>
  <c r="M6" i="20"/>
  <c r="P46" i="10"/>
  <c r="M10" i="23"/>
  <c r="O34" i="17"/>
  <c r="O34" i="21"/>
  <c r="I10" i="19"/>
  <c r="I10" i="16"/>
  <c r="M40" i="16"/>
  <c r="M40" i="26"/>
  <c r="M40" i="7"/>
  <c r="M40" i="11"/>
  <c r="M40" i="5"/>
  <c r="M40" i="12"/>
  <c r="M40" i="22"/>
  <c r="M40" i="9"/>
  <c r="M40" i="10"/>
  <c r="M40" i="21"/>
  <c r="M40" i="18"/>
  <c r="M40" i="23"/>
  <c r="M40" i="8"/>
  <c r="M40" i="15"/>
  <c r="M40" i="24"/>
  <c r="P33" i="26"/>
  <c r="P60" i="8"/>
  <c r="N56" i="14"/>
  <c r="N58" i="13"/>
  <c r="M18" i="20"/>
  <c r="M18" i="18"/>
  <c r="M18" i="26"/>
  <c r="M18" i="23"/>
  <c r="M18" i="9"/>
  <c r="M18" i="25"/>
  <c r="M18" i="5"/>
  <c r="M18" i="16"/>
  <c r="M18" i="8"/>
  <c r="M18" i="10"/>
  <c r="M18" i="19"/>
  <c r="M18" i="17"/>
  <c r="M18" i="7"/>
  <c r="M18" i="14"/>
  <c r="N28" i="14"/>
  <c r="N28" i="11"/>
  <c r="N28" i="8"/>
  <c r="N28" i="20"/>
  <c r="N28" i="24"/>
  <c r="N28" i="15"/>
  <c r="P58" i="15"/>
  <c r="M28" i="16"/>
  <c r="M28" i="17"/>
  <c r="M28" i="12"/>
  <c r="M28" i="22"/>
  <c r="M28" i="19"/>
  <c r="M28" i="20"/>
  <c r="M28" i="25"/>
  <c r="M28" i="5"/>
  <c r="M28" i="9"/>
  <c r="M28" i="15"/>
  <c r="M28" i="21"/>
  <c r="M28" i="7"/>
  <c r="M28" i="24"/>
  <c r="M28" i="18"/>
  <c r="M28" i="13"/>
  <c r="M28" i="10"/>
  <c r="J37" i="23"/>
  <c r="K23" i="21"/>
  <c r="P46" i="24"/>
  <c r="K23" i="25"/>
  <c r="I26" i="5"/>
  <c r="P46" i="17"/>
  <c r="M18" i="15"/>
  <c r="M40" i="13"/>
  <c r="P38" i="5"/>
  <c r="P38" i="15"/>
  <c r="M10" i="19"/>
  <c r="N28" i="13"/>
  <c r="O19" i="12"/>
  <c r="O19" i="21"/>
  <c r="O19" i="9"/>
  <c r="O19" i="19"/>
  <c r="O19" i="20"/>
  <c r="O19" i="25"/>
  <c r="J37" i="20"/>
  <c r="K23" i="12"/>
  <c r="K23" i="17"/>
  <c r="O21" i="11"/>
  <c r="J37" i="12"/>
  <c r="J37" i="15"/>
  <c r="J37" i="24"/>
  <c r="O21" i="23"/>
  <c r="J37" i="17"/>
  <c r="J37" i="7"/>
  <c r="J37" i="13"/>
  <c r="M39" i="19"/>
  <c r="M39" i="23"/>
  <c r="O19" i="13"/>
  <c r="I58" i="5"/>
  <c r="M27" i="8"/>
  <c r="O38" i="14"/>
  <c r="O38" i="8"/>
  <c r="O40" i="16"/>
  <c r="N60" i="26"/>
  <c r="N39" i="19"/>
  <c r="N39" i="17"/>
  <c r="O21" i="10"/>
  <c r="O21" i="22"/>
  <c r="O21" i="19"/>
  <c r="I37" i="10"/>
  <c r="I37" i="11"/>
  <c r="I37" i="12"/>
  <c r="J37" i="14"/>
  <c r="J37" i="19"/>
  <c r="J37" i="16"/>
  <c r="J37" i="9"/>
  <c r="J37" i="10"/>
  <c r="L60" i="15"/>
  <c r="I23" i="15"/>
  <c r="M39" i="26"/>
  <c r="O19" i="23"/>
  <c r="N34" i="7"/>
  <c r="I37" i="21"/>
  <c r="I37" i="14"/>
  <c r="M27" i="13"/>
  <c r="O40" i="11"/>
  <c r="I37" i="16"/>
  <c r="I37" i="7"/>
  <c r="M39" i="21"/>
  <c r="M39" i="13"/>
  <c r="K60" i="18"/>
  <c r="K60" i="13"/>
  <c r="K60" i="19"/>
  <c r="I21" i="5"/>
  <c r="I21" i="22"/>
  <c r="O38" i="7"/>
  <c r="O38" i="13"/>
  <c r="O38" i="15"/>
  <c r="O38" i="10"/>
  <c r="O38" i="9"/>
  <c r="O38" i="20"/>
  <c r="O38" i="16"/>
  <c r="O38" i="23"/>
  <c r="O38" i="22"/>
  <c r="O38" i="5"/>
  <c r="O38" i="21"/>
  <c r="O21" i="7"/>
  <c r="J37" i="18"/>
  <c r="J37" i="26"/>
  <c r="K23" i="20"/>
  <c r="I21" i="24"/>
  <c r="I23" i="21"/>
  <c r="N39" i="16"/>
  <c r="M39" i="7"/>
  <c r="O19" i="15"/>
  <c r="I37" i="17"/>
  <c r="K23" i="9"/>
  <c r="I21" i="16"/>
  <c r="M27" i="19"/>
  <c r="M27" i="5"/>
  <c r="O38" i="25"/>
  <c r="O38" i="19"/>
  <c r="O40" i="7"/>
  <c r="O40" i="21"/>
  <c r="I23" i="20"/>
  <c r="I37" i="26"/>
  <c r="M39" i="15"/>
  <c r="M39" i="9"/>
  <c r="P17" i="19"/>
  <c r="P17" i="13"/>
  <c r="P17" i="9"/>
  <c r="P17" i="25"/>
  <c r="P17" i="22"/>
  <c r="P17" i="10"/>
  <c r="P17" i="15"/>
  <c r="P17" i="17"/>
  <c r="N8" i="16"/>
  <c r="N8" i="22"/>
  <c r="N8" i="17"/>
  <c r="N8" i="26"/>
  <c r="N8" i="24"/>
  <c r="N8" i="5"/>
  <c r="N8" i="13"/>
  <c r="N8" i="14"/>
  <c r="N8" i="21"/>
  <c r="N8" i="8"/>
  <c r="O9" i="24"/>
  <c r="O9" i="20"/>
  <c r="O9" i="13"/>
  <c r="O9" i="5"/>
  <c r="O9" i="8"/>
  <c r="O9" i="17"/>
  <c r="O9" i="14"/>
  <c r="O9" i="12"/>
  <c r="N60" i="19"/>
  <c r="N60" i="11"/>
  <c r="N60" i="10"/>
  <c r="N60" i="13"/>
  <c r="N60" i="20"/>
  <c r="N60" i="12"/>
  <c r="N60" i="5"/>
  <c r="N60" i="15"/>
  <c r="N60" i="22"/>
  <c r="N60" i="17"/>
  <c r="N60" i="18"/>
  <c r="N60" i="14"/>
  <c r="N60" i="9"/>
  <c r="N60" i="25"/>
  <c r="O60" i="8"/>
  <c r="O60" i="12"/>
  <c r="O60" i="19"/>
  <c r="O60" i="10"/>
  <c r="O60" i="21"/>
  <c r="O60" i="26"/>
  <c r="O60" i="7"/>
  <c r="O60" i="15"/>
  <c r="O60" i="22"/>
  <c r="O60" i="14"/>
  <c r="O60" i="18"/>
  <c r="O28" i="12"/>
  <c r="O28" i="9"/>
  <c r="O28" i="26"/>
  <c r="O28" i="10"/>
  <c r="O28" i="22"/>
  <c r="O28" i="19"/>
  <c r="O28" i="16"/>
  <c r="O28" i="5"/>
  <c r="O28" i="25"/>
  <c r="O28" i="21"/>
  <c r="N48" i="18"/>
  <c r="N48" i="24"/>
  <c r="M54" i="11"/>
  <c r="M54" i="13"/>
  <c r="M54" i="14"/>
  <c r="M54" i="20"/>
  <c r="M54" i="8"/>
  <c r="M54" i="22"/>
  <c r="M54" i="21"/>
  <c r="M54" i="18"/>
  <c r="M54" i="9"/>
  <c r="M54" i="12"/>
  <c r="M54" i="16"/>
  <c r="O40" i="9"/>
  <c r="O40" i="17"/>
  <c r="O40" i="10"/>
  <c r="O40" i="24"/>
  <c r="O40" i="25"/>
  <c r="O40" i="20"/>
  <c r="O40" i="12"/>
  <c r="O40" i="14"/>
  <c r="O40" i="8"/>
  <c r="M39" i="12"/>
  <c r="M39" i="8"/>
  <c r="M39" i="17"/>
  <c r="M39" i="20"/>
  <c r="J37" i="25"/>
  <c r="I21" i="15"/>
  <c r="I21" i="19"/>
  <c r="N39" i="10"/>
  <c r="M39" i="11"/>
  <c r="O63" i="23"/>
  <c r="O19" i="8"/>
  <c r="I37" i="20"/>
  <c r="O38" i="24"/>
  <c r="O21" i="12"/>
  <c r="O40" i="26"/>
  <c r="O40" i="18"/>
  <c r="O19" i="16"/>
  <c r="I37" i="22"/>
  <c r="M39" i="25"/>
  <c r="M39" i="5"/>
  <c r="L58" i="15"/>
  <c r="K23" i="11"/>
  <c r="K37" i="22"/>
  <c r="O17" i="7"/>
  <c r="O17" i="13"/>
  <c r="O17" i="24"/>
  <c r="O17" i="23"/>
  <c r="O17" i="8"/>
  <c r="O17" i="14"/>
  <c r="O17" i="11"/>
  <c r="O17" i="15"/>
  <c r="O17" i="21"/>
  <c r="O17" i="9"/>
  <c r="O17" i="18"/>
  <c r="O17" i="25"/>
  <c r="O41" i="14"/>
  <c r="O41" i="9"/>
  <c r="O41" i="25"/>
  <c r="O41" i="13"/>
  <c r="O41" i="15"/>
  <c r="O41" i="20"/>
  <c r="O41" i="5"/>
  <c r="O41" i="12"/>
  <c r="O41" i="11"/>
  <c r="O41" i="19"/>
  <c r="O41" i="23"/>
  <c r="O41" i="10"/>
  <c r="O41" i="8"/>
  <c r="O41" i="7"/>
  <c r="O26" i="11"/>
  <c r="O26" i="7"/>
  <c r="O26" i="17"/>
  <c r="O26" i="25"/>
  <c r="O26" i="12"/>
  <c r="O26" i="15"/>
  <c r="O26" i="9"/>
  <c r="O26" i="13"/>
  <c r="O26" i="21"/>
  <c r="O39" i="5"/>
  <c r="O17" i="12"/>
  <c r="P26" i="17"/>
  <c r="P26" i="12"/>
  <c r="P26" i="5"/>
  <c r="P26" i="21"/>
  <c r="P26" i="15"/>
  <c r="P26" i="22"/>
  <c r="N7" i="18"/>
  <c r="N7" i="5"/>
  <c r="N7" i="22"/>
  <c r="N7" i="11"/>
  <c r="N7" i="26"/>
  <c r="N7" i="7"/>
  <c r="N7" i="12"/>
  <c r="N7" i="23"/>
  <c r="N7" i="19"/>
  <c r="N7" i="16"/>
  <c r="N7" i="24"/>
  <c r="N7" i="13"/>
  <c r="N7" i="20"/>
  <c r="M63" i="19"/>
  <c r="M63" i="8"/>
  <c r="M63" i="20"/>
  <c r="M63" i="5"/>
  <c r="M63" i="25"/>
  <c r="M63" i="17"/>
  <c r="M63" i="15"/>
  <c r="M63" i="18"/>
  <c r="M63" i="14"/>
  <c r="M63" i="24"/>
  <c r="M63" i="23"/>
  <c r="M63" i="10"/>
  <c r="M63" i="21"/>
  <c r="M63" i="16"/>
  <c r="M63" i="22"/>
  <c r="M63" i="9"/>
  <c r="N34" i="26"/>
  <c r="N34" i="12"/>
  <c r="N34" i="19"/>
  <c r="N34" i="22"/>
  <c r="N34" i="20"/>
  <c r="N34" i="17"/>
  <c r="N34" i="21"/>
  <c r="N34" i="16"/>
  <c r="N34" i="24"/>
  <c r="N34" i="13"/>
  <c r="N34" i="9"/>
  <c r="N34" i="10"/>
  <c r="N34" i="14"/>
  <c r="N34" i="23"/>
  <c r="N34" i="5"/>
  <c r="N34" i="11"/>
  <c r="N34" i="18"/>
  <c r="O41" i="22"/>
  <c r="P26" i="23"/>
  <c r="N19" i="18"/>
  <c r="P15" i="23"/>
  <c r="N22" i="12"/>
  <c r="N22" i="21"/>
  <c r="N22" i="26"/>
  <c r="N22" i="20"/>
  <c r="N22" i="9"/>
  <c r="N22" i="10"/>
  <c r="N22" i="16"/>
  <c r="N22" i="17"/>
  <c r="N22" i="23"/>
  <c r="N22" i="19"/>
  <c r="N22" i="15"/>
  <c r="N22" i="18"/>
  <c r="L23" i="17"/>
  <c r="N16" i="19"/>
  <c r="O17" i="10"/>
  <c r="L60" i="19"/>
  <c r="O39" i="8"/>
  <c r="P39" i="18"/>
  <c r="P64" i="5"/>
  <c r="I23" i="13"/>
  <c r="O41" i="24"/>
  <c r="O63" i="22"/>
  <c r="N22" i="7"/>
  <c r="N34" i="15"/>
  <c r="I33" i="24"/>
  <c r="M63" i="7"/>
  <c r="O39" i="23"/>
  <c r="M63" i="13"/>
  <c r="N6" i="16"/>
  <c r="I60" i="23"/>
  <c r="I60" i="14"/>
  <c r="I60" i="18"/>
  <c r="I60" i="10"/>
  <c r="I60" i="19"/>
  <c r="I60" i="15"/>
  <c r="I60" i="9"/>
  <c r="I60" i="21"/>
  <c r="I60" i="13"/>
  <c r="I60" i="11"/>
  <c r="I60" i="8"/>
  <c r="I60" i="24"/>
  <c r="O63" i="8"/>
  <c r="O63" i="13"/>
  <c r="O65" i="13" s="1"/>
  <c r="O63" i="15"/>
  <c r="O63" i="17"/>
  <c r="O63" i="25"/>
  <c r="O63" i="20"/>
  <c r="O63" i="21"/>
  <c r="O63" i="9"/>
  <c r="O63" i="18"/>
  <c r="O63" i="26"/>
  <c r="O63" i="24"/>
  <c r="O63" i="7"/>
  <c r="O63" i="14"/>
  <c r="O63" i="11"/>
  <c r="O63" i="19"/>
  <c r="N19" i="19"/>
  <c r="N19" i="9"/>
  <c r="N19" i="21"/>
  <c r="N19" i="25"/>
  <c r="N19" i="17"/>
  <c r="N19" i="8"/>
  <c r="N19" i="11"/>
  <c r="N19" i="26"/>
  <c r="N19" i="24"/>
  <c r="N19" i="15"/>
  <c r="N19" i="20"/>
  <c r="N19" i="7"/>
  <c r="N19" i="16"/>
  <c r="N19" i="13"/>
  <c r="N19" i="14"/>
  <c r="N19" i="10"/>
  <c r="O6" i="14"/>
  <c r="O6" i="7"/>
  <c r="O6" i="5"/>
  <c r="O6" i="12"/>
  <c r="O6" i="9"/>
  <c r="O6" i="15"/>
  <c r="O6" i="26"/>
  <c r="O6" i="17"/>
  <c r="O6" i="21"/>
  <c r="O6" i="18"/>
  <c r="O6" i="24"/>
  <c r="O6" i="8"/>
  <c r="O6" i="10"/>
  <c r="O6" i="20"/>
  <c r="P15" i="20"/>
  <c r="P15" i="8"/>
  <c r="P15" i="12"/>
  <c r="P15" i="26"/>
  <c r="P15" i="25"/>
  <c r="P15" i="18"/>
  <c r="P15" i="14"/>
  <c r="P15" i="11"/>
  <c r="P15" i="21"/>
  <c r="P15" i="10"/>
  <c r="P15" i="7"/>
  <c r="P15" i="16"/>
  <c r="P15" i="22"/>
  <c r="P15" i="24"/>
  <c r="O41" i="21"/>
  <c r="L60" i="8"/>
  <c r="L60" i="21"/>
  <c r="L60" i="17"/>
  <c r="L60" i="5"/>
  <c r="L60" i="9"/>
  <c r="L60" i="18"/>
  <c r="L60" i="11"/>
  <c r="N20" i="11"/>
  <c r="N20" i="14"/>
  <c r="N20" i="8"/>
  <c r="N20" i="7"/>
  <c r="N20" i="24"/>
  <c r="N20" i="18"/>
  <c r="N20" i="26"/>
  <c r="N20" i="17"/>
  <c r="N20" i="22"/>
  <c r="N20" i="20"/>
  <c r="N20" i="15"/>
  <c r="N20" i="9"/>
  <c r="M37" i="5"/>
  <c r="M37" i="26"/>
  <c r="M37" i="11"/>
  <c r="M37" i="7"/>
  <c r="M37" i="10"/>
  <c r="M37" i="18"/>
  <c r="M37" i="22"/>
  <c r="M37" i="12"/>
  <c r="M37" i="20"/>
  <c r="M37" i="23"/>
  <c r="M37" i="24"/>
  <c r="M37" i="17"/>
  <c r="M37" i="9"/>
  <c r="M37" i="13"/>
  <c r="M37" i="16"/>
  <c r="M37" i="19"/>
  <c r="M37" i="15"/>
  <c r="M37" i="21"/>
  <c r="N39" i="12"/>
  <c r="N39" i="20"/>
  <c r="N39" i="25"/>
  <c r="N39" i="14"/>
  <c r="N39" i="21"/>
  <c r="N39" i="15"/>
  <c r="N39" i="24"/>
  <c r="N39" i="13"/>
  <c r="N39" i="8"/>
  <c r="N39" i="7"/>
  <c r="N39" i="11"/>
  <c r="N39" i="9"/>
  <c r="N39" i="18"/>
  <c r="N39" i="5"/>
  <c r="N39" i="22"/>
  <c r="N39" i="23"/>
  <c r="I23" i="18"/>
  <c r="I23" i="10"/>
  <c r="O39" i="18"/>
  <c r="P27" i="9"/>
  <c r="P22" i="20"/>
  <c r="N20" i="23"/>
  <c r="I9" i="20"/>
  <c r="I9" i="19"/>
  <c r="I9" i="10"/>
  <c r="I9" i="22"/>
  <c r="I9" i="8"/>
  <c r="I9" i="23"/>
  <c r="I9" i="26"/>
  <c r="I9" i="14"/>
  <c r="I9" i="13"/>
  <c r="I9" i="11"/>
  <c r="I33" i="16"/>
  <c r="I33" i="15"/>
  <c r="I33" i="25"/>
  <c r="I33" i="19"/>
  <c r="I33" i="18"/>
  <c r="I33" i="22"/>
  <c r="I33" i="26"/>
  <c r="I33" i="23"/>
  <c r="I33" i="14"/>
  <c r="I33" i="12"/>
  <c r="I33" i="13"/>
  <c r="I33" i="9"/>
  <c r="I33" i="5"/>
  <c r="I33" i="8"/>
  <c r="I33" i="10"/>
  <c r="O8" i="11"/>
  <c r="O8" i="25"/>
  <c r="O8" i="10"/>
  <c r="O8" i="24"/>
  <c r="O8" i="26"/>
  <c r="O8" i="19"/>
  <c r="O8" i="15"/>
  <c r="O8" i="22"/>
  <c r="O8" i="7"/>
  <c r="O8" i="14"/>
  <c r="O8" i="17"/>
  <c r="O8" i="18"/>
  <c r="O8" i="8"/>
  <c r="O8" i="5"/>
  <c r="O8" i="21"/>
  <c r="O8" i="20"/>
  <c r="O8" i="9"/>
  <c r="I27" i="5"/>
  <c r="I27" i="21"/>
  <c r="I27" i="7"/>
  <c r="I27" i="8"/>
  <c r="I27" i="17"/>
  <c r="I27" i="25"/>
  <c r="I27" i="24"/>
  <c r="I27" i="12"/>
  <c r="I27" i="14"/>
  <c r="L23" i="8"/>
  <c r="L23" i="22"/>
  <c r="L23" i="14"/>
  <c r="L23" i="24"/>
  <c r="L23" i="19"/>
  <c r="I15" i="20"/>
  <c r="I15" i="10"/>
  <c r="I15" i="19"/>
  <c r="I15" i="17"/>
  <c r="I15" i="21"/>
  <c r="I15" i="5"/>
  <c r="I15" i="22"/>
  <c r="I15" i="15"/>
  <c r="I15" i="9"/>
  <c r="I15" i="24"/>
  <c r="I15" i="11"/>
  <c r="P37" i="7"/>
  <c r="P37" i="19"/>
  <c r="P37" i="12"/>
  <c r="P37" i="23"/>
  <c r="P37" i="26"/>
  <c r="P37" i="11"/>
  <c r="P37" i="22"/>
  <c r="P37" i="15"/>
  <c r="P37" i="25"/>
  <c r="P37" i="16"/>
  <c r="P37" i="8"/>
  <c r="P37" i="24"/>
  <c r="P37" i="18"/>
  <c r="P37" i="14"/>
  <c r="P37" i="21"/>
  <c r="M23" i="24"/>
  <c r="M23" i="11"/>
  <c r="M23" i="14"/>
  <c r="M23" i="5"/>
  <c r="M23" i="15"/>
  <c r="M23" i="12"/>
  <c r="M23" i="10"/>
  <c r="M23" i="23"/>
  <c r="M23" i="16"/>
  <c r="M23" i="22"/>
  <c r="M23" i="20"/>
  <c r="P39" i="14"/>
  <c r="P39" i="9"/>
  <c r="P39" i="25"/>
  <c r="P39" i="13"/>
  <c r="P39" i="5"/>
  <c r="P39" i="22"/>
  <c r="P39" i="15"/>
  <c r="P39" i="26"/>
  <c r="P39" i="17"/>
  <c r="P39" i="7"/>
  <c r="P39" i="20"/>
  <c r="P39" i="10"/>
  <c r="M64" i="12"/>
  <c r="M64" i="26"/>
  <c r="M64" i="16"/>
  <c r="M64" i="10"/>
  <c r="M64" i="25"/>
  <c r="M64" i="22"/>
  <c r="M64" i="5"/>
  <c r="M64" i="9"/>
  <c r="M64" i="21"/>
  <c r="M64" i="17"/>
  <c r="M64" i="11"/>
  <c r="M64" i="7"/>
  <c r="M64" i="23"/>
  <c r="M64" i="13"/>
  <c r="M64" i="18"/>
  <c r="M38" i="7"/>
  <c r="M38" i="14"/>
  <c r="M38" i="8"/>
  <c r="M38" i="9"/>
  <c r="M38" i="24"/>
  <c r="M38" i="17"/>
  <c r="M38" i="13"/>
  <c r="M38" i="16"/>
  <c r="M38" i="18"/>
  <c r="M38" i="19"/>
  <c r="M38" i="10"/>
  <c r="M38" i="25"/>
  <c r="M38" i="20"/>
  <c r="M38" i="12"/>
  <c r="M38" i="22"/>
  <c r="M38" i="5"/>
  <c r="M38" i="15"/>
  <c r="M38" i="23"/>
  <c r="M38" i="11"/>
  <c r="M38" i="26"/>
  <c r="O42" i="5"/>
  <c r="O42" i="24"/>
  <c r="O42" i="22"/>
  <c r="O42" i="9"/>
  <c r="O42" i="25"/>
  <c r="O42" i="7"/>
  <c r="O42" i="14"/>
  <c r="O42" i="12"/>
  <c r="O42" i="13"/>
  <c r="O42" i="21"/>
  <c r="O42" i="23"/>
  <c r="O42" i="11"/>
  <c r="O42" i="15"/>
  <c r="O42" i="8"/>
  <c r="O42" i="18"/>
  <c r="O42" i="16"/>
  <c r="O42" i="10"/>
  <c r="O42" i="17"/>
  <c r="O42" i="19"/>
  <c r="O42" i="20"/>
  <c r="P25" i="12"/>
  <c r="P25" i="5"/>
  <c r="P25" i="26"/>
  <c r="P25" i="20"/>
  <c r="P25" i="16"/>
  <c r="P25" i="17"/>
  <c r="P25" i="21"/>
  <c r="P25" i="25"/>
  <c r="P25" i="10"/>
  <c r="P25" i="9"/>
  <c r="P25" i="22"/>
  <c r="P25" i="19"/>
  <c r="P25" i="15"/>
  <c r="P25" i="14"/>
  <c r="P25" i="8"/>
  <c r="P25" i="13"/>
  <c r="P25" i="23"/>
  <c r="P25" i="7"/>
  <c r="P25" i="24"/>
  <c r="M15" i="5"/>
  <c r="M15" i="7"/>
  <c r="M15" i="14"/>
  <c r="M15" i="8"/>
  <c r="M15" i="15"/>
  <c r="M15" i="18"/>
  <c r="M15" i="12"/>
  <c r="M15" i="13"/>
  <c r="M15" i="24"/>
  <c r="M15" i="23"/>
  <c r="M15" i="9"/>
  <c r="M15" i="26"/>
  <c r="M15" i="17"/>
  <c r="M15" i="11"/>
  <c r="M15" i="21"/>
  <c r="N55" i="21"/>
  <c r="N55" i="9"/>
  <c r="P16" i="26"/>
  <c r="P16" i="16"/>
  <c r="P16" i="22"/>
  <c r="P16" i="9"/>
  <c r="P16" i="12"/>
  <c r="P16" i="24"/>
  <c r="P16" i="18"/>
  <c r="P16" i="13"/>
  <c r="P16" i="15"/>
  <c r="P16" i="14"/>
  <c r="P16" i="8"/>
  <c r="N41" i="12"/>
  <c r="N41" i="11"/>
  <c r="N41" i="23"/>
  <c r="N41" i="19"/>
  <c r="N41" i="7"/>
  <c r="N41" i="5"/>
  <c r="N41" i="26"/>
  <c r="N41" i="16"/>
  <c r="N41" i="21"/>
  <c r="N41" i="14"/>
  <c r="N41" i="9"/>
  <c r="N41" i="17"/>
  <c r="N41" i="10"/>
  <c r="N41" i="24"/>
  <c r="N41" i="25"/>
  <c r="M21" i="14"/>
  <c r="M21" i="15"/>
  <c r="M21" i="18"/>
  <c r="M21" i="7"/>
  <c r="M21" i="24"/>
  <c r="M21" i="8"/>
  <c r="M21" i="25"/>
  <c r="M21" i="21"/>
  <c r="M21" i="23"/>
  <c r="M21" i="19"/>
  <c r="M21" i="5"/>
  <c r="M21" i="17"/>
  <c r="M21" i="13"/>
  <c r="M21" i="11"/>
  <c r="M21" i="20"/>
  <c r="M21" i="26"/>
  <c r="M21" i="9"/>
  <c r="M15" i="25"/>
  <c r="M23" i="21"/>
  <c r="N7" i="17"/>
  <c r="O17" i="20"/>
  <c r="O41" i="26"/>
  <c r="P37" i="13"/>
  <c r="I9" i="18"/>
  <c r="I9" i="25"/>
  <c r="N41" i="15"/>
  <c r="N37" i="14"/>
  <c r="O6" i="25"/>
  <c r="N18" i="20"/>
  <c r="L60" i="20"/>
  <c r="P26" i="9"/>
  <c r="M63" i="11"/>
  <c r="O8" i="16"/>
  <c r="M23" i="8"/>
  <c r="P22" i="17"/>
  <c r="M38" i="21"/>
  <c r="M56" i="10"/>
  <c r="M56" i="9"/>
  <c r="M56" i="16"/>
  <c r="M56" i="13"/>
  <c r="M56" i="18"/>
  <c r="M56" i="7"/>
  <c r="M56" i="22"/>
  <c r="M56" i="15"/>
  <c r="M56" i="26"/>
  <c r="M56" i="24"/>
  <c r="M56" i="21"/>
  <c r="M56" i="11"/>
  <c r="M56" i="14"/>
  <c r="M56" i="19"/>
  <c r="M56" i="17"/>
  <c r="M56" i="12"/>
  <c r="O26" i="20"/>
  <c r="I23" i="9"/>
  <c r="I23" i="19"/>
  <c r="I23" i="22"/>
  <c r="I23" i="16"/>
  <c r="I23" i="23"/>
  <c r="I23" i="25"/>
  <c r="I23" i="14"/>
  <c r="I23" i="26"/>
  <c r="I23" i="8"/>
  <c r="I23" i="11"/>
  <c r="O15" i="23"/>
  <c r="O15" i="26"/>
  <c r="O15" i="7"/>
  <c r="O15" i="22"/>
  <c r="O15" i="16"/>
  <c r="O15" i="21"/>
  <c r="O15" i="14"/>
  <c r="O15" i="18"/>
  <c r="O15" i="9"/>
  <c r="O15" i="25"/>
  <c r="O15" i="15"/>
  <c r="O15" i="11"/>
  <c r="O15" i="24"/>
  <c r="O15" i="10"/>
  <c r="O15" i="13"/>
  <c r="O15" i="12"/>
  <c r="O15" i="20"/>
  <c r="P27" i="5"/>
  <c r="P27" i="17"/>
  <c r="P27" i="8"/>
  <c r="P27" i="20"/>
  <c r="P27" i="19"/>
  <c r="P27" i="10"/>
  <c r="P27" i="24"/>
  <c r="P27" i="25"/>
  <c r="P27" i="22"/>
  <c r="P27" i="26"/>
  <c r="P27" i="14"/>
  <c r="P27" i="21"/>
  <c r="N59" i="19"/>
  <c r="N59" i="26"/>
  <c r="M58" i="16"/>
  <c r="M58" i="14"/>
  <c r="M58" i="21"/>
  <c r="M58" i="18"/>
  <c r="M58" i="25"/>
  <c r="M58" i="7"/>
  <c r="M58" i="15"/>
  <c r="M58" i="5"/>
  <c r="M58" i="19"/>
  <c r="M58" i="8"/>
  <c r="M58" i="9"/>
  <c r="N7" i="8"/>
  <c r="M37" i="14"/>
  <c r="O6" i="19"/>
  <c r="L60" i="7"/>
  <c r="M63" i="12"/>
  <c r="M56" i="25"/>
  <c r="P15" i="13"/>
  <c r="I8" i="23"/>
  <c r="I8" i="15"/>
  <c r="I8" i="18"/>
  <c r="I8" i="22"/>
  <c r="I8" i="11"/>
  <c r="I8" i="19"/>
  <c r="P64" i="24"/>
  <c r="P64" i="12"/>
  <c r="P64" i="8"/>
  <c r="P64" i="11"/>
  <c r="P64" i="13"/>
  <c r="P64" i="15"/>
  <c r="P64" i="16"/>
  <c r="P64" i="7"/>
  <c r="P64" i="22"/>
  <c r="P64" i="25"/>
  <c r="N16" i="20"/>
  <c r="N16" i="14"/>
  <c r="N16" i="9"/>
  <c r="N16" i="15"/>
  <c r="N16" i="13"/>
  <c r="N16" i="8"/>
  <c r="N16" i="24"/>
  <c r="N16" i="22"/>
  <c r="N46" i="16"/>
  <c r="N46" i="22"/>
  <c r="N46" i="19"/>
  <c r="N46" i="10"/>
  <c r="N46" i="26"/>
  <c r="N46" i="20"/>
  <c r="N46" i="12"/>
  <c r="N46" i="21"/>
  <c r="N46" i="15"/>
  <c r="N46" i="17"/>
  <c r="N46" i="11"/>
  <c r="N46" i="25"/>
  <c r="N46" i="23"/>
  <c r="N46" i="9"/>
  <c r="N46" i="13"/>
  <c r="N46" i="14"/>
  <c r="N46" i="5"/>
  <c r="N46" i="8"/>
  <c r="N46" i="7"/>
  <c r="N46" i="18"/>
  <c r="N35" i="12"/>
  <c r="N35" i="10"/>
  <c r="N35" i="5"/>
  <c r="N35" i="16"/>
  <c r="N35" i="9"/>
  <c r="N35" i="17"/>
  <c r="N35" i="25"/>
  <c r="N35" i="26"/>
  <c r="N35" i="19"/>
  <c r="N35" i="7"/>
  <c r="N35" i="24"/>
  <c r="N35" i="18"/>
  <c r="N35" i="11"/>
  <c r="N35" i="20"/>
  <c r="N35" i="13"/>
  <c r="N35" i="23"/>
  <c r="N37" i="22"/>
  <c r="N37" i="5"/>
  <c r="N37" i="26"/>
  <c r="N37" i="11"/>
  <c r="N37" i="19"/>
  <c r="N37" i="12"/>
  <c r="N37" i="10"/>
  <c r="N37" i="24"/>
  <c r="N37" i="18"/>
  <c r="N37" i="13"/>
  <c r="N37" i="20"/>
  <c r="N37" i="7"/>
  <c r="N37" i="25"/>
  <c r="N37" i="16"/>
  <c r="N37" i="21"/>
  <c r="N37" i="17"/>
  <c r="O56" i="25"/>
  <c r="O17" i="19"/>
  <c r="L60" i="23"/>
  <c r="O41" i="16"/>
  <c r="P39" i="23"/>
  <c r="P64" i="9"/>
  <c r="P39" i="8"/>
  <c r="N41" i="13"/>
  <c r="N37" i="8"/>
  <c r="M37" i="8"/>
  <c r="O63" i="16"/>
  <c r="O6" i="16"/>
  <c r="M21" i="10"/>
  <c r="N35" i="14"/>
  <c r="P25" i="11"/>
  <c r="O8" i="23"/>
  <c r="O8" i="12"/>
  <c r="P15" i="17"/>
  <c r="M56" i="20"/>
  <c r="P64" i="18"/>
  <c r="O6" i="23"/>
  <c r="N35" i="21"/>
  <c r="O39" i="19"/>
  <c r="O39" i="10"/>
  <c r="O39" i="12"/>
  <c r="O39" i="26"/>
  <c r="O39" i="7"/>
  <c r="O39" i="22"/>
  <c r="O39" i="20"/>
  <c r="O39" i="11"/>
  <c r="O39" i="17"/>
  <c r="O39" i="16"/>
  <c r="O39" i="14"/>
  <c r="O39" i="21"/>
  <c r="O39" i="24"/>
  <c r="O22" i="5"/>
  <c r="O22" i="16"/>
  <c r="O22" i="26"/>
  <c r="O22" i="15"/>
  <c r="O22" i="8"/>
  <c r="O22" i="23"/>
  <c r="O22" i="11"/>
  <c r="O22" i="10"/>
  <c r="O22" i="18"/>
  <c r="O22" i="22"/>
  <c r="O22" i="17"/>
  <c r="O22" i="9"/>
  <c r="O22" i="21"/>
  <c r="O22" i="20"/>
  <c r="O22" i="7"/>
  <c r="P22" i="15"/>
  <c r="P22" i="7"/>
  <c r="P22" i="24"/>
  <c r="P22" i="23"/>
  <c r="P22" i="11"/>
  <c r="P22" i="21"/>
  <c r="P22" i="26"/>
  <c r="P22" i="9"/>
  <c r="P22" i="10"/>
  <c r="P22" i="19"/>
  <c r="P22" i="16"/>
  <c r="P22" i="18"/>
  <c r="P7" i="22"/>
  <c r="P7" i="7"/>
  <c r="P7" i="11"/>
  <c r="P7" i="26"/>
  <c r="P7" i="18"/>
  <c r="P7" i="5"/>
  <c r="P7" i="12"/>
  <c r="P7" i="8"/>
  <c r="P7" i="19"/>
  <c r="P7" i="25"/>
  <c r="P7" i="15"/>
  <c r="P7" i="10"/>
  <c r="P7" i="13"/>
  <c r="P7" i="24"/>
  <c r="P7" i="14"/>
  <c r="P7" i="20"/>
  <c r="O17" i="26"/>
  <c r="O55" i="19"/>
  <c r="O57" i="23"/>
  <c r="N6" i="22"/>
  <c r="N6" i="15"/>
  <c r="N6" i="17"/>
  <c r="N6" i="8"/>
  <c r="N6" i="18"/>
  <c r="N6" i="24"/>
  <c r="N6" i="5"/>
  <c r="N6" i="19"/>
  <c r="N6" i="7"/>
  <c r="N6" i="14"/>
  <c r="N6" i="9"/>
  <c r="N6" i="21"/>
  <c r="N6" i="13"/>
  <c r="N6" i="12"/>
  <c r="N6" i="23"/>
  <c r="N6" i="25"/>
  <c r="N6" i="11"/>
  <c r="N6" i="20"/>
  <c r="N33" i="16"/>
  <c r="N33" i="19"/>
  <c r="N18" i="13"/>
  <c r="N18" i="11"/>
  <c r="N18" i="18"/>
  <c r="N18" i="7"/>
  <c r="N18" i="14"/>
  <c r="N18" i="19"/>
  <c r="N18" i="24"/>
  <c r="N18" i="8"/>
  <c r="N18" i="15"/>
  <c r="N18" i="22"/>
  <c r="N18" i="23"/>
  <c r="O41" i="18"/>
  <c r="N39" i="26"/>
  <c r="N7" i="9"/>
  <c r="O17" i="17"/>
  <c r="O39" i="25"/>
  <c r="M41" i="26"/>
  <c r="M41" i="18"/>
  <c r="M41" i="16"/>
  <c r="M41" i="23"/>
  <c r="M41" i="10"/>
  <c r="M41" i="7"/>
  <c r="M41" i="22"/>
  <c r="M41" i="11"/>
  <c r="M41" i="19"/>
  <c r="M41" i="5"/>
  <c r="M41" i="21"/>
  <c r="M41" i="14"/>
  <c r="M41" i="9"/>
  <c r="M41" i="25"/>
  <c r="M41" i="15"/>
  <c r="M41" i="24"/>
  <c r="M41" i="13"/>
  <c r="M41" i="20"/>
  <c r="M13" i="11"/>
  <c r="M13" i="17"/>
  <c r="M13" i="7"/>
  <c r="M13" i="10"/>
  <c r="M13" i="19"/>
  <c r="M13" i="22"/>
  <c r="P40" i="10"/>
  <c r="P40" i="14"/>
  <c r="P40" i="19"/>
  <c r="P40" i="16"/>
  <c r="P40" i="20"/>
  <c r="P40" i="17"/>
  <c r="P40" i="22"/>
  <c r="P40" i="13"/>
  <c r="P40" i="15"/>
  <c r="P40" i="21"/>
  <c r="P40" i="18"/>
  <c r="P40" i="24"/>
  <c r="P40" i="25"/>
  <c r="P40" i="7"/>
  <c r="P40" i="9"/>
  <c r="P40" i="8"/>
  <c r="P40" i="5"/>
  <c r="P40" i="23"/>
  <c r="P40" i="12"/>
  <c r="O54" i="12"/>
  <c r="O54" i="10"/>
  <c r="O54" i="22"/>
  <c r="O48" i="7"/>
  <c r="O48" i="16"/>
  <c r="O48" i="8"/>
  <c r="O48" i="20"/>
  <c r="O48" i="10"/>
  <c r="O48" i="26"/>
  <c r="O48" i="15"/>
  <c r="O48" i="21"/>
  <c r="M15" i="16"/>
  <c r="M23" i="19"/>
  <c r="N7" i="21"/>
  <c r="N20" i="21"/>
  <c r="M15" i="10"/>
  <c r="M23" i="26"/>
  <c r="N7" i="25"/>
  <c r="N20" i="25"/>
  <c r="O17" i="16"/>
  <c r="L60" i="14"/>
  <c r="N19" i="12"/>
  <c r="O39" i="13"/>
  <c r="P39" i="11"/>
  <c r="P64" i="17"/>
  <c r="I23" i="24"/>
  <c r="I15" i="7"/>
  <c r="I60" i="5"/>
  <c r="P39" i="24"/>
  <c r="N41" i="20"/>
  <c r="N37" i="9"/>
  <c r="M37" i="25"/>
  <c r="O63" i="10"/>
  <c r="O6" i="22"/>
  <c r="M21" i="22"/>
  <c r="N35" i="15"/>
  <c r="P7" i="17"/>
  <c r="P26" i="13"/>
  <c r="P15" i="15"/>
  <c r="I33" i="21"/>
  <c r="I8" i="14"/>
  <c r="N6" i="10"/>
  <c r="M58" i="13"/>
  <c r="O6" i="11"/>
  <c r="M13" i="16"/>
  <c r="P7" i="16"/>
  <c r="P7" i="23"/>
  <c r="O63" i="5"/>
  <c r="N19" i="23"/>
  <c r="O22" i="19"/>
  <c r="P40" i="11"/>
  <c r="N7" i="10"/>
  <c r="M41" i="12"/>
  <c r="M63" i="26"/>
  <c r="L23" i="18"/>
  <c r="J59" i="19"/>
  <c r="L60" i="13"/>
  <c r="L60" i="16"/>
  <c r="I20" i="15"/>
  <c r="I20" i="7"/>
  <c r="I20" i="12"/>
  <c r="I20" i="18"/>
  <c r="I20" i="23"/>
  <c r="I20" i="13"/>
  <c r="I20" i="14"/>
  <c r="I20" i="8"/>
  <c r="I20" i="22"/>
  <c r="I20" i="16"/>
  <c r="I20" i="19"/>
  <c r="I20" i="26"/>
  <c r="I20" i="17"/>
  <c r="P9" i="18"/>
  <c r="P9" i="25"/>
  <c r="P9" i="7"/>
  <c r="P9" i="5"/>
  <c r="P9" i="20"/>
  <c r="P9" i="24"/>
  <c r="P9" i="23"/>
  <c r="P9" i="11"/>
  <c r="P9" i="15"/>
  <c r="I18" i="5"/>
  <c r="I18" i="24"/>
  <c r="I18" i="21"/>
  <c r="I18" i="15"/>
  <c r="I18" i="12"/>
  <c r="I18" i="20"/>
  <c r="I18" i="8"/>
  <c r="I18" i="14"/>
  <c r="I18" i="16"/>
  <c r="I18" i="26"/>
  <c r="I18" i="9"/>
  <c r="I18" i="22"/>
  <c r="I18" i="17"/>
  <c r="I18" i="18"/>
  <c r="I18" i="25"/>
  <c r="I18" i="13"/>
  <c r="I18" i="19"/>
  <c r="I18" i="7"/>
  <c r="I18" i="23"/>
  <c r="K37" i="5"/>
  <c r="K37" i="10"/>
  <c r="K37" i="17"/>
  <c r="K37" i="26"/>
  <c r="K37" i="21"/>
  <c r="K37" i="16"/>
  <c r="K37" i="15"/>
  <c r="K37" i="8"/>
  <c r="L60" i="22"/>
  <c r="L60" i="26"/>
  <c r="K37" i="12"/>
  <c r="L23" i="16"/>
  <c r="L60" i="24"/>
  <c r="L60" i="10"/>
  <c r="K37" i="13"/>
  <c r="I60" i="25"/>
  <c r="L60" i="25"/>
  <c r="K37" i="19"/>
  <c r="N63" i="25"/>
  <c r="N63" i="16"/>
  <c r="N63" i="24"/>
  <c r="N63" i="17"/>
  <c r="I22" i="20"/>
  <c r="I22" i="10"/>
  <c r="I22" i="19"/>
  <c r="J59" i="26"/>
  <c r="N28" i="5"/>
  <c r="N28" i="17"/>
  <c r="N28" i="16"/>
  <c r="N28" i="12"/>
  <c r="N28" i="7"/>
  <c r="N28" i="22"/>
  <c r="N28" i="23"/>
  <c r="N28" i="10"/>
  <c r="N28" i="21"/>
  <c r="N28" i="19"/>
  <c r="N28" i="26"/>
  <c r="P28" i="7"/>
  <c r="M27" i="9"/>
  <c r="M27" i="21"/>
  <c r="M27" i="23"/>
  <c r="M27" i="18"/>
  <c r="M27" i="22"/>
  <c r="M27" i="20"/>
  <c r="M27" i="16"/>
  <c r="M27" i="10"/>
  <c r="M27" i="26"/>
  <c r="M27" i="17"/>
  <c r="N10" i="12"/>
  <c r="N10" i="8"/>
  <c r="N10" i="24"/>
  <c r="M34" i="16"/>
  <c r="M34" i="15"/>
  <c r="M34" i="22"/>
  <c r="M34" i="14"/>
  <c r="P48" i="14"/>
  <c r="I10" i="11"/>
  <c r="I10" i="21"/>
  <c r="M22" i="25"/>
  <c r="I28" i="16"/>
  <c r="I19" i="20"/>
  <c r="I28" i="24"/>
  <c r="I10" i="8"/>
  <c r="N23" i="26"/>
  <c r="I19" i="14"/>
  <c r="M22" i="13"/>
  <c r="M22" i="5"/>
  <c r="J23" i="17"/>
  <c r="K60" i="7"/>
  <c r="I28" i="25"/>
  <c r="I21" i="23"/>
  <c r="I19" i="16"/>
  <c r="I15" i="23"/>
  <c r="I21" i="26"/>
  <c r="I15" i="16"/>
  <c r="K60" i="22"/>
  <c r="I8" i="9"/>
  <c r="I10" i="18"/>
  <c r="I10" i="24"/>
  <c r="J23" i="16"/>
  <c r="K60" i="24"/>
  <c r="M35" i="12"/>
  <c r="I21" i="25"/>
  <c r="K54" i="22"/>
  <c r="J23" i="9"/>
  <c r="N23" i="19"/>
  <c r="M46" i="14"/>
  <c r="M46" i="5"/>
  <c r="I27" i="20"/>
  <c r="I27" i="19"/>
  <c r="I10" i="26"/>
  <c r="I10" i="5"/>
  <c r="J23" i="23"/>
  <c r="M46" i="25"/>
  <c r="L23" i="26"/>
  <c r="O27" i="20"/>
  <c r="O27" i="22"/>
  <c r="O27" i="11"/>
  <c r="J23" i="14"/>
  <c r="L23" i="15"/>
  <c r="I28" i="13"/>
  <c r="P9" i="22"/>
  <c r="I19" i="8"/>
  <c r="M22" i="24"/>
  <c r="M22" i="11"/>
  <c r="P28" i="12"/>
  <c r="M35" i="24"/>
  <c r="M35" i="26"/>
  <c r="K60" i="15"/>
  <c r="N23" i="20"/>
  <c r="I10" i="17"/>
  <c r="I28" i="7"/>
  <c r="M22" i="23"/>
  <c r="J23" i="18"/>
  <c r="K60" i="20"/>
  <c r="K60" i="11"/>
  <c r="K60" i="21"/>
  <c r="L23" i="25"/>
  <c r="I28" i="22"/>
  <c r="I28" i="20"/>
  <c r="I21" i="13"/>
  <c r="I21" i="12"/>
  <c r="I19" i="9"/>
  <c r="I15" i="13"/>
  <c r="I15" i="12"/>
  <c r="I21" i="17"/>
  <c r="I19" i="15"/>
  <c r="I28" i="14"/>
  <c r="I8" i="16"/>
  <c r="I10" i="14"/>
  <c r="K60" i="26"/>
  <c r="N23" i="21"/>
  <c r="P9" i="17"/>
  <c r="M46" i="15"/>
  <c r="M46" i="18"/>
  <c r="I8" i="7"/>
  <c r="I27" i="11"/>
  <c r="I27" i="18"/>
  <c r="I10" i="9"/>
  <c r="I27" i="10"/>
  <c r="J23" i="26"/>
  <c r="L23" i="10"/>
  <c r="I8" i="8"/>
  <c r="I28" i="23"/>
  <c r="I8" i="12"/>
  <c r="I8" i="13"/>
  <c r="P9" i="9"/>
  <c r="P9" i="8"/>
  <c r="J23" i="25"/>
  <c r="I27" i="16"/>
  <c r="M22" i="7"/>
  <c r="M22" i="10"/>
  <c r="P28" i="24"/>
  <c r="P23" i="9"/>
  <c r="P23" i="11"/>
  <c r="P23" i="12"/>
  <c r="P23" i="17"/>
  <c r="P23" i="14"/>
  <c r="P23" i="13"/>
  <c r="P23" i="15"/>
  <c r="P23" i="20"/>
  <c r="P23" i="21"/>
  <c r="P23" i="18"/>
  <c r="P23" i="24"/>
  <c r="P23" i="8"/>
  <c r="P23" i="25"/>
  <c r="I28" i="9"/>
  <c r="I10" i="12"/>
  <c r="M22" i="21"/>
  <c r="M35" i="22"/>
  <c r="I28" i="26"/>
  <c r="I28" i="17"/>
  <c r="I19" i="21"/>
  <c r="I19" i="23"/>
  <c r="I28" i="11"/>
  <c r="I10" i="23"/>
  <c r="L54" i="26"/>
  <c r="I19" i="24"/>
  <c r="M22" i="26"/>
  <c r="O27" i="5"/>
  <c r="K60" i="17"/>
  <c r="K60" i="23"/>
  <c r="K60" i="25"/>
  <c r="L23" i="20"/>
  <c r="I28" i="10"/>
  <c r="I28" i="5"/>
  <c r="I21" i="8"/>
  <c r="I19" i="26"/>
  <c r="I19" i="17"/>
  <c r="I15" i="8"/>
  <c r="I21" i="21"/>
  <c r="I19" i="13"/>
  <c r="I28" i="8"/>
  <c r="I8" i="10"/>
  <c r="I10" i="15"/>
  <c r="L23" i="7"/>
  <c r="I21" i="9"/>
  <c r="L54" i="19"/>
  <c r="P9" i="13"/>
  <c r="P9" i="14"/>
  <c r="M46" i="23"/>
  <c r="M46" i="26"/>
  <c r="I8" i="24"/>
  <c r="I27" i="23"/>
  <c r="I27" i="15"/>
  <c r="I10" i="22"/>
  <c r="J23" i="11"/>
  <c r="I21" i="20"/>
  <c r="L23" i="13"/>
  <c r="O27" i="16"/>
  <c r="O27" i="10"/>
  <c r="I19" i="11"/>
  <c r="I19" i="18"/>
  <c r="P9" i="12"/>
  <c r="P9" i="10"/>
  <c r="M46" i="12"/>
  <c r="M22" i="20"/>
  <c r="M22" i="17"/>
  <c r="M22" i="19"/>
  <c r="M35" i="21"/>
  <c r="I28" i="12"/>
  <c r="M22" i="14"/>
  <c r="N23" i="8"/>
  <c r="N23" i="11"/>
  <c r="N23" i="13"/>
  <c r="N23" i="18"/>
  <c r="N23" i="23"/>
  <c r="N23" i="24"/>
  <c r="N23" i="14"/>
  <c r="N23" i="22"/>
  <c r="N23" i="16"/>
  <c r="N23" i="7"/>
  <c r="N23" i="15"/>
  <c r="I19" i="22"/>
  <c r="M22" i="12"/>
  <c r="I10" i="20"/>
  <c r="I28" i="15"/>
  <c r="M22" i="16"/>
  <c r="M35" i="19"/>
  <c r="K60" i="12"/>
  <c r="I28" i="19"/>
  <c r="I21" i="14"/>
  <c r="I19" i="10"/>
  <c r="I15" i="14"/>
  <c r="I21" i="10"/>
  <c r="I15" i="25"/>
  <c r="I8" i="17"/>
  <c r="I8" i="26"/>
  <c r="I10" i="13"/>
  <c r="K54" i="10"/>
  <c r="L23" i="9"/>
  <c r="N23" i="10"/>
  <c r="M46" i="21"/>
  <c r="M46" i="19"/>
  <c r="I8" i="5"/>
  <c r="I27" i="22"/>
  <c r="I27" i="26"/>
  <c r="I10" i="10"/>
  <c r="I15" i="26"/>
  <c r="J23" i="19"/>
  <c r="J23" i="15"/>
  <c r="P9" i="19"/>
  <c r="P9" i="26"/>
  <c r="M22" i="9"/>
  <c r="M22" i="15"/>
  <c r="P28" i="23"/>
  <c r="M35" i="8"/>
  <c r="M35" i="10"/>
  <c r="M35" i="14"/>
  <c r="P28" i="8"/>
  <c r="P28" i="10"/>
  <c r="O7" i="26"/>
  <c r="M35" i="5"/>
  <c r="M35" i="11"/>
  <c r="M35" i="13"/>
  <c r="M35" i="23"/>
  <c r="M35" i="15"/>
  <c r="M35" i="20"/>
  <c r="M35" i="25"/>
  <c r="M35" i="18"/>
  <c r="M35" i="7"/>
  <c r="M35" i="9"/>
  <c r="P28" i="5"/>
  <c r="P28" i="18"/>
  <c r="P28" i="17"/>
  <c r="P28" i="16"/>
  <c r="P28" i="11"/>
  <c r="P28" i="21"/>
  <c r="P28" i="22"/>
  <c r="P28" i="9"/>
  <c r="P28" i="20"/>
  <c r="P28" i="25"/>
  <c r="L34" i="11"/>
  <c r="I6" i="19"/>
  <c r="L34" i="5"/>
  <c r="M7" i="12"/>
  <c r="M7" i="18"/>
  <c r="P63" i="26"/>
  <c r="P63" i="19"/>
  <c r="O7" i="15"/>
  <c r="O7" i="19"/>
  <c r="P34" i="12"/>
  <c r="L46" i="5"/>
  <c r="J6" i="12"/>
  <c r="M7" i="5"/>
  <c r="P63" i="14"/>
  <c r="P63" i="24"/>
  <c r="O7" i="24"/>
  <c r="P63" i="22"/>
  <c r="O7" i="8"/>
  <c r="P63" i="16"/>
  <c r="O7" i="16"/>
  <c r="J46" i="26"/>
  <c r="P63" i="15"/>
  <c r="O7" i="22"/>
  <c r="O7" i="13"/>
  <c r="J34" i="5"/>
  <c r="P63" i="10"/>
  <c r="O7" i="14"/>
  <c r="P63" i="5"/>
  <c r="O7" i="23"/>
  <c r="O7" i="5"/>
  <c r="P63" i="13"/>
  <c r="J8" i="12"/>
  <c r="J48" i="23"/>
  <c r="L34" i="21"/>
  <c r="L34" i="24"/>
  <c r="I6" i="26"/>
  <c r="J34" i="26"/>
  <c r="I46" i="9"/>
  <c r="I6" i="13"/>
  <c r="L34" i="23"/>
  <c r="J46" i="22"/>
  <c r="L34" i="7"/>
  <c r="J46" i="19"/>
  <c r="J55" i="21"/>
  <c r="L34" i="8"/>
  <c r="J46" i="16"/>
  <c r="J46" i="7"/>
  <c r="J46" i="15"/>
  <c r="L34" i="14"/>
  <c r="L34" i="12"/>
  <c r="G65" i="16"/>
  <c r="H47" i="17"/>
  <c r="F9" i="20"/>
  <c r="D104" i="11"/>
  <c r="D121" i="11" s="1"/>
  <c r="I63" i="5"/>
  <c r="F22" i="22"/>
  <c r="N22" i="22" s="1"/>
  <c r="G48" i="23"/>
  <c r="K48" i="23" s="1"/>
  <c r="F121" i="10"/>
  <c r="D104" i="7"/>
  <c r="D121" i="7" s="1"/>
  <c r="G16" i="10"/>
  <c r="O16" i="10" s="1"/>
  <c r="F48" i="16"/>
  <c r="J48" i="16" s="1"/>
  <c r="G8" i="26"/>
  <c r="E23" i="29"/>
  <c r="D23" i="29" s="1"/>
  <c r="E100" i="7"/>
  <c r="G100" i="7" s="1"/>
  <c r="G104" i="7" s="1"/>
  <c r="C53" i="7" s="1"/>
  <c r="E53" i="7" s="1"/>
  <c r="I53" i="7" s="1"/>
  <c r="F48" i="7"/>
  <c r="D55" i="9"/>
  <c r="H47" i="14"/>
  <c r="G117" i="22"/>
  <c r="C58" i="22" s="1"/>
  <c r="E58" i="22" s="1"/>
  <c r="G58" i="22" s="1"/>
  <c r="F16" i="23"/>
  <c r="N16" i="23" s="1"/>
  <c r="G47" i="21"/>
  <c r="F16" i="26"/>
  <c r="N16" i="26" s="1"/>
  <c r="H16" i="23"/>
  <c r="P16" i="23" s="1"/>
  <c r="F48" i="19"/>
  <c r="D16" i="19"/>
  <c r="G48" i="12"/>
  <c r="K48" i="12" s="1"/>
  <c r="E47" i="11"/>
  <c r="D104" i="20"/>
  <c r="D121" i="20" s="1"/>
  <c r="C121" i="26"/>
  <c r="G8" i="17"/>
  <c r="F16" i="12"/>
  <c r="N16" i="12" s="1"/>
  <c r="F16" i="25"/>
  <c r="N16" i="25" s="1"/>
  <c r="I58" i="13"/>
  <c r="C49" i="19"/>
  <c r="E9" i="49" s="1"/>
  <c r="F82" i="49" s="1"/>
  <c r="F48" i="21"/>
  <c r="G56" i="20"/>
  <c r="K56" i="20" s="1"/>
  <c r="G58" i="13"/>
  <c r="K58" i="13" s="1"/>
  <c r="D16" i="26"/>
  <c r="G16" i="26"/>
  <c r="O16" i="26" s="1"/>
  <c r="H8" i="21"/>
  <c r="D18" i="10"/>
  <c r="D58" i="13"/>
  <c r="C29" i="25"/>
  <c r="D24" i="49" s="1"/>
  <c r="E97" i="49" s="1"/>
  <c r="G18" i="16"/>
  <c r="O18" i="16" s="1"/>
  <c r="G16" i="16"/>
  <c r="O16" i="16" s="1"/>
  <c r="D104" i="16"/>
  <c r="D121" i="16" s="1"/>
  <c r="I63" i="25"/>
  <c r="C11" i="17"/>
  <c r="C12" i="49" s="1"/>
  <c r="J85" i="49" s="1"/>
  <c r="E13" i="24"/>
  <c r="F13" i="24" s="1"/>
  <c r="N13" i="24" s="1"/>
  <c r="H8" i="10"/>
  <c r="G18" i="9"/>
  <c r="O18" i="9" s="1"/>
  <c r="H20" i="12"/>
  <c r="P20" i="12" s="1"/>
  <c r="F57" i="18"/>
  <c r="G57" i="18"/>
  <c r="K57" i="18" s="1"/>
  <c r="D18" i="12"/>
  <c r="D18" i="9"/>
  <c r="H8" i="26"/>
  <c r="C121" i="14"/>
  <c r="C121" i="11"/>
  <c r="G117" i="11"/>
  <c r="C58" i="11" s="1"/>
  <c r="E58" i="11" s="1"/>
  <c r="D58" i="11" s="1"/>
  <c r="H16" i="19"/>
  <c r="P16" i="19" s="1"/>
  <c r="D104" i="17"/>
  <c r="G58" i="15"/>
  <c r="K58" i="15" s="1"/>
  <c r="E18" i="29"/>
  <c r="D18" i="29" s="1"/>
  <c r="D18" i="26"/>
  <c r="H16" i="11"/>
  <c r="P16" i="11" s="1"/>
  <c r="G8" i="25"/>
  <c r="G16" i="19"/>
  <c r="O16" i="19" s="1"/>
  <c r="F16" i="11"/>
  <c r="N16" i="11" s="1"/>
  <c r="F47" i="15"/>
  <c r="J47" i="15" s="1"/>
  <c r="H48" i="15"/>
  <c r="L48" i="15" s="1"/>
  <c r="F121" i="11"/>
  <c r="F121" i="26"/>
  <c r="C49" i="8"/>
  <c r="E15" i="49" s="1"/>
  <c r="F88" i="49" s="1"/>
  <c r="C25" i="29"/>
  <c r="G18" i="30" s="1"/>
  <c r="H8" i="16"/>
  <c r="F16" i="17"/>
  <c r="N16" i="17" s="1"/>
  <c r="H58" i="13"/>
  <c r="H21" i="5"/>
  <c r="P21" i="5" s="1"/>
  <c r="H6" i="22"/>
  <c r="G65" i="17"/>
  <c r="G65" i="11"/>
  <c r="H48" i="24"/>
  <c r="L48" i="24" s="1"/>
  <c r="I63" i="20"/>
  <c r="H48" i="8"/>
  <c r="H16" i="21"/>
  <c r="P16" i="21" s="1"/>
  <c r="H18" i="9"/>
  <c r="P18" i="9" s="1"/>
  <c r="D16" i="20"/>
  <c r="G9" i="5"/>
  <c r="F48" i="8"/>
  <c r="C121" i="5"/>
  <c r="Q28" i="6"/>
  <c r="G65" i="24"/>
  <c r="F9" i="17"/>
  <c r="G9" i="15"/>
  <c r="F65" i="10"/>
  <c r="F48" i="15"/>
  <c r="G48" i="9"/>
  <c r="K48" i="9" s="1"/>
  <c r="H56" i="9"/>
  <c r="L56" i="9" s="1"/>
  <c r="D104" i="12"/>
  <c r="D121" i="12" s="1"/>
  <c r="G9" i="13"/>
  <c r="D104" i="15"/>
  <c r="D121" i="15" s="1"/>
  <c r="C121" i="10"/>
  <c r="C49" i="7"/>
  <c r="E14" i="49" s="1"/>
  <c r="F87" i="49" s="1"/>
  <c r="H48" i="16"/>
  <c r="H8" i="9"/>
  <c r="G9" i="17"/>
  <c r="H9" i="15"/>
  <c r="H8" i="22"/>
  <c r="C49" i="15"/>
  <c r="E11" i="49" s="1"/>
  <c r="F84" i="49" s="1"/>
  <c r="D104" i="19"/>
  <c r="D121" i="19" s="1"/>
  <c r="H47" i="8"/>
  <c r="E48" i="8"/>
  <c r="D104" i="22"/>
  <c r="D121" i="22" s="1"/>
  <c r="I63" i="10"/>
  <c r="E33" i="5"/>
  <c r="C11" i="15"/>
  <c r="C11" i="49" s="1"/>
  <c r="F65" i="24"/>
  <c r="F16" i="21"/>
  <c r="N16" i="21" s="1"/>
  <c r="G65" i="21"/>
  <c r="E33" i="23"/>
  <c r="F8" i="9"/>
  <c r="G16" i="11"/>
  <c r="O16" i="11" s="1"/>
  <c r="G18" i="20"/>
  <c r="O18" i="20" s="1"/>
  <c r="F8" i="22"/>
  <c r="C49" i="23"/>
  <c r="E22" i="49" s="1"/>
  <c r="F95" i="49" s="1"/>
  <c r="F47" i="17"/>
  <c r="E48" i="15"/>
  <c r="I63" i="19"/>
  <c r="G117" i="10"/>
  <c r="C58" i="10" s="1"/>
  <c r="E58" i="10" s="1"/>
  <c r="G58" i="10" s="1"/>
  <c r="K58" i="10" s="1"/>
  <c r="G55" i="24"/>
  <c r="F55" i="24"/>
  <c r="H55" i="24"/>
  <c r="D55" i="24"/>
  <c r="D63" i="16"/>
  <c r="D65" i="16" s="1"/>
  <c r="I63" i="16"/>
  <c r="D63" i="24"/>
  <c r="I63" i="24"/>
  <c r="F55" i="25"/>
  <c r="D55" i="25"/>
  <c r="E33" i="9"/>
  <c r="D33" i="9" s="1"/>
  <c r="D55" i="21"/>
  <c r="H65" i="17"/>
  <c r="C49" i="12"/>
  <c r="E6" i="49" s="1"/>
  <c r="E33" i="14"/>
  <c r="D33" i="14" s="1"/>
  <c r="E33" i="25"/>
  <c r="D33" i="25" s="1"/>
  <c r="C142" i="12"/>
  <c r="C33" i="12" s="1"/>
  <c r="K28" i="6"/>
  <c r="H55" i="21"/>
  <c r="E47" i="12"/>
  <c r="G55" i="21"/>
  <c r="K55" i="21" s="1"/>
  <c r="H16" i="7"/>
  <c r="P16" i="7" s="1"/>
  <c r="G20" i="12"/>
  <c r="O20" i="12" s="1"/>
  <c r="G8" i="14"/>
  <c r="G8" i="21"/>
  <c r="C49" i="10"/>
  <c r="E17" i="49" s="1"/>
  <c r="F90" i="49" s="1"/>
  <c r="F47" i="19"/>
  <c r="J47" i="19" s="1"/>
  <c r="H65" i="24"/>
  <c r="G47" i="23"/>
  <c r="H47" i="11"/>
  <c r="E48" i="14"/>
  <c r="F56" i="21"/>
  <c r="H59" i="26"/>
  <c r="L59" i="26" s="1"/>
  <c r="D63" i="25"/>
  <c r="D65" i="25" s="1"/>
  <c r="E21" i="29"/>
  <c r="D21" i="29" s="1"/>
  <c r="F121" i="5"/>
  <c r="E33" i="21"/>
  <c r="D33" i="21" s="1"/>
  <c r="E33" i="11"/>
  <c r="D33" i="11" s="1"/>
  <c r="E33" i="24"/>
  <c r="E33" i="7"/>
  <c r="G18" i="19"/>
  <c r="O18" i="19" s="1"/>
  <c r="H18" i="21"/>
  <c r="P18" i="21" s="1"/>
  <c r="G117" i="24"/>
  <c r="C58" i="24" s="1"/>
  <c r="E58" i="24" s="1"/>
  <c r="G58" i="24" s="1"/>
  <c r="K58" i="24" s="1"/>
  <c r="E33" i="17"/>
  <c r="G7" i="5"/>
  <c r="E100" i="15"/>
  <c r="D20" i="12"/>
  <c r="F65" i="25"/>
  <c r="G48" i="19"/>
  <c r="K48" i="19" s="1"/>
  <c r="C49" i="26"/>
  <c r="E25" i="49" s="1"/>
  <c r="F98" i="49" s="1"/>
  <c r="F48" i="12"/>
  <c r="J48" i="12" s="1"/>
  <c r="G47" i="17"/>
  <c r="H48" i="26"/>
  <c r="D65" i="17"/>
  <c r="E48" i="26"/>
  <c r="I48" i="26" s="1"/>
  <c r="F9" i="5"/>
  <c r="I59" i="26"/>
  <c r="G117" i="26"/>
  <c r="C58" i="26" s="1"/>
  <c r="E58" i="26" s="1"/>
  <c r="C29" i="15"/>
  <c r="D11" i="49" s="1"/>
  <c r="E84" i="49" s="1"/>
  <c r="E33" i="10"/>
  <c r="D33" i="10" s="1"/>
  <c r="E33" i="8"/>
  <c r="D33" i="8" s="1"/>
  <c r="E33" i="13"/>
  <c r="J28" i="6"/>
  <c r="G16" i="7"/>
  <c r="O16" i="7" s="1"/>
  <c r="F18" i="21"/>
  <c r="N18" i="21" s="1"/>
  <c r="H48" i="12"/>
  <c r="P48" i="12" s="1"/>
  <c r="D59" i="26"/>
  <c r="H16" i="10"/>
  <c r="P16" i="10" s="1"/>
  <c r="H18" i="10"/>
  <c r="P18" i="10" s="1"/>
  <c r="G16" i="12"/>
  <c r="O16" i="12" s="1"/>
  <c r="H8" i="19"/>
  <c r="F16" i="10"/>
  <c r="N16" i="10" s="1"/>
  <c r="F18" i="10"/>
  <c r="N18" i="10" s="1"/>
  <c r="D18" i="22"/>
  <c r="H18" i="20"/>
  <c r="P18" i="20" s="1"/>
  <c r="D16" i="12"/>
  <c r="H18" i="12"/>
  <c r="P18" i="12" s="1"/>
  <c r="E11" i="17"/>
  <c r="B38" i="34" s="1"/>
  <c r="H8" i="25"/>
  <c r="F48" i="26"/>
  <c r="H65" i="12"/>
  <c r="G59" i="17"/>
  <c r="E65" i="17"/>
  <c r="G59" i="26"/>
  <c r="K59" i="26" s="1"/>
  <c r="E33" i="20"/>
  <c r="D33" i="20" s="1"/>
  <c r="E33" i="26"/>
  <c r="E33" i="16"/>
  <c r="D33" i="16" s="1"/>
  <c r="H8" i="17"/>
  <c r="D18" i="19"/>
  <c r="F16" i="7"/>
  <c r="N16" i="7" s="1"/>
  <c r="G65" i="26"/>
  <c r="E33" i="19"/>
  <c r="D33" i="19" s="1"/>
  <c r="G8" i="19"/>
  <c r="G18" i="22"/>
  <c r="O18" i="22" s="1"/>
  <c r="D18" i="20"/>
  <c r="C49" i="11"/>
  <c r="E18" i="49" s="1"/>
  <c r="F91" i="49" s="1"/>
  <c r="G16" i="23"/>
  <c r="O16" i="23" s="1"/>
  <c r="F18" i="12"/>
  <c r="N18" i="12" s="1"/>
  <c r="C49" i="14"/>
  <c r="E7" i="49" s="1"/>
  <c r="F80" i="49" s="1"/>
  <c r="F47" i="11"/>
  <c r="J47" i="11" s="1"/>
  <c r="C121" i="22"/>
  <c r="E19" i="29"/>
  <c r="D19" i="29" s="1"/>
  <c r="H7" i="5"/>
  <c r="G117" i="5"/>
  <c r="E48" i="16"/>
  <c r="K63" i="12"/>
  <c r="C29" i="16"/>
  <c r="D13" i="49" s="1"/>
  <c r="E86" i="49" s="1"/>
  <c r="I63" i="26"/>
  <c r="E47" i="34"/>
  <c r="I46" i="17"/>
  <c r="L34" i="9"/>
  <c r="I46" i="18"/>
  <c r="L48" i="14"/>
  <c r="L34" i="10"/>
  <c r="J55" i="9"/>
  <c r="I46" i="7"/>
  <c r="I46" i="23"/>
  <c r="I46" i="5"/>
  <c r="L55" i="23"/>
  <c r="J48" i="24"/>
  <c r="L48" i="19"/>
  <c r="I46" i="25"/>
  <c r="J48" i="18"/>
  <c r="L34" i="16"/>
  <c r="L34" i="15"/>
  <c r="L34" i="13"/>
  <c r="L34" i="26"/>
  <c r="L34" i="19"/>
  <c r="L34" i="18"/>
  <c r="I46" i="21"/>
  <c r="L34" i="22"/>
  <c r="J48" i="9"/>
  <c r="I46" i="20"/>
  <c r="L34" i="25"/>
  <c r="L34" i="20"/>
  <c r="E50" i="34"/>
  <c r="D39" i="23"/>
  <c r="E48" i="34"/>
  <c r="F26" i="22"/>
  <c r="N26" i="22" s="1"/>
  <c r="C29" i="22"/>
  <c r="D21" i="49" s="1"/>
  <c r="E94" i="49" s="1"/>
  <c r="D40" i="21"/>
  <c r="E46" i="34"/>
  <c r="F27" i="13"/>
  <c r="N27" i="13" s="1"/>
  <c r="E39" i="34"/>
  <c r="H26" i="16"/>
  <c r="P26" i="16" s="1"/>
  <c r="H27" i="15"/>
  <c r="P27" i="15" s="1"/>
  <c r="G28" i="29"/>
  <c r="E35" i="34"/>
  <c r="D41" i="14"/>
  <c r="E33" i="34"/>
  <c r="H45" i="29"/>
  <c r="G59" i="10"/>
  <c r="F54" i="22"/>
  <c r="I54" i="22"/>
  <c r="D54" i="22"/>
  <c r="H54" i="22"/>
  <c r="I14" i="33"/>
  <c r="K28" i="33" s="1"/>
  <c r="J34" i="13"/>
  <c r="J34" i="22"/>
  <c r="J34" i="16"/>
  <c r="J34" i="7"/>
  <c r="J34" i="15"/>
  <c r="J34" i="11"/>
  <c r="J34" i="19"/>
  <c r="J34" i="23"/>
  <c r="J34" i="12"/>
  <c r="C11" i="11"/>
  <c r="C18" i="49" s="1"/>
  <c r="J91" i="49" s="1"/>
  <c r="C11" i="18"/>
  <c r="C10" i="49" s="1"/>
  <c r="J83" i="49" s="1"/>
  <c r="H6" i="13"/>
  <c r="E11" i="13"/>
  <c r="B45" i="34" s="1"/>
  <c r="F6" i="19"/>
  <c r="C10" i="29"/>
  <c r="G5" i="30" s="1"/>
  <c r="E11" i="8"/>
  <c r="B41" i="34" s="1"/>
  <c r="H6" i="18"/>
  <c r="F6" i="16"/>
  <c r="E11" i="7"/>
  <c r="B40" i="34" s="1"/>
  <c r="E11" i="11"/>
  <c r="B44" i="34" s="1"/>
  <c r="F6" i="11"/>
  <c r="D57" i="11"/>
  <c r="F57" i="11"/>
  <c r="H57" i="11"/>
  <c r="G57" i="11"/>
  <c r="G32" i="34"/>
  <c r="D35" i="12"/>
  <c r="D60" i="25"/>
  <c r="L60" i="12"/>
  <c r="H63" i="29"/>
  <c r="D55" i="17"/>
  <c r="F55" i="17"/>
  <c r="J55" i="17" s="1"/>
  <c r="D57" i="23"/>
  <c r="F57" i="23"/>
  <c r="J57" i="23" s="1"/>
  <c r="F54" i="10"/>
  <c r="D54" i="10"/>
  <c r="I54" i="10"/>
  <c r="D21" i="17"/>
  <c r="F21" i="17"/>
  <c r="N21" i="17" s="1"/>
  <c r="H21" i="17"/>
  <c r="P21" i="17" s="1"/>
  <c r="G21" i="17"/>
  <c r="O21" i="17" s="1"/>
  <c r="E27" i="23"/>
  <c r="D27" i="23" s="1"/>
  <c r="H27" i="23"/>
  <c r="P27" i="23" s="1"/>
  <c r="G27" i="23"/>
  <c r="O27" i="23" s="1"/>
  <c r="F27" i="23"/>
  <c r="N27" i="23" s="1"/>
  <c r="H48" i="17"/>
  <c r="L48" i="17" s="1"/>
  <c r="E48" i="17"/>
  <c r="G48" i="17"/>
  <c r="K48" i="17" s="1"/>
  <c r="C49" i="17"/>
  <c r="E12" i="49" s="1"/>
  <c r="F85" i="49" s="1"/>
  <c r="D117" i="17"/>
  <c r="E117" i="17" s="1"/>
  <c r="G117" i="17" s="1"/>
  <c r="C58" i="17" s="1"/>
  <c r="C121" i="17"/>
  <c r="E26" i="18"/>
  <c r="D26" i="18" s="1"/>
  <c r="H26" i="18"/>
  <c r="P26" i="18" s="1"/>
  <c r="G26" i="18"/>
  <c r="O26" i="18" s="1"/>
  <c r="E26" i="16"/>
  <c r="D26" i="16" s="1"/>
  <c r="G26" i="16"/>
  <c r="O26" i="16" s="1"/>
  <c r="F26" i="16"/>
  <c r="N26" i="16" s="1"/>
  <c r="F8" i="10"/>
  <c r="F47" i="18"/>
  <c r="F48" i="17"/>
  <c r="J46" i="8"/>
  <c r="J46" i="11"/>
  <c r="J46" i="10"/>
  <c r="J46" i="23"/>
  <c r="J46" i="13"/>
  <c r="J46" i="12"/>
  <c r="J46" i="14"/>
  <c r="J46" i="24"/>
  <c r="J46" i="18"/>
  <c r="G65" i="13"/>
  <c r="H54" i="10"/>
  <c r="H48" i="25"/>
  <c r="L48" i="25" s="1"/>
  <c r="E48" i="25"/>
  <c r="M48" i="25" s="1"/>
  <c r="F48" i="25"/>
  <c r="J48" i="25" s="1"/>
  <c r="C49" i="25"/>
  <c r="E24" i="49" s="1"/>
  <c r="F97" i="49" s="1"/>
  <c r="G48" i="25"/>
  <c r="K48" i="25" s="1"/>
  <c r="H18" i="25"/>
  <c r="P18" i="25" s="1"/>
  <c r="F18" i="25"/>
  <c r="N18" i="25" s="1"/>
  <c r="G18" i="25"/>
  <c r="O18" i="25" s="1"/>
  <c r="N15" i="7"/>
  <c r="N15" i="23"/>
  <c r="N15" i="14"/>
  <c r="N15" i="8"/>
  <c r="N15" i="24"/>
  <c r="N15" i="18"/>
  <c r="N15" i="11"/>
  <c r="N15" i="16"/>
  <c r="N15" i="9"/>
  <c r="N15" i="10"/>
  <c r="N15" i="15"/>
  <c r="N15" i="25"/>
  <c r="N15" i="21"/>
  <c r="N15" i="22"/>
  <c r="N15" i="26"/>
  <c r="N15" i="20"/>
  <c r="N15" i="17"/>
  <c r="N15" i="13"/>
  <c r="N15" i="12"/>
  <c r="D21" i="25"/>
  <c r="F21" i="25"/>
  <c r="N21" i="25" s="1"/>
  <c r="H21" i="25"/>
  <c r="P21" i="25" s="1"/>
  <c r="G21" i="25"/>
  <c r="O21" i="25" s="1"/>
  <c r="D56" i="14"/>
  <c r="H56" i="14"/>
  <c r="L56" i="14" s="1"/>
  <c r="G56" i="14"/>
  <c r="H47" i="16"/>
  <c r="C49" i="16"/>
  <c r="E13" i="49" s="1"/>
  <c r="F86" i="49" s="1"/>
  <c r="D21" i="21"/>
  <c r="G21" i="21"/>
  <c r="O21" i="21" s="1"/>
  <c r="F21" i="21"/>
  <c r="H21" i="21"/>
  <c r="P21" i="21" s="1"/>
  <c r="H16" i="25"/>
  <c r="P16" i="25" s="1"/>
  <c r="G16" i="25"/>
  <c r="O16" i="25" s="1"/>
  <c r="E27" i="7"/>
  <c r="D27" i="7" s="1"/>
  <c r="H27" i="7"/>
  <c r="P27" i="7" s="1"/>
  <c r="C30" i="29"/>
  <c r="G23" i="30" s="1"/>
  <c r="H47" i="21"/>
  <c r="L47" i="21" s="1"/>
  <c r="F47" i="21"/>
  <c r="J47" i="21" s="1"/>
  <c r="C49" i="21"/>
  <c r="E20" i="49" s="1"/>
  <c r="F93" i="49" s="1"/>
  <c r="E9" i="21"/>
  <c r="C11" i="21"/>
  <c r="C20" i="49" s="1"/>
  <c r="J93" i="49" s="1"/>
  <c r="G26" i="26"/>
  <c r="O26" i="26" s="1"/>
  <c r="H26" i="26"/>
  <c r="P26" i="26" s="1"/>
  <c r="E26" i="26"/>
  <c r="D26" i="26" s="1"/>
  <c r="F10" i="25"/>
  <c r="H10" i="25"/>
  <c r="G10" i="25"/>
  <c r="E9" i="14"/>
  <c r="C12" i="29"/>
  <c r="G7" i="30" s="1"/>
  <c r="C11" i="14"/>
  <c r="C7" i="49" s="1"/>
  <c r="J80" i="49" s="1"/>
  <c r="E41" i="34"/>
  <c r="D37" i="8"/>
  <c r="X21" i="27"/>
  <c r="X15" i="27"/>
  <c r="X19" i="27"/>
  <c r="X20" i="27"/>
  <c r="X14" i="27"/>
  <c r="J10" i="5"/>
  <c r="J10" i="12"/>
  <c r="F56" i="17"/>
  <c r="J56" i="17" s="1"/>
  <c r="D56" i="17"/>
  <c r="G56" i="17"/>
  <c r="E8" i="24"/>
  <c r="E11" i="29" s="1"/>
  <c r="C11" i="24"/>
  <c r="C23" i="49" s="1"/>
  <c r="J96" i="49" s="1"/>
  <c r="E13" i="13"/>
  <c r="G13" i="13" s="1"/>
  <c r="O13" i="13" s="1"/>
  <c r="C29" i="13"/>
  <c r="D19" i="49" s="1"/>
  <c r="E92" i="49" s="1"/>
  <c r="F55" i="26"/>
  <c r="J55" i="26" s="1"/>
  <c r="G55" i="26"/>
  <c r="K55" i="26" s="1"/>
  <c r="D55" i="26"/>
  <c r="E48" i="22"/>
  <c r="I48" i="22" s="1"/>
  <c r="F48" i="22"/>
  <c r="G48" i="22"/>
  <c r="K48" i="22" s="1"/>
  <c r="F18" i="17"/>
  <c r="N18" i="17" s="1"/>
  <c r="H18" i="17"/>
  <c r="P18" i="17" s="1"/>
  <c r="G18" i="17"/>
  <c r="O18" i="17" s="1"/>
  <c r="F56" i="20"/>
  <c r="H56" i="20"/>
  <c r="E11" i="10"/>
  <c r="B43" i="34" s="1"/>
  <c r="F26" i="18"/>
  <c r="N26" i="18" s="1"/>
  <c r="H55" i="26"/>
  <c r="L55" i="26" s="1"/>
  <c r="E24" i="29"/>
  <c r="D24" i="29" s="1"/>
  <c r="G21" i="5"/>
  <c r="O21" i="5" s="1"/>
  <c r="F21" i="5"/>
  <c r="N21" i="5" s="1"/>
  <c r="C29" i="29"/>
  <c r="G22" i="30" s="1"/>
  <c r="I54" i="25"/>
  <c r="D54" i="25"/>
  <c r="F54" i="25"/>
  <c r="J54" i="25" s="1"/>
  <c r="E102" i="21"/>
  <c r="G102" i="21" s="1"/>
  <c r="D104" i="21"/>
  <c r="D121" i="21" s="1"/>
  <c r="E47" i="13"/>
  <c r="I47" i="13" s="1"/>
  <c r="G47" i="13"/>
  <c r="K47" i="13" s="1"/>
  <c r="F47" i="13"/>
  <c r="E48" i="5"/>
  <c r="D48" i="5" s="1"/>
  <c r="H48" i="5"/>
  <c r="G48" i="5"/>
  <c r="K48" i="5" s="1"/>
  <c r="C51" i="29"/>
  <c r="G40" i="30" s="1"/>
  <c r="E38" i="29"/>
  <c r="D38" i="29" s="1"/>
  <c r="I59" i="17"/>
  <c r="F59" i="17"/>
  <c r="J59" i="17" s="1"/>
  <c r="G117" i="23"/>
  <c r="C58" i="23" s="1"/>
  <c r="E58" i="23" s="1"/>
  <c r="M58" i="23" s="1"/>
  <c r="I54" i="19"/>
  <c r="G54" i="19"/>
  <c r="G47" i="24"/>
  <c r="K47" i="24" s="1"/>
  <c r="E47" i="24"/>
  <c r="M47" i="24" s="1"/>
  <c r="F47" i="24"/>
  <c r="J47" i="24" s="1"/>
  <c r="H47" i="24"/>
  <c r="E48" i="13"/>
  <c r="M48" i="13" s="1"/>
  <c r="H48" i="13"/>
  <c r="F48" i="13"/>
  <c r="G48" i="13"/>
  <c r="H65" i="26"/>
  <c r="F57" i="25"/>
  <c r="J57" i="25" s="1"/>
  <c r="D57" i="25"/>
  <c r="E11" i="25"/>
  <c r="B50" i="34" s="1"/>
  <c r="G6" i="25"/>
  <c r="H57" i="25"/>
  <c r="F54" i="19"/>
  <c r="H59" i="17"/>
  <c r="D63" i="7"/>
  <c r="D65" i="7" s="1"/>
  <c r="E65" i="7"/>
  <c r="D55" i="19"/>
  <c r="F55" i="19"/>
  <c r="H55" i="19"/>
  <c r="D59" i="19"/>
  <c r="I59" i="19"/>
  <c r="H59" i="19"/>
  <c r="G59" i="19"/>
  <c r="K59" i="19" s="1"/>
  <c r="M16" i="5"/>
  <c r="M16" i="18"/>
  <c r="M16" i="11"/>
  <c r="M16" i="15"/>
  <c r="M16" i="7"/>
  <c r="M16" i="23"/>
  <c r="M16" i="20"/>
  <c r="M16" i="21"/>
  <c r="M16" i="19"/>
  <c r="M16" i="22"/>
  <c r="M16" i="8"/>
  <c r="M16" i="26"/>
  <c r="M16" i="13"/>
  <c r="M16" i="24"/>
  <c r="M16" i="12"/>
  <c r="M16" i="25"/>
  <c r="M16" i="9"/>
  <c r="M16" i="17"/>
  <c r="M16" i="14"/>
  <c r="M16" i="10"/>
  <c r="M16" i="16"/>
  <c r="F18" i="16"/>
  <c r="N18" i="16" s="1"/>
  <c r="H18" i="16"/>
  <c r="P18" i="16" s="1"/>
  <c r="E100" i="18"/>
  <c r="G100" i="18" s="1"/>
  <c r="G104" i="18" s="1"/>
  <c r="C53" i="18" s="1"/>
  <c r="E53" i="18" s="1"/>
  <c r="D104" i="18"/>
  <c r="D121" i="18" s="1"/>
  <c r="I6" i="9"/>
  <c r="I6" i="11"/>
  <c r="I6" i="20"/>
  <c r="I6" i="25"/>
  <c r="I6" i="7"/>
  <c r="I6" i="17"/>
  <c r="I6" i="21"/>
  <c r="I6" i="23"/>
  <c r="I6" i="18"/>
  <c r="I6" i="16"/>
  <c r="I6" i="10"/>
  <c r="I6" i="12"/>
  <c r="I6" i="8"/>
  <c r="I6" i="5"/>
  <c r="I6" i="22"/>
  <c r="I6" i="14"/>
  <c r="I6" i="24"/>
  <c r="G56" i="9"/>
  <c r="K56" i="9" s="1"/>
  <c r="F56" i="9"/>
  <c r="J56" i="9" s="1"/>
  <c r="H16" i="20"/>
  <c r="P16" i="20" s="1"/>
  <c r="G16" i="20"/>
  <c r="O16" i="20" s="1"/>
  <c r="E27" i="11"/>
  <c r="D27" i="11" s="1"/>
  <c r="H27" i="11"/>
  <c r="P27" i="11" s="1"/>
  <c r="F27" i="11"/>
  <c r="N27" i="11" s="1"/>
  <c r="E26" i="20"/>
  <c r="D26" i="20" s="1"/>
  <c r="H26" i="20"/>
  <c r="P26" i="20" s="1"/>
  <c r="E26" i="5"/>
  <c r="D26" i="5" s="1"/>
  <c r="G26" i="5"/>
  <c r="O26" i="5" s="1"/>
  <c r="F10" i="9"/>
  <c r="G10" i="9"/>
  <c r="H10" i="9"/>
  <c r="G10" i="14"/>
  <c r="H10" i="14"/>
  <c r="E13" i="29"/>
  <c r="F10" i="14"/>
  <c r="C29" i="26"/>
  <c r="D25" i="49" s="1"/>
  <c r="E98" i="49" s="1"/>
  <c r="E13" i="26"/>
  <c r="D13" i="26" s="1"/>
  <c r="D59" i="21"/>
  <c r="G59" i="21"/>
  <c r="G54" i="16"/>
  <c r="K54" i="16" s="1"/>
  <c r="I54" i="16"/>
  <c r="H54" i="16"/>
  <c r="E13" i="8"/>
  <c r="D13" i="8" s="1"/>
  <c r="C29" i="8"/>
  <c r="D15" i="49" s="1"/>
  <c r="E88" i="49" s="1"/>
  <c r="H56" i="21"/>
  <c r="G56" i="21"/>
  <c r="F56" i="25"/>
  <c r="H56" i="25"/>
  <c r="D54" i="26"/>
  <c r="F54" i="26"/>
  <c r="I54" i="26"/>
  <c r="F58" i="15"/>
  <c r="I58" i="15"/>
  <c r="D58" i="15"/>
  <c r="D55" i="23"/>
  <c r="F55" i="23"/>
  <c r="G55" i="23"/>
  <c r="O10" i="5"/>
  <c r="O10" i="7"/>
  <c r="O10" i="23"/>
  <c r="O10" i="14"/>
  <c r="O10" i="8"/>
  <c r="O10" i="24"/>
  <c r="O10" i="18"/>
  <c r="O10" i="11"/>
  <c r="O10" i="15"/>
  <c r="O10" i="25"/>
  <c r="O10" i="17"/>
  <c r="O10" i="26"/>
  <c r="O10" i="16"/>
  <c r="O10" i="20"/>
  <c r="O10" i="21"/>
  <c r="O10" i="19"/>
  <c r="O10" i="10"/>
  <c r="O10" i="13"/>
  <c r="O10" i="12"/>
  <c r="O10" i="9"/>
  <c r="O10" i="22"/>
  <c r="D16" i="16"/>
  <c r="F16" i="16"/>
  <c r="N16" i="16" s="1"/>
  <c r="C29" i="7"/>
  <c r="D14" i="49" s="1"/>
  <c r="E87" i="49" s="1"/>
  <c r="C49" i="24"/>
  <c r="E23" i="49" s="1"/>
  <c r="F96" i="49" s="1"/>
  <c r="C49" i="13"/>
  <c r="E19" i="49" s="1"/>
  <c r="F92" i="49" s="1"/>
  <c r="H48" i="22"/>
  <c r="H42" i="29"/>
  <c r="C29" i="10"/>
  <c r="D17" i="49" s="1"/>
  <c r="E90" i="49" s="1"/>
  <c r="E11" i="15"/>
  <c r="B37" i="34" s="1"/>
  <c r="H6" i="15"/>
  <c r="G6" i="9"/>
  <c r="E11" i="9"/>
  <c r="B42" i="34" s="1"/>
  <c r="C11" i="29"/>
  <c r="G6" i="30" s="1"/>
  <c r="C11" i="13"/>
  <c r="C19" i="49" s="1"/>
  <c r="J92" i="49" s="1"/>
  <c r="G65" i="10"/>
  <c r="H57" i="18"/>
  <c r="H57" i="23"/>
  <c r="C49" i="18"/>
  <c r="E10" i="49" s="1"/>
  <c r="F83" i="49" s="1"/>
  <c r="I21" i="33"/>
  <c r="X35" i="27" s="1"/>
  <c r="G47" i="18"/>
  <c r="E47" i="18"/>
  <c r="I47" i="18" s="1"/>
  <c r="D54" i="19"/>
  <c r="G54" i="26"/>
  <c r="K54" i="26" s="1"/>
  <c r="H56" i="17"/>
  <c r="L56" i="17" s="1"/>
  <c r="D59" i="10"/>
  <c r="I59" i="10"/>
  <c r="F59" i="10"/>
  <c r="H9" i="13"/>
  <c r="H48" i="20"/>
  <c r="L48" i="20" s="1"/>
  <c r="E48" i="20"/>
  <c r="F48" i="20"/>
  <c r="N48" i="20" s="1"/>
  <c r="H48" i="10"/>
  <c r="E48" i="10"/>
  <c r="I48" i="10" s="1"/>
  <c r="F48" i="10"/>
  <c r="J48" i="10" s="1"/>
  <c r="H16" i="17"/>
  <c r="P16" i="17" s="1"/>
  <c r="G16" i="17"/>
  <c r="O16" i="17" s="1"/>
  <c r="D21" i="24"/>
  <c r="G21" i="24"/>
  <c r="O21" i="24" s="1"/>
  <c r="F21" i="24"/>
  <c r="N21" i="24" s="1"/>
  <c r="H21" i="24"/>
  <c r="P21" i="24" s="1"/>
  <c r="E48" i="11"/>
  <c r="G48" i="11"/>
  <c r="H48" i="11"/>
  <c r="L48" i="11" s="1"/>
  <c r="F48" i="11"/>
  <c r="E11" i="16"/>
  <c r="B39" i="34" s="1"/>
  <c r="F8" i="16"/>
  <c r="F18" i="26"/>
  <c r="N18" i="26" s="1"/>
  <c r="H18" i="26"/>
  <c r="P18" i="26" s="1"/>
  <c r="E11" i="20"/>
  <c r="B34" i="34" s="1"/>
  <c r="F8" i="20"/>
  <c r="G8" i="20"/>
  <c r="E47" i="7"/>
  <c r="G47" i="7"/>
  <c r="K47" i="7" s="1"/>
  <c r="H65" i="22"/>
  <c r="C29" i="23"/>
  <c r="D22" i="49" s="1"/>
  <c r="E95" i="49" s="1"/>
  <c r="E48" i="18"/>
  <c r="G48" i="18"/>
  <c r="K48" i="18" s="1"/>
  <c r="H48" i="18"/>
  <c r="L48" i="18" s="1"/>
  <c r="G47" i="22"/>
  <c r="K47" i="22" s="1"/>
  <c r="E47" i="22"/>
  <c r="K63" i="5"/>
  <c r="K63" i="16"/>
  <c r="K63" i="22"/>
  <c r="K63" i="7"/>
  <c r="K63" i="23"/>
  <c r="K63" i="19"/>
  <c r="K63" i="10"/>
  <c r="K63" i="26"/>
  <c r="K63" i="14"/>
  <c r="K63" i="13"/>
  <c r="K63" i="20"/>
  <c r="K63" i="21"/>
  <c r="K63" i="17"/>
  <c r="K63" i="18"/>
  <c r="K63" i="15"/>
  <c r="K63" i="8"/>
  <c r="K63" i="25"/>
  <c r="K63" i="9"/>
  <c r="K63" i="11"/>
  <c r="K63" i="24"/>
  <c r="G27" i="13"/>
  <c r="O27" i="13" s="1"/>
  <c r="E27" i="13"/>
  <c r="D27" i="13" s="1"/>
  <c r="H48" i="21"/>
  <c r="E48" i="21"/>
  <c r="G26" i="8"/>
  <c r="O26" i="8" s="1"/>
  <c r="E26" i="8"/>
  <c r="D26" i="8" s="1"/>
  <c r="H26" i="10"/>
  <c r="P26" i="10" s="1"/>
  <c r="G26" i="10"/>
  <c r="O26" i="10" s="1"/>
  <c r="E26" i="10"/>
  <c r="D26" i="10" s="1"/>
  <c r="G10" i="24"/>
  <c r="F10" i="24"/>
  <c r="D35" i="15"/>
  <c r="G37" i="34"/>
  <c r="G18" i="21"/>
  <c r="O18" i="21" s="1"/>
  <c r="C29" i="11"/>
  <c r="D18" i="49" s="1"/>
  <c r="E91" i="49" s="1"/>
  <c r="J34" i="24"/>
  <c r="J34" i="14"/>
  <c r="F47" i="22"/>
  <c r="F27" i="24"/>
  <c r="N27" i="24" s="1"/>
  <c r="H26" i="8"/>
  <c r="P26" i="8" s="1"/>
  <c r="G65" i="22"/>
  <c r="G9" i="20"/>
  <c r="G47" i="19"/>
  <c r="K47" i="19" s="1"/>
  <c r="E47" i="19"/>
  <c r="M47" i="19" s="1"/>
  <c r="D21" i="8"/>
  <c r="F21" i="8"/>
  <c r="N21" i="8" s="1"/>
  <c r="G21" i="8"/>
  <c r="O21" i="8" s="1"/>
  <c r="H21" i="8"/>
  <c r="P21" i="8" s="1"/>
  <c r="I46" i="22"/>
  <c r="I46" i="14"/>
  <c r="I46" i="24"/>
  <c r="I46" i="16"/>
  <c r="I46" i="8"/>
  <c r="I46" i="15"/>
  <c r="I46" i="19"/>
  <c r="I46" i="10"/>
  <c r="I46" i="12"/>
  <c r="I46" i="13"/>
  <c r="I46" i="26"/>
  <c r="G27" i="15"/>
  <c r="O27" i="15" s="1"/>
  <c r="E27" i="15"/>
  <c r="D27" i="15" s="1"/>
  <c r="E26" i="25"/>
  <c r="D26" i="25" s="1"/>
  <c r="H26" i="25"/>
  <c r="P26" i="25" s="1"/>
  <c r="H26" i="19"/>
  <c r="P26" i="19" s="1"/>
  <c r="E26" i="19"/>
  <c r="D26" i="19" s="1"/>
  <c r="G26" i="19"/>
  <c r="O26" i="19" s="1"/>
  <c r="F10" i="10"/>
  <c r="H10" i="10"/>
  <c r="G10" i="10"/>
  <c r="G47" i="14"/>
  <c r="C29" i="5"/>
  <c r="D5" i="49" s="1"/>
  <c r="C29" i="18"/>
  <c r="D10" i="49" s="1"/>
  <c r="E83" i="49" s="1"/>
  <c r="G65" i="12"/>
  <c r="F121" i="17"/>
  <c r="E47" i="9"/>
  <c r="I47" i="9" s="1"/>
  <c r="H47" i="9"/>
  <c r="L47" i="9" s="1"/>
  <c r="E48" i="7"/>
  <c r="H48" i="7"/>
  <c r="P48" i="7" s="1"/>
  <c r="E27" i="18"/>
  <c r="D27" i="18" s="1"/>
  <c r="H27" i="18"/>
  <c r="P27" i="18" s="1"/>
  <c r="E26" i="24"/>
  <c r="D26" i="24" s="1"/>
  <c r="G26" i="24"/>
  <c r="O26" i="24" s="1"/>
  <c r="E13" i="23"/>
  <c r="G13" i="23" s="1"/>
  <c r="O13" i="23" s="1"/>
  <c r="E11" i="22"/>
  <c r="B47" i="34" s="1"/>
  <c r="H18" i="19"/>
  <c r="P18" i="19" s="1"/>
  <c r="H18" i="22"/>
  <c r="P18" i="22" s="1"/>
  <c r="G16" i="21"/>
  <c r="O16" i="21" s="1"/>
  <c r="C11" i="20"/>
  <c r="C8" i="49" s="1"/>
  <c r="J81" i="49" s="1"/>
  <c r="H7" i="18"/>
  <c r="H8" i="14"/>
  <c r="J34" i="10"/>
  <c r="C49" i="20"/>
  <c r="E8" i="49" s="1"/>
  <c r="F81" i="49" s="1"/>
  <c r="C49" i="9"/>
  <c r="E16" i="49" s="1"/>
  <c r="F89" i="49" s="1"/>
  <c r="F48" i="14"/>
  <c r="F47" i="20"/>
  <c r="G27" i="18"/>
  <c r="O27" i="18" s="1"/>
  <c r="I16" i="33"/>
  <c r="G48" i="14"/>
  <c r="K48" i="14" s="1"/>
  <c r="H48" i="9"/>
  <c r="E48" i="9"/>
  <c r="I48" i="9" s="1"/>
  <c r="R28" i="6"/>
  <c r="D21" i="15"/>
  <c r="H21" i="15"/>
  <c r="P21" i="15" s="1"/>
  <c r="G21" i="15"/>
  <c r="O21" i="15" s="1"/>
  <c r="F21" i="15"/>
  <c r="N21" i="15" s="1"/>
  <c r="H47" i="23"/>
  <c r="E47" i="23"/>
  <c r="M47" i="23" s="1"/>
  <c r="P21" i="9"/>
  <c r="P21" i="19"/>
  <c r="P21" i="10"/>
  <c r="P21" i="26"/>
  <c r="P21" i="14"/>
  <c r="P21" i="22"/>
  <c r="P21" i="18"/>
  <c r="P21" i="23"/>
  <c r="P21" i="7"/>
  <c r="P21" i="11"/>
  <c r="P21" i="12"/>
  <c r="P21" i="16"/>
  <c r="G27" i="8"/>
  <c r="O27" i="8" s="1"/>
  <c r="E27" i="8"/>
  <c r="D27" i="8" s="1"/>
  <c r="E26" i="14"/>
  <c r="D26" i="14" s="1"/>
  <c r="G26" i="14"/>
  <c r="O26" i="14" s="1"/>
  <c r="H26" i="14"/>
  <c r="P26" i="14" s="1"/>
  <c r="H26" i="7"/>
  <c r="P26" i="7" s="1"/>
  <c r="E26" i="7"/>
  <c r="D26" i="7" s="1"/>
  <c r="E47" i="8"/>
  <c r="M47" i="8" s="1"/>
  <c r="E47" i="10"/>
  <c r="M47" i="10" s="1"/>
  <c r="S28" i="6"/>
  <c r="O35" i="5"/>
  <c r="O35" i="17"/>
  <c r="O35" i="21"/>
  <c r="O35" i="16"/>
  <c r="O35" i="22"/>
  <c r="O35" i="20"/>
  <c r="O35" i="9"/>
  <c r="O35" i="25"/>
  <c r="O35" i="10"/>
  <c r="O35" i="11"/>
  <c r="O35" i="14"/>
  <c r="O35" i="13"/>
  <c r="O35" i="7"/>
  <c r="O35" i="18"/>
  <c r="O35" i="15"/>
  <c r="O35" i="8"/>
  <c r="O35" i="24"/>
  <c r="O35" i="26"/>
  <c r="O35" i="12"/>
  <c r="O35" i="19"/>
  <c r="O35" i="23"/>
  <c r="E27" i="24"/>
  <c r="D27" i="24" s="1"/>
  <c r="G27" i="24"/>
  <c r="O27" i="24" s="1"/>
  <c r="E26" i="23"/>
  <c r="D26" i="23" s="1"/>
  <c r="G26" i="23"/>
  <c r="O26" i="23" s="1"/>
  <c r="G10" i="26"/>
  <c r="H10" i="26"/>
  <c r="F10" i="26"/>
  <c r="F6" i="8"/>
  <c r="G7" i="18"/>
  <c r="J34" i="18"/>
  <c r="H65" i="9"/>
  <c r="H65" i="10"/>
  <c r="G47" i="9"/>
  <c r="H26" i="24"/>
  <c r="P26" i="24" s="1"/>
  <c r="E48" i="19"/>
  <c r="E47" i="26"/>
  <c r="M25" i="5"/>
  <c r="M25" i="12"/>
  <c r="M25" i="7"/>
  <c r="M25" i="23"/>
  <c r="M25" i="18"/>
  <c r="M25" i="11"/>
  <c r="M25" i="17"/>
  <c r="M25" i="24"/>
  <c r="M25" i="16"/>
  <c r="M25" i="25"/>
  <c r="M25" i="14"/>
  <c r="M25" i="10"/>
  <c r="M25" i="20"/>
  <c r="M25" i="26"/>
  <c r="M25" i="19"/>
  <c r="M25" i="15"/>
  <c r="M25" i="21"/>
  <c r="M25" i="8"/>
  <c r="M25" i="9"/>
  <c r="M25" i="13"/>
  <c r="M25" i="22"/>
  <c r="D21" i="20"/>
  <c r="G21" i="20"/>
  <c r="O21" i="20" s="1"/>
  <c r="H21" i="20"/>
  <c r="P21" i="20" s="1"/>
  <c r="F21" i="20"/>
  <c r="N21" i="20" s="1"/>
  <c r="D21" i="13"/>
  <c r="F21" i="13"/>
  <c r="N21" i="13" s="1"/>
  <c r="H21" i="13"/>
  <c r="P21" i="13" s="1"/>
  <c r="G21" i="13"/>
  <c r="O21" i="13" s="1"/>
  <c r="E48" i="23"/>
  <c r="H48" i="23"/>
  <c r="J56" i="14"/>
  <c r="E27" i="14"/>
  <c r="D27" i="14" s="1"/>
  <c r="G27" i="14"/>
  <c r="O27" i="14" s="1"/>
  <c r="H26" i="11"/>
  <c r="P26" i="11" s="1"/>
  <c r="E26" i="11"/>
  <c r="D26" i="11" s="1"/>
  <c r="G26" i="22"/>
  <c r="O26" i="22" s="1"/>
  <c r="E26" i="22"/>
  <c r="D26" i="22" s="1"/>
  <c r="G10" i="12"/>
  <c r="F10" i="12"/>
  <c r="E44" i="34"/>
  <c r="D37" i="11"/>
  <c r="E48" i="24"/>
  <c r="G48" i="24"/>
  <c r="K48" i="24" s="1"/>
  <c r="E47" i="15"/>
  <c r="G47" i="15"/>
  <c r="I48" i="12"/>
  <c r="I48" i="25"/>
  <c r="I55" i="20"/>
  <c r="I55" i="18"/>
  <c r="I55" i="17"/>
  <c r="I55" i="7"/>
  <c r="I55" i="9"/>
  <c r="I55" i="11"/>
  <c r="I55" i="21"/>
  <c r="I55" i="23"/>
  <c r="I55" i="25"/>
  <c r="I55" i="14"/>
  <c r="I55" i="19"/>
  <c r="I55" i="15"/>
  <c r="I55" i="16"/>
  <c r="I55" i="8"/>
  <c r="I55" i="10"/>
  <c r="I55" i="13"/>
  <c r="I55" i="22"/>
  <c r="I55" i="24"/>
  <c r="I55" i="26"/>
  <c r="I57" i="18"/>
  <c r="I57" i="11"/>
  <c r="I57" i="23"/>
  <c r="I57" i="25"/>
  <c r="I57" i="5"/>
  <c r="I57" i="26"/>
  <c r="E11" i="18"/>
  <c r="B36" i="34" s="1"/>
  <c r="F65" i="26"/>
  <c r="I56" i="12"/>
  <c r="I56" i="14"/>
  <c r="I56" i="19"/>
  <c r="I56" i="15"/>
  <c r="I56" i="16"/>
  <c r="I56" i="8"/>
  <c r="I56" i="10"/>
  <c r="I56" i="13"/>
  <c r="I56" i="22"/>
  <c r="I56" i="24"/>
  <c r="I56" i="26"/>
  <c r="I56" i="20"/>
  <c r="I56" i="18"/>
  <c r="I56" i="17"/>
  <c r="I56" i="7"/>
  <c r="I56" i="9"/>
  <c r="I56" i="11"/>
  <c r="I56" i="21"/>
  <c r="I56" i="25"/>
  <c r="I64" i="12"/>
  <c r="I64" i="15"/>
  <c r="I64" i="16"/>
  <c r="I64" i="8"/>
  <c r="I64" i="10"/>
  <c r="I64" i="13"/>
  <c r="I64" i="22"/>
  <c r="I64" i="24"/>
  <c r="I64" i="26"/>
  <c r="I64" i="5"/>
  <c r="I64" i="18"/>
  <c r="I64" i="17"/>
  <c r="I64" i="7"/>
  <c r="I64" i="9"/>
  <c r="I64" i="11"/>
  <c r="I64" i="21"/>
  <c r="I64" i="23"/>
  <c r="I64" i="25"/>
  <c r="G20" i="5"/>
  <c r="O20" i="5" s="1"/>
  <c r="D20" i="5"/>
  <c r="F20" i="5"/>
  <c r="H20" i="5"/>
  <c r="P20" i="5" s="1"/>
  <c r="F18" i="5"/>
  <c r="N18" i="5" s="1"/>
  <c r="H18" i="5"/>
  <c r="P18" i="5" s="1"/>
  <c r="G18" i="5"/>
  <c r="O18" i="5" s="1"/>
  <c r="D18" i="5"/>
  <c r="G15" i="5"/>
  <c r="O15" i="5" s="1"/>
  <c r="F15" i="5"/>
  <c r="N15" i="5" s="1"/>
  <c r="H15" i="5"/>
  <c r="P15" i="5" s="1"/>
  <c r="D15" i="5"/>
  <c r="F54" i="16"/>
  <c r="J54" i="16" s="1"/>
  <c r="E104" i="12"/>
  <c r="D55" i="16"/>
  <c r="F55" i="16"/>
  <c r="H55" i="16"/>
  <c r="L55" i="16" s="1"/>
  <c r="G55" i="16"/>
  <c r="H55" i="17"/>
  <c r="G55" i="17"/>
  <c r="H55" i="9"/>
  <c r="L55" i="9" s="1"/>
  <c r="G55" i="9"/>
  <c r="E65" i="5"/>
  <c r="H65" i="13"/>
  <c r="D23" i="5"/>
  <c r="F23" i="5"/>
  <c r="J23" i="5" s="1"/>
  <c r="H23" i="5"/>
  <c r="L23" i="5" s="1"/>
  <c r="G23" i="5"/>
  <c r="K23" i="5" s="1"/>
  <c r="M7" i="14"/>
  <c r="M7" i="19"/>
  <c r="M7" i="17"/>
  <c r="M7" i="7"/>
  <c r="M7" i="9"/>
  <c r="M7" i="13"/>
  <c r="M7" i="22"/>
  <c r="M7" i="24"/>
  <c r="M7" i="26"/>
  <c r="M7" i="20"/>
  <c r="M7" i="15"/>
  <c r="M7" i="16"/>
  <c r="M7" i="8"/>
  <c r="M7" i="10"/>
  <c r="M7" i="21"/>
  <c r="M7" i="23"/>
  <c r="M7" i="25"/>
  <c r="N21" i="12"/>
  <c r="N21" i="18"/>
  <c r="N21" i="7"/>
  <c r="N21" i="9"/>
  <c r="N21" i="11"/>
  <c r="N21" i="21"/>
  <c r="N21" i="23"/>
  <c r="N21" i="14"/>
  <c r="N21" i="19"/>
  <c r="N21" i="16"/>
  <c r="N21" i="10"/>
  <c r="N21" i="22"/>
  <c r="N21" i="26"/>
  <c r="O16" i="18"/>
  <c r="O16" i="9"/>
  <c r="O16" i="14"/>
  <c r="O16" i="15"/>
  <c r="O16" i="8"/>
  <c r="O16" i="13"/>
  <c r="O16" i="22"/>
  <c r="O16" i="24"/>
  <c r="O25" i="5"/>
  <c r="O25" i="20"/>
  <c r="O25" i="18"/>
  <c r="O25" i="17"/>
  <c r="O25" i="7"/>
  <c r="O25" i="9"/>
  <c r="O25" i="11"/>
  <c r="O25" i="21"/>
  <c r="O25" i="23"/>
  <c r="O25" i="25"/>
  <c r="O25" i="14"/>
  <c r="O25" i="19"/>
  <c r="O25" i="15"/>
  <c r="O25" i="16"/>
  <c r="O25" i="8"/>
  <c r="O25" i="10"/>
  <c r="O25" i="13"/>
  <c r="O25" i="22"/>
  <c r="O25" i="24"/>
  <c r="O25" i="26"/>
  <c r="O25" i="12"/>
  <c r="P34" i="20"/>
  <c r="P34" i="18"/>
  <c r="P34" i="17"/>
  <c r="P34" i="7"/>
  <c r="P34" i="9"/>
  <c r="P34" i="11"/>
  <c r="P34" i="21"/>
  <c r="P34" i="23"/>
  <c r="P34" i="25"/>
  <c r="P34" i="14"/>
  <c r="P34" i="19"/>
  <c r="P34" i="15"/>
  <c r="P34" i="16"/>
  <c r="P34" i="8"/>
  <c r="P34" i="10"/>
  <c r="P34" i="13"/>
  <c r="P34" i="22"/>
  <c r="P34" i="24"/>
  <c r="P34" i="26"/>
  <c r="P63" i="18"/>
  <c r="P63" i="7"/>
  <c r="P63" i="11"/>
  <c r="P63" i="23"/>
  <c r="P63" i="20"/>
  <c r="P63" i="17"/>
  <c r="P63" i="9"/>
  <c r="P63" i="21"/>
  <c r="P63" i="25"/>
  <c r="P63" i="12"/>
  <c r="H44" i="29"/>
  <c r="G65" i="23"/>
  <c r="N9" i="5"/>
  <c r="N9" i="14"/>
  <c r="N9" i="19"/>
  <c r="N9" i="15"/>
  <c r="N9" i="16"/>
  <c r="N9" i="8"/>
  <c r="N9" i="10"/>
  <c r="N9" i="13"/>
  <c r="N9" i="22"/>
  <c r="N9" i="24"/>
  <c r="N9" i="26"/>
  <c r="N9" i="20"/>
  <c r="N9" i="18"/>
  <c r="N9" i="17"/>
  <c r="N9" i="7"/>
  <c r="N9" i="9"/>
  <c r="N9" i="11"/>
  <c r="N9" i="21"/>
  <c r="N9" i="23"/>
  <c r="N9" i="25"/>
  <c r="N26" i="5"/>
  <c r="N26" i="20"/>
  <c r="N26" i="17"/>
  <c r="N26" i="7"/>
  <c r="N26" i="9"/>
  <c r="N26" i="11"/>
  <c r="N26" i="21"/>
  <c r="N26" i="23"/>
  <c r="N26" i="25"/>
  <c r="N26" i="12"/>
  <c r="N26" i="14"/>
  <c r="N26" i="19"/>
  <c r="N26" i="15"/>
  <c r="N26" i="8"/>
  <c r="N26" i="10"/>
  <c r="N26" i="13"/>
  <c r="N26" i="24"/>
  <c r="N26" i="26"/>
  <c r="O7" i="18"/>
  <c r="O7" i="7"/>
  <c r="O7" i="11"/>
  <c r="O7" i="25"/>
  <c r="O7" i="20"/>
  <c r="O7" i="17"/>
  <c r="O7" i="9"/>
  <c r="O7" i="21"/>
  <c r="O7" i="12"/>
  <c r="O20" i="20"/>
  <c r="O20" i="18"/>
  <c r="O20" i="17"/>
  <c r="O20" i="7"/>
  <c r="O20" i="9"/>
  <c r="O20" i="11"/>
  <c r="O20" i="21"/>
  <c r="O20" i="23"/>
  <c r="O20" i="25"/>
  <c r="O20" i="14"/>
  <c r="O20" i="19"/>
  <c r="O20" i="15"/>
  <c r="O20" i="16"/>
  <c r="O20" i="8"/>
  <c r="O20" i="10"/>
  <c r="O20" i="13"/>
  <c r="O20" i="22"/>
  <c r="O20" i="24"/>
  <c r="O20" i="26"/>
  <c r="O33" i="17"/>
  <c r="O33" i="9"/>
  <c r="O33" i="23"/>
  <c r="O33" i="26"/>
  <c r="O46" i="5"/>
  <c r="O46" i="20"/>
  <c r="O46" i="18"/>
  <c r="O46" i="17"/>
  <c r="O46" i="7"/>
  <c r="O46" i="9"/>
  <c r="O46" i="11"/>
  <c r="O46" i="21"/>
  <c r="O46" i="23"/>
  <c r="O46" i="25"/>
  <c r="O46" i="14"/>
  <c r="O46" i="19"/>
  <c r="O46" i="15"/>
  <c r="O46" i="16"/>
  <c r="O46" i="8"/>
  <c r="O46" i="10"/>
  <c r="O46" i="13"/>
  <c r="O46" i="22"/>
  <c r="O46" i="24"/>
  <c r="O46" i="26"/>
  <c r="O46" i="12"/>
  <c r="D60" i="16"/>
  <c r="I60" i="16"/>
  <c r="I23" i="5"/>
  <c r="D54" i="20"/>
  <c r="I54" i="20"/>
  <c r="F54" i="20"/>
  <c r="H54" i="20"/>
  <c r="L54" i="20" s="1"/>
  <c r="G54" i="20"/>
  <c r="D54" i="18"/>
  <c r="G54" i="18"/>
  <c r="K54" i="18" s="1"/>
  <c r="I54" i="18"/>
  <c r="F54" i="18"/>
  <c r="J54" i="18" s="1"/>
  <c r="H54" i="18"/>
  <c r="L54" i="18" s="1"/>
  <c r="D59" i="8"/>
  <c r="G59" i="8"/>
  <c r="K59" i="8" s="1"/>
  <c r="I59" i="8"/>
  <c r="F59" i="8"/>
  <c r="H59" i="8"/>
  <c r="L59" i="8" s="1"/>
  <c r="G65" i="9"/>
  <c r="H38" i="29"/>
  <c r="H41" i="29"/>
  <c r="G45" i="29"/>
  <c r="I54" i="14"/>
  <c r="F54" i="14"/>
  <c r="H54" i="14"/>
  <c r="L54" i="14" s="1"/>
  <c r="G54" i="14"/>
  <c r="D54" i="14"/>
  <c r="D59" i="16"/>
  <c r="I59" i="16"/>
  <c r="F59" i="16"/>
  <c r="H59" i="16"/>
  <c r="G59" i="16"/>
  <c r="D60" i="26"/>
  <c r="I60" i="26"/>
  <c r="E10" i="29"/>
  <c r="D54" i="9"/>
  <c r="G54" i="9"/>
  <c r="K54" i="9" s="1"/>
  <c r="I54" i="9"/>
  <c r="F54" i="9"/>
  <c r="J54" i="9" s="1"/>
  <c r="H54" i="9"/>
  <c r="L54" i="9" s="1"/>
  <c r="D54" i="11"/>
  <c r="I54" i="11"/>
  <c r="F54" i="11"/>
  <c r="H54" i="11"/>
  <c r="G54" i="11"/>
  <c r="K54" i="11" s="1"/>
  <c r="D54" i="7"/>
  <c r="I54" i="7"/>
  <c r="F54" i="7"/>
  <c r="H54" i="7"/>
  <c r="G54" i="7"/>
  <c r="D54" i="21"/>
  <c r="G54" i="21"/>
  <c r="I54" i="21"/>
  <c r="F54" i="21"/>
  <c r="H54" i="21"/>
  <c r="E13" i="18"/>
  <c r="D13" i="18" s="1"/>
  <c r="G6" i="18"/>
  <c r="H6" i="7"/>
  <c r="G6" i="11"/>
  <c r="H6" i="19"/>
  <c r="E11" i="19"/>
  <c r="F6" i="15"/>
  <c r="F11" i="15" s="1"/>
  <c r="H6" i="16"/>
  <c r="H6" i="8"/>
  <c r="F6" i="13"/>
  <c r="F6" i="22"/>
  <c r="E65" i="16"/>
  <c r="H28" i="29"/>
  <c r="G65" i="18"/>
  <c r="E59" i="12"/>
  <c r="C62" i="29"/>
  <c r="G49" i="30" s="1"/>
  <c r="D54" i="17"/>
  <c r="G54" i="17"/>
  <c r="I54" i="17"/>
  <c r="F54" i="17"/>
  <c r="J54" i="17" s="1"/>
  <c r="H54" i="17"/>
  <c r="D58" i="14"/>
  <c r="F58" i="14"/>
  <c r="G58" i="14"/>
  <c r="H58" i="14"/>
  <c r="I58" i="14"/>
  <c r="G58" i="8"/>
  <c r="K58" i="8" s="1"/>
  <c r="D58" i="8"/>
  <c r="F58" i="8"/>
  <c r="H58" i="8"/>
  <c r="L58" i="8" s="1"/>
  <c r="I58" i="8"/>
  <c r="F59" i="22"/>
  <c r="H59" i="22"/>
  <c r="D59" i="22"/>
  <c r="I59" i="22"/>
  <c r="G59" i="22"/>
  <c r="G54" i="25"/>
  <c r="K54" i="25" s="1"/>
  <c r="H54" i="25"/>
  <c r="E58" i="12"/>
  <c r="M58" i="12" s="1"/>
  <c r="E55" i="5"/>
  <c r="C58" i="29"/>
  <c r="G45" i="30" s="1"/>
  <c r="I54" i="23"/>
  <c r="G54" i="23"/>
  <c r="D54" i="23"/>
  <c r="F54" i="23"/>
  <c r="H54" i="23"/>
  <c r="L54" i="23" s="1"/>
  <c r="C56" i="23"/>
  <c r="E56" i="23" s="1"/>
  <c r="M56" i="23" s="1"/>
  <c r="D55" i="14"/>
  <c r="F55" i="14"/>
  <c r="H55" i="14"/>
  <c r="L55" i="14" s="1"/>
  <c r="G55" i="14"/>
  <c r="F55" i="18"/>
  <c r="J55" i="18" s="1"/>
  <c r="H55" i="18"/>
  <c r="D55" i="18"/>
  <c r="G55" i="18"/>
  <c r="D58" i="19"/>
  <c r="F58" i="19"/>
  <c r="H58" i="19"/>
  <c r="L58" i="19" s="1"/>
  <c r="I58" i="19"/>
  <c r="G58" i="19"/>
  <c r="D58" i="7"/>
  <c r="G58" i="7"/>
  <c r="K58" i="7" s="1"/>
  <c r="I58" i="7"/>
  <c r="F58" i="7"/>
  <c r="J58" i="7" s="1"/>
  <c r="H58" i="7"/>
  <c r="H59" i="21"/>
  <c r="L59" i="21" s="1"/>
  <c r="I59" i="21"/>
  <c r="F59" i="21"/>
  <c r="J59" i="21" s="1"/>
  <c r="G65" i="7"/>
  <c r="G44" i="29"/>
  <c r="G41" i="29"/>
  <c r="D104" i="26"/>
  <c r="D121" i="26" s="1"/>
  <c r="E100" i="26"/>
  <c r="C52" i="26"/>
  <c r="D56" i="25"/>
  <c r="D104" i="25"/>
  <c r="D121" i="25" s="1"/>
  <c r="E100" i="25"/>
  <c r="E97" i="25"/>
  <c r="F121" i="24"/>
  <c r="D104" i="24"/>
  <c r="D121" i="24" s="1"/>
  <c r="E100" i="24"/>
  <c r="E97" i="24"/>
  <c r="F121" i="23"/>
  <c r="D104" i="23"/>
  <c r="D121" i="23" s="1"/>
  <c r="E100" i="23"/>
  <c r="E97" i="23"/>
  <c r="D104" i="5"/>
  <c r="D121" i="5" s="1"/>
  <c r="E100" i="5"/>
  <c r="E97" i="5"/>
  <c r="H58" i="5"/>
  <c r="L58" i="5" s="1"/>
  <c r="E31" i="34"/>
  <c r="K54" i="12"/>
  <c r="I54" i="12"/>
  <c r="F54" i="12"/>
  <c r="N54" i="12" s="1"/>
  <c r="G100" i="12"/>
  <c r="G104" i="12" s="1"/>
  <c r="H54" i="12"/>
  <c r="P54" i="12" s="1"/>
  <c r="D54" i="12"/>
  <c r="F65" i="12"/>
  <c r="E31" i="29"/>
  <c r="D31" i="29" s="1"/>
  <c r="E41" i="29"/>
  <c r="D41" i="29" s="1"/>
  <c r="D41" i="12"/>
  <c r="E44" i="29"/>
  <c r="D44" i="29" s="1"/>
  <c r="D42" i="12"/>
  <c r="E45" i="29"/>
  <c r="D45" i="29" s="1"/>
  <c r="E40" i="29"/>
  <c r="D40" i="29" s="1"/>
  <c r="D37" i="12"/>
  <c r="E42" i="29"/>
  <c r="D42" i="29" s="1"/>
  <c r="D39" i="12"/>
  <c r="G63" i="29"/>
  <c r="C57" i="12"/>
  <c r="E57" i="12" s="1"/>
  <c r="I57" i="12" s="1"/>
  <c r="D63" i="23"/>
  <c r="D65" i="23" s="1"/>
  <c r="E65" i="23"/>
  <c r="D63" i="11"/>
  <c r="D65" i="11" s="1"/>
  <c r="E65" i="11"/>
  <c r="D63" i="18"/>
  <c r="D65" i="18" s="1"/>
  <c r="E65" i="18"/>
  <c r="D63" i="12"/>
  <c r="D65" i="12" s="1"/>
  <c r="E65" i="12"/>
  <c r="C140" i="22"/>
  <c r="D55" i="22"/>
  <c r="G55" i="22"/>
  <c r="F55" i="22"/>
  <c r="H55" i="22"/>
  <c r="D60" i="22"/>
  <c r="I60" i="22"/>
  <c r="C121" i="13"/>
  <c r="D60" i="12"/>
  <c r="I60" i="12"/>
  <c r="G57" i="25"/>
  <c r="K57" i="25" s="1"/>
  <c r="E13" i="25"/>
  <c r="M13" i="25" s="1"/>
  <c r="G59" i="24"/>
  <c r="K59" i="24" s="1"/>
  <c r="D59" i="24"/>
  <c r="I59" i="24"/>
  <c r="F59" i="24"/>
  <c r="H59" i="24"/>
  <c r="F121" i="22"/>
  <c r="F121" i="13"/>
  <c r="E13" i="9"/>
  <c r="E29" i="9" s="1"/>
  <c r="C42" i="34" s="1"/>
  <c r="F55" i="8"/>
  <c r="H55" i="8"/>
  <c r="D55" i="8"/>
  <c r="G55" i="8"/>
  <c r="G6" i="7"/>
  <c r="G31" i="29"/>
  <c r="D60" i="7"/>
  <c r="I60" i="7"/>
  <c r="F121" i="7"/>
  <c r="C29" i="19"/>
  <c r="D9" i="49" s="1"/>
  <c r="E82" i="49" s="1"/>
  <c r="D15" i="19"/>
  <c r="F15" i="19"/>
  <c r="N15" i="19" s="1"/>
  <c r="H15" i="19"/>
  <c r="P15" i="19" s="1"/>
  <c r="G15" i="19"/>
  <c r="O15" i="19" s="1"/>
  <c r="E13" i="20"/>
  <c r="D13" i="20" s="1"/>
  <c r="G56" i="12"/>
  <c r="K56" i="12" s="1"/>
  <c r="D56" i="12"/>
  <c r="F56" i="12"/>
  <c r="J56" i="12" s="1"/>
  <c r="H56" i="12"/>
  <c r="L56" i="12" s="1"/>
  <c r="F58" i="5"/>
  <c r="D58" i="5"/>
  <c r="G58" i="5"/>
  <c r="F16" i="5"/>
  <c r="N16" i="5" s="1"/>
  <c r="H16" i="5"/>
  <c r="P16" i="5" s="1"/>
  <c r="D16" i="5"/>
  <c r="G16" i="5"/>
  <c r="O16" i="5" s="1"/>
  <c r="E13" i="5"/>
  <c r="H13" i="5" s="1"/>
  <c r="P13" i="5" s="1"/>
  <c r="BH29" i="27"/>
  <c r="BH34" i="27" s="1"/>
  <c r="BJ29" i="27"/>
  <c r="BJ34" i="27" s="1"/>
  <c r="BI29" i="27"/>
  <c r="BI34" i="27" s="1"/>
  <c r="BK29" i="27"/>
  <c r="BK34" i="27" s="1"/>
  <c r="BH24" i="27"/>
  <c r="BK24" i="27"/>
  <c r="BJ27" i="27"/>
  <c r="BH32" i="27"/>
  <c r="BJ35" i="27"/>
  <c r="BK35" i="27"/>
  <c r="BI35" i="27"/>
  <c r="BK32" i="27"/>
  <c r="BK27" i="27"/>
  <c r="BJ24" i="27"/>
  <c r="BH27" i="27"/>
  <c r="BI27" i="27"/>
  <c r="BJ32" i="27"/>
  <c r="BH35" i="27"/>
  <c r="BI32" i="27"/>
  <c r="BI24" i="27"/>
  <c r="E13" i="12"/>
  <c r="M13" i="12" s="1"/>
  <c r="C29" i="12"/>
  <c r="D6" i="49" s="1"/>
  <c r="D55" i="11"/>
  <c r="G55" i="11"/>
  <c r="K55" i="11" s="1"/>
  <c r="F55" i="11"/>
  <c r="J55" i="11" s="1"/>
  <c r="H55" i="11"/>
  <c r="L55" i="11" s="1"/>
  <c r="D56" i="18"/>
  <c r="F56" i="18"/>
  <c r="J56" i="18" s="1"/>
  <c r="H56" i="18"/>
  <c r="G56" i="18"/>
  <c r="D56" i="7"/>
  <c r="F56" i="7"/>
  <c r="J56" i="7" s="1"/>
  <c r="H56" i="7"/>
  <c r="L56" i="7" s="1"/>
  <c r="G56" i="7"/>
  <c r="K56" i="7" s="1"/>
  <c r="D56" i="11"/>
  <c r="F56" i="11"/>
  <c r="J56" i="11" s="1"/>
  <c r="H56" i="11"/>
  <c r="G56" i="11"/>
  <c r="D58" i="16"/>
  <c r="H58" i="16"/>
  <c r="L58" i="16" s="1"/>
  <c r="G58" i="16"/>
  <c r="I58" i="16"/>
  <c r="F58" i="16"/>
  <c r="D59" i="15"/>
  <c r="I59" i="15"/>
  <c r="G59" i="15"/>
  <c r="F59" i="15"/>
  <c r="H59" i="15"/>
  <c r="L59" i="15" s="1"/>
  <c r="J34" i="17"/>
  <c r="J34" i="21"/>
  <c r="J34" i="20"/>
  <c r="J34" i="25"/>
  <c r="J34" i="9"/>
  <c r="J7" i="5"/>
  <c r="J7" i="12"/>
  <c r="J7" i="20"/>
  <c r="J7" i="18"/>
  <c r="J7" i="17"/>
  <c r="J7" i="7"/>
  <c r="J7" i="9"/>
  <c r="J7" i="11"/>
  <c r="J7" i="21"/>
  <c r="J7" i="23"/>
  <c r="J7" i="25"/>
  <c r="J7" i="14"/>
  <c r="J7" i="15"/>
  <c r="J7" i="8"/>
  <c r="J7" i="13"/>
  <c r="J7" i="24"/>
  <c r="J7" i="22"/>
  <c r="J7" i="19"/>
  <c r="J7" i="10"/>
  <c r="J7" i="26"/>
  <c r="J7" i="16"/>
  <c r="K55" i="19"/>
  <c r="J63" i="12"/>
  <c r="J63" i="14"/>
  <c r="J63" i="19"/>
  <c r="J63" i="15"/>
  <c r="J63" i="16"/>
  <c r="J63" i="8"/>
  <c r="J63" i="10"/>
  <c r="J63" i="13"/>
  <c r="J63" i="22"/>
  <c r="J63" i="24"/>
  <c r="J63" i="26"/>
  <c r="J63" i="20"/>
  <c r="J63" i="17"/>
  <c r="J63" i="9"/>
  <c r="J63" i="21"/>
  <c r="J63" i="25"/>
  <c r="J63" i="7"/>
  <c r="J63" i="23"/>
  <c r="J63" i="11"/>
  <c r="J63" i="18"/>
  <c r="K46" i="5"/>
  <c r="K46" i="20"/>
  <c r="K46" i="18"/>
  <c r="K46" i="17"/>
  <c r="K46" i="7"/>
  <c r="K46" i="9"/>
  <c r="K46" i="11"/>
  <c r="K46" i="21"/>
  <c r="K46" i="23"/>
  <c r="K46" i="25"/>
  <c r="K46" i="19"/>
  <c r="K46" i="16"/>
  <c r="K46" i="10"/>
  <c r="K46" i="22"/>
  <c r="K46" i="26"/>
  <c r="K46" i="14"/>
  <c r="K46" i="8"/>
  <c r="K46" i="24"/>
  <c r="K46" i="12"/>
  <c r="K46" i="15"/>
  <c r="K46" i="13"/>
  <c r="I34" i="5"/>
  <c r="I34" i="12"/>
  <c r="I34" i="14"/>
  <c r="I34" i="19"/>
  <c r="I34" i="15"/>
  <c r="I34" i="16"/>
  <c r="I34" i="8"/>
  <c r="I34" i="10"/>
  <c r="I34" i="13"/>
  <c r="I34" i="22"/>
  <c r="I34" i="24"/>
  <c r="I34" i="26"/>
  <c r="I34" i="18"/>
  <c r="I34" i="7"/>
  <c r="I34" i="11"/>
  <c r="I34" i="23"/>
  <c r="I34" i="17"/>
  <c r="I34" i="21"/>
  <c r="I34" i="9"/>
  <c r="I34" i="20"/>
  <c r="I34" i="25"/>
  <c r="K13" i="5"/>
  <c r="K13" i="12"/>
  <c r="K13" i="20"/>
  <c r="K13" i="18"/>
  <c r="K13" i="17"/>
  <c r="K13" i="7"/>
  <c r="K13" i="9"/>
  <c r="K13" i="11"/>
  <c r="K13" i="21"/>
  <c r="K13" i="23"/>
  <c r="K13" i="25"/>
  <c r="K13" i="19"/>
  <c r="K13" i="16"/>
  <c r="K13" i="10"/>
  <c r="K13" i="22"/>
  <c r="K13" i="26"/>
  <c r="K13" i="15"/>
  <c r="K13" i="13"/>
  <c r="K13" i="14"/>
  <c r="K13" i="8"/>
  <c r="K13" i="24"/>
  <c r="I13" i="12"/>
  <c r="I13" i="5"/>
  <c r="I13" i="14"/>
  <c r="I13" i="19"/>
  <c r="I13" i="15"/>
  <c r="I13" i="16"/>
  <c r="I13" i="8"/>
  <c r="I13" i="10"/>
  <c r="I13" i="13"/>
  <c r="I13" i="22"/>
  <c r="I13" i="24"/>
  <c r="I13" i="26"/>
  <c r="I13" i="18"/>
  <c r="I13" i="7"/>
  <c r="I13" i="11"/>
  <c r="I13" i="23"/>
  <c r="I13" i="17"/>
  <c r="I13" i="21"/>
  <c r="I13" i="20"/>
  <c r="I13" i="25"/>
  <c r="I13" i="9"/>
  <c r="J10" i="14"/>
  <c r="J10" i="19"/>
  <c r="J10" i="15"/>
  <c r="J10" i="16"/>
  <c r="J10" i="8"/>
  <c r="J10" i="10"/>
  <c r="J10" i="13"/>
  <c r="J10" i="22"/>
  <c r="J10" i="24"/>
  <c r="J10" i="26"/>
  <c r="J10" i="18"/>
  <c r="J10" i="7"/>
  <c r="J10" i="11"/>
  <c r="J10" i="23"/>
  <c r="J10" i="20"/>
  <c r="J10" i="9"/>
  <c r="J10" i="25"/>
  <c r="J10" i="17"/>
  <c r="J10" i="21"/>
  <c r="L64" i="12"/>
  <c r="L64" i="5"/>
  <c r="L64" i="15"/>
  <c r="L64" i="16"/>
  <c r="L64" i="8"/>
  <c r="L64" i="10"/>
  <c r="L64" i="13"/>
  <c r="L64" i="22"/>
  <c r="L64" i="24"/>
  <c r="L64" i="26"/>
  <c r="L64" i="18"/>
  <c r="L64" i="7"/>
  <c r="L64" i="11"/>
  <c r="L64" i="23"/>
  <c r="L64" i="9"/>
  <c r="L64" i="17"/>
  <c r="L64" i="21"/>
  <c r="L64" i="25"/>
  <c r="L41" i="5"/>
  <c r="L41" i="12"/>
  <c r="L41" i="14"/>
  <c r="L41" i="19"/>
  <c r="L41" i="15"/>
  <c r="L41" i="16"/>
  <c r="L41" i="8"/>
  <c r="L41" i="10"/>
  <c r="L41" i="13"/>
  <c r="L41" i="22"/>
  <c r="L41" i="24"/>
  <c r="L41" i="26"/>
  <c r="L41" i="20"/>
  <c r="L41" i="17"/>
  <c r="L41" i="9"/>
  <c r="L41" i="21"/>
  <c r="L41" i="25"/>
  <c r="L41" i="23"/>
  <c r="L41" i="18"/>
  <c r="L41" i="11"/>
  <c r="L41" i="7"/>
  <c r="L39" i="5"/>
  <c r="L39" i="12"/>
  <c r="L39" i="14"/>
  <c r="L39" i="19"/>
  <c r="L39" i="15"/>
  <c r="L39" i="16"/>
  <c r="L39" i="8"/>
  <c r="L39" i="10"/>
  <c r="L39" i="13"/>
  <c r="L39" i="22"/>
  <c r="L39" i="24"/>
  <c r="L39" i="26"/>
  <c r="L39" i="18"/>
  <c r="L39" i="7"/>
  <c r="L39" i="11"/>
  <c r="L39" i="23"/>
  <c r="L39" i="21"/>
  <c r="L39" i="20"/>
  <c r="L39" i="9"/>
  <c r="L39" i="25"/>
  <c r="L39" i="17"/>
  <c r="L35" i="5"/>
  <c r="L35" i="12"/>
  <c r="L35" i="14"/>
  <c r="L35" i="19"/>
  <c r="L35" i="15"/>
  <c r="L35" i="16"/>
  <c r="L35" i="8"/>
  <c r="L35" i="10"/>
  <c r="L35" i="13"/>
  <c r="L35" i="22"/>
  <c r="L35" i="24"/>
  <c r="L35" i="26"/>
  <c r="L35" i="20"/>
  <c r="L35" i="17"/>
  <c r="L35" i="9"/>
  <c r="L35" i="21"/>
  <c r="L35" i="25"/>
  <c r="L35" i="18"/>
  <c r="L35" i="7"/>
  <c r="L35" i="23"/>
  <c r="L35" i="11"/>
  <c r="L33" i="5"/>
  <c r="L33" i="12"/>
  <c r="L33" i="14"/>
  <c r="L33" i="19"/>
  <c r="L33" i="15"/>
  <c r="L33" i="16"/>
  <c r="L33" i="8"/>
  <c r="L33" i="10"/>
  <c r="L33" i="13"/>
  <c r="L33" i="22"/>
  <c r="L33" i="24"/>
  <c r="L33" i="26"/>
  <c r="L33" i="18"/>
  <c r="L33" i="7"/>
  <c r="L33" i="11"/>
  <c r="L33" i="23"/>
  <c r="L33" i="20"/>
  <c r="L33" i="17"/>
  <c r="L33" i="21"/>
  <c r="L33" i="9"/>
  <c r="L33" i="25"/>
  <c r="L27" i="5"/>
  <c r="L27" i="12"/>
  <c r="L27" i="14"/>
  <c r="L27" i="19"/>
  <c r="L27" i="15"/>
  <c r="L27" i="16"/>
  <c r="L27" i="8"/>
  <c r="L27" i="10"/>
  <c r="L27" i="13"/>
  <c r="L27" i="22"/>
  <c r="L27" i="24"/>
  <c r="L27" i="26"/>
  <c r="L27" i="20"/>
  <c r="L27" i="17"/>
  <c r="L27" i="9"/>
  <c r="L27" i="21"/>
  <c r="L27" i="25"/>
  <c r="L27" i="23"/>
  <c r="L27" i="18"/>
  <c r="L27" i="11"/>
  <c r="L27" i="7"/>
  <c r="L25" i="5"/>
  <c r="L25" i="12"/>
  <c r="L25" i="14"/>
  <c r="L25" i="19"/>
  <c r="L25" i="15"/>
  <c r="L25" i="16"/>
  <c r="L25" i="8"/>
  <c r="L25" i="10"/>
  <c r="L25" i="13"/>
  <c r="L25" i="22"/>
  <c r="L25" i="24"/>
  <c r="L25" i="26"/>
  <c r="L25" i="18"/>
  <c r="L25" i="7"/>
  <c r="L25" i="11"/>
  <c r="L25" i="23"/>
  <c r="L25" i="17"/>
  <c r="L25" i="20"/>
  <c r="L25" i="9"/>
  <c r="L25" i="25"/>
  <c r="L25" i="21"/>
  <c r="L21" i="5"/>
  <c r="L21" i="12"/>
  <c r="L21" i="14"/>
  <c r="L21" i="19"/>
  <c r="L21" i="15"/>
  <c r="L21" i="16"/>
  <c r="L21" i="8"/>
  <c r="L21" i="10"/>
  <c r="L21" i="13"/>
  <c r="L21" i="22"/>
  <c r="L21" i="24"/>
  <c r="L21" i="26"/>
  <c r="L21" i="20"/>
  <c r="L21" i="17"/>
  <c r="L21" i="9"/>
  <c r="L21" i="21"/>
  <c r="L21" i="25"/>
  <c r="L21" i="18"/>
  <c r="L21" i="7"/>
  <c r="L21" i="23"/>
  <c r="L21" i="11"/>
  <c r="L19" i="12"/>
  <c r="L19" i="14"/>
  <c r="L19" i="19"/>
  <c r="L19" i="15"/>
  <c r="L19" i="16"/>
  <c r="L19" i="8"/>
  <c r="L19" i="10"/>
  <c r="L19" i="13"/>
  <c r="L19" i="22"/>
  <c r="L19" i="24"/>
  <c r="L19" i="26"/>
  <c r="L19" i="18"/>
  <c r="L19" i="7"/>
  <c r="L19" i="11"/>
  <c r="L19" i="23"/>
  <c r="L19" i="9"/>
  <c r="L19" i="17"/>
  <c r="L19" i="21"/>
  <c r="L19" i="20"/>
  <c r="L19" i="25"/>
  <c r="L17" i="5"/>
  <c r="L17" i="12"/>
  <c r="L17" i="14"/>
  <c r="L17" i="19"/>
  <c r="L17" i="15"/>
  <c r="L17" i="16"/>
  <c r="L17" i="8"/>
  <c r="L17" i="10"/>
  <c r="L17" i="13"/>
  <c r="L17" i="22"/>
  <c r="L17" i="24"/>
  <c r="L17" i="26"/>
  <c r="L17" i="20"/>
  <c r="L17" i="17"/>
  <c r="L17" i="9"/>
  <c r="L17" i="21"/>
  <c r="L17" i="25"/>
  <c r="L17" i="7"/>
  <c r="L17" i="23"/>
  <c r="L17" i="18"/>
  <c r="L17" i="11"/>
  <c r="L15" i="5"/>
  <c r="L15" i="12"/>
  <c r="L15" i="14"/>
  <c r="L15" i="19"/>
  <c r="L15" i="15"/>
  <c r="L15" i="16"/>
  <c r="L15" i="8"/>
  <c r="L15" i="10"/>
  <c r="L15" i="13"/>
  <c r="L15" i="22"/>
  <c r="L15" i="24"/>
  <c r="L15" i="26"/>
  <c r="L15" i="18"/>
  <c r="L15" i="7"/>
  <c r="L15" i="11"/>
  <c r="L15" i="23"/>
  <c r="L15" i="21"/>
  <c r="L15" i="20"/>
  <c r="L15" i="9"/>
  <c r="L15" i="25"/>
  <c r="L15" i="17"/>
  <c r="K57" i="23"/>
  <c r="K42" i="12"/>
  <c r="K42" i="5"/>
  <c r="K42" i="20"/>
  <c r="K42" i="18"/>
  <c r="K42" i="17"/>
  <c r="K42" i="7"/>
  <c r="K42" i="9"/>
  <c r="K42" i="11"/>
  <c r="K42" i="21"/>
  <c r="K42" i="23"/>
  <c r="K42" i="25"/>
  <c r="K42" i="19"/>
  <c r="K42" i="16"/>
  <c r="K42" i="10"/>
  <c r="K42" i="22"/>
  <c r="K42" i="26"/>
  <c r="K42" i="8"/>
  <c r="K42" i="15"/>
  <c r="K42" i="13"/>
  <c r="K42" i="14"/>
  <c r="K42" i="24"/>
  <c r="K40" i="12"/>
  <c r="K40" i="5"/>
  <c r="K40" i="20"/>
  <c r="K40" i="18"/>
  <c r="K40" i="17"/>
  <c r="K40" i="7"/>
  <c r="K40" i="9"/>
  <c r="K40" i="11"/>
  <c r="K40" i="21"/>
  <c r="K40" i="23"/>
  <c r="K40" i="25"/>
  <c r="K40" i="14"/>
  <c r="K40" i="15"/>
  <c r="K40" i="8"/>
  <c r="K40" i="13"/>
  <c r="K40" i="24"/>
  <c r="K40" i="16"/>
  <c r="K40" i="19"/>
  <c r="K40" i="10"/>
  <c r="K40" i="26"/>
  <c r="K40" i="22"/>
  <c r="K38" i="12"/>
  <c r="K38" i="5"/>
  <c r="K38" i="20"/>
  <c r="K38" i="18"/>
  <c r="K38" i="17"/>
  <c r="K38" i="7"/>
  <c r="K38" i="9"/>
  <c r="K38" i="11"/>
  <c r="K38" i="21"/>
  <c r="K38" i="23"/>
  <c r="K38" i="25"/>
  <c r="K38" i="19"/>
  <c r="K38" i="16"/>
  <c r="K38" i="10"/>
  <c r="K38" i="22"/>
  <c r="K38" i="26"/>
  <c r="K38" i="14"/>
  <c r="K38" i="8"/>
  <c r="K38" i="24"/>
  <c r="K38" i="13"/>
  <c r="K38" i="15"/>
  <c r="K28" i="12"/>
  <c r="K28" i="5"/>
  <c r="K28" i="14"/>
  <c r="K28" i="19"/>
  <c r="K28" i="15"/>
  <c r="K28" i="16"/>
  <c r="K28" i="8"/>
  <c r="K28" i="10"/>
  <c r="K28" i="13"/>
  <c r="K28" i="22"/>
  <c r="K28" i="24"/>
  <c r="K28" i="26"/>
  <c r="K28" i="20"/>
  <c r="K28" i="17"/>
  <c r="K28" i="9"/>
  <c r="K28" i="21"/>
  <c r="K28" i="25"/>
  <c r="K28" i="7"/>
  <c r="K28" i="23"/>
  <c r="K28" i="11"/>
  <c r="K28" i="18"/>
  <c r="K26" i="12"/>
  <c r="K26" i="5"/>
  <c r="K26" i="14"/>
  <c r="K26" i="19"/>
  <c r="K26" i="15"/>
  <c r="K26" i="16"/>
  <c r="K26" i="8"/>
  <c r="K26" i="10"/>
  <c r="K26" i="13"/>
  <c r="K26" i="22"/>
  <c r="K26" i="24"/>
  <c r="K26" i="26"/>
  <c r="K26" i="18"/>
  <c r="K26" i="7"/>
  <c r="K26" i="11"/>
  <c r="K26" i="23"/>
  <c r="K26" i="17"/>
  <c r="K26" i="21"/>
  <c r="K26" i="20"/>
  <c r="K26" i="25"/>
  <c r="K26" i="9"/>
  <c r="K22" i="12"/>
  <c r="K22" i="5"/>
  <c r="K22" i="14"/>
  <c r="K22" i="19"/>
  <c r="K22" i="15"/>
  <c r="K22" i="16"/>
  <c r="K22" i="8"/>
  <c r="K22" i="10"/>
  <c r="K22" i="13"/>
  <c r="K22" i="22"/>
  <c r="K22" i="24"/>
  <c r="K22" i="26"/>
  <c r="K22" i="20"/>
  <c r="K22" i="17"/>
  <c r="K22" i="9"/>
  <c r="K22" i="21"/>
  <c r="K22" i="25"/>
  <c r="K22" i="18"/>
  <c r="K22" i="11"/>
  <c r="K22" i="7"/>
  <c r="K22" i="23"/>
  <c r="K20" i="12"/>
  <c r="K20" i="5"/>
  <c r="K20" i="14"/>
  <c r="K20" i="19"/>
  <c r="K20" i="15"/>
  <c r="K20" i="16"/>
  <c r="K20" i="8"/>
  <c r="K20" i="10"/>
  <c r="K20" i="13"/>
  <c r="K20" i="22"/>
  <c r="K20" i="24"/>
  <c r="K20" i="26"/>
  <c r="K20" i="18"/>
  <c r="K20" i="7"/>
  <c r="K20" i="11"/>
  <c r="K20" i="23"/>
  <c r="K20" i="20"/>
  <c r="K20" i="9"/>
  <c r="K20" i="25"/>
  <c r="K20" i="17"/>
  <c r="K20" i="21"/>
  <c r="K18" i="12"/>
  <c r="K18" i="5"/>
  <c r="K18" i="14"/>
  <c r="K18" i="19"/>
  <c r="K18" i="15"/>
  <c r="K18" i="16"/>
  <c r="K18" i="8"/>
  <c r="K18" i="10"/>
  <c r="K18" i="13"/>
  <c r="K18" i="22"/>
  <c r="K18" i="24"/>
  <c r="K18" i="26"/>
  <c r="K18" i="20"/>
  <c r="K18" i="17"/>
  <c r="K18" i="9"/>
  <c r="K18" i="21"/>
  <c r="K18" i="25"/>
  <c r="K18" i="7"/>
  <c r="K18" i="23"/>
  <c r="K18" i="11"/>
  <c r="K18" i="18"/>
  <c r="K16" i="12"/>
  <c r="K16" i="5"/>
  <c r="K16" i="14"/>
  <c r="K16" i="19"/>
  <c r="K16" i="15"/>
  <c r="K16" i="16"/>
  <c r="K16" i="8"/>
  <c r="K16" i="10"/>
  <c r="K16" i="13"/>
  <c r="K16" i="22"/>
  <c r="K16" i="24"/>
  <c r="K16" i="26"/>
  <c r="K16" i="18"/>
  <c r="K16" i="7"/>
  <c r="K16" i="11"/>
  <c r="K16" i="23"/>
  <c r="K16" i="17"/>
  <c r="K16" i="21"/>
  <c r="K16" i="25"/>
  <c r="K16" i="9"/>
  <c r="K16" i="20"/>
  <c r="K10" i="12"/>
  <c r="K10" i="5"/>
  <c r="K10" i="14"/>
  <c r="K10" i="19"/>
  <c r="K10" i="15"/>
  <c r="K10" i="16"/>
  <c r="K10" i="8"/>
  <c r="K10" i="10"/>
  <c r="K10" i="13"/>
  <c r="K10" i="22"/>
  <c r="K10" i="24"/>
  <c r="K10" i="26"/>
  <c r="K10" i="20"/>
  <c r="K10" i="17"/>
  <c r="K10" i="9"/>
  <c r="K10" i="21"/>
  <c r="K10" i="25"/>
  <c r="K10" i="18"/>
  <c r="K10" i="11"/>
  <c r="K10" i="23"/>
  <c r="K10" i="7"/>
  <c r="K8" i="12"/>
  <c r="K8" i="5"/>
  <c r="K8" i="14"/>
  <c r="K8" i="19"/>
  <c r="K8" i="15"/>
  <c r="K8" i="16"/>
  <c r="K8" i="8"/>
  <c r="K8" i="10"/>
  <c r="K8" i="13"/>
  <c r="K8" i="22"/>
  <c r="K8" i="24"/>
  <c r="K8" i="26"/>
  <c r="K8" i="18"/>
  <c r="K8" i="7"/>
  <c r="K8" i="11"/>
  <c r="K8" i="23"/>
  <c r="K8" i="20"/>
  <c r="K8" i="9"/>
  <c r="K8" i="25"/>
  <c r="K8" i="21"/>
  <c r="K8" i="17"/>
  <c r="J64" i="12"/>
  <c r="J64" i="18"/>
  <c r="J64" i="17"/>
  <c r="J64" i="7"/>
  <c r="J64" i="9"/>
  <c r="J64" i="11"/>
  <c r="J64" i="21"/>
  <c r="J64" i="23"/>
  <c r="J64" i="25"/>
  <c r="J64" i="15"/>
  <c r="J64" i="8"/>
  <c r="J64" i="13"/>
  <c r="J64" i="24"/>
  <c r="J64" i="10"/>
  <c r="J64" i="26"/>
  <c r="J64" i="22"/>
  <c r="J64" i="16"/>
  <c r="J41" i="5"/>
  <c r="J41" i="12"/>
  <c r="J41" i="20"/>
  <c r="J41" i="18"/>
  <c r="J41" i="17"/>
  <c r="J41" i="7"/>
  <c r="J41" i="9"/>
  <c r="J41" i="11"/>
  <c r="J41" i="21"/>
  <c r="J41" i="23"/>
  <c r="J41" i="25"/>
  <c r="J41" i="19"/>
  <c r="J41" i="16"/>
  <c r="J41" i="10"/>
  <c r="J41" i="22"/>
  <c r="J41" i="26"/>
  <c r="J41" i="14"/>
  <c r="J41" i="8"/>
  <c r="J41" i="24"/>
  <c r="J41" i="13"/>
  <c r="J41" i="15"/>
  <c r="J39" i="5"/>
  <c r="J39" i="12"/>
  <c r="J39" i="20"/>
  <c r="J39" i="18"/>
  <c r="J39" i="17"/>
  <c r="J39" i="7"/>
  <c r="J39" i="9"/>
  <c r="J39" i="11"/>
  <c r="J39" i="21"/>
  <c r="J39" i="23"/>
  <c r="J39" i="25"/>
  <c r="J39" i="14"/>
  <c r="J39" i="15"/>
  <c r="J39" i="8"/>
  <c r="J39" i="13"/>
  <c r="J39" i="24"/>
  <c r="J39" i="16"/>
  <c r="J39" i="22"/>
  <c r="J39" i="26"/>
  <c r="J39" i="10"/>
  <c r="J39" i="19"/>
  <c r="J35" i="5"/>
  <c r="J35" i="12"/>
  <c r="J35" i="20"/>
  <c r="J35" i="18"/>
  <c r="J35" i="17"/>
  <c r="J35" i="7"/>
  <c r="J35" i="9"/>
  <c r="J35" i="11"/>
  <c r="J35" i="21"/>
  <c r="J35" i="23"/>
  <c r="J35" i="25"/>
  <c r="J35" i="19"/>
  <c r="J35" i="16"/>
  <c r="J35" i="10"/>
  <c r="J35" i="22"/>
  <c r="J35" i="26"/>
  <c r="J35" i="15"/>
  <c r="J35" i="13"/>
  <c r="J35" i="14"/>
  <c r="J35" i="24"/>
  <c r="J35" i="8"/>
  <c r="J33" i="5"/>
  <c r="J33" i="12"/>
  <c r="J33" i="20"/>
  <c r="J33" i="18"/>
  <c r="J33" i="17"/>
  <c r="J33" i="7"/>
  <c r="J33" i="9"/>
  <c r="J33" i="11"/>
  <c r="J33" i="21"/>
  <c r="J33" i="23"/>
  <c r="J33" i="25"/>
  <c r="J33" i="14"/>
  <c r="J33" i="15"/>
  <c r="J33" i="8"/>
  <c r="J33" i="13"/>
  <c r="J33" i="24"/>
  <c r="J33" i="19"/>
  <c r="J33" i="10"/>
  <c r="J33" i="26"/>
  <c r="J33" i="16"/>
  <c r="J33" i="22"/>
  <c r="J27" i="5"/>
  <c r="J27" i="12"/>
  <c r="J27" i="20"/>
  <c r="J27" i="18"/>
  <c r="J27" i="17"/>
  <c r="J27" i="7"/>
  <c r="J27" i="9"/>
  <c r="J27" i="11"/>
  <c r="J27" i="21"/>
  <c r="J27" i="23"/>
  <c r="J27" i="25"/>
  <c r="J27" i="19"/>
  <c r="J27" i="16"/>
  <c r="J27" i="10"/>
  <c r="J27" i="22"/>
  <c r="J27" i="26"/>
  <c r="J27" i="14"/>
  <c r="J27" i="8"/>
  <c r="J27" i="24"/>
  <c r="J27" i="13"/>
  <c r="J27" i="15"/>
  <c r="J25" i="5"/>
  <c r="J25" i="20"/>
  <c r="J25" i="18"/>
  <c r="J25" i="17"/>
  <c r="J25" i="7"/>
  <c r="J25" i="9"/>
  <c r="J25" i="11"/>
  <c r="J25" i="21"/>
  <c r="J25" i="23"/>
  <c r="J25" i="25"/>
  <c r="J25" i="14"/>
  <c r="J25" i="15"/>
  <c r="J25" i="8"/>
  <c r="J25" i="13"/>
  <c r="J25" i="24"/>
  <c r="J25" i="12"/>
  <c r="J25" i="16"/>
  <c r="J25" i="22"/>
  <c r="J25" i="10"/>
  <c r="J25" i="26"/>
  <c r="J25" i="19"/>
  <c r="J21" i="5"/>
  <c r="J21" i="12"/>
  <c r="J21" i="20"/>
  <c r="J21" i="18"/>
  <c r="J21" i="17"/>
  <c r="J21" i="7"/>
  <c r="J21" i="9"/>
  <c r="J21" i="11"/>
  <c r="J21" i="21"/>
  <c r="J21" i="23"/>
  <c r="J21" i="25"/>
  <c r="J21" i="14"/>
  <c r="J21" i="15"/>
  <c r="J21" i="8"/>
  <c r="J21" i="13"/>
  <c r="J21" i="24"/>
  <c r="J21" i="16"/>
  <c r="J21" i="22"/>
  <c r="J21" i="19"/>
  <c r="J21" i="26"/>
  <c r="J21" i="10"/>
  <c r="J19" i="12"/>
  <c r="J19" i="20"/>
  <c r="J19" i="18"/>
  <c r="J19" i="17"/>
  <c r="J19" i="7"/>
  <c r="J19" i="9"/>
  <c r="J19" i="11"/>
  <c r="J19" i="21"/>
  <c r="J19" i="23"/>
  <c r="J19" i="25"/>
  <c r="J19" i="14"/>
  <c r="J19" i="15"/>
  <c r="J19" i="8"/>
  <c r="J19" i="13"/>
  <c r="J19" i="24"/>
  <c r="J19" i="16"/>
  <c r="J19" i="22"/>
  <c r="J19" i="10"/>
  <c r="J19" i="19"/>
  <c r="J19" i="26"/>
  <c r="J17" i="5"/>
  <c r="J17" i="12"/>
  <c r="J17" i="20"/>
  <c r="J17" i="18"/>
  <c r="J17" i="17"/>
  <c r="J17" i="7"/>
  <c r="J17" i="9"/>
  <c r="J17" i="11"/>
  <c r="J17" i="21"/>
  <c r="J17" i="23"/>
  <c r="J17" i="25"/>
  <c r="J17" i="14"/>
  <c r="J17" i="15"/>
  <c r="J17" i="8"/>
  <c r="J17" i="13"/>
  <c r="J17" i="24"/>
  <c r="J17" i="16"/>
  <c r="J17" i="22"/>
  <c r="J17" i="19"/>
  <c r="J17" i="26"/>
  <c r="J17" i="10"/>
  <c r="J15" i="5"/>
  <c r="J15" i="20"/>
  <c r="J15" i="18"/>
  <c r="J15" i="17"/>
  <c r="J15" i="7"/>
  <c r="J15" i="9"/>
  <c r="J15" i="11"/>
  <c r="J15" i="21"/>
  <c r="J15" i="23"/>
  <c r="J15" i="25"/>
  <c r="J15" i="12"/>
  <c r="J15" i="19"/>
  <c r="J15" i="16"/>
  <c r="J15" i="10"/>
  <c r="J15" i="22"/>
  <c r="J15" i="26"/>
  <c r="J15" i="15"/>
  <c r="J15" i="13"/>
  <c r="J15" i="8"/>
  <c r="J15" i="24"/>
  <c r="J15" i="14"/>
  <c r="I41" i="5"/>
  <c r="I41" i="12"/>
  <c r="I41" i="14"/>
  <c r="I41" i="19"/>
  <c r="I41" i="15"/>
  <c r="I41" i="16"/>
  <c r="I41" i="8"/>
  <c r="I41" i="10"/>
  <c r="I41" i="13"/>
  <c r="I41" i="22"/>
  <c r="I41" i="24"/>
  <c r="I41" i="26"/>
  <c r="I41" i="20"/>
  <c r="I41" i="17"/>
  <c r="I41" i="9"/>
  <c r="I41" i="21"/>
  <c r="I41" i="25"/>
  <c r="I41" i="18"/>
  <c r="I41" i="11"/>
  <c r="I41" i="23"/>
  <c r="I41" i="7"/>
  <c r="I39" i="5"/>
  <c r="I39" i="12"/>
  <c r="I39" i="14"/>
  <c r="I39" i="19"/>
  <c r="I39" i="15"/>
  <c r="I39" i="16"/>
  <c r="I39" i="8"/>
  <c r="I39" i="10"/>
  <c r="I39" i="13"/>
  <c r="I39" i="22"/>
  <c r="I39" i="24"/>
  <c r="I39" i="26"/>
  <c r="I39" i="18"/>
  <c r="I39" i="7"/>
  <c r="I39" i="11"/>
  <c r="I39" i="23"/>
  <c r="I39" i="20"/>
  <c r="I39" i="9"/>
  <c r="I39" i="25"/>
  <c r="I39" i="17"/>
  <c r="I39" i="21"/>
  <c r="I35" i="5"/>
  <c r="I35" i="14"/>
  <c r="I35" i="19"/>
  <c r="I35" i="15"/>
  <c r="I35" i="16"/>
  <c r="I35" i="8"/>
  <c r="I35" i="10"/>
  <c r="I35" i="13"/>
  <c r="I35" i="22"/>
  <c r="I35" i="24"/>
  <c r="I35" i="26"/>
  <c r="I35" i="20"/>
  <c r="I35" i="17"/>
  <c r="I35" i="9"/>
  <c r="I35" i="21"/>
  <c r="I35" i="25"/>
  <c r="I35" i="7"/>
  <c r="I35" i="23"/>
  <c r="I35" i="12"/>
  <c r="I35" i="11"/>
  <c r="I35" i="18"/>
  <c r="I7" i="5"/>
  <c r="I7" i="12"/>
  <c r="I7" i="20"/>
  <c r="I7" i="18"/>
  <c r="I7" i="17"/>
  <c r="I7" i="7"/>
  <c r="I7" i="9"/>
  <c r="I7" i="11"/>
  <c r="I7" i="21"/>
  <c r="I7" i="23"/>
  <c r="I7" i="25"/>
  <c r="I7" i="19"/>
  <c r="I7" i="16"/>
  <c r="I7" i="10"/>
  <c r="I7" i="22"/>
  <c r="I7" i="26"/>
  <c r="I7" i="14"/>
  <c r="I7" i="8"/>
  <c r="I7" i="24"/>
  <c r="I7" i="15"/>
  <c r="I7" i="13"/>
  <c r="D54" i="8"/>
  <c r="I54" i="8"/>
  <c r="F54" i="8"/>
  <c r="H54" i="8"/>
  <c r="L54" i="8" s="1"/>
  <c r="G54" i="8"/>
  <c r="K54" i="8" s="1"/>
  <c r="I54" i="24"/>
  <c r="G54" i="24"/>
  <c r="K54" i="24" s="1"/>
  <c r="F54" i="24"/>
  <c r="J54" i="24" s="1"/>
  <c r="H54" i="24"/>
  <c r="D54" i="24"/>
  <c r="D55" i="15"/>
  <c r="G55" i="15"/>
  <c r="F55" i="15"/>
  <c r="J55" i="15" s="1"/>
  <c r="H55" i="15"/>
  <c r="D59" i="25"/>
  <c r="G59" i="25"/>
  <c r="H59" i="25"/>
  <c r="F59" i="25"/>
  <c r="I59" i="25"/>
  <c r="F55" i="7"/>
  <c r="J55" i="7" s="1"/>
  <c r="H55" i="7"/>
  <c r="L55" i="7" s="1"/>
  <c r="G55" i="7"/>
  <c r="D55" i="7"/>
  <c r="D58" i="18"/>
  <c r="F58" i="18"/>
  <c r="J58" i="18" s="1"/>
  <c r="H58" i="18"/>
  <c r="G58" i="18"/>
  <c r="I58" i="18"/>
  <c r="D59" i="9"/>
  <c r="G59" i="9"/>
  <c r="H59" i="9"/>
  <c r="I59" i="9"/>
  <c r="F59" i="9"/>
  <c r="BH12" i="27"/>
  <c r="BH16" i="27"/>
  <c r="BH17" i="27"/>
  <c r="BI12" i="27"/>
  <c r="BI16" i="27"/>
  <c r="BI17" i="27"/>
  <c r="BJ16" i="27"/>
  <c r="BK12" i="27"/>
  <c r="BK17" i="27"/>
  <c r="BJ17" i="27"/>
  <c r="BJ12" i="27"/>
  <c r="BK16" i="27"/>
  <c r="D56" i="15"/>
  <c r="G56" i="15"/>
  <c r="F56" i="15"/>
  <c r="J56" i="15" s="1"/>
  <c r="H56" i="15"/>
  <c r="D56" i="24"/>
  <c r="G56" i="24"/>
  <c r="K56" i="24" s="1"/>
  <c r="H56" i="24"/>
  <c r="L56" i="24" s="1"/>
  <c r="F56" i="24"/>
  <c r="BH39" i="27"/>
  <c r="BI39" i="27"/>
  <c r="BK39" i="27"/>
  <c r="BJ39" i="27"/>
  <c r="BH14" i="27"/>
  <c r="BH15" i="27"/>
  <c r="BH18" i="27"/>
  <c r="BH19" i="27"/>
  <c r="BH20" i="27"/>
  <c r="BH21" i="27"/>
  <c r="BH22" i="27"/>
  <c r="BI14" i="27"/>
  <c r="BI15" i="27"/>
  <c r="BI18" i="27"/>
  <c r="BI19" i="27"/>
  <c r="BI20" i="27"/>
  <c r="BI21" i="27"/>
  <c r="BI22" i="27"/>
  <c r="BJ14" i="27"/>
  <c r="BJ18" i="27"/>
  <c r="BJ20" i="27"/>
  <c r="BJ22" i="27"/>
  <c r="BK15" i="27"/>
  <c r="BK19" i="27"/>
  <c r="BK21" i="27"/>
  <c r="BJ19" i="27"/>
  <c r="BK20" i="27"/>
  <c r="BJ15" i="27"/>
  <c r="BJ21" i="27"/>
  <c r="BK18" i="27"/>
  <c r="BK22" i="27"/>
  <c r="BK14" i="27"/>
  <c r="BH36" i="27"/>
  <c r="BK36" i="27"/>
  <c r="BI36" i="27"/>
  <c r="F26" i="33"/>
  <c r="BJ36" i="27"/>
  <c r="D56" i="13"/>
  <c r="G56" i="13"/>
  <c r="F56" i="13"/>
  <c r="H56" i="13"/>
  <c r="L56" i="13" s="1"/>
  <c r="X37" i="27"/>
  <c r="X34" i="27"/>
  <c r="X38" i="27"/>
  <c r="E25" i="34"/>
  <c r="C121" i="9"/>
  <c r="C52" i="19"/>
  <c r="C57" i="17"/>
  <c r="E57" i="17" s="1"/>
  <c r="C140" i="18"/>
  <c r="D55" i="10"/>
  <c r="G55" i="10"/>
  <c r="K55" i="10" s="1"/>
  <c r="F55" i="10"/>
  <c r="J55" i="10" s="1"/>
  <c r="H55" i="10"/>
  <c r="L55" i="10" s="1"/>
  <c r="D56" i="19"/>
  <c r="F56" i="19"/>
  <c r="H56" i="19"/>
  <c r="L56" i="19" s="1"/>
  <c r="G56" i="19"/>
  <c r="K56" i="19" s="1"/>
  <c r="D56" i="16"/>
  <c r="F56" i="16"/>
  <c r="J56" i="16" s="1"/>
  <c r="H56" i="16"/>
  <c r="L56" i="16" s="1"/>
  <c r="G56" i="16"/>
  <c r="K56" i="16" s="1"/>
  <c r="F56" i="10"/>
  <c r="H56" i="10"/>
  <c r="G56" i="10"/>
  <c r="D56" i="10"/>
  <c r="D56" i="22"/>
  <c r="F56" i="22"/>
  <c r="H56" i="22"/>
  <c r="G56" i="22"/>
  <c r="D56" i="26"/>
  <c r="F56" i="26"/>
  <c r="H56" i="26"/>
  <c r="G56" i="26"/>
  <c r="K56" i="26" s="1"/>
  <c r="F59" i="13"/>
  <c r="G59" i="13"/>
  <c r="K59" i="13" s="1"/>
  <c r="H59" i="13"/>
  <c r="I59" i="13"/>
  <c r="D59" i="13"/>
  <c r="J46" i="20"/>
  <c r="J46" i="9"/>
  <c r="J46" i="25"/>
  <c r="J46" i="21"/>
  <c r="J46" i="17"/>
  <c r="K6" i="14"/>
  <c r="K6" i="19"/>
  <c r="K6" i="15"/>
  <c r="K6" i="16"/>
  <c r="K6" i="8"/>
  <c r="K6" i="10"/>
  <c r="K6" i="13"/>
  <c r="K6" i="22"/>
  <c r="K6" i="24"/>
  <c r="K6" i="26"/>
  <c r="K6" i="18"/>
  <c r="K6" i="7"/>
  <c r="K6" i="11"/>
  <c r="K6" i="23"/>
  <c r="K6" i="20"/>
  <c r="K6" i="17"/>
  <c r="K6" i="21"/>
  <c r="K6" i="9"/>
  <c r="K6" i="25"/>
  <c r="K56" i="25"/>
  <c r="K48" i="15"/>
  <c r="K48" i="16"/>
  <c r="K48" i="8"/>
  <c r="K48" i="10"/>
  <c r="K48" i="26"/>
  <c r="K48" i="20"/>
  <c r="K48" i="21"/>
  <c r="K48" i="7"/>
  <c r="L63" i="12"/>
  <c r="L63" i="5"/>
  <c r="L63" i="20"/>
  <c r="L63" i="18"/>
  <c r="L63" i="17"/>
  <c r="L63" i="7"/>
  <c r="L63" i="9"/>
  <c r="L63" i="11"/>
  <c r="L63" i="21"/>
  <c r="L63" i="23"/>
  <c r="L63" i="25"/>
  <c r="L63" i="14"/>
  <c r="L63" i="15"/>
  <c r="L63" i="8"/>
  <c r="L63" i="13"/>
  <c r="L63" i="24"/>
  <c r="L63" i="16"/>
  <c r="L63" i="19"/>
  <c r="L63" i="10"/>
  <c r="L63" i="26"/>
  <c r="L63" i="22"/>
  <c r="L46" i="20"/>
  <c r="L46" i="18"/>
  <c r="L46" i="17"/>
  <c r="L46" i="7"/>
  <c r="L46" i="9"/>
  <c r="L46" i="11"/>
  <c r="L46" i="21"/>
  <c r="L46" i="23"/>
  <c r="L46" i="25"/>
  <c r="L46" i="19"/>
  <c r="L46" i="16"/>
  <c r="L46" i="10"/>
  <c r="L46" i="22"/>
  <c r="L46" i="26"/>
  <c r="L46" i="15"/>
  <c r="L46" i="13"/>
  <c r="L46" i="14"/>
  <c r="L46" i="8"/>
  <c r="L46" i="24"/>
  <c r="K34" i="5"/>
  <c r="K34" i="12"/>
  <c r="K34" i="14"/>
  <c r="K34" i="19"/>
  <c r="K34" i="15"/>
  <c r="K34" i="16"/>
  <c r="K34" i="8"/>
  <c r="K34" i="10"/>
  <c r="K34" i="13"/>
  <c r="K34" i="22"/>
  <c r="K34" i="24"/>
  <c r="K34" i="26"/>
  <c r="K34" i="18"/>
  <c r="K34" i="7"/>
  <c r="K34" i="11"/>
  <c r="K34" i="23"/>
  <c r="K34" i="17"/>
  <c r="K34" i="20"/>
  <c r="K34" i="9"/>
  <c r="K34" i="25"/>
  <c r="K34" i="21"/>
  <c r="L13" i="5"/>
  <c r="L13" i="20"/>
  <c r="L13" i="18"/>
  <c r="L13" i="17"/>
  <c r="L13" i="7"/>
  <c r="L13" i="9"/>
  <c r="L13" i="11"/>
  <c r="L13" i="21"/>
  <c r="L13" i="23"/>
  <c r="L13" i="25"/>
  <c r="L13" i="14"/>
  <c r="L13" i="15"/>
  <c r="L13" i="8"/>
  <c r="L13" i="13"/>
  <c r="L13" i="24"/>
  <c r="L13" i="16"/>
  <c r="L13" i="12"/>
  <c r="L13" i="19"/>
  <c r="L13" i="10"/>
  <c r="L13" i="26"/>
  <c r="L13" i="22"/>
  <c r="J13" i="20"/>
  <c r="J13" i="18"/>
  <c r="J13" i="17"/>
  <c r="J13" i="7"/>
  <c r="J13" i="9"/>
  <c r="J13" i="11"/>
  <c r="J13" i="21"/>
  <c r="J13" i="23"/>
  <c r="J13" i="25"/>
  <c r="J13" i="5"/>
  <c r="J13" i="19"/>
  <c r="J13" i="16"/>
  <c r="J13" i="10"/>
  <c r="J13" i="22"/>
  <c r="J13" i="26"/>
  <c r="J13" i="15"/>
  <c r="J13" i="14"/>
  <c r="J13" i="8"/>
  <c r="J13" i="24"/>
  <c r="J13" i="12"/>
  <c r="J13" i="13"/>
  <c r="J6" i="14"/>
  <c r="J6" i="19"/>
  <c r="J6" i="15"/>
  <c r="J6" i="16"/>
  <c r="J6" i="8"/>
  <c r="J6" i="10"/>
  <c r="J6" i="13"/>
  <c r="J6" i="22"/>
  <c r="J6" i="24"/>
  <c r="J6" i="26"/>
  <c r="J6" i="18"/>
  <c r="J6" i="7"/>
  <c r="J6" i="11"/>
  <c r="J6" i="23"/>
  <c r="J6" i="20"/>
  <c r="J6" i="25"/>
  <c r="J6" i="17"/>
  <c r="J6" i="21"/>
  <c r="J6" i="9"/>
  <c r="J8" i="14"/>
  <c r="J8" i="19"/>
  <c r="J8" i="15"/>
  <c r="J8" i="16"/>
  <c r="J8" i="8"/>
  <c r="J8" i="10"/>
  <c r="J8" i="13"/>
  <c r="J8" i="22"/>
  <c r="J8" i="24"/>
  <c r="J8" i="26"/>
  <c r="J8" i="20"/>
  <c r="J8" i="17"/>
  <c r="J8" i="9"/>
  <c r="J8" i="21"/>
  <c r="J8" i="25"/>
  <c r="J8" i="11"/>
  <c r="J8" i="7"/>
  <c r="J8" i="23"/>
  <c r="J8" i="18"/>
  <c r="L42" i="12"/>
  <c r="L42" i="20"/>
  <c r="L42" i="18"/>
  <c r="L42" i="17"/>
  <c r="L42" i="7"/>
  <c r="L42" i="9"/>
  <c r="L42" i="11"/>
  <c r="L42" i="21"/>
  <c r="L42" i="23"/>
  <c r="L42" i="25"/>
  <c r="L42" i="5"/>
  <c r="L42" i="19"/>
  <c r="L42" i="16"/>
  <c r="L42" i="10"/>
  <c r="L42" i="22"/>
  <c r="L42" i="26"/>
  <c r="L42" i="13"/>
  <c r="L42" i="14"/>
  <c r="L42" i="8"/>
  <c r="L42" i="24"/>
  <c r="L42" i="15"/>
  <c r="L40" i="12"/>
  <c r="L40" i="5"/>
  <c r="L40" i="20"/>
  <c r="L40" i="18"/>
  <c r="L40" i="17"/>
  <c r="L40" i="7"/>
  <c r="L40" i="9"/>
  <c r="L40" i="11"/>
  <c r="L40" i="21"/>
  <c r="L40" i="23"/>
  <c r="L40" i="25"/>
  <c r="L40" i="14"/>
  <c r="L40" i="15"/>
  <c r="L40" i="8"/>
  <c r="L40" i="13"/>
  <c r="L40" i="24"/>
  <c r="L40" i="10"/>
  <c r="L40" i="16"/>
  <c r="L40" i="22"/>
  <c r="L40" i="19"/>
  <c r="L40" i="26"/>
  <c r="L38" i="12"/>
  <c r="L38" i="5"/>
  <c r="L38" i="20"/>
  <c r="L38" i="18"/>
  <c r="L38" i="17"/>
  <c r="L38" i="7"/>
  <c r="L38" i="9"/>
  <c r="L38" i="11"/>
  <c r="L38" i="21"/>
  <c r="L38" i="23"/>
  <c r="L38" i="25"/>
  <c r="L38" i="19"/>
  <c r="L38" i="16"/>
  <c r="L38" i="10"/>
  <c r="L38" i="22"/>
  <c r="L38" i="26"/>
  <c r="L38" i="14"/>
  <c r="L38" i="24"/>
  <c r="L38" i="15"/>
  <c r="L38" i="13"/>
  <c r="L38" i="8"/>
  <c r="L28" i="12"/>
  <c r="L28" i="5"/>
  <c r="L28" i="20"/>
  <c r="L28" i="18"/>
  <c r="L28" i="17"/>
  <c r="L28" i="7"/>
  <c r="L28" i="9"/>
  <c r="L28" i="11"/>
  <c r="L28" i="21"/>
  <c r="L28" i="23"/>
  <c r="L28" i="25"/>
  <c r="L28" i="19"/>
  <c r="L28" i="16"/>
  <c r="L28" i="10"/>
  <c r="L28" i="22"/>
  <c r="L28" i="26"/>
  <c r="L28" i="15"/>
  <c r="L28" i="14"/>
  <c r="L28" i="8"/>
  <c r="L28" i="24"/>
  <c r="L28" i="13"/>
  <c r="L26" i="12"/>
  <c r="L26" i="5"/>
  <c r="L26" i="20"/>
  <c r="L26" i="18"/>
  <c r="L26" i="17"/>
  <c r="L26" i="7"/>
  <c r="L26" i="9"/>
  <c r="L26" i="11"/>
  <c r="L26" i="21"/>
  <c r="L26" i="23"/>
  <c r="L26" i="25"/>
  <c r="L26" i="14"/>
  <c r="L26" i="15"/>
  <c r="L26" i="8"/>
  <c r="L26" i="13"/>
  <c r="L26" i="24"/>
  <c r="L26" i="19"/>
  <c r="L26" i="26"/>
  <c r="L26" i="16"/>
  <c r="L26" i="22"/>
  <c r="L26" i="10"/>
  <c r="L22" i="12"/>
  <c r="L22" i="5"/>
  <c r="L22" i="20"/>
  <c r="L22" i="18"/>
  <c r="L22" i="17"/>
  <c r="L22" i="7"/>
  <c r="L22" i="9"/>
  <c r="L22" i="11"/>
  <c r="L22" i="21"/>
  <c r="L22" i="23"/>
  <c r="L22" i="25"/>
  <c r="L22" i="19"/>
  <c r="L22" i="16"/>
  <c r="L22" i="10"/>
  <c r="L22" i="22"/>
  <c r="L22" i="26"/>
  <c r="L22" i="14"/>
  <c r="L22" i="15"/>
  <c r="L22" i="13"/>
  <c r="L22" i="8"/>
  <c r="L22" i="24"/>
  <c r="L20" i="12"/>
  <c r="L20" i="5"/>
  <c r="L20" i="20"/>
  <c r="L20" i="18"/>
  <c r="L20" i="17"/>
  <c r="L20" i="7"/>
  <c r="L20" i="9"/>
  <c r="L20" i="11"/>
  <c r="L20" i="21"/>
  <c r="L20" i="23"/>
  <c r="L20" i="25"/>
  <c r="L20" i="14"/>
  <c r="L20" i="15"/>
  <c r="L20" i="8"/>
  <c r="L20" i="13"/>
  <c r="L20" i="24"/>
  <c r="L20" i="16"/>
  <c r="L20" i="19"/>
  <c r="L20" i="10"/>
  <c r="L20" i="26"/>
  <c r="L20" i="22"/>
  <c r="L18" i="12"/>
  <c r="L18" i="20"/>
  <c r="L18" i="18"/>
  <c r="L18" i="17"/>
  <c r="L18" i="7"/>
  <c r="L18" i="9"/>
  <c r="L18" i="11"/>
  <c r="L18" i="21"/>
  <c r="L18" i="23"/>
  <c r="L18" i="25"/>
  <c r="L18" i="19"/>
  <c r="L18" i="16"/>
  <c r="L18" i="10"/>
  <c r="L18" i="22"/>
  <c r="L18" i="26"/>
  <c r="L18" i="13"/>
  <c r="L18" i="5"/>
  <c r="L18" i="14"/>
  <c r="L18" i="8"/>
  <c r="L18" i="24"/>
  <c r="L18" i="15"/>
  <c r="L16" i="12"/>
  <c r="L16" i="5"/>
  <c r="L16" i="20"/>
  <c r="L16" i="18"/>
  <c r="L16" i="17"/>
  <c r="L16" i="7"/>
  <c r="L16" i="9"/>
  <c r="L16" i="11"/>
  <c r="L16" i="21"/>
  <c r="L16" i="23"/>
  <c r="L16" i="25"/>
  <c r="L16" i="14"/>
  <c r="L16" i="15"/>
  <c r="L16" i="8"/>
  <c r="L16" i="13"/>
  <c r="L16" i="24"/>
  <c r="L16" i="10"/>
  <c r="L16" i="16"/>
  <c r="L16" i="22"/>
  <c r="L16" i="19"/>
  <c r="L16" i="26"/>
  <c r="K64" i="12"/>
  <c r="K64" i="5"/>
  <c r="K64" i="15"/>
  <c r="K64" i="16"/>
  <c r="K64" i="8"/>
  <c r="K64" i="10"/>
  <c r="K64" i="13"/>
  <c r="K64" i="22"/>
  <c r="K64" i="24"/>
  <c r="K64" i="26"/>
  <c r="K64" i="18"/>
  <c r="K64" i="7"/>
  <c r="K64" i="11"/>
  <c r="K64" i="23"/>
  <c r="K64" i="17"/>
  <c r="K64" i="9"/>
  <c r="K64" i="25"/>
  <c r="K64" i="21"/>
  <c r="K41" i="12"/>
  <c r="K41" i="5"/>
  <c r="K41" i="14"/>
  <c r="K41" i="19"/>
  <c r="K41" i="15"/>
  <c r="K41" i="16"/>
  <c r="K41" i="8"/>
  <c r="K41" i="10"/>
  <c r="K41" i="13"/>
  <c r="K41" i="22"/>
  <c r="K41" i="24"/>
  <c r="K41" i="26"/>
  <c r="K41" i="20"/>
  <c r="K41" i="17"/>
  <c r="K41" i="9"/>
  <c r="K41" i="21"/>
  <c r="K41" i="25"/>
  <c r="K41" i="18"/>
  <c r="K41" i="7"/>
  <c r="K41" i="23"/>
  <c r="K41" i="11"/>
  <c r="K39" i="12"/>
  <c r="K39" i="14"/>
  <c r="K39" i="19"/>
  <c r="K39" i="15"/>
  <c r="K39" i="16"/>
  <c r="K39" i="8"/>
  <c r="K39" i="10"/>
  <c r="K39" i="13"/>
  <c r="K39" i="22"/>
  <c r="K39" i="24"/>
  <c r="K39" i="5"/>
  <c r="K39" i="18"/>
  <c r="K39" i="7"/>
  <c r="K39" i="11"/>
  <c r="K39" i="23"/>
  <c r="K39" i="26"/>
  <c r="K39" i="17"/>
  <c r="K39" i="21"/>
  <c r="K39" i="20"/>
  <c r="K39" i="9"/>
  <c r="K39" i="25"/>
  <c r="K35" i="12"/>
  <c r="K35" i="5"/>
  <c r="K35" i="14"/>
  <c r="K35" i="19"/>
  <c r="K35" i="15"/>
  <c r="K35" i="16"/>
  <c r="K35" i="8"/>
  <c r="K35" i="10"/>
  <c r="K35" i="13"/>
  <c r="K35" i="22"/>
  <c r="K35" i="24"/>
  <c r="K35" i="26"/>
  <c r="K35" i="20"/>
  <c r="K35" i="17"/>
  <c r="K35" i="9"/>
  <c r="K35" i="21"/>
  <c r="K35" i="25"/>
  <c r="K35" i="18"/>
  <c r="K35" i="11"/>
  <c r="K35" i="7"/>
  <c r="K35" i="23"/>
  <c r="K33" i="5"/>
  <c r="K33" i="12"/>
  <c r="K33" i="14"/>
  <c r="K33" i="19"/>
  <c r="K33" i="15"/>
  <c r="K33" i="16"/>
  <c r="K33" i="8"/>
  <c r="K33" i="10"/>
  <c r="K33" i="13"/>
  <c r="K33" i="22"/>
  <c r="K33" i="24"/>
  <c r="K33" i="26"/>
  <c r="K33" i="18"/>
  <c r="K33" i="7"/>
  <c r="K33" i="11"/>
  <c r="K33" i="23"/>
  <c r="K33" i="20"/>
  <c r="K33" i="9"/>
  <c r="K33" i="25"/>
  <c r="K33" i="21"/>
  <c r="K33" i="17"/>
  <c r="K27" i="12"/>
  <c r="K27" i="5"/>
  <c r="K27" i="20"/>
  <c r="K27" i="18"/>
  <c r="K27" i="17"/>
  <c r="K27" i="7"/>
  <c r="K27" i="9"/>
  <c r="K27" i="11"/>
  <c r="K27" i="21"/>
  <c r="K27" i="23"/>
  <c r="K27" i="25"/>
  <c r="K27" i="14"/>
  <c r="K27" i="15"/>
  <c r="K27" i="8"/>
  <c r="K27" i="13"/>
  <c r="K27" i="24"/>
  <c r="K27" i="19"/>
  <c r="K27" i="10"/>
  <c r="K27" i="26"/>
  <c r="K27" i="16"/>
  <c r="K27" i="22"/>
  <c r="K25" i="12"/>
  <c r="K25" i="20"/>
  <c r="K25" i="18"/>
  <c r="K25" i="17"/>
  <c r="K25" i="7"/>
  <c r="K25" i="9"/>
  <c r="K25" i="11"/>
  <c r="K25" i="21"/>
  <c r="K25" i="23"/>
  <c r="K25" i="25"/>
  <c r="K25" i="19"/>
  <c r="K25" i="16"/>
  <c r="K25" i="10"/>
  <c r="K25" i="22"/>
  <c r="K25" i="26"/>
  <c r="K25" i="5"/>
  <c r="K25" i="14"/>
  <c r="K25" i="8"/>
  <c r="K25" i="24"/>
  <c r="K25" i="13"/>
  <c r="K25" i="15"/>
  <c r="K21" i="12"/>
  <c r="K21" i="5"/>
  <c r="K21" i="20"/>
  <c r="K21" i="18"/>
  <c r="K21" i="17"/>
  <c r="K21" i="7"/>
  <c r="K21" i="9"/>
  <c r="K21" i="11"/>
  <c r="K21" i="21"/>
  <c r="K21" i="23"/>
  <c r="K21" i="25"/>
  <c r="K21" i="14"/>
  <c r="K21" i="15"/>
  <c r="K21" i="8"/>
  <c r="K21" i="13"/>
  <c r="K21" i="24"/>
  <c r="K21" i="16"/>
  <c r="K21" i="22"/>
  <c r="K21" i="26"/>
  <c r="K21" i="10"/>
  <c r="K21" i="19"/>
  <c r="K19" i="20"/>
  <c r="K19" i="18"/>
  <c r="K19" i="17"/>
  <c r="K19" i="7"/>
  <c r="K19" i="9"/>
  <c r="K19" i="11"/>
  <c r="K19" i="21"/>
  <c r="K19" i="23"/>
  <c r="K19" i="25"/>
  <c r="K19" i="12"/>
  <c r="K19" i="19"/>
  <c r="K19" i="16"/>
  <c r="K19" i="10"/>
  <c r="K19" i="22"/>
  <c r="K19" i="26"/>
  <c r="K19" i="15"/>
  <c r="K19" i="13"/>
  <c r="K19" i="14"/>
  <c r="K19" i="24"/>
  <c r="K19" i="8"/>
  <c r="K17" i="12"/>
  <c r="K17" i="5"/>
  <c r="K17" i="20"/>
  <c r="K17" i="18"/>
  <c r="K17" i="17"/>
  <c r="K17" i="7"/>
  <c r="K17" i="9"/>
  <c r="K17" i="11"/>
  <c r="K17" i="21"/>
  <c r="K17" i="23"/>
  <c r="K17" i="25"/>
  <c r="K17" i="14"/>
  <c r="K17" i="15"/>
  <c r="K17" i="8"/>
  <c r="K17" i="13"/>
  <c r="K17" i="24"/>
  <c r="K17" i="19"/>
  <c r="K17" i="10"/>
  <c r="K17" i="26"/>
  <c r="K17" i="16"/>
  <c r="K17" i="22"/>
  <c r="K15" i="12"/>
  <c r="K15" i="20"/>
  <c r="K15" i="18"/>
  <c r="K15" i="17"/>
  <c r="K15" i="7"/>
  <c r="K15" i="9"/>
  <c r="K15" i="11"/>
  <c r="K15" i="21"/>
  <c r="K15" i="23"/>
  <c r="K15" i="25"/>
  <c r="K15" i="5"/>
  <c r="K15" i="19"/>
  <c r="K15" i="16"/>
  <c r="K15" i="10"/>
  <c r="K15" i="22"/>
  <c r="K15" i="26"/>
  <c r="K15" i="14"/>
  <c r="K15" i="8"/>
  <c r="K15" i="24"/>
  <c r="K15" i="15"/>
  <c r="K15" i="13"/>
  <c r="K9" i="12"/>
  <c r="K9" i="5"/>
  <c r="K9" i="20"/>
  <c r="K9" i="18"/>
  <c r="K9" i="17"/>
  <c r="K9" i="7"/>
  <c r="K9" i="9"/>
  <c r="K9" i="11"/>
  <c r="K9" i="21"/>
  <c r="K9" i="23"/>
  <c r="K9" i="25"/>
  <c r="K9" i="14"/>
  <c r="K9" i="15"/>
  <c r="K9" i="8"/>
  <c r="K9" i="13"/>
  <c r="K9" i="24"/>
  <c r="K9" i="16"/>
  <c r="K9" i="22"/>
  <c r="K9" i="19"/>
  <c r="K9" i="26"/>
  <c r="K9" i="10"/>
  <c r="K7" i="5"/>
  <c r="K7" i="12"/>
  <c r="K7" i="20"/>
  <c r="K7" i="18"/>
  <c r="K7" i="17"/>
  <c r="K7" i="7"/>
  <c r="K7" i="9"/>
  <c r="K7" i="11"/>
  <c r="K7" i="21"/>
  <c r="K7" i="23"/>
  <c r="K7" i="25"/>
  <c r="K7" i="19"/>
  <c r="K7" i="16"/>
  <c r="K7" i="10"/>
  <c r="K7" i="22"/>
  <c r="K7" i="26"/>
  <c r="K7" i="15"/>
  <c r="K7" i="13"/>
  <c r="K7" i="14"/>
  <c r="K7" i="8"/>
  <c r="K7" i="24"/>
  <c r="J42" i="12"/>
  <c r="J42" i="5"/>
  <c r="J42" i="14"/>
  <c r="J42" i="19"/>
  <c r="J42" i="15"/>
  <c r="J42" i="16"/>
  <c r="J42" i="8"/>
  <c r="J42" i="10"/>
  <c r="J42" i="13"/>
  <c r="J42" i="22"/>
  <c r="J42" i="24"/>
  <c r="J42" i="26"/>
  <c r="J42" i="18"/>
  <c r="J42" i="7"/>
  <c r="J42" i="11"/>
  <c r="J42" i="23"/>
  <c r="J42" i="17"/>
  <c r="J42" i="21"/>
  <c r="J42" i="20"/>
  <c r="J42" i="25"/>
  <c r="J42" i="9"/>
  <c r="J40" i="12"/>
  <c r="J40" i="14"/>
  <c r="J40" i="19"/>
  <c r="J40" i="15"/>
  <c r="J40" i="16"/>
  <c r="J40" i="8"/>
  <c r="J40" i="10"/>
  <c r="J40" i="13"/>
  <c r="J40" i="22"/>
  <c r="J40" i="24"/>
  <c r="J40" i="26"/>
  <c r="J40" i="20"/>
  <c r="J40" i="17"/>
  <c r="J40" i="9"/>
  <c r="J40" i="21"/>
  <c r="J40" i="25"/>
  <c r="J40" i="18"/>
  <c r="J40" i="11"/>
  <c r="J40" i="7"/>
  <c r="J40" i="5"/>
  <c r="J40" i="23"/>
  <c r="J38" i="12"/>
  <c r="J38" i="5"/>
  <c r="J38" i="14"/>
  <c r="J38" i="19"/>
  <c r="J38" i="15"/>
  <c r="J38" i="16"/>
  <c r="J38" i="8"/>
  <c r="J38" i="10"/>
  <c r="J38" i="13"/>
  <c r="J38" i="22"/>
  <c r="J38" i="24"/>
  <c r="J38" i="26"/>
  <c r="J38" i="18"/>
  <c r="J38" i="7"/>
  <c r="J38" i="11"/>
  <c r="J38" i="23"/>
  <c r="J38" i="20"/>
  <c r="J38" i="9"/>
  <c r="J38" i="25"/>
  <c r="J38" i="17"/>
  <c r="J38" i="21"/>
  <c r="J28" i="12"/>
  <c r="J28" i="5"/>
  <c r="J28" i="14"/>
  <c r="J28" i="19"/>
  <c r="J28" i="15"/>
  <c r="J28" i="16"/>
  <c r="J28" i="8"/>
  <c r="J28" i="10"/>
  <c r="J28" i="13"/>
  <c r="J28" i="22"/>
  <c r="J28" i="24"/>
  <c r="J28" i="26"/>
  <c r="J28" i="18"/>
  <c r="J28" i="7"/>
  <c r="J28" i="11"/>
  <c r="J28" i="23"/>
  <c r="J28" i="17"/>
  <c r="J28" i="21"/>
  <c r="J28" i="20"/>
  <c r="J28" i="25"/>
  <c r="J28" i="9"/>
  <c r="J26" i="12"/>
  <c r="J26" i="14"/>
  <c r="J26" i="19"/>
  <c r="J26" i="15"/>
  <c r="J26" i="16"/>
  <c r="J26" i="8"/>
  <c r="J26" i="10"/>
  <c r="J26" i="13"/>
  <c r="J26" i="22"/>
  <c r="J26" i="20"/>
  <c r="J26" i="17"/>
  <c r="J26" i="9"/>
  <c r="J26" i="21"/>
  <c r="J26" i="24"/>
  <c r="J26" i="26"/>
  <c r="J26" i="5"/>
  <c r="J26" i="18"/>
  <c r="J26" i="11"/>
  <c r="J26" i="25"/>
  <c r="J26" i="7"/>
  <c r="J26" i="23"/>
  <c r="J22" i="12"/>
  <c r="J22" i="5"/>
  <c r="J22" i="20"/>
  <c r="J22" i="18"/>
  <c r="J22" i="17"/>
  <c r="J22" i="7"/>
  <c r="J22" i="9"/>
  <c r="J22" i="11"/>
  <c r="J22" i="21"/>
  <c r="J22" i="23"/>
  <c r="J22" i="25"/>
  <c r="J22" i="14"/>
  <c r="J22" i="15"/>
  <c r="J22" i="8"/>
  <c r="J22" i="13"/>
  <c r="J22" i="24"/>
  <c r="J22" i="19"/>
  <c r="J22" i="10"/>
  <c r="J22" i="26"/>
  <c r="J22" i="22"/>
  <c r="J22" i="16"/>
  <c r="J20" i="12"/>
  <c r="J20" i="20"/>
  <c r="J20" i="18"/>
  <c r="J20" i="17"/>
  <c r="J20" i="7"/>
  <c r="J20" i="9"/>
  <c r="J20" i="11"/>
  <c r="J20" i="21"/>
  <c r="J20" i="23"/>
  <c r="J20" i="25"/>
  <c r="J20" i="5"/>
  <c r="J20" i="14"/>
  <c r="J20" i="15"/>
  <c r="J20" i="8"/>
  <c r="J20" i="13"/>
  <c r="J20" i="24"/>
  <c r="J20" i="19"/>
  <c r="J20" i="10"/>
  <c r="J20" i="26"/>
  <c r="J20" i="16"/>
  <c r="J20" i="22"/>
  <c r="J18" i="12"/>
  <c r="J18" i="5"/>
  <c r="J18" i="20"/>
  <c r="J18" i="18"/>
  <c r="J18" i="17"/>
  <c r="J18" i="7"/>
  <c r="J18" i="9"/>
  <c r="J18" i="11"/>
  <c r="J18" i="21"/>
  <c r="J18" i="23"/>
  <c r="J18" i="25"/>
  <c r="J18" i="14"/>
  <c r="J18" i="15"/>
  <c r="J18" i="8"/>
  <c r="J18" i="13"/>
  <c r="J18" i="24"/>
  <c r="J18" i="19"/>
  <c r="J18" i="10"/>
  <c r="J18" i="26"/>
  <c r="J18" i="22"/>
  <c r="J18" i="16"/>
  <c r="J16" i="12"/>
  <c r="J16" i="14"/>
  <c r="J16" i="19"/>
  <c r="J16" i="15"/>
  <c r="J16" i="16"/>
  <c r="J16" i="8"/>
  <c r="J16" i="10"/>
  <c r="J16" i="13"/>
  <c r="J16" i="22"/>
  <c r="J16" i="24"/>
  <c r="J16" i="26"/>
  <c r="J16" i="18"/>
  <c r="J16" i="7"/>
  <c r="J16" i="11"/>
  <c r="J16" i="23"/>
  <c r="J16" i="20"/>
  <c r="J16" i="9"/>
  <c r="J16" i="25"/>
  <c r="J16" i="5"/>
  <c r="J16" i="17"/>
  <c r="J16" i="21"/>
  <c r="I42" i="12"/>
  <c r="I42" i="5"/>
  <c r="I42" i="20"/>
  <c r="I42" i="18"/>
  <c r="I42" i="17"/>
  <c r="I42" i="7"/>
  <c r="I42" i="9"/>
  <c r="I42" i="11"/>
  <c r="I42" i="21"/>
  <c r="I42" i="23"/>
  <c r="I42" i="25"/>
  <c r="I42" i="19"/>
  <c r="I42" i="16"/>
  <c r="I42" i="10"/>
  <c r="I42" i="22"/>
  <c r="I42" i="26"/>
  <c r="I42" i="14"/>
  <c r="I42" i="8"/>
  <c r="I42" i="24"/>
  <c r="I42" i="13"/>
  <c r="I42" i="15"/>
  <c r="I40" i="12"/>
  <c r="I40" i="20"/>
  <c r="I40" i="18"/>
  <c r="I40" i="17"/>
  <c r="I40" i="7"/>
  <c r="I40" i="9"/>
  <c r="I40" i="11"/>
  <c r="I40" i="21"/>
  <c r="I40" i="23"/>
  <c r="I40" i="25"/>
  <c r="I40" i="5"/>
  <c r="I40" i="14"/>
  <c r="I40" i="15"/>
  <c r="I40" i="8"/>
  <c r="I40" i="13"/>
  <c r="I40" i="24"/>
  <c r="I40" i="16"/>
  <c r="I40" i="22"/>
  <c r="I40" i="19"/>
  <c r="I40" i="26"/>
  <c r="I40" i="10"/>
  <c r="I38" i="12"/>
  <c r="I38" i="5"/>
  <c r="I38" i="20"/>
  <c r="I38" i="18"/>
  <c r="I38" i="17"/>
  <c r="I38" i="7"/>
  <c r="I38" i="9"/>
  <c r="I38" i="11"/>
  <c r="I38" i="21"/>
  <c r="I38" i="23"/>
  <c r="I38" i="25"/>
  <c r="I38" i="19"/>
  <c r="I38" i="16"/>
  <c r="I38" i="10"/>
  <c r="I38" i="22"/>
  <c r="I38" i="26"/>
  <c r="I38" i="15"/>
  <c r="I38" i="13"/>
  <c r="I38" i="8"/>
  <c r="I38" i="24"/>
  <c r="I38" i="14"/>
  <c r="E54" i="15"/>
  <c r="M54" i="15" s="1"/>
  <c r="D54" i="13"/>
  <c r="I54" i="13"/>
  <c r="G54" i="13"/>
  <c r="K54" i="13" s="1"/>
  <c r="F54" i="13"/>
  <c r="H54" i="13"/>
  <c r="L54" i="13" s="1"/>
  <c r="F55" i="20"/>
  <c r="D55" i="20"/>
  <c r="G55" i="20"/>
  <c r="K55" i="20" s="1"/>
  <c r="H55" i="20"/>
  <c r="L55" i="20" s="1"/>
  <c r="G55" i="25"/>
  <c r="H55" i="25"/>
  <c r="D59" i="20"/>
  <c r="G59" i="20"/>
  <c r="H59" i="20"/>
  <c r="F59" i="20"/>
  <c r="J59" i="20" s="1"/>
  <c r="I59" i="20"/>
  <c r="D64" i="13"/>
  <c r="D65" i="13" s="1"/>
  <c r="E65" i="13"/>
  <c r="F59" i="14"/>
  <c r="H59" i="14"/>
  <c r="I59" i="14"/>
  <c r="D59" i="14"/>
  <c r="G59" i="14"/>
  <c r="D63" i="14"/>
  <c r="E65" i="8"/>
  <c r="D63" i="8"/>
  <c r="D65" i="8" s="1"/>
  <c r="D63" i="22"/>
  <c r="D65" i="22" s="1"/>
  <c r="E65" i="22"/>
  <c r="D60" i="17"/>
  <c r="I60" i="17"/>
  <c r="D56" i="8"/>
  <c r="G56" i="8"/>
  <c r="H56" i="8"/>
  <c r="L56" i="8" s="1"/>
  <c r="F56" i="8"/>
  <c r="BH25" i="27"/>
  <c r="BH26" i="27"/>
  <c r="BI25" i="27"/>
  <c r="BI26" i="27"/>
  <c r="BJ26" i="27"/>
  <c r="BK26" i="27"/>
  <c r="BJ25" i="27"/>
  <c r="BK25" i="27"/>
  <c r="BI38" i="27"/>
  <c r="BH38" i="27"/>
  <c r="BK38" i="27"/>
  <c r="BJ38" i="27"/>
  <c r="F57" i="5"/>
  <c r="N57" i="5" s="1"/>
  <c r="G57" i="5"/>
  <c r="D57" i="5"/>
  <c r="H57" i="5"/>
  <c r="X24" i="27"/>
  <c r="D55" i="13"/>
  <c r="G55" i="13"/>
  <c r="H55" i="13"/>
  <c r="F55" i="13"/>
  <c r="H47" i="20"/>
  <c r="P47" i="20" s="1"/>
  <c r="E47" i="20"/>
  <c r="X36" i="27"/>
  <c r="X26" i="27"/>
  <c r="X25" i="27"/>
  <c r="H65" i="16"/>
  <c r="G38" i="29"/>
  <c r="E63" i="29"/>
  <c r="D63" i="29" s="1"/>
  <c r="C140" i="11"/>
  <c r="C140" i="12"/>
  <c r="F65" i="8"/>
  <c r="F65" i="13"/>
  <c r="G40" i="29"/>
  <c r="G42" i="29"/>
  <c r="F65" i="15"/>
  <c r="F65" i="16"/>
  <c r="F65" i="22"/>
  <c r="H65" i="15"/>
  <c r="H65" i="8"/>
  <c r="H40" i="29"/>
  <c r="H31" i="29"/>
  <c r="F65" i="23"/>
  <c r="F65" i="21"/>
  <c r="F65" i="11"/>
  <c r="F65" i="9"/>
  <c r="F65" i="7"/>
  <c r="F65" i="17"/>
  <c r="F65" i="18"/>
  <c r="J60" i="5"/>
  <c r="F9" i="12"/>
  <c r="G9" i="12"/>
  <c r="H9" i="12"/>
  <c r="D46" i="19"/>
  <c r="D49" i="19" s="1"/>
  <c r="H46" i="19"/>
  <c r="F46" i="19"/>
  <c r="G46" i="19"/>
  <c r="D46" i="16"/>
  <c r="D49" i="16" s="1"/>
  <c r="H46" i="16"/>
  <c r="F46" i="16"/>
  <c r="G46" i="16"/>
  <c r="F46" i="13"/>
  <c r="G46" i="13"/>
  <c r="D46" i="13"/>
  <c r="D49" i="13" s="1"/>
  <c r="H46" i="13"/>
  <c r="D46" i="20"/>
  <c r="D49" i="20" s="1"/>
  <c r="F46" i="20"/>
  <c r="G46" i="20"/>
  <c r="H46" i="20"/>
  <c r="D46" i="18"/>
  <c r="D49" i="18" s="1"/>
  <c r="G46" i="18"/>
  <c r="H46" i="18"/>
  <c r="F46" i="18"/>
  <c r="D46" i="17"/>
  <c r="D49" i="17" s="1"/>
  <c r="G46" i="17"/>
  <c r="H46" i="17"/>
  <c r="F46" i="17"/>
  <c r="D46" i="7"/>
  <c r="D49" i="7" s="1"/>
  <c r="G46" i="7"/>
  <c r="H46" i="7"/>
  <c r="F46" i="7"/>
  <c r="D46" i="9"/>
  <c r="D49" i="9" s="1"/>
  <c r="F46" i="9"/>
  <c r="G46" i="9"/>
  <c r="H46" i="9"/>
  <c r="G46" i="5"/>
  <c r="F46" i="5"/>
  <c r="D46" i="5"/>
  <c r="H46" i="5"/>
  <c r="F46" i="14"/>
  <c r="G46" i="14"/>
  <c r="D46" i="14"/>
  <c r="D49" i="14" s="1"/>
  <c r="H46" i="14"/>
  <c r="F46" i="26"/>
  <c r="H46" i="26"/>
  <c r="G46" i="26"/>
  <c r="D46" i="26"/>
  <c r="D49" i="26" s="1"/>
  <c r="F6" i="20"/>
  <c r="C52" i="16"/>
  <c r="C53" i="5"/>
  <c r="G43" i="29"/>
  <c r="F22" i="14"/>
  <c r="N22" i="14" s="1"/>
  <c r="G22" i="14"/>
  <c r="O22" i="14" s="1"/>
  <c r="D22" i="14"/>
  <c r="H22" i="14"/>
  <c r="P22" i="14" s="1"/>
  <c r="E56" i="5"/>
  <c r="E55" i="12"/>
  <c r="I55" i="12" s="1"/>
  <c r="G100" i="11"/>
  <c r="G104" i="11" s="1"/>
  <c r="C53" i="11" s="1"/>
  <c r="E53" i="11" s="1"/>
  <c r="E104" i="11"/>
  <c r="E121" i="11" s="1"/>
  <c r="G100" i="21"/>
  <c r="G100" i="22"/>
  <c r="G104" i="22" s="1"/>
  <c r="C53" i="22" s="1"/>
  <c r="E53" i="22" s="1"/>
  <c r="E104" i="22"/>
  <c r="E121" i="22" s="1"/>
  <c r="C57" i="19"/>
  <c r="E57" i="19" s="1"/>
  <c r="I57" i="19" s="1"/>
  <c r="C57" i="16"/>
  <c r="E57" i="16" s="1"/>
  <c r="D64" i="9"/>
  <c r="D65" i="9" s="1"/>
  <c r="E65" i="9"/>
  <c r="G65" i="5"/>
  <c r="J23" i="12"/>
  <c r="D25" i="12"/>
  <c r="E28" i="29"/>
  <c r="D28" i="29" s="1"/>
  <c r="D46" i="15"/>
  <c r="D49" i="15" s="1"/>
  <c r="F46" i="15"/>
  <c r="H46" i="15"/>
  <c r="G46" i="15"/>
  <c r="E49" i="29"/>
  <c r="D46" i="8"/>
  <c r="D49" i="8" s="1"/>
  <c r="H46" i="8"/>
  <c r="G46" i="8"/>
  <c r="F46" i="8"/>
  <c r="D46" i="10"/>
  <c r="D49" i="10" s="1"/>
  <c r="F46" i="10"/>
  <c r="G46" i="10"/>
  <c r="H46" i="10"/>
  <c r="D46" i="11"/>
  <c r="D49" i="11" s="1"/>
  <c r="F46" i="11"/>
  <c r="G46" i="11"/>
  <c r="H46" i="11"/>
  <c r="D46" i="21"/>
  <c r="D49" i="21" s="1"/>
  <c r="F46" i="21"/>
  <c r="G46" i="21"/>
  <c r="H46" i="21"/>
  <c r="D46" i="22"/>
  <c r="D49" i="22" s="1"/>
  <c r="F46" i="22"/>
  <c r="G46" i="22"/>
  <c r="H46" i="22"/>
  <c r="D46" i="23"/>
  <c r="D49" i="23" s="1"/>
  <c r="F46" i="23"/>
  <c r="G46" i="23"/>
  <c r="H46" i="23"/>
  <c r="H46" i="24"/>
  <c r="G46" i="24"/>
  <c r="D46" i="24"/>
  <c r="D49" i="24" s="1"/>
  <c r="F46" i="24"/>
  <c r="G46" i="25"/>
  <c r="H46" i="25"/>
  <c r="D46" i="25"/>
  <c r="D49" i="25" s="1"/>
  <c r="F46" i="25"/>
  <c r="E100" i="14"/>
  <c r="D104" i="14"/>
  <c r="G100" i="20"/>
  <c r="G104" i="20" s="1"/>
  <c r="C53" i="20" s="1"/>
  <c r="E53" i="20" s="1"/>
  <c r="E104" i="20"/>
  <c r="G100" i="19"/>
  <c r="G104" i="19" s="1"/>
  <c r="C53" i="19" s="1"/>
  <c r="E53" i="19" s="1"/>
  <c r="E104" i="19"/>
  <c r="E121" i="19" s="1"/>
  <c r="E100" i="8"/>
  <c r="D104" i="8"/>
  <c r="D121" i="8" s="1"/>
  <c r="E100" i="9"/>
  <c r="D104" i="9"/>
  <c r="E100" i="10"/>
  <c r="D104" i="10"/>
  <c r="E100" i="13"/>
  <c r="D104" i="13"/>
  <c r="C57" i="8"/>
  <c r="E57" i="8" s="1"/>
  <c r="C57" i="22"/>
  <c r="E57" i="22" s="1"/>
  <c r="I57" i="22" s="1"/>
  <c r="C52" i="10"/>
  <c r="C52" i="13"/>
  <c r="E58" i="20"/>
  <c r="M58" i="20" s="1"/>
  <c r="D58" i="9"/>
  <c r="F58" i="9"/>
  <c r="G58" i="9"/>
  <c r="H58" i="9"/>
  <c r="I58" i="9"/>
  <c r="D58" i="25"/>
  <c r="F58" i="25"/>
  <c r="J58" i="25" s="1"/>
  <c r="G58" i="25"/>
  <c r="H58" i="25"/>
  <c r="L58" i="25" s="1"/>
  <c r="I58" i="25"/>
  <c r="D59" i="7"/>
  <c r="H59" i="7"/>
  <c r="F59" i="7"/>
  <c r="J59" i="7" s="1"/>
  <c r="G59" i="7"/>
  <c r="I59" i="7"/>
  <c r="H59" i="23"/>
  <c r="D59" i="23"/>
  <c r="F59" i="23"/>
  <c r="G59" i="23"/>
  <c r="I59" i="23"/>
  <c r="D64" i="26"/>
  <c r="D65" i="26" s="1"/>
  <c r="E65" i="26"/>
  <c r="C29" i="17"/>
  <c r="D12" i="49" s="1"/>
  <c r="E85" i="49" s="1"/>
  <c r="E13" i="21"/>
  <c r="D13" i="21" s="1"/>
  <c r="G6" i="20"/>
  <c r="C121" i="8"/>
  <c r="E59" i="5"/>
  <c r="M59" i="5" s="1"/>
  <c r="H43" i="29"/>
  <c r="D40" i="12"/>
  <c r="E43" i="29"/>
  <c r="E32" i="34"/>
  <c r="G100" i="17"/>
  <c r="G104" i="17" s="1"/>
  <c r="C53" i="17" s="1"/>
  <c r="E53" i="17" s="1"/>
  <c r="E104" i="17"/>
  <c r="G100" i="16"/>
  <c r="G104" i="16" s="1"/>
  <c r="C53" i="16" s="1"/>
  <c r="E53" i="16" s="1"/>
  <c r="E104" i="16"/>
  <c r="E121" i="16" s="1"/>
  <c r="C57" i="15"/>
  <c r="E57" i="15" s="1"/>
  <c r="F7" i="11"/>
  <c r="H7" i="11"/>
  <c r="H11" i="11" s="1"/>
  <c r="G7" i="11"/>
  <c r="D64" i="24"/>
  <c r="E65" i="24"/>
  <c r="H65" i="5"/>
  <c r="L23" i="12"/>
  <c r="G57" i="26"/>
  <c r="D57" i="26"/>
  <c r="F57" i="26"/>
  <c r="H57" i="26"/>
  <c r="D58" i="21"/>
  <c r="F58" i="21"/>
  <c r="J58" i="21" s="1"/>
  <c r="G58" i="21"/>
  <c r="H58" i="21"/>
  <c r="I58" i="21"/>
  <c r="D59" i="18"/>
  <c r="H59" i="18"/>
  <c r="F59" i="18"/>
  <c r="J59" i="18" s="1"/>
  <c r="G59" i="18"/>
  <c r="K59" i="18" s="1"/>
  <c r="I59" i="18"/>
  <c r="H59" i="11"/>
  <c r="D59" i="11"/>
  <c r="F59" i="11"/>
  <c r="G59" i="11"/>
  <c r="I59" i="11"/>
  <c r="D64" i="10"/>
  <c r="D65" i="10" s="1"/>
  <c r="E65" i="10"/>
  <c r="F8" i="23"/>
  <c r="H8" i="23"/>
  <c r="G8" i="23"/>
  <c r="H7" i="12"/>
  <c r="F7" i="12"/>
  <c r="G7" i="12"/>
  <c r="F7" i="10"/>
  <c r="H7" i="10"/>
  <c r="G7" i="10"/>
  <c r="G7" i="17"/>
  <c r="F7" i="17"/>
  <c r="H7" i="17"/>
  <c r="G7" i="21"/>
  <c r="F7" i="21"/>
  <c r="H7" i="21"/>
  <c r="F7" i="24"/>
  <c r="H7" i="24"/>
  <c r="G7" i="24"/>
  <c r="H6" i="12"/>
  <c r="F6" i="12"/>
  <c r="G6" i="12"/>
  <c r="F6" i="25"/>
  <c r="H6" i="25"/>
  <c r="F6" i="9"/>
  <c r="H6" i="9"/>
  <c r="H6" i="5"/>
  <c r="F6" i="5"/>
  <c r="G6" i="5"/>
  <c r="B5" i="34"/>
  <c r="G6" i="14"/>
  <c r="F6" i="14"/>
  <c r="H6" i="14"/>
  <c r="E11" i="26"/>
  <c r="B51" i="34" s="1"/>
  <c r="G6" i="26"/>
  <c r="F6" i="26"/>
  <c r="H6" i="26"/>
  <c r="E9" i="29"/>
  <c r="E11" i="12"/>
  <c r="C16" i="29"/>
  <c r="C29" i="14"/>
  <c r="D7" i="49" s="1"/>
  <c r="E80" i="49" s="1"/>
  <c r="E13" i="14"/>
  <c r="M13" i="14" s="1"/>
  <c r="D13" i="10"/>
  <c r="G13" i="10"/>
  <c r="O13" i="10" s="1"/>
  <c r="H13" i="10"/>
  <c r="P13" i="10" s="1"/>
  <c r="F13" i="10"/>
  <c r="N13" i="10" s="1"/>
  <c r="D13" i="22"/>
  <c r="G13" i="22"/>
  <c r="O13" i="22" s="1"/>
  <c r="H13" i="22"/>
  <c r="P13" i="22" s="1"/>
  <c r="F13" i="22"/>
  <c r="N13" i="22" s="1"/>
  <c r="D13" i="17"/>
  <c r="H13" i="17"/>
  <c r="P13" i="17" s="1"/>
  <c r="F13" i="17"/>
  <c r="N13" i="17" s="1"/>
  <c r="G13" i="17"/>
  <c r="O13" i="17" s="1"/>
  <c r="E29" i="17"/>
  <c r="C38" i="34" s="1"/>
  <c r="D13" i="19"/>
  <c r="G13" i="19"/>
  <c r="O13" i="19" s="1"/>
  <c r="H13" i="19"/>
  <c r="P13" i="19" s="1"/>
  <c r="F13" i="19"/>
  <c r="N13" i="19" s="1"/>
  <c r="D13" i="16"/>
  <c r="G13" i="16"/>
  <c r="O13" i="16" s="1"/>
  <c r="H13" i="16"/>
  <c r="P13" i="16" s="1"/>
  <c r="F13" i="16"/>
  <c r="N13" i="16" s="1"/>
  <c r="D13" i="7"/>
  <c r="H13" i="7"/>
  <c r="P13" i="7" s="1"/>
  <c r="F13" i="7"/>
  <c r="N13" i="7" s="1"/>
  <c r="G13" i="7"/>
  <c r="O13" i="7" s="1"/>
  <c r="D13" i="11"/>
  <c r="H13" i="11"/>
  <c r="P13" i="11" s="1"/>
  <c r="F13" i="11"/>
  <c r="N13" i="11" s="1"/>
  <c r="G13" i="11"/>
  <c r="O13" i="11" s="1"/>
  <c r="D13" i="15"/>
  <c r="G13" i="15"/>
  <c r="O13" i="15" s="1"/>
  <c r="H13" i="15"/>
  <c r="P13" i="15" s="1"/>
  <c r="F13" i="15"/>
  <c r="N13" i="15" s="1"/>
  <c r="C19" i="34"/>
  <c r="G17" i="5"/>
  <c r="F17" i="5"/>
  <c r="H17" i="5"/>
  <c r="E20" i="29"/>
  <c r="D20" i="29" s="1"/>
  <c r="D17" i="5"/>
  <c r="E11" i="5"/>
  <c r="G8" i="5"/>
  <c r="H8" i="5"/>
  <c r="F8" i="5"/>
  <c r="B4" i="34"/>
  <c r="G11" i="8" l="1"/>
  <c r="G47" i="5"/>
  <c r="K47" i="5" s="1"/>
  <c r="J4" i="30"/>
  <c r="K4" i="30" s="1"/>
  <c r="C49" i="5"/>
  <c r="E5" i="49" s="1"/>
  <c r="F78" i="49" s="1"/>
  <c r="R11" i="49"/>
  <c r="E47" i="5"/>
  <c r="J17" i="30"/>
  <c r="J12" i="30"/>
  <c r="J24" i="30"/>
  <c r="K24" i="30" s="1"/>
  <c r="J19" i="30"/>
  <c r="K19" i="30" s="1"/>
  <c r="J29" i="30"/>
  <c r="K29" i="30" s="1"/>
  <c r="J11" i="30"/>
  <c r="K11" i="30" s="1"/>
  <c r="J21" i="30"/>
  <c r="K21" i="30" s="1"/>
  <c r="J50" i="30"/>
  <c r="K50" i="30" s="1"/>
  <c r="H22" i="30"/>
  <c r="H34" i="30"/>
  <c r="I34" i="30" s="1"/>
  <c r="I38" i="30"/>
  <c r="J38" i="30" s="1"/>
  <c r="K38" i="30" s="1"/>
  <c r="H6" i="30"/>
  <c r="I6" i="30" s="1"/>
  <c r="H23" i="30"/>
  <c r="I23" i="30" s="1"/>
  <c r="H5" i="30"/>
  <c r="I5" i="30" s="1"/>
  <c r="J5" i="30" s="1"/>
  <c r="H31" i="30"/>
  <c r="I31" i="30" s="1"/>
  <c r="I15" i="30"/>
  <c r="J15" i="30" s="1"/>
  <c r="H49" i="30"/>
  <c r="I49" i="30" s="1"/>
  <c r="J49" i="30" s="1"/>
  <c r="H7" i="30"/>
  <c r="I7" i="30" s="1"/>
  <c r="J7" i="30" s="1"/>
  <c r="K7" i="30" s="1"/>
  <c r="K14" i="30"/>
  <c r="J16" i="30"/>
  <c r="K16" i="30" s="1"/>
  <c r="H35" i="30"/>
  <c r="I35" i="30" s="1"/>
  <c r="J35" i="30" s="1"/>
  <c r="H18" i="30"/>
  <c r="I18" i="30" s="1"/>
  <c r="F22" i="5"/>
  <c r="N22" i="5" s="1"/>
  <c r="D22" i="5"/>
  <c r="H36" i="30"/>
  <c r="H32" i="30"/>
  <c r="I32" i="30" s="1"/>
  <c r="H45" i="30"/>
  <c r="I45" i="30" s="1"/>
  <c r="J13" i="30"/>
  <c r="K13" i="30" s="1"/>
  <c r="H33" i="30"/>
  <c r="H40" i="30"/>
  <c r="I40" i="30" s="1"/>
  <c r="H26" i="50"/>
  <c r="P65" i="23"/>
  <c r="H49" i="19"/>
  <c r="P55" i="7"/>
  <c r="I47" i="21"/>
  <c r="L47" i="15"/>
  <c r="L49" i="15" s="1"/>
  <c r="L47" i="18"/>
  <c r="L49" i="18" s="1"/>
  <c r="P47" i="19"/>
  <c r="P49" i="19" s="1"/>
  <c r="F49" i="23"/>
  <c r="F49" i="9"/>
  <c r="M47" i="9"/>
  <c r="J47" i="9"/>
  <c r="J49" i="9" s="1"/>
  <c r="O54" i="16"/>
  <c r="N47" i="7"/>
  <c r="K47" i="20"/>
  <c r="K49" i="20" s="1"/>
  <c r="N47" i="23"/>
  <c r="N49" i="23" s="1"/>
  <c r="O47" i="5"/>
  <c r="N58" i="7"/>
  <c r="G11" i="16"/>
  <c r="N59" i="20"/>
  <c r="O58" i="7"/>
  <c r="O48" i="18"/>
  <c r="N47" i="24"/>
  <c r="N49" i="24" s="1"/>
  <c r="N59" i="17"/>
  <c r="N54" i="9"/>
  <c r="P54" i="18"/>
  <c r="P56" i="8"/>
  <c r="D22" i="12"/>
  <c r="H22" i="5"/>
  <c r="P22" i="5" s="1"/>
  <c r="M47" i="17"/>
  <c r="M65" i="15"/>
  <c r="P47" i="9"/>
  <c r="O59" i="24"/>
  <c r="N56" i="16"/>
  <c r="P59" i="26"/>
  <c r="N56" i="7"/>
  <c r="O54" i="11"/>
  <c r="O57" i="25"/>
  <c r="O54" i="18"/>
  <c r="O55" i="21"/>
  <c r="N56" i="11"/>
  <c r="O48" i="24"/>
  <c r="N59" i="18"/>
  <c r="O55" i="10"/>
  <c r="N47" i="19"/>
  <c r="N54" i="24"/>
  <c r="I52" i="9"/>
  <c r="J47" i="26"/>
  <c r="L47" i="13"/>
  <c r="O48" i="17"/>
  <c r="O48" i="25"/>
  <c r="O47" i="24"/>
  <c r="O56" i="26"/>
  <c r="O56" i="19"/>
  <c r="O59" i="8"/>
  <c r="N48" i="25"/>
  <c r="P55" i="9"/>
  <c r="N54" i="25"/>
  <c r="P55" i="10"/>
  <c r="P55" i="16"/>
  <c r="P48" i="25"/>
  <c r="P49" i="25" s="1"/>
  <c r="N55" i="18"/>
  <c r="P59" i="21"/>
  <c r="J47" i="14"/>
  <c r="O56" i="16"/>
  <c r="G49" i="20"/>
  <c r="D52" i="9"/>
  <c r="F22" i="25"/>
  <c r="N22" i="25" s="1"/>
  <c r="H52" i="9"/>
  <c r="P52" i="9" s="1"/>
  <c r="M52" i="9"/>
  <c r="O47" i="13"/>
  <c r="N47" i="21"/>
  <c r="N55" i="15"/>
  <c r="N56" i="12"/>
  <c r="M55" i="12"/>
  <c r="O58" i="24"/>
  <c r="O58" i="15"/>
  <c r="P54" i="13"/>
  <c r="M47" i="18"/>
  <c r="P58" i="5"/>
  <c r="G52" i="9"/>
  <c r="O52" i="9" s="1"/>
  <c r="O48" i="22"/>
  <c r="O54" i="9"/>
  <c r="O57" i="18"/>
  <c r="N48" i="12"/>
  <c r="P58" i="25"/>
  <c r="P54" i="14"/>
  <c r="M48" i="22"/>
  <c r="O59" i="18"/>
  <c r="M58" i="22"/>
  <c r="E29" i="19"/>
  <c r="C35" i="34" s="1"/>
  <c r="K47" i="11"/>
  <c r="J47" i="8"/>
  <c r="M58" i="24"/>
  <c r="M53" i="7"/>
  <c r="N56" i="15"/>
  <c r="P47" i="21"/>
  <c r="P56" i="12"/>
  <c r="P48" i="11"/>
  <c r="M48" i="9"/>
  <c r="M49" i="9" s="1"/>
  <c r="N47" i="15"/>
  <c r="K15" i="33"/>
  <c r="K17" i="33"/>
  <c r="K19" i="33"/>
  <c r="L59" i="11"/>
  <c r="P59" i="11"/>
  <c r="L59" i="18"/>
  <c r="P59" i="18"/>
  <c r="K58" i="21"/>
  <c r="O58" i="21"/>
  <c r="J57" i="26"/>
  <c r="N57" i="26"/>
  <c r="I53" i="16"/>
  <c r="M53" i="16"/>
  <c r="J59" i="23"/>
  <c r="N59" i="23"/>
  <c r="K59" i="7"/>
  <c r="O59" i="7"/>
  <c r="J58" i="9"/>
  <c r="N58" i="9"/>
  <c r="I56" i="5"/>
  <c r="M56" i="5"/>
  <c r="M59" i="29" s="1"/>
  <c r="Q59" i="29" s="1"/>
  <c r="N86" i="49"/>
  <c r="O86" i="49" s="1"/>
  <c r="P86" i="49" s="1"/>
  <c r="I47" i="20"/>
  <c r="M47" i="20"/>
  <c r="L59" i="14"/>
  <c r="P59" i="14"/>
  <c r="J54" i="13"/>
  <c r="N54" i="13"/>
  <c r="K58" i="16"/>
  <c r="O58" i="16"/>
  <c r="L56" i="11"/>
  <c r="P56" i="11"/>
  <c r="L56" i="18"/>
  <c r="P56" i="18"/>
  <c r="J58" i="5"/>
  <c r="N58" i="5"/>
  <c r="K55" i="8"/>
  <c r="O55" i="8"/>
  <c r="J52" i="9"/>
  <c r="N52" i="9"/>
  <c r="K55" i="22"/>
  <c r="O55" i="22"/>
  <c r="L59" i="22"/>
  <c r="P59" i="22"/>
  <c r="J58" i="8"/>
  <c r="N58" i="8"/>
  <c r="L58" i="14"/>
  <c r="P58" i="14"/>
  <c r="L54" i="17"/>
  <c r="P54" i="17"/>
  <c r="K48" i="11"/>
  <c r="O48" i="11"/>
  <c r="O49" i="11" s="1"/>
  <c r="I48" i="20"/>
  <c r="M48" i="20"/>
  <c r="L48" i="22"/>
  <c r="P48" i="22"/>
  <c r="J55" i="23"/>
  <c r="N55" i="23"/>
  <c r="J58" i="15"/>
  <c r="N58" i="15"/>
  <c r="K56" i="21"/>
  <c r="O56" i="21"/>
  <c r="L54" i="16"/>
  <c r="P54" i="16"/>
  <c r="L59" i="19"/>
  <c r="P59" i="19"/>
  <c r="J55" i="19"/>
  <c r="N55" i="19"/>
  <c r="L59" i="17"/>
  <c r="P59" i="17"/>
  <c r="K48" i="13"/>
  <c r="K49" i="13" s="1"/>
  <c r="O48" i="13"/>
  <c r="K54" i="19"/>
  <c r="O54" i="19"/>
  <c r="L48" i="5"/>
  <c r="L49" i="5" s="1"/>
  <c r="P48" i="5"/>
  <c r="J47" i="18"/>
  <c r="J49" i="18" s="1"/>
  <c r="N47" i="18"/>
  <c r="N49" i="18" s="1"/>
  <c r="L57" i="11"/>
  <c r="P57" i="11"/>
  <c r="J55" i="25"/>
  <c r="N55" i="25"/>
  <c r="J47" i="17"/>
  <c r="N47" i="17"/>
  <c r="L47" i="17"/>
  <c r="L49" i="17" s="1"/>
  <c r="P47" i="17"/>
  <c r="K57" i="5"/>
  <c r="O57" i="5"/>
  <c r="K56" i="8"/>
  <c r="O56" i="8"/>
  <c r="K56" i="15"/>
  <c r="O56" i="15"/>
  <c r="K58" i="18"/>
  <c r="O58" i="18"/>
  <c r="J54" i="8"/>
  <c r="N54" i="8"/>
  <c r="K55" i="9"/>
  <c r="O55" i="9"/>
  <c r="K47" i="15"/>
  <c r="K49" i="15" s="1"/>
  <c r="O47" i="15"/>
  <c r="O49" i="15" s="1"/>
  <c r="I48" i="23"/>
  <c r="M48" i="23"/>
  <c r="M49" i="23" s="1"/>
  <c r="J48" i="26"/>
  <c r="N48" i="26"/>
  <c r="N49" i="26" s="1"/>
  <c r="J56" i="21"/>
  <c r="N56" i="21"/>
  <c r="K47" i="21"/>
  <c r="K49" i="21" s="1"/>
  <c r="O47" i="21"/>
  <c r="O49" i="21" s="1"/>
  <c r="L47" i="14"/>
  <c r="L49" i="14" s="1"/>
  <c r="P47" i="14"/>
  <c r="P49" i="14" s="1"/>
  <c r="O47" i="7"/>
  <c r="O49" i="7" s="1"/>
  <c r="O56" i="24"/>
  <c r="N55" i="26"/>
  <c r="L59" i="7"/>
  <c r="P59" i="7"/>
  <c r="K58" i="25"/>
  <c r="O58" i="25"/>
  <c r="L58" i="9"/>
  <c r="P58" i="9"/>
  <c r="I53" i="20"/>
  <c r="M53" i="20"/>
  <c r="I53" i="11"/>
  <c r="M53" i="11"/>
  <c r="J55" i="13"/>
  <c r="N55" i="13"/>
  <c r="L59" i="20"/>
  <c r="P59" i="20"/>
  <c r="K55" i="25"/>
  <c r="O55" i="25"/>
  <c r="J55" i="20"/>
  <c r="N55" i="20"/>
  <c r="J59" i="15"/>
  <c r="N59" i="15"/>
  <c r="J58" i="16"/>
  <c r="N58" i="16"/>
  <c r="K58" i="5"/>
  <c r="O58" i="5"/>
  <c r="L55" i="8"/>
  <c r="P55" i="8"/>
  <c r="L55" i="22"/>
  <c r="P55" i="22"/>
  <c r="K55" i="18"/>
  <c r="O55" i="18"/>
  <c r="K55" i="14"/>
  <c r="O55" i="14"/>
  <c r="K54" i="23"/>
  <c r="O54" i="23"/>
  <c r="J58" i="14"/>
  <c r="N58" i="14"/>
  <c r="G59" i="12"/>
  <c r="M59" i="12"/>
  <c r="M62" i="29" s="1"/>
  <c r="Q62" i="29" s="1"/>
  <c r="J54" i="21"/>
  <c r="N54" i="21"/>
  <c r="K54" i="7"/>
  <c r="O54" i="7"/>
  <c r="J59" i="16"/>
  <c r="N59" i="16"/>
  <c r="K54" i="14"/>
  <c r="O54" i="14"/>
  <c r="J54" i="20"/>
  <c r="N54" i="20"/>
  <c r="K47" i="9"/>
  <c r="K49" i="9" s="1"/>
  <c r="O47" i="9"/>
  <c r="L48" i="9"/>
  <c r="L49" i="9" s="1"/>
  <c r="P48" i="9"/>
  <c r="J47" i="20"/>
  <c r="N47" i="20"/>
  <c r="N49" i="20" s="1"/>
  <c r="E78" i="49"/>
  <c r="I48" i="21"/>
  <c r="M48" i="21"/>
  <c r="M49" i="21" s="1"/>
  <c r="I47" i="22"/>
  <c r="I49" i="22" s="1"/>
  <c r="M47" i="22"/>
  <c r="I47" i="7"/>
  <c r="M47" i="7"/>
  <c r="J48" i="11"/>
  <c r="J49" i="11" s="1"/>
  <c r="N48" i="11"/>
  <c r="L48" i="10"/>
  <c r="P48" i="10"/>
  <c r="K47" i="18"/>
  <c r="K49" i="18" s="1"/>
  <c r="O47" i="18"/>
  <c r="L57" i="18"/>
  <c r="P57" i="18"/>
  <c r="J54" i="26"/>
  <c r="N54" i="26"/>
  <c r="L56" i="25"/>
  <c r="P56" i="25"/>
  <c r="L57" i="25"/>
  <c r="P57" i="25"/>
  <c r="L48" i="13"/>
  <c r="P48" i="13"/>
  <c r="P49" i="13" s="1"/>
  <c r="J47" i="13"/>
  <c r="N47" i="13"/>
  <c r="L56" i="20"/>
  <c r="P56" i="20"/>
  <c r="K56" i="14"/>
  <c r="O56" i="14"/>
  <c r="J54" i="10"/>
  <c r="N54" i="10"/>
  <c r="L55" i="24"/>
  <c r="P55" i="24"/>
  <c r="J84" i="49"/>
  <c r="J99" i="49" s="1"/>
  <c r="C26" i="49"/>
  <c r="C32" i="49" s="1"/>
  <c r="I48" i="8"/>
  <c r="M48" i="8"/>
  <c r="M49" i="8" s="1"/>
  <c r="L48" i="8"/>
  <c r="P48" i="8"/>
  <c r="J48" i="21"/>
  <c r="J49" i="21" s="1"/>
  <c r="N48" i="21"/>
  <c r="N49" i="21" s="1"/>
  <c r="I47" i="11"/>
  <c r="M47" i="11"/>
  <c r="J48" i="19"/>
  <c r="J49" i="19" s="1"/>
  <c r="N48" i="19"/>
  <c r="O56" i="12"/>
  <c r="O48" i="9"/>
  <c r="O54" i="8"/>
  <c r="O54" i="25"/>
  <c r="O54" i="24"/>
  <c r="P55" i="26"/>
  <c r="P56" i="16"/>
  <c r="P56" i="17"/>
  <c r="P56" i="19"/>
  <c r="I53" i="19"/>
  <c r="M53" i="19"/>
  <c r="I57" i="16"/>
  <c r="M57" i="16"/>
  <c r="K55" i="13"/>
  <c r="O55" i="13"/>
  <c r="J59" i="24"/>
  <c r="N59" i="24"/>
  <c r="L58" i="7"/>
  <c r="P58" i="7"/>
  <c r="J58" i="19"/>
  <c r="N58" i="19"/>
  <c r="L55" i="18"/>
  <c r="P55" i="18"/>
  <c r="J55" i="14"/>
  <c r="N55" i="14"/>
  <c r="J54" i="23"/>
  <c r="N54" i="23"/>
  <c r="K54" i="21"/>
  <c r="O54" i="21"/>
  <c r="J54" i="7"/>
  <c r="N54" i="7"/>
  <c r="L54" i="11"/>
  <c r="P54" i="11"/>
  <c r="K59" i="16"/>
  <c r="O59" i="16"/>
  <c r="J54" i="14"/>
  <c r="N54" i="14"/>
  <c r="K54" i="20"/>
  <c r="O54" i="20"/>
  <c r="I48" i="19"/>
  <c r="M48" i="19"/>
  <c r="M49" i="19" s="1"/>
  <c r="I48" i="7"/>
  <c r="M48" i="7"/>
  <c r="J47" i="22"/>
  <c r="N47" i="22"/>
  <c r="L47" i="24"/>
  <c r="L49" i="24" s="1"/>
  <c r="P47" i="24"/>
  <c r="J48" i="22"/>
  <c r="N48" i="22"/>
  <c r="L54" i="10"/>
  <c r="P54" i="10"/>
  <c r="E49" i="17"/>
  <c r="D38" i="34" s="1"/>
  <c r="M48" i="17"/>
  <c r="M49" i="17" s="1"/>
  <c r="J28" i="33"/>
  <c r="J15" i="33" s="1"/>
  <c r="X16" i="27"/>
  <c r="X17" i="27"/>
  <c r="J54" i="22"/>
  <c r="N54" i="22"/>
  <c r="I48" i="16"/>
  <c r="M48" i="16"/>
  <c r="K55" i="24"/>
  <c r="O55" i="24"/>
  <c r="O56" i="9"/>
  <c r="M47" i="13"/>
  <c r="M49" i="13" s="1"/>
  <c r="O58" i="13"/>
  <c r="N48" i="10"/>
  <c r="N49" i="10" s="1"/>
  <c r="N55" i="11"/>
  <c r="X12" i="27"/>
  <c r="J59" i="13"/>
  <c r="N59" i="13"/>
  <c r="J56" i="10"/>
  <c r="N56" i="10"/>
  <c r="L59" i="9"/>
  <c r="P59" i="9"/>
  <c r="K55" i="16"/>
  <c r="O55" i="16"/>
  <c r="L47" i="16"/>
  <c r="P47" i="16"/>
  <c r="K47" i="17"/>
  <c r="K49" i="17" s="1"/>
  <c r="O47" i="17"/>
  <c r="I47" i="12"/>
  <c r="I49" i="12" s="1"/>
  <c r="M47" i="12"/>
  <c r="M49" i="12" s="1"/>
  <c r="M58" i="11"/>
  <c r="P56" i="7"/>
  <c r="O55" i="20"/>
  <c r="J59" i="11"/>
  <c r="N59" i="11"/>
  <c r="K57" i="26"/>
  <c r="O57" i="26"/>
  <c r="I57" i="15"/>
  <c r="M57" i="15"/>
  <c r="I53" i="17"/>
  <c r="M53" i="17"/>
  <c r="L59" i="23"/>
  <c r="P59" i="23"/>
  <c r="I57" i="8"/>
  <c r="M57" i="8"/>
  <c r="P57" i="5"/>
  <c r="L57" i="5"/>
  <c r="J56" i="8"/>
  <c r="N56" i="8"/>
  <c r="L28" i="33"/>
  <c r="L15" i="33" s="1"/>
  <c r="AA14" i="27" s="1"/>
  <c r="L59" i="13"/>
  <c r="P59" i="13"/>
  <c r="L56" i="26"/>
  <c r="P56" i="26"/>
  <c r="L56" i="22"/>
  <c r="P56" i="22"/>
  <c r="K56" i="10"/>
  <c r="O56" i="10"/>
  <c r="I57" i="17"/>
  <c r="M57" i="17"/>
  <c r="J56" i="13"/>
  <c r="N56" i="13"/>
  <c r="J56" i="24"/>
  <c r="N56" i="24"/>
  <c r="L56" i="15"/>
  <c r="P56" i="15"/>
  <c r="J59" i="9"/>
  <c r="N59" i="9"/>
  <c r="L59" i="25"/>
  <c r="P59" i="25"/>
  <c r="L54" i="24"/>
  <c r="P54" i="24"/>
  <c r="K55" i="17"/>
  <c r="O55" i="17"/>
  <c r="J55" i="16"/>
  <c r="N55" i="16"/>
  <c r="I47" i="26"/>
  <c r="I49" i="26" s="1"/>
  <c r="M47" i="26"/>
  <c r="K47" i="14"/>
  <c r="K49" i="14" s="1"/>
  <c r="O47" i="14"/>
  <c r="F58" i="26"/>
  <c r="M58" i="26"/>
  <c r="L47" i="11"/>
  <c r="L49" i="11" s="1"/>
  <c r="P47" i="11"/>
  <c r="L47" i="8"/>
  <c r="L49" i="8" s="1"/>
  <c r="P47" i="8"/>
  <c r="P49" i="8" s="1"/>
  <c r="J57" i="18"/>
  <c r="N57" i="18"/>
  <c r="K58" i="22"/>
  <c r="O58" i="22"/>
  <c r="J48" i="7"/>
  <c r="J49" i="7" s="1"/>
  <c r="N48" i="7"/>
  <c r="P48" i="24"/>
  <c r="O47" i="22"/>
  <c r="N55" i="17"/>
  <c r="O58" i="8"/>
  <c r="N58" i="18"/>
  <c r="N54" i="18"/>
  <c r="P59" i="8"/>
  <c r="N55" i="10"/>
  <c r="P54" i="9"/>
  <c r="E11" i="52"/>
  <c r="F11" i="52" s="1"/>
  <c r="D11" i="52"/>
  <c r="J26" i="50"/>
  <c r="D73" i="49"/>
  <c r="E52" i="49"/>
  <c r="O5" i="46"/>
  <c r="N5" i="45"/>
  <c r="O5" i="45" s="1"/>
  <c r="P5" i="45" s="1"/>
  <c r="K59" i="11"/>
  <c r="O59" i="11"/>
  <c r="X39" i="27"/>
  <c r="K59" i="14"/>
  <c r="O59" i="14"/>
  <c r="J59" i="14"/>
  <c r="N59" i="14"/>
  <c r="L55" i="25"/>
  <c r="P55" i="25"/>
  <c r="J57" i="5"/>
  <c r="J56" i="26"/>
  <c r="N56" i="26"/>
  <c r="J56" i="22"/>
  <c r="N56" i="22"/>
  <c r="L56" i="10"/>
  <c r="P56" i="10"/>
  <c r="J56" i="19"/>
  <c r="N56" i="19"/>
  <c r="N82" i="49"/>
  <c r="O82" i="49" s="1"/>
  <c r="P82" i="49" s="1"/>
  <c r="K56" i="13"/>
  <c r="O56" i="13"/>
  <c r="K59" i="25"/>
  <c r="O59" i="25"/>
  <c r="K55" i="15"/>
  <c r="O55" i="15"/>
  <c r="K59" i="15"/>
  <c r="O59" i="15"/>
  <c r="K56" i="11"/>
  <c r="O56" i="11"/>
  <c r="K56" i="18"/>
  <c r="O56" i="18"/>
  <c r="J55" i="8"/>
  <c r="N55" i="8"/>
  <c r="L59" i="24"/>
  <c r="P59" i="24"/>
  <c r="J55" i="22"/>
  <c r="N55" i="22"/>
  <c r="L54" i="25"/>
  <c r="P54" i="25"/>
  <c r="K54" i="17"/>
  <c r="O54" i="17"/>
  <c r="L54" i="7"/>
  <c r="P54" i="7"/>
  <c r="J59" i="8"/>
  <c r="N59" i="8"/>
  <c r="L55" i="17"/>
  <c r="P55" i="17"/>
  <c r="I48" i="24"/>
  <c r="M48" i="24"/>
  <c r="M49" i="24" s="1"/>
  <c r="L48" i="23"/>
  <c r="P48" i="23"/>
  <c r="G47" i="26"/>
  <c r="G49" i="26" s="1"/>
  <c r="G47" i="8"/>
  <c r="H22" i="13"/>
  <c r="P22" i="13" s="1"/>
  <c r="L48" i="21"/>
  <c r="L49" i="21" s="1"/>
  <c r="P48" i="21"/>
  <c r="H47" i="22"/>
  <c r="I48" i="18"/>
  <c r="I49" i="18" s="1"/>
  <c r="M48" i="18"/>
  <c r="H47" i="7"/>
  <c r="H49" i="7" s="1"/>
  <c r="I48" i="11"/>
  <c r="M48" i="11"/>
  <c r="L57" i="23"/>
  <c r="P57" i="23"/>
  <c r="L56" i="21"/>
  <c r="P56" i="21"/>
  <c r="J54" i="19"/>
  <c r="N54" i="19"/>
  <c r="J48" i="13"/>
  <c r="N48" i="13"/>
  <c r="K56" i="17"/>
  <c r="O56" i="17"/>
  <c r="E47" i="16"/>
  <c r="J48" i="17"/>
  <c r="N48" i="17"/>
  <c r="J47" i="16"/>
  <c r="J49" i="16" s="1"/>
  <c r="J57" i="11"/>
  <c r="N57" i="11"/>
  <c r="L54" i="22"/>
  <c r="P54" i="22"/>
  <c r="K59" i="10"/>
  <c r="O59" i="10"/>
  <c r="G47" i="12"/>
  <c r="G49" i="12" s="1"/>
  <c r="L48" i="26"/>
  <c r="P48" i="26"/>
  <c r="K47" i="23"/>
  <c r="K49" i="23" s="1"/>
  <c r="O47" i="23"/>
  <c r="J55" i="24"/>
  <c r="N55" i="24"/>
  <c r="I48" i="15"/>
  <c r="M48" i="15"/>
  <c r="G47" i="25"/>
  <c r="L48" i="16"/>
  <c r="P48" i="16"/>
  <c r="J48" i="15"/>
  <c r="J49" i="15" s="1"/>
  <c r="N48" i="15"/>
  <c r="H47" i="10"/>
  <c r="H49" i="10" s="1"/>
  <c r="J48" i="8"/>
  <c r="N48" i="8"/>
  <c r="N49" i="8" s="1"/>
  <c r="L58" i="13"/>
  <c r="P58" i="13"/>
  <c r="E47" i="25"/>
  <c r="E49" i="25" s="1"/>
  <c r="D50" i="34" s="1"/>
  <c r="F47" i="25"/>
  <c r="F49" i="25" s="1"/>
  <c r="H47" i="26"/>
  <c r="L47" i="12"/>
  <c r="N59" i="7"/>
  <c r="O48" i="23"/>
  <c r="O48" i="14"/>
  <c r="O47" i="19"/>
  <c r="O59" i="19"/>
  <c r="O55" i="11"/>
  <c r="P55" i="20"/>
  <c r="P58" i="8"/>
  <c r="N58" i="21"/>
  <c r="N58" i="25"/>
  <c r="N56" i="17"/>
  <c r="N56" i="18"/>
  <c r="N54" i="16"/>
  <c r="P59" i="15"/>
  <c r="M48" i="5"/>
  <c r="N57" i="23"/>
  <c r="P48" i="18"/>
  <c r="M48" i="10"/>
  <c r="M49" i="10" s="1"/>
  <c r="M48" i="26"/>
  <c r="O5" i="50"/>
  <c r="O26" i="50" s="1"/>
  <c r="N26" i="50"/>
  <c r="D6" i="52"/>
  <c r="E6" i="52"/>
  <c r="F6" i="52" s="1"/>
  <c r="E25" i="52"/>
  <c r="F25" i="52" s="1"/>
  <c r="D25" i="52"/>
  <c r="D24" i="52"/>
  <c r="E24" i="52"/>
  <c r="F24" i="52" s="1"/>
  <c r="G5" i="50"/>
  <c r="G26" i="50" s="1"/>
  <c r="F26" i="50"/>
  <c r="L58" i="21"/>
  <c r="P58" i="21"/>
  <c r="L57" i="26"/>
  <c r="P57" i="26"/>
  <c r="K59" i="23"/>
  <c r="O59" i="23"/>
  <c r="K58" i="9"/>
  <c r="O58" i="9"/>
  <c r="I53" i="22"/>
  <c r="M53" i="22"/>
  <c r="C50" i="29"/>
  <c r="G39" i="30" s="1"/>
  <c r="L55" i="13"/>
  <c r="P55" i="13"/>
  <c r="K59" i="20"/>
  <c r="O59" i="20"/>
  <c r="K56" i="22"/>
  <c r="O56" i="22"/>
  <c r="K59" i="9"/>
  <c r="O59" i="9"/>
  <c r="L58" i="18"/>
  <c r="P58" i="18"/>
  <c r="K55" i="7"/>
  <c r="O55" i="7"/>
  <c r="J59" i="25"/>
  <c r="N59" i="25"/>
  <c r="L55" i="15"/>
  <c r="P55" i="15"/>
  <c r="K58" i="19"/>
  <c r="O58" i="19"/>
  <c r="F55" i="5"/>
  <c r="M55" i="5"/>
  <c r="M58" i="29" s="1"/>
  <c r="Q58" i="29" s="1"/>
  <c r="K59" i="22"/>
  <c r="O59" i="22"/>
  <c r="J59" i="22"/>
  <c r="N59" i="22"/>
  <c r="K58" i="14"/>
  <c r="O58" i="14"/>
  <c r="L54" i="21"/>
  <c r="P54" i="21"/>
  <c r="J54" i="11"/>
  <c r="N54" i="11"/>
  <c r="L59" i="16"/>
  <c r="P59" i="16"/>
  <c r="I47" i="15"/>
  <c r="I49" i="15" s="1"/>
  <c r="M47" i="15"/>
  <c r="M49" i="15" s="1"/>
  <c r="G47" i="10"/>
  <c r="G49" i="10" s="1"/>
  <c r="L47" i="23"/>
  <c r="P47" i="23"/>
  <c r="J48" i="14"/>
  <c r="N48" i="14"/>
  <c r="N49" i="14" s="1"/>
  <c r="E47" i="14"/>
  <c r="E49" i="14" s="1"/>
  <c r="D33" i="34" s="1"/>
  <c r="J59" i="10"/>
  <c r="N59" i="10"/>
  <c r="K55" i="23"/>
  <c r="O55" i="23"/>
  <c r="J56" i="25"/>
  <c r="N56" i="25"/>
  <c r="K59" i="21"/>
  <c r="O59" i="21"/>
  <c r="I53" i="18"/>
  <c r="M53" i="18"/>
  <c r="L55" i="19"/>
  <c r="P55" i="19"/>
  <c r="J56" i="20"/>
  <c r="N56" i="20"/>
  <c r="G47" i="16"/>
  <c r="J47" i="10"/>
  <c r="J49" i="10" s="1"/>
  <c r="M47" i="5"/>
  <c r="K57" i="11"/>
  <c r="O57" i="11"/>
  <c r="K59" i="17"/>
  <c r="O59" i="17"/>
  <c r="I48" i="14"/>
  <c r="M48" i="14"/>
  <c r="L55" i="21"/>
  <c r="P55" i="21"/>
  <c r="F47" i="12"/>
  <c r="F49" i="12" s="1"/>
  <c r="L47" i="25"/>
  <c r="L49" i="25" s="1"/>
  <c r="O54" i="13"/>
  <c r="O48" i="5"/>
  <c r="O48" i="19"/>
  <c r="O48" i="12"/>
  <c r="O54" i="26"/>
  <c r="O59" i="13"/>
  <c r="O59" i="26"/>
  <c r="O55" i="26"/>
  <c r="O56" i="7"/>
  <c r="O56" i="20"/>
  <c r="M58" i="10"/>
  <c r="N59" i="21"/>
  <c r="N55" i="7"/>
  <c r="N48" i="16"/>
  <c r="N49" i="16" s="1"/>
  <c r="O58" i="10"/>
  <c r="P55" i="14"/>
  <c r="N47" i="11"/>
  <c r="N54" i="17"/>
  <c r="P58" i="19"/>
  <c r="N56" i="9"/>
  <c r="P58" i="16"/>
  <c r="P54" i="8"/>
  <c r="P54" i="20"/>
  <c r="P55" i="11"/>
  <c r="P56" i="13"/>
  <c r="P56" i="24"/>
  <c r="P48" i="15"/>
  <c r="P49" i="15" s="1"/>
  <c r="P56" i="14"/>
  <c r="M57" i="12"/>
  <c r="M57" i="22"/>
  <c r="P47" i="5"/>
  <c r="M57" i="19"/>
  <c r="P48" i="20"/>
  <c r="P49" i="20" s="1"/>
  <c r="P48" i="17"/>
  <c r="P56" i="9"/>
  <c r="P54" i="23"/>
  <c r="D16" i="52"/>
  <c r="E16" i="52"/>
  <c r="F16" i="52" s="1"/>
  <c r="E19" i="52"/>
  <c r="F19" i="52" s="1"/>
  <c r="D19" i="52"/>
  <c r="E12" i="52"/>
  <c r="F12" i="52" s="1"/>
  <c r="D12" i="52"/>
  <c r="C5" i="52"/>
  <c r="B26" i="52"/>
  <c r="D14" i="52"/>
  <c r="E14" i="52"/>
  <c r="F14" i="52" s="1"/>
  <c r="E20" i="52"/>
  <c r="F20" i="52" s="1"/>
  <c r="D20" i="52"/>
  <c r="P26" i="50"/>
  <c r="E5" i="50"/>
  <c r="E26" i="50" s="1"/>
  <c r="D26" i="50"/>
  <c r="D22" i="52"/>
  <c r="E22" i="52"/>
  <c r="F22" i="52" s="1"/>
  <c r="D18" i="52"/>
  <c r="E18" i="52"/>
  <c r="F18" i="52" s="1"/>
  <c r="E9" i="52"/>
  <c r="F9" i="52" s="1"/>
  <c r="D9" i="52"/>
  <c r="D8" i="52"/>
  <c r="E8" i="52"/>
  <c r="F8" i="52" s="1"/>
  <c r="E23" i="52"/>
  <c r="F23" i="52" s="1"/>
  <c r="D23" i="52"/>
  <c r="I26" i="50"/>
  <c r="D10" i="52"/>
  <c r="E10" i="52"/>
  <c r="F10" i="52" s="1"/>
  <c r="E17" i="52"/>
  <c r="F17" i="52" s="1"/>
  <c r="D17" i="52"/>
  <c r="E15" i="52"/>
  <c r="F15" i="52" s="1"/>
  <c r="D15" i="52"/>
  <c r="E13" i="52"/>
  <c r="F13" i="52" s="1"/>
  <c r="D13" i="52"/>
  <c r="E7" i="52"/>
  <c r="F7" i="52" s="1"/>
  <c r="D7" i="52"/>
  <c r="E21" i="52"/>
  <c r="F21" i="52" s="1"/>
  <c r="D21" i="52"/>
  <c r="E79" i="49"/>
  <c r="D26" i="49"/>
  <c r="F79" i="49"/>
  <c r="E26" i="49"/>
  <c r="I18" i="29"/>
  <c r="G20" i="45"/>
  <c r="H20" i="45" s="1"/>
  <c r="M20" i="45"/>
  <c r="O20" i="46" s="1"/>
  <c r="G12" i="45"/>
  <c r="H12" i="45" s="1"/>
  <c r="M12" i="45"/>
  <c r="O12" i="46" s="1"/>
  <c r="G14" i="45"/>
  <c r="H14" i="45" s="1"/>
  <c r="M14" i="45"/>
  <c r="O14" i="46" s="1"/>
  <c r="G9" i="45"/>
  <c r="H9" i="45" s="1"/>
  <c r="M9" i="45"/>
  <c r="O9" i="46" s="1"/>
  <c r="G10" i="45"/>
  <c r="H10" i="45" s="1"/>
  <c r="M10" i="45"/>
  <c r="O10" i="46" s="1"/>
  <c r="G22" i="45"/>
  <c r="H22" i="45" s="1"/>
  <c r="M22" i="45"/>
  <c r="O22" i="46" s="1"/>
  <c r="G19" i="45"/>
  <c r="H19" i="45" s="1"/>
  <c r="M19" i="45"/>
  <c r="O19" i="46" s="1"/>
  <c r="G15" i="45"/>
  <c r="H15" i="45" s="1"/>
  <c r="M15" i="45"/>
  <c r="O15" i="46" s="1"/>
  <c r="G18" i="45"/>
  <c r="H18" i="45" s="1"/>
  <c r="M18" i="45"/>
  <c r="O18" i="46" s="1"/>
  <c r="G16" i="45"/>
  <c r="H16" i="45" s="1"/>
  <c r="M16" i="45"/>
  <c r="O16" i="46" s="1"/>
  <c r="G25" i="45"/>
  <c r="H25" i="45" s="1"/>
  <c r="M25" i="45"/>
  <c r="O25" i="46" s="1"/>
  <c r="G21" i="45"/>
  <c r="H21" i="45" s="1"/>
  <c r="M21" i="45"/>
  <c r="O21" i="46" s="1"/>
  <c r="G23" i="45"/>
  <c r="H23" i="45" s="1"/>
  <c r="M23" i="45"/>
  <c r="O23" i="46" s="1"/>
  <c r="G11" i="45"/>
  <c r="H11" i="45" s="1"/>
  <c r="M11" i="45"/>
  <c r="O11" i="46" s="1"/>
  <c r="G24" i="45"/>
  <c r="H24" i="45" s="1"/>
  <c r="M24" i="45"/>
  <c r="O24" i="46" s="1"/>
  <c r="G6" i="45"/>
  <c r="H6" i="45" s="1"/>
  <c r="M26" i="45"/>
  <c r="M6" i="45"/>
  <c r="O6" i="46" s="1"/>
  <c r="G13" i="45"/>
  <c r="H13" i="45" s="1"/>
  <c r="M13" i="45"/>
  <c r="O13" i="46" s="1"/>
  <c r="G8" i="45"/>
  <c r="H8" i="45" s="1"/>
  <c r="M8" i="45"/>
  <c r="O8" i="46" s="1"/>
  <c r="G7" i="45"/>
  <c r="H7" i="45" s="1"/>
  <c r="M7" i="45"/>
  <c r="O7" i="46" s="1"/>
  <c r="G17" i="45"/>
  <c r="H17" i="45" s="1"/>
  <c r="M17" i="45"/>
  <c r="O17" i="46" s="1"/>
  <c r="D22" i="22"/>
  <c r="D29" i="22" s="1"/>
  <c r="C15" i="34"/>
  <c r="G22" i="13"/>
  <c r="O22" i="13" s="1"/>
  <c r="H22" i="12"/>
  <c r="P22" i="12" s="1"/>
  <c r="G22" i="12"/>
  <c r="O22" i="12" s="1"/>
  <c r="H22" i="22"/>
  <c r="P22" i="22" s="1"/>
  <c r="P29" i="22" s="1"/>
  <c r="F22" i="13"/>
  <c r="N22" i="13" s="1"/>
  <c r="E25" i="29"/>
  <c r="D25" i="29" s="1"/>
  <c r="H22" i="25"/>
  <c r="P22" i="25" s="1"/>
  <c r="F32" i="5"/>
  <c r="N32" i="5" s="1"/>
  <c r="G22" i="25"/>
  <c r="O22" i="25" s="1"/>
  <c r="F32" i="21"/>
  <c r="H32" i="22"/>
  <c r="E32" i="8"/>
  <c r="I32" i="8" s="1"/>
  <c r="I43" i="8" s="1"/>
  <c r="D65" i="5"/>
  <c r="G11" i="22"/>
  <c r="D24" i="34"/>
  <c r="C24" i="34"/>
  <c r="D23" i="34"/>
  <c r="C23" i="34"/>
  <c r="D22" i="34"/>
  <c r="C22" i="34"/>
  <c r="B22" i="34"/>
  <c r="D21" i="34"/>
  <c r="C21" i="34"/>
  <c r="C20" i="34"/>
  <c r="D20" i="34"/>
  <c r="D19" i="34"/>
  <c r="B19" i="34"/>
  <c r="C18" i="34"/>
  <c r="D18" i="34"/>
  <c r="B18" i="34"/>
  <c r="D17" i="34"/>
  <c r="C17" i="34"/>
  <c r="B17" i="34"/>
  <c r="C16" i="34"/>
  <c r="D16" i="34"/>
  <c r="D15" i="34"/>
  <c r="D14" i="34"/>
  <c r="C14" i="34"/>
  <c r="C13" i="34"/>
  <c r="D13" i="34"/>
  <c r="C12" i="34"/>
  <c r="D12" i="34"/>
  <c r="B11" i="34"/>
  <c r="C11" i="34"/>
  <c r="D11" i="34"/>
  <c r="B10" i="34"/>
  <c r="D10" i="34"/>
  <c r="C10" i="34"/>
  <c r="D9" i="34"/>
  <c r="B9" i="34"/>
  <c r="C9" i="34"/>
  <c r="C8" i="34"/>
  <c r="D8" i="34"/>
  <c r="B7" i="34"/>
  <c r="C7" i="34"/>
  <c r="D7" i="34"/>
  <c r="B6" i="34"/>
  <c r="D6" i="34"/>
  <c r="C5" i="34"/>
  <c r="D5" i="34"/>
  <c r="D4" i="34"/>
  <c r="C4" i="34"/>
  <c r="G32" i="21"/>
  <c r="F32" i="9"/>
  <c r="F32" i="25"/>
  <c r="E32" i="14"/>
  <c r="G32" i="10"/>
  <c r="E32" i="21"/>
  <c r="I32" i="21" s="1"/>
  <c r="I43" i="21" s="1"/>
  <c r="E32" i="22"/>
  <c r="I32" i="22" s="1"/>
  <c r="I43" i="22" s="1"/>
  <c r="G32" i="8"/>
  <c r="F32" i="16"/>
  <c r="H32" i="26"/>
  <c r="G32" i="20"/>
  <c r="H32" i="18"/>
  <c r="F32" i="23"/>
  <c r="E32" i="13"/>
  <c r="I32" i="13" s="1"/>
  <c r="I43" i="13" s="1"/>
  <c r="H32" i="11"/>
  <c r="F32" i="24"/>
  <c r="H32" i="17"/>
  <c r="E32" i="7"/>
  <c r="I32" i="7" s="1"/>
  <c r="I43" i="7" s="1"/>
  <c r="G32" i="19"/>
  <c r="H32" i="15"/>
  <c r="H32" i="13"/>
  <c r="G32" i="23"/>
  <c r="G32" i="13"/>
  <c r="G32" i="15"/>
  <c r="G32" i="24"/>
  <c r="F32" i="18"/>
  <c r="E32" i="19"/>
  <c r="I32" i="19" s="1"/>
  <c r="I43" i="19" s="1"/>
  <c r="F32" i="13"/>
  <c r="F32" i="7"/>
  <c r="G22" i="29"/>
  <c r="E32" i="20"/>
  <c r="M32" i="20" s="1"/>
  <c r="H32" i="23"/>
  <c r="H32" i="7"/>
  <c r="F22" i="29"/>
  <c r="E32" i="23"/>
  <c r="I32" i="23" s="1"/>
  <c r="I43" i="23" s="1"/>
  <c r="E32" i="18"/>
  <c r="O65" i="18"/>
  <c r="G32" i="18"/>
  <c r="H32" i="19"/>
  <c r="E32" i="17"/>
  <c r="N65" i="9"/>
  <c r="G32" i="17"/>
  <c r="F5" i="45"/>
  <c r="D5" i="46"/>
  <c r="E5" i="46" s="1"/>
  <c r="I5" i="46" s="1"/>
  <c r="G32" i="5"/>
  <c r="E32" i="5"/>
  <c r="H32" i="5"/>
  <c r="H22" i="29"/>
  <c r="H32" i="21"/>
  <c r="E32" i="15"/>
  <c r="M32" i="15" s="1"/>
  <c r="F32" i="15"/>
  <c r="H32" i="8"/>
  <c r="O65" i="7"/>
  <c r="G26" i="29"/>
  <c r="O65" i="10"/>
  <c r="N65" i="13"/>
  <c r="H11" i="8"/>
  <c r="G11" i="23"/>
  <c r="H32" i="24"/>
  <c r="N65" i="25"/>
  <c r="O65" i="16"/>
  <c r="E32" i="24"/>
  <c r="E32" i="26"/>
  <c r="H32" i="9"/>
  <c r="G32" i="9"/>
  <c r="F32" i="11"/>
  <c r="E32" i="9"/>
  <c r="E32" i="11"/>
  <c r="G32" i="11"/>
  <c r="G32" i="25"/>
  <c r="O65" i="12"/>
  <c r="F32" i="20"/>
  <c r="F32" i="10"/>
  <c r="G32" i="26"/>
  <c r="F32" i="26"/>
  <c r="H32" i="20"/>
  <c r="H32" i="10"/>
  <c r="L32" i="10" s="1"/>
  <c r="L43" i="10" s="1"/>
  <c r="G32" i="14"/>
  <c r="F32" i="14"/>
  <c r="H32" i="14"/>
  <c r="H32" i="25"/>
  <c r="F24" i="46"/>
  <c r="D24" i="46"/>
  <c r="E7" i="45"/>
  <c r="D7" i="45"/>
  <c r="F7" i="45" s="1"/>
  <c r="F6" i="46"/>
  <c r="C26" i="46"/>
  <c r="D6" i="46"/>
  <c r="E17" i="45"/>
  <c r="D17" i="45"/>
  <c r="F17" i="45" s="1"/>
  <c r="F32" i="8"/>
  <c r="F32" i="19"/>
  <c r="G32" i="7"/>
  <c r="F32" i="22"/>
  <c r="E20" i="45"/>
  <c r="D20" i="45"/>
  <c r="F20" i="45" s="1"/>
  <c r="F7" i="46"/>
  <c r="D7" i="46"/>
  <c r="E21" i="45"/>
  <c r="D21" i="45"/>
  <c r="F21" i="45" s="1"/>
  <c r="E15" i="45"/>
  <c r="D15" i="45"/>
  <c r="F15" i="45" s="1"/>
  <c r="F17" i="46"/>
  <c r="D17" i="46"/>
  <c r="E13" i="45"/>
  <c r="D13" i="45"/>
  <c r="F13" i="45" s="1"/>
  <c r="F25" i="46"/>
  <c r="D25" i="46"/>
  <c r="F20" i="46"/>
  <c r="D20" i="46"/>
  <c r="F21" i="46"/>
  <c r="D21" i="46"/>
  <c r="E23" i="45"/>
  <c r="D23" i="45"/>
  <c r="F23" i="45" s="1"/>
  <c r="F15" i="46"/>
  <c r="D15" i="46"/>
  <c r="E8" i="45"/>
  <c r="D8" i="45"/>
  <c r="F8" i="45" s="1"/>
  <c r="H32" i="16"/>
  <c r="G32" i="22"/>
  <c r="E12" i="45"/>
  <c r="D12" i="45"/>
  <c r="F12" i="45" s="1"/>
  <c r="E14" i="45"/>
  <c r="D14" i="45"/>
  <c r="F14" i="45" s="1"/>
  <c r="F23" i="46"/>
  <c r="D23" i="46"/>
  <c r="F8" i="46"/>
  <c r="D8" i="46"/>
  <c r="E9" i="45"/>
  <c r="D9" i="45"/>
  <c r="F9" i="45" s="1"/>
  <c r="F11" i="46"/>
  <c r="D11" i="46"/>
  <c r="F18" i="46"/>
  <c r="D18" i="46"/>
  <c r="F16" i="46"/>
  <c r="D16" i="46"/>
  <c r="E6" i="45"/>
  <c r="D6" i="45"/>
  <c r="C26" i="45"/>
  <c r="E32" i="25"/>
  <c r="F13" i="46"/>
  <c r="D13" i="46"/>
  <c r="H11" i="7"/>
  <c r="G32" i="16"/>
  <c r="F32" i="17"/>
  <c r="E10" i="45"/>
  <c r="D10" i="45"/>
  <c r="F10" i="45" s="1"/>
  <c r="F12" i="46"/>
  <c r="D12" i="46"/>
  <c r="F14" i="46"/>
  <c r="D14" i="46"/>
  <c r="E22" i="45"/>
  <c r="D22" i="45"/>
  <c r="F22" i="45" s="1"/>
  <c r="F9" i="46"/>
  <c r="D9" i="46"/>
  <c r="E19" i="45"/>
  <c r="D19" i="45"/>
  <c r="F19" i="45" s="1"/>
  <c r="E18" i="45"/>
  <c r="D18" i="45"/>
  <c r="F18" i="45" s="1"/>
  <c r="E16" i="45"/>
  <c r="D16" i="45"/>
  <c r="F16" i="45" s="1"/>
  <c r="E25" i="45"/>
  <c r="D25" i="45"/>
  <c r="F25" i="45" s="1"/>
  <c r="E24" i="45"/>
  <c r="D24" i="45"/>
  <c r="F24" i="45" s="1"/>
  <c r="F11" i="23"/>
  <c r="E32" i="16"/>
  <c r="E32" i="10"/>
  <c r="M32" i="10" s="1"/>
  <c r="F10" i="46"/>
  <c r="D10" i="46"/>
  <c r="F22" i="46"/>
  <c r="D22" i="46"/>
  <c r="E11" i="45"/>
  <c r="D11" i="45"/>
  <c r="F11" i="45" s="1"/>
  <c r="F19" i="46"/>
  <c r="D19" i="46"/>
  <c r="G11" i="19"/>
  <c r="F11" i="8"/>
  <c r="H11" i="20"/>
  <c r="H20" i="29"/>
  <c r="G11" i="15"/>
  <c r="G11" i="13"/>
  <c r="F11" i="7"/>
  <c r="G20" i="29"/>
  <c r="F11" i="13"/>
  <c r="F11" i="19"/>
  <c r="O65" i="22"/>
  <c r="M65" i="24"/>
  <c r="F11" i="18"/>
  <c r="G11" i="7"/>
  <c r="F23" i="29"/>
  <c r="E29" i="15"/>
  <c r="C37" i="34" s="1"/>
  <c r="E29" i="10"/>
  <c r="C43" i="34" s="1"/>
  <c r="G13" i="29"/>
  <c r="H11" i="23"/>
  <c r="N65" i="15"/>
  <c r="G11" i="10"/>
  <c r="F13" i="29"/>
  <c r="H13" i="29"/>
  <c r="F11" i="26"/>
  <c r="O65" i="23"/>
  <c r="N65" i="26"/>
  <c r="G52" i="34"/>
  <c r="M45" i="29"/>
  <c r="Q45" i="29" s="1"/>
  <c r="E29" i="16"/>
  <c r="C39" i="34" s="1"/>
  <c r="N65" i="8"/>
  <c r="N65" i="11"/>
  <c r="O26" i="29"/>
  <c r="S26" i="29" s="1"/>
  <c r="N65" i="16"/>
  <c r="O65" i="24"/>
  <c r="O65" i="26"/>
  <c r="O65" i="5"/>
  <c r="O65" i="25"/>
  <c r="L11" i="5"/>
  <c r="L11" i="18"/>
  <c r="L11" i="25"/>
  <c r="O65" i="11"/>
  <c r="P65" i="8"/>
  <c r="P65" i="10"/>
  <c r="O65" i="21"/>
  <c r="M65" i="8"/>
  <c r="O65" i="8"/>
  <c r="M20" i="29"/>
  <c r="Q20" i="29" s="1"/>
  <c r="M23" i="29"/>
  <c r="Q23" i="29" s="1"/>
  <c r="P45" i="29"/>
  <c r="T45" i="29" s="1"/>
  <c r="O65" i="17"/>
  <c r="O65" i="9"/>
  <c r="O65" i="15"/>
  <c r="N65" i="12"/>
  <c r="P11" i="21"/>
  <c r="L11" i="16"/>
  <c r="L11" i="13"/>
  <c r="L11" i="22"/>
  <c r="L11" i="17"/>
  <c r="L11" i="20"/>
  <c r="L11" i="29"/>
  <c r="L11" i="12"/>
  <c r="L11" i="21"/>
  <c r="L11" i="9"/>
  <c r="L11" i="11"/>
  <c r="L11" i="19"/>
  <c r="L11" i="14"/>
  <c r="L11" i="8"/>
  <c r="L11" i="23"/>
  <c r="L12" i="29"/>
  <c r="L13" i="29"/>
  <c r="L11" i="26"/>
  <c r="L11" i="7"/>
  <c r="I65" i="9"/>
  <c r="L10" i="29"/>
  <c r="L11" i="10"/>
  <c r="L11" i="24"/>
  <c r="L11" i="15"/>
  <c r="L9" i="29"/>
  <c r="M33" i="15"/>
  <c r="N65" i="24"/>
  <c r="O22" i="29"/>
  <c r="S22" i="29" s="1"/>
  <c r="N65" i="22"/>
  <c r="D13" i="24"/>
  <c r="D29" i="24" s="1"/>
  <c r="M13" i="20"/>
  <c r="M29" i="20" s="1"/>
  <c r="M13" i="24"/>
  <c r="M29" i="24" s="1"/>
  <c r="F49" i="18"/>
  <c r="N30" i="29"/>
  <c r="R30" i="29" s="1"/>
  <c r="M13" i="21"/>
  <c r="M29" i="21" s="1"/>
  <c r="M13" i="26"/>
  <c r="M29" i="26" s="1"/>
  <c r="D33" i="7"/>
  <c r="M33" i="7"/>
  <c r="D33" i="23"/>
  <c r="M33" i="23"/>
  <c r="M13" i="23"/>
  <c r="M29" i="23" s="1"/>
  <c r="M33" i="10"/>
  <c r="M33" i="20"/>
  <c r="N65" i="18"/>
  <c r="P17" i="5"/>
  <c r="P20" i="29" s="1"/>
  <c r="T20" i="29" s="1"/>
  <c r="M33" i="16"/>
  <c r="H32" i="12"/>
  <c r="P32" i="12" s="1"/>
  <c r="G32" i="12"/>
  <c r="O32" i="12" s="1"/>
  <c r="F32" i="12"/>
  <c r="N32" i="12" s="1"/>
  <c r="N22" i="29"/>
  <c r="R22" i="29" s="1"/>
  <c r="M33" i="18"/>
  <c r="M33" i="21"/>
  <c r="M33" i="19"/>
  <c r="F20" i="29"/>
  <c r="N17" i="5"/>
  <c r="N20" i="29" s="1"/>
  <c r="R20" i="29" s="1"/>
  <c r="D33" i="13"/>
  <c r="M33" i="13"/>
  <c r="M13" i="18"/>
  <c r="M29" i="18" s="1"/>
  <c r="O17" i="5"/>
  <c r="O20" i="29" s="1"/>
  <c r="S20" i="29" s="1"/>
  <c r="M33" i="8"/>
  <c r="D33" i="26"/>
  <c r="M33" i="26"/>
  <c r="H33" i="12"/>
  <c r="P33" i="12" s="1"/>
  <c r="F33" i="12"/>
  <c r="N33" i="12" s="1"/>
  <c r="G33" i="12"/>
  <c r="O33" i="12" s="1"/>
  <c r="O36" i="29" s="1"/>
  <c r="M33" i="9"/>
  <c r="D33" i="5"/>
  <c r="M33" i="5"/>
  <c r="M13" i="8"/>
  <c r="M29" i="8" s="1"/>
  <c r="M13" i="9"/>
  <c r="M29" i="9" s="1"/>
  <c r="M33" i="11"/>
  <c r="P22" i="29"/>
  <c r="T22" i="29" s="1"/>
  <c r="D33" i="17"/>
  <c r="M33" i="17"/>
  <c r="D33" i="24"/>
  <c r="M33" i="24"/>
  <c r="M13" i="5"/>
  <c r="N20" i="5"/>
  <c r="N23" i="29" s="1"/>
  <c r="R23" i="29" s="1"/>
  <c r="M33" i="25"/>
  <c r="M33" i="14"/>
  <c r="M11" i="29"/>
  <c r="Q11" i="29" s="1"/>
  <c r="M13" i="13"/>
  <c r="M29" i="13" s="1"/>
  <c r="D33" i="22"/>
  <c r="M33" i="22"/>
  <c r="I28" i="29"/>
  <c r="P44" i="29"/>
  <c r="T44" i="29" s="1"/>
  <c r="N65" i="5"/>
  <c r="O21" i="29"/>
  <c r="S21" i="29" s="1"/>
  <c r="O40" i="29"/>
  <c r="S40" i="29" s="1"/>
  <c r="P65" i="26"/>
  <c r="P9" i="29"/>
  <c r="T9" i="29" s="1"/>
  <c r="P23" i="29"/>
  <c r="T23" i="29" s="1"/>
  <c r="M22" i="29"/>
  <c r="Q22" i="29" s="1"/>
  <c r="I19" i="29"/>
  <c r="N65" i="7"/>
  <c r="N65" i="10"/>
  <c r="P21" i="29"/>
  <c r="T21" i="29" s="1"/>
  <c r="N28" i="29"/>
  <c r="R28" i="29" s="1"/>
  <c r="N65" i="23"/>
  <c r="M29" i="29"/>
  <c r="Q29" i="29" s="1"/>
  <c r="P11" i="29"/>
  <c r="T11" i="29" s="1"/>
  <c r="P65" i="21"/>
  <c r="P11" i="5"/>
  <c r="N11" i="15"/>
  <c r="M65" i="17"/>
  <c r="P11" i="11"/>
  <c r="I65" i="21"/>
  <c r="M65" i="25"/>
  <c r="I65" i="17"/>
  <c r="I65" i="8"/>
  <c r="M11" i="23"/>
  <c r="M65" i="16"/>
  <c r="P65" i="22"/>
  <c r="P49" i="12"/>
  <c r="N11" i="20"/>
  <c r="N43" i="29"/>
  <c r="R43" i="29" s="1"/>
  <c r="M12" i="29"/>
  <c r="Q12" i="29" s="1"/>
  <c r="P38" i="29"/>
  <c r="T38" i="29" s="1"/>
  <c r="J12" i="29"/>
  <c r="M11" i="13"/>
  <c r="I65" i="23"/>
  <c r="P11" i="14"/>
  <c r="M11" i="11"/>
  <c r="N45" i="29"/>
  <c r="R45" i="29" s="1"/>
  <c r="I65" i="11"/>
  <c r="P65" i="9"/>
  <c r="N41" i="29"/>
  <c r="R41" i="29" s="1"/>
  <c r="J63" i="29"/>
  <c r="M11" i="8"/>
  <c r="L40" i="29"/>
  <c r="M11" i="19"/>
  <c r="I65" i="7"/>
  <c r="P65" i="16"/>
  <c r="I65" i="15"/>
  <c r="I65" i="12"/>
  <c r="I25" i="29"/>
  <c r="I65" i="18"/>
  <c r="P63" i="29"/>
  <c r="T63" i="29" s="1"/>
  <c r="N11" i="13"/>
  <c r="M11" i="7"/>
  <c r="I65" i="22"/>
  <c r="M65" i="9"/>
  <c r="I20" i="29"/>
  <c r="I65" i="13"/>
  <c r="O31" i="29"/>
  <c r="S31" i="29" s="1"/>
  <c r="M11" i="24"/>
  <c r="M11" i="16"/>
  <c r="P11" i="9"/>
  <c r="O24" i="29"/>
  <c r="S24" i="29" s="1"/>
  <c r="O63" i="29"/>
  <c r="S63" i="29" s="1"/>
  <c r="O12" i="29"/>
  <c r="S12" i="29" s="1"/>
  <c r="M31" i="29"/>
  <c r="Q31" i="29" s="1"/>
  <c r="P41" i="29"/>
  <c r="T41" i="29" s="1"/>
  <c r="M21" i="29"/>
  <c r="Q21" i="29" s="1"/>
  <c r="P65" i="25"/>
  <c r="M11" i="14"/>
  <c r="P11" i="24"/>
  <c r="P11" i="25"/>
  <c r="N49" i="29"/>
  <c r="R49" i="29" s="1"/>
  <c r="M18" i="29"/>
  <c r="Q18" i="29" s="1"/>
  <c r="I36" i="29"/>
  <c r="M40" i="29"/>
  <c r="Q40" i="29" s="1"/>
  <c r="O29" i="29"/>
  <c r="S29" i="29" s="1"/>
  <c r="M11" i="10"/>
  <c r="N11" i="11"/>
  <c r="N11" i="22"/>
  <c r="P11" i="20"/>
  <c r="N11" i="29"/>
  <c r="R11" i="29" s="1"/>
  <c r="P49" i="29"/>
  <c r="T49" i="29" s="1"/>
  <c r="P13" i="29"/>
  <c r="T13" i="29" s="1"/>
  <c r="N11" i="7"/>
  <c r="N11" i="10"/>
  <c r="P65" i="11"/>
  <c r="M11" i="15"/>
  <c r="M11" i="17"/>
  <c r="I11" i="29"/>
  <c r="P26" i="29"/>
  <c r="T26" i="29" s="1"/>
  <c r="M37" i="29"/>
  <c r="Q37" i="29" s="1"/>
  <c r="N66" i="29"/>
  <c r="R66" i="29" s="1"/>
  <c r="N21" i="29"/>
  <c r="R21" i="29" s="1"/>
  <c r="N9" i="29"/>
  <c r="R9" i="29" s="1"/>
  <c r="N19" i="29"/>
  <c r="R19" i="29" s="1"/>
  <c r="O18" i="29"/>
  <c r="S18" i="29" s="1"/>
  <c r="N44" i="29"/>
  <c r="R44" i="29" s="1"/>
  <c r="O45" i="29"/>
  <c r="S45" i="29" s="1"/>
  <c r="M65" i="18"/>
  <c r="P40" i="29"/>
  <c r="T40" i="29" s="1"/>
  <c r="N42" i="29"/>
  <c r="R42" i="29" s="1"/>
  <c r="M65" i="13"/>
  <c r="M65" i="10"/>
  <c r="M65" i="5"/>
  <c r="O43" i="29"/>
  <c r="S43" i="29" s="1"/>
  <c r="I40" i="29"/>
  <c r="I29" i="29"/>
  <c r="M9" i="29"/>
  <c r="Q9" i="29" s="1"/>
  <c r="O37" i="29"/>
  <c r="S37" i="29" s="1"/>
  <c r="P11" i="7"/>
  <c r="N11" i="9"/>
  <c r="N63" i="29"/>
  <c r="R63" i="29" s="1"/>
  <c r="M43" i="29"/>
  <c r="Q43" i="29" s="1"/>
  <c r="M63" i="29"/>
  <c r="Q63" i="29" s="1"/>
  <c r="M13" i="29"/>
  <c r="Q13" i="29" s="1"/>
  <c r="N11" i="17"/>
  <c r="M30" i="29"/>
  <c r="Q30" i="29" s="1"/>
  <c r="P11" i="23"/>
  <c r="M65" i="26"/>
  <c r="N11" i="12"/>
  <c r="P11" i="15"/>
  <c r="P19" i="29"/>
  <c r="T19" i="29" s="1"/>
  <c r="M65" i="23"/>
  <c r="M42" i="29"/>
  <c r="Q42" i="29" s="1"/>
  <c r="O41" i="29"/>
  <c r="S41" i="29" s="1"/>
  <c r="P11" i="16"/>
  <c r="N38" i="29"/>
  <c r="R38" i="29" s="1"/>
  <c r="N11" i="5"/>
  <c r="M11" i="9"/>
  <c r="P65" i="13"/>
  <c r="N31" i="29"/>
  <c r="R31" i="29" s="1"/>
  <c r="K40" i="29"/>
  <c r="I21" i="29"/>
  <c r="P11" i="18"/>
  <c r="O42" i="29"/>
  <c r="S42" i="29" s="1"/>
  <c r="M65" i="11"/>
  <c r="M26" i="29"/>
  <c r="Q26" i="29" s="1"/>
  <c r="M24" i="29"/>
  <c r="Q24" i="29" s="1"/>
  <c r="P28" i="29"/>
  <c r="T28" i="29" s="1"/>
  <c r="P42" i="29"/>
  <c r="T42" i="29" s="1"/>
  <c r="O9" i="29"/>
  <c r="S9" i="29" s="1"/>
  <c r="N37" i="29"/>
  <c r="R37" i="29" s="1"/>
  <c r="M65" i="21"/>
  <c r="N10" i="29"/>
  <c r="R10" i="29" s="1"/>
  <c r="P18" i="29"/>
  <c r="T18" i="29" s="1"/>
  <c r="M11" i="12"/>
  <c r="P43" i="29"/>
  <c r="T43" i="29" s="1"/>
  <c r="O66" i="29"/>
  <c r="S66" i="29" s="1"/>
  <c r="P29" i="29"/>
  <c r="T29" i="29" s="1"/>
  <c r="P65" i="5"/>
  <c r="M11" i="25"/>
  <c r="M11" i="26"/>
  <c r="O11" i="10"/>
  <c r="M11" i="18"/>
  <c r="N13" i="29"/>
  <c r="R13" i="29" s="1"/>
  <c r="M44" i="29"/>
  <c r="Q44" i="29" s="1"/>
  <c r="P10" i="29"/>
  <c r="M65" i="7"/>
  <c r="N65" i="17"/>
  <c r="I23" i="29"/>
  <c r="O11" i="29"/>
  <c r="S11" i="29" s="1"/>
  <c r="P30" i="29"/>
  <c r="T30" i="29" s="1"/>
  <c r="O44" i="29"/>
  <c r="S44" i="29" s="1"/>
  <c r="M11" i="20"/>
  <c r="P11" i="12"/>
  <c r="P65" i="15"/>
  <c r="N11" i="26"/>
  <c r="M11" i="21"/>
  <c r="M11" i="22"/>
  <c r="P29" i="15"/>
  <c r="P29" i="17"/>
  <c r="M41" i="29"/>
  <c r="Q41" i="29" s="1"/>
  <c r="I12" i="29"/>
  <c r="K26" i="29"/>
  <c r="O30" i="29"/>
  <c r="S30" i="29" s="1"/>
  <c r="N11" i="14"/>
  <c r="P65" i="17"/>
  <c r="M11" i="5"/>
  <c r="P11" i="8"/>
  <c r="P65" i="12"/>
  <c r="I29" i="21"/>
  <c r="I29" i="22"/>
  <c r="N11" i="21"/>
  <c r="N11" i="24"/>
  <c r="P29" i="7"/>
  <c r="M66" i="29"/>
  <c r="Q66" i="29" s="1"/>
  <c r="P65" i="24"/>
  <c r="I31" i="29"/>
  <c r="K63" i="29"/>
  <c r="P29" i="10"/>
  <c r="I30" i="29"/>
  <c r="I29" i="7"/>
  <c r="I29" i="16"/>
  <c r="O49" i="20"/>
  <c r="N11" i="8"/>
  <c r="P29" i="19"/>
  <c r="M65" i="12"/>
  <c r="I26" i="29"/>
  <c r="L63" i="29"/>
  <c r="I11" i="19"/>
  <c r="N11" i="16"/>
  <c r="P65" i="7"/>
  <c r="N40" i="29"/>
  <c r="R40" i="29" s="1"/>
  <c r="N11" i="25"/>
  <c r="P65" i="18"/>
  <c r="O11" i="26"/>
  <c r="P11" i="26"/>
  <c r="I22" i="29"/>
  <c r="P11" i="10"/>
  <c r="I24" i="29"/>
  <c r="P11" i="17"/>
  <c r="M49" i="29"/>
  <c r="Q49" i="29" s="1"/>
  <c r="I13" i="29"/>
  <c r="N11" i="18"/>
  <c r="I29" i="20"/>
  <c r="I29" i="24"/>
  <c r="I29" i="14"/>
  <c r="N11" i="23"/>
  <c r="N11" i="19"/>
  <c r="P11" i="19"/>
  <c r="M25" i="29"/>
  <c r="Q25" i="29" s="1"/>
  <c r="P12" i="29"/>
  <c r="T12" i="29" s="1"/>
  <c r="P11" i="13"/>
  <c r="P11" i="22"/>
  <c r="N26" i="29"/>
  <c r="R26" i="29" s="1"/>
  <c r="N49" i="9"/>
  <c r="M65" i="22"/>
  <c r="M38" i="29"/>
  <c r="Q38" i="29" s="1"/>
  <c r="P31" i="29"/>
  <c r="T31" i="29" s="1"/>
  <c r="I29" i="25"/>
  <c r="I29" i="26"/>
  <c r="I29" i="19"/>
  <c r="I29" i="17"/>
  <c r="I29" i="12"/>
  <c r="I29" i="23"/>
  <c r="I29" i="10"/>
  <c r="I29" i="13"/>
  <c r="I11" i="15"/>
  <c r="I29" i="11"/>
  <c r="I29" i="8"/>
  <c r="I29" i="9"/>
  <c r="I29" i="18"/>
  <c r="I29" i="15"/>
  <c r="P29" i="16"/>
  <c r="P29" i="11"/>
  <c r="O11" i="24"/>
  <c r="O11" i="19"/>
  <c r="O11" i="16"/>
  <c r="O11" i="12"/>
  <c r="I11" i="25"/>
  <c r="I11" i="12"/>
  <c r="J11" i="5"/>
  <c r="O11" i="15"/>
  <c r="O11" i="25"/>
  <c r="M29" i="11"/>
  <c r="O11" i="14"/>
  <c r="O11" i="13"/>
  <c r="O11" i="22"/>
  <c r="O11" i="8"/>
  <c r="O11" i="7"/>
  <c r="O11" i="23"/>
  <c r="M29" i="14"/>
  <c r="I11" i="26"/>
  <c r="I11" i="24"/>
  <c r="O11" i="9"/>
  <c r="O11" i="21"/>
  <c r="O11" i="17"/>
  <c r="O11" i="5"/>
  <c r="O11" i="18"/>
  <c r="J11" i="12"/>
  <c r="O11" i="20"/>
  <c r="I11" i="13"/>
  <c r="I11" i="16"/>
  <c r="I11" i="22"/>
  <c r="I11" i="20"/>
  <c r="I11" i="8"/>
  <c r="F49" i="16"/>
  <c r="F49" i="7"/>
  <c r="K65" i="24"/>
  <c r="M29" i="10"/>
  <c r="G11" i="20"/>
  <c r="D58" i="22"/>
  <c r="E104" i="7"/>
  <c r="E121" i="7" s="1"/>
  <c r="H11" i="15"/>
  <c r="H13" i="24"/>
  <c r="G13" i="24"/>
  <c r="F11" i="20"/>
  <c r="H49" i="14"/>
  <c r="G11" i="26"/>
  <c r="G11" i="11"/>
  <c r="D29" i="10"/>
  <c r="F58" i="22"/>
  <c r="F59" i="12"/>
  <c r="I58" i="22"/>
  <c r="H58" i="22"/>
  <c r="K65" i="12"/>
  <c r="F49" i="10"/>
  <c r="G49" i="21"/>
  <c r="H49" i="5"/>
  <c r="H49" i="13"/>
  <c r="I48" i="17"/>
  <c r="I49" i="17" s="1"/>
  <c r="I58" i="26"/>
  <c r="F49" i="24"/>
  <c r="H11" i="19"/>
  <c r="E49" i="11"/>
  <c r="D44" i="34" s="1"/>
  <c r="H49" i="26"/>
  <c r="H11" i="16"/>
  <c r="H13" i="23"/>
  <c r="G49" i="5"/>
  <c r="E49" i="13"/>
  <c r="D45" i="34" s="1"/>
  <c r="F29" i="7"/>
  <c r="F11" i="9"/>
  <c r="F13" i="23"/>
  <c r="E104" i="18"/>
  <c r="E121" i="18" s="1"/>
  <c r="H58" i="26"/>
  <c r="I32" i="18"/>
  <c r="I43" i="18" s="1"/>
  <c r="D58" i="10"/>
  <c r="I65" i="25"/>
  <c r="F13" i="8"/>
  <c r="H58" i="10"/>
  <c r="H19" i="29"/>
  <c r="H11" i="22"/>
  <c r="F13" i="26"/>
  <c r="H11" i="17"/>
  <c r="F58" i="10"/>
  <c r="I58" i="10"/>
  <c r="H23" i="29"/>
  <c r="F11" i="11"/>
  <c r="H13" i="26"/>
  <c r="F13" i="18"/>
  <c r="F58" i="24"/>
  <c r="G13" i="21"/>
  <c r="E49" i="12"/>
  <c r="D32" i="34" s="1"/>
  <c r="E49" i="18"/>
  <c r="D36" i="34" s="1"/>
  <c r="G58" i="11"/>
  <c r="I58" i="24"/>
  <c r="I48" i="13"/>
  <c r="I49" i="13" s="1"/>
  <c r="G29" i="11"/>
  <c r="F13" i="21"/>
  <c r="H49" i="18"/>
  <c r="I58" i="11"/>
  <c r="M29" i="7"/>
  <c r="H13" i="8"/>
  <c r="H13" i="21"/>
  <c r="F11" i="17"/>
  <c r="F49" i="26"/>
  <c r="K65" i="23"/>
  <c r="H58" i="11"/>
  <c r="G23" i="29"/>
  <c r="H11" i="18"/>
  <c r="E29" i="21"/>
  <c r="C46" i="34" s="1"/>
  <c r="D58" i="24"/>
  <c r="H29" i="16"/>
  <c r="G13" i="20"/>
  <c r="F58" i="11"/>
  <c r="G58" i="26"/>
  <c r="F11" i="16"/>
  <c r="G11" i="25"/>
  <c r="H13" i="18"/>
  <c r="G13" i="8"/>
  <c r="H13" i="9"/>
  <c r="G11" i="17"/>
  <c r="D13" i="9"/>
  <c r="D29" i="9" s="1"/>
  <c r="F13" i="20"/>
  <c r="H11" i="9"/>
  <c r="H49" i="17"/>
  <c r="D58" i="26"/>
  <c r="I48" i="5"/>
  <c r="E49" i="22"/>
  <c r="D47" i="34" s="1"/>
  <c r="I65" i="16"/>
  <c r="E49" i="15"/>
  <c r="D37" i="34" s="1"/>
  <c r="F29" i="22"/>
  <c r="F11" i="10"/>
  <c r="G49" i="11"/>
  <c r="F49" i="8"/>
  <c r="G49" i="14"/>
  <c r="G49" i="9"/>
  <c r="G49" i="18"/>
  <c r="H58" i="24"/>
  <c r="H49" i="16"/>
  <c r="G49" i="23"/>
  <c r="H49" i="8"/>
  <c r="E49" i="26"/>
  <c r="D51" i="34" s="1"/>
  <c r="J65" i="17"/>
  <c r="F49" i="17"/>
  <c r="G49" i="13"/>
  <c r="G49" i="24"/>
  <c r="D121" i="17"/>
  <c r="F18" i="29"/>
  <c r="G29" i="22"/>
  <c r="D13" i="13"/>
  <c r="D29" i="13" s="1"/>
  <c r="D29" i="15"/>
  <c r="G13" i="18"/>
  <c r="F29" i="10"/>
  <c r="D29" i="21"/>
  <c r="E49" i="21"/>
  <c r="D46" i="34" s="1"/>
  <c r="E49" i="7"/>
  <c r="D40" i="34" s="1"/>
  <c r="F11" i="22"/>
  <c r="I65" i="10"/>
  <c r="C14" i="29"/>
  <c r="D13" i="25"/>
  <c r="D29" i="25" s="1"/>
  <c r="H13" i="25"/>
  <c r="F13" i="25"/>
  <c r="G13" i="25"/>
  <c r="E49" i="19"/>
  <c r="D35" i="34" s="1"/>
  <c r="I47" i="19"/>
  <c r="L48" i="12"/>
  <c r="H49" i="12"/>
  <c r="I32" i="14"/>
  <c r="I43" i="14" s="1"/>
  <c r="I66" i="29"/>
  <c r="N12" i="29"/>
  <c r="R12" i="29" s="1"/>
  <c r="L47" i="20"/>
  <c r="E49" i="23"/>
  <c r="D48" i="34" s="1"/>
  <c r="I47" i="23"/>
  <c r="C36" i="29"/>
  <c r="G27" i="30" s="1"/>
  <c r="E33" i="12"/>
  <c r="M33" i="12" s="1"/>
  <c r="D65" i="24"/>
  <c r="F49" i="14"/>
  <c r="G49" i="19"/>
  <c r="I49" i="9"/>
  <c r="F24" i="29"/>
  <c r="G21" i="29"/>
  <c r="I56" i="23"/>
  <c r="D56" i="23"/>
  <c r="F56" i="23"/>
  <c r="H56" i="23"/>
  <c r="G56" i="23"/>
  <c r="G51" i="29"/>
  <c r="G58" i="12"/>
  <c r="I58" i="12"/>
  <c r="F58" i="12"/>
  <c r="I47" i="8"/>
  <c r="E49" i="8"/>
  <c r="D41" i="34" s="1"/>
  <c r="J48" i="20"/>
  <c r="E49" i="24"/>
  <c r="D49" i="34" s="1"/>
  <c r="I47" i="24"/>
  <c r="H24" i="29"/>
  <c r="H55" i="5"/>
  <c r="I55" i="5"/>
  <c r="I58" i="29" s="1"/>
  <c r="G100" i="15"/>
  <c r="G104" i="15" s="1"/>
  <c r="C53" i="15" s="1"/>
  <c r="E53" i="15" s="1"/>
  <c r="E104" i="15"/>
  <c r="E121" i="15" s="1"/>
  <c r="E51" i="29"/>
  <c r="D51" i="29" s="1"/>
  <c r="E49" i="20"/>
  <c r="D34" i="34" s="1"/>
  <c r="F49" i="19"/>
  <c r="D29" i="19"/>
  <c r="H51" i="29"/>
  <c r="L65" i="11"/>
  <c r="G11" i="18"/>
  <c r="F13" i="5"/>
  <c r="F29" i="19"/>
  <c r="E29" i="20"/>
  <c r="C34" i="34" s="1"/>
  <c r="G49" i="16"/>
  <c r="K65" i="10"/>
  <c r="F21" i="29"/>
  <c r="I65" i="24"/>
  <c r="M29" i="16"/>
  <c r="E49" i="10"/>
  <c r="D43" i="34" s="1"/>
  <c r="I47" i="10"/>
  <c r="I49" i="10" s="1"/>
  <c r="I47" i="5"/>
  <c r="H49" i="11"/>
  <c r="I65" i="26"/>
  <c r="H21" i="29"/>
  <c r="D13" i="5"/>
  <c r="D29" i="5" s="1"/>
  <c r="F13" i="13"/>
  <c r="G29" i="17"/>
  <c r="H13" i="20"/>
  <c r="M29" i="15"/>
  <c r="G29" i="23"/>
  <c r="E49" i="9"/>
  <c r="D42" i="34" s="1"/>
  <c r="H11" i="10"/>
  <c r="H49" i="21"/>
  <c r="F49" i="11"/>
  <c r="H49" i="9"/>
  <c r="N29" i="24"/>
  <c r="H18" i="29"/>
  <c r="L48" i="7"/>
  <c r="G19" i="29"/>
  <c r="E29" i="5"/>
  <c r="C31" i="34" s="1"/>
  <c r="H29" i="15"/>
  <c r="H13" i="13"/>
  <c r="H29" i="10"/>
  <c r="G29" i="7"/>
  <c r="H29" i="17"/>
  <c r="K65" i="18"/>
  <c r="F19" i="29"/>
  <c r="G18" i="29"/>
  <c r="C35" i="29"/>
  <c r="G26" i="30" s="1"/>
  <c r="E32" i="12"/>
  <c r="M32" i="12" s="1"/>
  <c r="L37" i="29"/>
  <c r="K65" i="17"/>
  <c r="J11" i="29"/>
  <c r="I11" i="14"/>
  <c r="L49" i="19"/>
  <c r="L65" i="9"/>
  <c r="K65" i="7"/>
  <c r="L65" i="15"/>
  <c r="I11" i="11"/>
  <c r="J13" i="29"/>
  <c r="K65" i="8"/>
  <c r="I11" i="5"/>
  <c r="K65" i="21"/>
  <c r="L65" i="25"/>
  <c r="D29" i="26"/>
  <c r="M29" i="25"/>
  <c r="E52" i="34"/>
  <c r="M29" i="22"/>
  <c r="E29" i="13"/>
  <c r="C45" i="34" s="1"/>
  <c r="H29" i="11"/>
  <c r="D29" i="11"/>
  <c r="H30" i="29"/>
  <c r="G29" i="10"/>
  <c r="D29" i="16"/>
  <c r="M29" i="17"/>
  <c r="G29" i="29"/>
  <c r="H29" i="29"/>
  <c r="M29" i="19"/>
  <c r="G30" i="29"/>
  <c r="L65" i="18"/>
  <c r="I59" i="12"/>
  <c r="D59" i="12"/>
  <c r="H59" i="12"/>
  <c r="E58" i="17"/>
  <c r="C61" i="29"/>
  <c r="G48" i="30" s="1"/>
  <c r="D55" i="5"/>
  <c r="G55" i="5"/>
  <c r="I11" i="10"/>
  <c r="I11" i="17"/>
  <c r="I11" i="18"/>
  <c r="N29" i="22"/>
  <c r="O29" i="22"/>
  <c r="N29" i="11"/>
  <c r="O29" i="16"/>
  <c r="O29" i="10"/>
  <c r="O29" i="23"/>
  <c r="N29" i="16"/>
  <c r="K22" i="33"/>
  <c r="Z36" i="27" s="1"/>
  <c r="O29" i="11"/>
  <c r="K25" i="33"/>
  <c r="Z39" i="27" s="1"/>
  <c r="K21" i="33"/>
  <c r="Z35" i="27" s="1"/>
  <c r="N18" i="29"/>
  <c r="R18" i="29" s="1"/>
  <c r="H11" i="13"/>
  <c r="O11" i="11"/>
  <c r="G11" i="9"/>
  <c r="J37" i="29"/>
  <c r="L65" i="22"/>
  <c r="L65" i="21"/>
  <c r="L65" i="12"/>
  <c r="L65" i="17"/>
  <c r="L65" i="24"/>
  <c r="K65" i="11"/>
  <c r="K65" i="15"/>
  <c r="K65" i="22"/>
  <c r="K65" i="13"/>
  <c r="I49" i="29"/>
  <c r="J29" i="18"/>
  <c r="I63" i="29"/>
  <c r="I11" i="23"/>
  <c r="N29" i="19"/>
  <c r="N29" i="7"/>
  <c r="J49" i="24"/>
  <c r="G13" i="5"/>
  <c r="E29" i="26"/>
  <c r="C51" i="34" s="1"/>
  <c r="D13" i="23"/>
  <c r="D29" i="23" s="1"/>
  <c r="G29" i="16"/>
  <c r="E29" i="22"/>
  <c r="C47" i="34" s="1"/>
  <c r="C32" i="29"/>
  <c r="H49" i="22"/>
  <c r="F49" i="21"/>
  <c r="G49" i="17"/>
  <c r="F49" i="13"/>
  <c r="J21" i="33"/>
  <c r="Y32" i="27" s="1"/>
  <c r="K65" i="16"/>
  <c r="I11" i="21"/>
  <c r="E29" i="29"/>
  <c r="D29" i="29" s="1"/>
  <c r="N29" i="17"/>
  <c r="M29" i="12"/>
  <c r="G24" i="29"/>
  <c r="H8" i="24"/>
  <c r="H11" i="24" s="1"/>
  <c r="G8" i="24"/>
  <c r="G11" i="29" s="1"/>
  <c r="F8" i="24"/>
  <c r="F11" i="24" s="1"/>
  <c r="G29" i="15"/>
  <c r="F29" i="16"/>
  <c r="K66" i="29"/>
  <c r="M19" i="29"/>
  <c r="Q19" i="29" s="1"/>
  <c r="E29" i="24"/>
  <c r="C49" i="34" s="1"/>
  <c r="M10" i="29"/>
  <c r="Q10" i="29" s="1"/>
  <c r="P37" i="29"/>
  <c r="T37" i="29" s="1"/>
  <c r="X32" i="27"/>
  <c r="L65" i="8"/>
  <c r="H29" i="19"/>
  <c r="F26" i="29"/>
  <c r="J19" i="33"/>
  <c r="J17" i="33"/>
  <c r="O29" i="7"/>
  <c r="D29" i="8"/>
  <c r="G13" i="26"/>
  <c r="E29" i="11"/>
  <c r="C44" i="34" s="1"/>
  <c r="E29" i="7"/>
  <c r="C40" i="34" s="1"/>
  <c r="E29" i="18"/>
  <c r="C36" i="34" s="1"/>
  <c r="G29" i="19"/>
  <c r="G13" i="9"/>
  <c r="F29" i="17"/>
  <c r="D29" i="20"/>
  <c r="F11" i="25"/>
  <c r="H26" i="29"/>
  <c r="H49" i="24"/>
  <c r="G49" i="22"/>
  <c r="F49" i="20"/>
  <c r="L19" i="33"/>
  <c r="AA25" i="27" s="1"/>
  <c r="K65" i="25"/>
  <c r="K65" i="26"/>
  <c r="L65" i="10"/>
  <c r="I11" i="9"/>
  <c r="D58" i="12"/>
  <c r="O29" i="17"/>
  <c r="I9" i="29"/>
  <c r="L22" i="33"/>
  <c r="AA36" i="27" s="1"/>
  <c r="N29" i="15"/>
  <c r="H11" i="25"/>
  <c r="O29" i="15"/>
  <c r="E16" i="29"/>
  <c r="D16" i="29" s="1"/>
  <c r="H29" i="7"/>
  <c r="F13" i="9"/>
  <c r="H11" i="26"/>
  <c r="H49" i="23"/>
  <c r="F49" i="22"/>
  <c r="P66" i="29"/>
  <c r="T66" i="29" s="1"/>
  <c r="E104" i="21"/>
  <c r="E121" i="21" s="1"/>
  <c r="E30" i="29"/>
  <c r="D30" i="29" s="1"/>
  <c r="G49" i="7"/>
  <c r="X27" i="27"/>
  <c r="K65" i="9"/>
  <c r="I11" i="7"/>
  <c r="H58" i="12"/>
  <c r="N29" i="10"/>
  <c r="P24" i="29"/>
  <c r="T24" i="29" s="1"/>
  <c r="O13" i="29"/>
  <c r="S13" i="29" s="1"/>
  <c r="F9" i="14"/>
  <c r="E12" i="29"/>
  <c r="E14" i="29" s="1"/>
  <c r="H9" i="14"/>
  <c r="G9" i="14"/>
  <c r="H9" i="21"/>
  <c r="H11" i="21" s="1"/>
  <c r="E11" i="21"/>
  <c r="B46" i="34" s="1"/>
  <c r="F9" i="21"/>
  <c r="F11" i="21" s="1"/>
  <c r="G9" i="21"/>
  <c r="G11" i="21" s="1"/>
  <c r="J49" i="23"/>
  <c r="E11" i="24"/>
  <c r="B49" i="34" s="1"/>
  <c r="F29" i="24"/>
  <c r="E29" i="23"/>
  <c r="C48" i="34" s="1"/>
  <c r="D29" i="18"/>
  <c r="O10" i="29"/>
  <c r="S10" i="29" s="1"/>
  <c r="M28" i="29"/>
  <c r="Q28" i="29" s="1"/>
  <c r="E29" i="8"/>
  <c r="C41" i="34" s="1"/>
  <c r="J25" i="33"/>
  <c r="Y39" i="27" s="1"/>
  <c r="J22" i="33"/>
  <c r="Y36" i="27" s="1"/>
  <c r="F29" i="15"/>
  <c r="F29" i="11"/>
  <c r="D29" i="7"/>
  <c r="E29" i="25"/>
  <c r="C50" i="34" s="1"/>
  <c r="D29" i="17"/>
  <c r="H49" i="25"/>
  <c r="G104" i="21"/>
  <c r="C53" i="21" s="1"/>
  <c r="E53" i="21" s="1"/>
  <c r="J9" i="29"/>
  <c r="L65" i="16"/>
  <c r="O38" i="29"/>
  <c r="S38" i="29" s="1"/>
  <c r="E11" i="14"/>
  <c r="B33" i="34" s="1"/>
  <c r="K29" i="17"/>
  <c r="L65" i="26"/>
  <c r="L65" i="23"/>
  <c r="L65" i="7"/>
  <c r="I65" i="5"/>
  <c r="L29" i="17"/>
  <c r="K29" i="12"/>
  <c r="J49" i="29"/>
  <c r="L49" i="29"/>
  <c r="H49" i="20"/>
  <c r="O23" i="29"/>
  <c r="S23" i="29" s="1"/>
  <c r="O49" i="29"/>
  <c r="F11" i="12"/>
  <c r="N29" i="29"/>
  <c r="R29" i="29" s="1"/>
  <c r="O28" i="29"/>
  <c r="S28" i="29" s="1"/>
  <c r="O29" i="19"/>
  <c r="O19" i="29"/>
  <c r="S19" i="29" s="1"/>
  <c r="N24" i="29"/>
  <c r="R24" i="29" s="1"/>
  <c r="F9" i="29"/>
  <c r="D58" i="23"/>
  <c r="G58" i="23"/>
  <c r="H58" i="23"/>
  <c r="I58" i="23"/>
  <c r="F58" i="23"/>
  <c r="C59" i="29"/>
  <c r="G46" i="30" s="1"/>
  <c r="E104" i="26"/>
  <c r="E121" i="26" s="1"/>
  <c r="G100" i="26"/>
  <c r="G104" i="26" s="1"/>
  <c r="G97" i="25"/>
  <c r="E104" i="25"/>
  <c r="E121" i="25" s="1"/>
  <c r="G100" i="25"/>
  <c r="G104" i="25" s="1"/>
  <c r="C53" i="25" s="1"/>
  <c r="E53" i="25" s="1"/>
  <c r="G97" i="24"/>
  <c r="E104" i="24"/>
  <c r="E121" i="24" s="1"/>
  <c r="G100" i="24"/>
  <c r="G104" i="24" s="1"/>
  <c r="C53" i="24" s="1"/>
  <c r="G97" i="23"/>
  <c r="C52" i="23" s="1"/>
  <c r="E104" i="23"/>
  <c r="E121" i="23" s="1"/>
  <c r="G100" i="23"/>
  <c r="G97" i="5"/>
  <c r="C52" i="5" s="1"/>
  <c r="E104" i="5"/>
  <c r="E121" i="5" s="1"/>
  <c r="G100" i="5"/>
  <c r="G104" i="5" s="1"/>
  <c r="J54" i="12"/>
  <c r="L54" i="12"/>
  <c r="G95" i="12"/>
  <c r="K49" i="22"/>
  <c r="F10" i="29"/>
  <c r="K29" i="21"/>
  <c r="I45" i="29"/>
  <c r="J43" i="29"/>
  <c r="E121" i="17"/>
  <c r="J29" i="17"/>
  <c r="G10" i="29"/>
  <c r="H10" i="29"/>
  <c r="H9" i="29"/>
  <c r="H57" i="12"/>
  <c r="F57" i="12"/>
  <c r="D57" i="12"/>
  <c r="G57" i="12"/>
  <c r="J29" i="21"/>
  <c r="L29" i="21"/>
  <c r="AA26" i="27"/>
  <c r="Z26" i="27"/>
  <c r="Z25" i="27"/>
  <c r="Z32" i="27"/>
  <c r="Z27" i="27"/>
  <c r="Z20" i="27"/>
  <c r="Z15" i="27"/>
  <c r="Z19" i="27"/>
  <c r="Z21" i="27"/>
  <c r="Z18" i="27"/>
  <c r="Z14" i="27"/>
  <c r="AA21" i="27"/>
  <c r="AA18" i="27"/>
  <c r="AA15" i="27"/>
  <c r="D66" i="29"/>
  <c r="D54" i="15"/>
  <c r="I54" i="15"/>
  <c r="G54" i="15"/>
  <c r="O54" i="15" s="1"/>
  <c r="F54" i="15"/>
  <c r="N54" i="15" s="1"/>
  <c r="H54" i="15"/>
  <c r="P54" i="15" s="1"/>
  <c r="K65" i="5"/>
  <c r="K37" i="29"/>
  <c r="BI30" i="27"/>
  <c r="BK30" i="27"/>
  <c r="BJ30" i="27"/>
  <c r="BH30" i="27"/>
  <c r="I29" i="5"/>
  <c r="I16" i="29"/>
  <c r="K29" i="5"/>
  <c r="K16" i="29"/>
  <c r="K49" i="29"/>
  <c r="K49" i="5"/>
  <c r="I41" i="29"/>
  <c r="J29" i="29"/>
  <c r="K10" i="29"/>
  <c r="K18" i="29"/>
  <c r="K20" i="29"/>
  <c r="K22" i="29"/>
  <c r="K24" i="29"/>
  <c r="K30" i="29"/>
  <c r="K36" i="29"/>
  <c r="K38" i="29"/>
  <c r="K42" i="29"/>
  <c r="K44" i="29"/>
  <c r="L25" i="29"/>
  <c r="L31" i="29"/>
  <c r="L41" i="29"/>
  <c r="J11" i="21"/>
  <c r="J11" i="25"/>
  <c r="J11" i="23"/>
  <c r="J11" i="7"/>
  <c r="J11" i="26"/>
  <c r="J11" i="22"/>
  <c r="J11" i="10"/>
  <c r="J11" i="16"/>
  <c r="J11" i="19"/>
  <c r="J29" i="13"/>
  <c r="J29" i="24"/>
  <c r="J29" i="14"/>
  <c r="J29" i="26"/>
  <c r="J29" i="10"/>
  <c r="J29" i="19"/>
  <c r="J29" i="25"/>
  <c r="J29" i="9"/>
  <c r="J29" i="20"/>
  <c r="L29" i="26"/>
  <c r="L29" i="19"/>
  <c r="L29" i="16"/>
  <c r="L29" i="13"/>
  <c r="L29" i="15"/>
  <c r="L29" i="25"/>
  <c r="L29" i="9"/>
  <c r="L29" i="20"/>
  <c r="K11" i="9"/>
  <c r="K11" i="17"/>
  <c r="K11" i="23"/>
  <c r="K11" i="7"/>
  <c r="K11" i="26"/>
  <c r="K11" i="22"/>
  <c r="K11" i="10"/>
  <c r="K11" i="16"/>
  <c r="K11" i="19"/>
  <c r="K11" i="12"/>
  <c r="K23" i="33"/>
  <c r="Z38" i="27" s="1"/>
  <c r="J23" i="33"/>
  <c r="Y38" i="27" s="1"/>
  <c r="K20" i="33"/>
  <c r="Z34" i="27" s="1"/>
  <c r="L24" i="33"/>
  <c r="AA37" i="27" s="1"/>
  <c r="J18" i="33"/>
  <c r="J16" i="33"/>
  <c r="I10" i="29"/>
  <c r="I38" i="29"/>
  <c r="I42" i="29"/>
  <c r="J18" i="29"/>
  <c r="J22" i="29"/>
  <c r="J28" i="29"/>
  <c r="J36" i="29"/>
  <c r="J42" i="29"/>
  <c r="K13" i="29"/>
  <c r="K21" i="29"/>
  <c r="K25" i="29"/>
  <c r="K31" i="29"/>
  <c r="K41" i="29"/>
  <c r="K45" i="29"/>
  <c r="L20" i="29"/>
  <c r="L24" i="29"/>
  <c r="L30" i="29"/>
  <c r="L38" i="29"/>
  <c r="L44" i="29"/>
  <c r="L65" i="13"/>
  <c r="K29" i="24"/>
  <c r="K29" i="14"/>
  <c r="K29" i="15"/>
  <c r="K29" i="22"/>
  <c r="K29" i="16"/>
  <c r="K29" i="25"/>
  <c r="K29" i="9"/>
  <c r="K29" i="20"/>
  <c r="K49" i="19"/>
  <c r="K49" i="7"/>
  <c r="J65" i="11"/>
  <c r="J65" i="7"/>
  <c r="J65" i="21"/>
  <c r="J65" i="26"/>
  <c r="J65" i="22"/>
  <c r="J65" i="10"/>
  <c r="J65" i="16"/>
  <c r="J10" i="29"/>
  <c r="Y26" i="27"/>
  <c r="Y25" i="27"/>
  <c r="L26" i="33"/>
  <c r="AA30" i="27" s="1"/>
  <c r="X30" i="27"/>
  <c r="Y15" i="27"/>
  <c r="Y19" i="27"/>
  <c r="Y21" i="27"/>
  <c r="Y14" i="27"/>
  <c r="Y18" i="27"/>
  <c r="Y20" i="27"/>
  <c r="J29" i="5"/>
  <c r="J16" i="29"/>
  <c r="L16" i="29"/>
  <c r="L29" i="5"/>
  <c r="L65" i="5"/>
  <c r="L66" i="29"/>
  <c r="K9" i="29"/>
  <c r="K11" i="20"/>
  <c r="H57" i="17"/>
  <c r="D57" i="17"/>
  <c r="F57" i="17"/>
  <c r="G57" i="17"/>
  <c r="I37" i="29"/>
  <c r="F13" i="12"/>
  <c r="H13" i="12"/>
  <c r="D13" i="12"/>
  <c r="D29" i="12" s="1"/>
  <c r="G13" i="12"/>
  <c r="E29" i="12"/>
  <c r="C32" i="34" s="1"/>
  <c r="L21" i="33"/>
  <c r="I43" i="29"/>
  <c r="J19" i="29"/>
  <c r="J21" i="29"/>
  <c r="J23" i="29"/>
  <c r="J25" i="29"/>
  <c r="J31" i="29"/>
  <c r="J41" i="29"/>
  <c r="J45" i="29"/>
  <c r="K12" i="29"/>
  <c r="K28" i="29"/>
  <c r="L19" i="29"/>
  <c r="L21" i="29"/>
  <c r="L23" i="29"/>
  <c r="L29" i="29"/>
  <c r="L43" i="29"/>
  <c r="L45" i="29"/>
  <c r="J11" i="9"/>
  <c r="J11" i="17"/>
  <c r="J11" i="20"/>
  <c r="J11" i="11"/>
  <c r="J11" i="18"/>
  <c r="J11" i="24"/>
  <c r="J11" i="13"/>
  <c r="J11" i="8"/>
  <c r="J11" i="15"/>
  <c r="J11" i="14"/>
  <c r="J29" i="8"/>
  <c r="J29" i="15"/>
  <c r="J29" i="22"/>
  <c r="J29" i="16"/>
  <c r="J29" i="23"/>
  <c r="J29" i="11"/>
  <c r="J29" i="7"/>
  <c r="L29" i="22"/>
  <c r="L29" i="10"/>
  <c r="L29" i="24"/>
  <c r="L29" i="8"/>
  <c r="L29" i="14"/>
  <c r="L29" i="23"/>
  <c r="L29" i="11"/>
  <c r="L29" i="7"/>
  <c r="L29" i="18"/>
  <c r="K11" i="25"/>
  <c r="K11" i="21"/>
  <c r="K11" i="11"/>
  <c r="K11" i="18"/>
  <c r="K11" i="24"/>
  <c r="K11" i="13"/>
  <c r="K11" i="8"/>
  <c r="K11" i="15"/>
  <c r="K11" i="14"/>
  <c r="K11" i="5"/>
  <c r="L23" i="33"/>
  <c r="AA38" i="27" s="1"/>
  <c r="J20" i="33"/>
  <c r="Y34" i="27" s="1"/>
  <c r="K24" i="33"/>
  <c r="Z37" i="27" s="1"/>
  <c r="J24" i="33"/>
  <c r="Y37" i="27" s="1"/>
  <c r="K18" i="33"/>
  <c r="L18" i="33"/>
  <c r="K16" i="33"/>
  <c r="I44" i="29"/>
  <c r="J20" i="29"/>
  <c r="J24" i="29"/>
  <c r="J30" i="29"/>
  <c r="J38" i="29"/>
  <c r="J44" i="29"/>
  <c r="K11" i="29"/>
  <c r="K19" i="29"/>
  <c r="K23" i="29"/>
  <c r="K29" i="29"/>
  <c r="K43" i="29"/>
  <c r="L18" i="29"/>
  <c r="L22" i="29"/>
  <c r="L28" i="29"/>
  <c r="L36" i="29"/>
  <c r="L42" i="29"/>
  <c r="K29" i="8"/>
  <c r="K29" i="13"/>
  <c r="K29" i="26"/>
  <c r="K29" i="10"/>
  <c r="K29" i="19"/>
  <c r="K29" i="23"/>
  <c r="K29" i="11"/>
  <c r="K29" i="7"/>
  <c r="K29" i="18"/>
  <c r="K49" i="24"/>
  <c r="J65" i="18"/>
  <c r="J65" i="23"/>
  <c r="J65" i="25"/>
  <c r="J65" i="9"/>
  <c r="J65" i="24"/>
  <c r="J65" i="13"/>
  <c r="J65" i="8"/>
  <c r="J65" i="15"/>
  <c r="J65" i="12"/>
  <c r="C52" i="8"/>
  <c r="C52" i="21"/>
  <c r="N93" i="49" s="1"/>
  <c r="O93" i="49" s="1"/>
  <c r="P93" i="49" s="1"/>
  <c r="G121" i="11"/>
  <c r="C52" i="11"/>
  <c r="N91" i="49" s="1"/>
  <c r="O91" i="49" s="1"/>
  <c r="P91" i="49" s="1"/>
  <c r="C52" i="7"/>
  <c r="G121" i="17"/>
  <c r="C52" i="17"/>
  <c r="N85" i="49" s="1"/>
  <c r="O85" i="49" s="1"/>
  <c r="P85" i="49" s="1"/>
  <c r="G121" i="18"/>
  <c r="C52" i="18"/>
  <c r="N83" i="49" s="1"/>
  <c r="O83" i="49" s="1"/>
  <c r="P83" i="49" s="1"/>
  <c r="C52" i="20"/>
  <c r="D43" i="29"/>
  <c r="F58" i="20"/>
  <c r="N58" i="20" s="1"/>
  <c r="G58" i="20"/>
  <c r="O58" i="20" s="1"/>
  <c r="H58" i="20"/>
  <c r="P58" i="20" s="1"/>
  <c r="D58" i="20"/>
  <c r="I58" i="20"/>
  <c r="E52" i="10"/>
  <c r="M52" i="10" s="1"/>
  <c r="G57" i="22"/>
  <c r="D57" i="22"/>
  <c r="F57" i="22"/>
  <c r="H57" i="22"/>
  <c r="G57" i="8"/>
  <c r="D57" i="8"/>
  <c r="F57" i="8"/>
  <c r="H57" i="8"/>
  <c r="E52" i="26"/>
  <c r="M52" i="26" s="1"/>
  <c r="C57" i="14"/>
  <c r="G100" i="13"/>
  <c r="G104" i="13" s="1"/>
  <c r="E104" i="13"/>
  <c r="G100" i="10"/>
  <c r="G104" i="10" s="1"/>
  <c r="E104" i="10"/>
  <c r="G100" i="9"/>
  <c r="G104" i="9" s="1"/>
  <c r="E104" i="9"/>
  <c r="G100" i="8"/>
  <c r="G104" i="8" s="1"/>
  <c r="C53" i="8" s="1"/>
  <c r="E53" i="8" s="1"/>
  <c r="E104" i="8"/>
  <c r="E121" i="8" s="1"/>
  <c r="D53" i="18"/>
  <c r="H53" i="18"/>
  <c r="G53" i="18"/>
  <c r="F53" i="18"/>
  <c r="G53" i="19"/>
  <c r="H53" i="19"/>
  <c r="D53" i="19"/>
  <c r="F53" i="19"/>
  <c r="D53" i="20"/>
  <c r="H53" i="20"/>
  <c r="G53" i="20"/>
  <c r="F53" i="20"/>
  <c r="G100" i="14"/>
  <c r="G104" i="14" s="1"/>
  <c r="E104" i="14"/>
  <c r="E121" i="14" s="1"/>
  <c r="G49" i="15"/>
  <c r="G49" i="29"/>
  <c r="J29" i="12"/>
  <c r="J26" i="29"/>
  <c r="G57" i="16"/>
  <c r="D57" i="16"/>
  <c r="F57" i="16"/>
  <c r="H57" i="16"/>
  <c r="G57" i="19"/>
  <c r="D57" i="19"/>
  <c r="F57" i="19"/>
  <c r="H57" i="19"/>
  <c r="G53" i="22"/>
  <c r="F53" i="22"/>
  <c r="D53" i="22"/>
  <c r="H53" i="22"/>
  <c r="D53" i="11"/>
  <c r="F53" i="11"/>
  <c r="G53" i="11"/>
  <c r="H53" i="11"/>
  <c r="F55" i="12"/>
  <c r="N55" i="12" s="1"/>
  <c r="H55" i="12"/>
  <c r="P55" i="12" s="1"/>
  <c r="D55" i="12"/>
  <c r="G55" i="12"/>
  <c r="E58" i="29"/>
  <c r="D58" i="29" s="1"/>
  <c r="D56" i="5"/>
  <c r="F56" i="5"/>
  <c r="N56" i="5" s="1"/>
  <c r="H56" i="5"/>
  <c r="P56" i="5" s="1"/>
  <c r="G56" i="5"/>
  <c r="O56" i="5" s="1"/>
  <c r="E59" i="29"/>
  <c r="D59" i="29" s="1"/>
  <c r="E53" i="5"/>
  <c r="E52" i="16"/>
  <c r="M52" i="16" s="1"/>
  <c r="C61" i="16"/>
  <c r="C67" i="16" s="1"/>
  <c r="I13" i="49" s="1"/>
  <c r="E52" i="19"/>
  <c r="M52" i="19" s="1"/>
  <c r="C61" i="19"/>
  <c r="G11" i="12"/>
  <c r="H11" i="12"/>
  <c r="C52" i="15"/>
  <c r="N84" i="49" s="1"/>
  <c r="E57" i="24"/>
  <c r="C57" i="13"/>
  <c r="E57" i="13" s="1"/>
  <c r="C57" i="10"/>
  <c r="E57" i="10" s="1"/>
  <c r="L29" i="12"/>
  <c r="L26" i="29"/>
  <c r="C57" i="21"/>
  <c r="E57" i="21" s="1"/>
  <c r="C57" i="9"/>
  <c r="E57" i="9" s="1"/>
  <c r="C57" i="7"/>
  <c r="E57" i="7" s="1"/>
  <c r="C57" i="20"/>
  <c r="E57" i="20" s="1"/>
  <c r="G57" i="15"/>
  <c r="D57" i="15"/>
  <c r="F57" i="15"/>
  <c r="H57" i="15"/>
  <c r="G53" i="7"/>
  <c r="F53" i="7"/>
  <c r="D53" i="7"/>
  <c r="H53" i="7"/>
  <c r="D53" i="16"/>
  <c r="H53" i="16"/>
  <c r="G53" i="16"/>
  <c r="F53" i="16"/>
  <c r="G53" i="17"/>
  <c r="H53" i="17"/>
  <c r="D53" i="17"/>
  <c r="F53" i="17"/>
  <c r="D59" i="5"/>
  <c r="G59" i="5"/>
  <c r="O59" i="5" s="1"/>
  <c r="E62" i="29"/>
  <c r="D62" i="29" s="1"/>
  <c r="I59" i="5"/>
  <c r="F59" i="5"/>
  <c r="N59" i="5" s="1"/>
  <c r="H59" i="5"/>
  <c r="P59" i="5" s="1"/>
  <c r="C52" i="22"/>
  <c r="N94" i="49" s="1"/>
  <c r="O94" i="49" s="1"/>
  <c r="P94" i="49" s="1"/>
  <c r="G121" i="22"/>
  <c r="E52" i="13"/>
  <c r="M52" i="13" s="1"/>
  <c r="E52" i="14"/>
  <c r="M52" i="14" s="1"/>
  <c r="D49" i="29"/>
  <c r="H49" i="15"/>
  <c r="H49" i="29"/>
  <c r="F49" i="29"/>
  <c r="F49" i="15"/>
  <c r="E121" i="20"/>
  <c r="D121" i="13"/>
  <c r="D121" i="10"/>
  <c r="D121" i="9"/>
  <c r="D121" i="14"/>
  <c r="G121" i="16"/>
  <c r="G121" i="19"/>
  <c r="B32" i="34"/>
  <c r="G9" i="29"/>
  <c r="G13" i="14"/>
  <c r="H13" i="14"/>
  <c r="F13" i="14"/>
  <c r="D13" i="14"/>
  <c r="D29" i="14" s="1"/>
  <c r="E29" i="14"/>
  <c r="C6" i="34"/>
  <c r="F11" i="5"/>
  <c r="G11" i="5"/>
  <c r="H11" i="5"/>
  <c r="B31" i="34"/>
  <c r="P49" i="11" l="1"/>
  <c r="I49" i="21"/>
  <c r="D47" i="5"/>
  <c r="D49" i="5" s="1"/>
  <c r="C52" i="29"/>
  <c r="P49" i="5"/>
  <c r="E49" i="5"/>
  <c r="D31" i="34" s="1"/>
  <c r="K5" i="30"/>
  <c r="J18" i="30"/>
  <c r="K18" i="30" s="1"/>
  <c r="J32" i="30"/>
  <c r="K32" i="30" s="1"/>
  <c r="J6" i="30"/>
  <c r="K6" i="30" s="1"/>
  <c r="J23" i="30"/>
  <c r="K23" i="30" s="1"/>
  <c r="J45" i="30"/>
  <c r="K45" i="30" s="1"/>
  <c r="H39" i="30"/>
  <c r="I39" i="30" s="1"/>
  <c r="K35" i="30"/>
  <c r="J34" i="30"/>
  <c r="K34" i="30" s="1"/>
  <c r="I22" i="30"/>
  <c r="J22" i="30" s="1"/>
  <c r="K22" i="30" s="1"/>
  <c r="I33" i="30"/>
  <c r="I36" i="30"/>
  <c r="J31" i="30"/>
  <c r="K31" i="30" s="1"/>
  <c r="K15" i="30"/>
  <c r="K49" i="30"/>
  <c r="H46" i="30"/>
  <c r="I46" i="30" s="1"/>
  <c r="J46" i="30" s="1"/>
  <c r="H48" i="30"/>
  <c r="I48" i="30" s="1"/>
  <c r="J40" i="30"/>
  <c r="K40" i="30" s="1"/>
  <c r="M49" i="5"/>
  <c r="O49" i="13"/>
  <c r="Q5" i="45"/>
  <c r="H27" i="30"/>
  <c r="H26" i="30"/>
  <c r="I26" i="30" s="1"/>
  <c r="J49" i="22"/>
  <c r="N49" i="7"/>
  <c r="O49" i="18"/>
  <c r="M43" i="20"/>
  <c r="L49" i="23"/>
  <c r="O49" i="19"/>
  <c r="L49" i="16"/>
  <c r="J49" i="13"/>
  <c r="I49" i="11"/>
  <c r="O49" i="9"/>
  <c r="J49" i="17"/>
  <c r="J49" i="14"/>
  <c r="P49" i="9"/>
  <c r="L49" i="13"/>
  <c r="I49" i="20"/>
  <c r="M61" i="16"/>
  <c r="M67" i="16" s="1"/>
  <c r="P49" i="24"/>
  <c r="P49" i="23"/>
  <c r="M49" i="22"/>
  <c r="M43" i="15"/>
  <c r="M49" i="18"/>
  <c r="M49" i="20"/>
  <c r="O49" i="5"/>
  <c r="K52" i="9"/>
  <c r="K49" i="11"/>
  <c r="O49" i="24"/>
  <c r="M61" i="19"/>
  <c r="N49" i="11"/>
  <c r="P49" i="16"/>
  <c r="N49" i="13"/>
  <c r="P49" i="21"/>
  <c r="O49" i="22"/>
  <c r="I49" i="7"/>
  <c r="M49" i="7"/>
  <c r="P49" i="17"/>
  <c r="M43" i="12"/>
  <c r="H50" i="29"/>
  <c r="H52" i="29" s="1"/>
  <c r="O49" i="17"/>
  <c r="O49" i="23"/>
  <c r="I59" i="29"/>
  <c r="M49" i="26"/>
  <c r="L52" i="9"/>
  <c r="H29" i="5"/>
  <c r="M43" i="10"/>
  <c r="N25" i="29"/>
  <c r="R25" i="29" s="1"/>
  <c r="N49" i="19"/>
  <c r="O51" i="29"/>
  <c r="S51" i="29" s="1"/>
  <c r="E50" i="29"/>
  <c r="D50" i="29" s="1"/>
  <c r="D52" i="29" s="1"/>
  <c r="N49" i="22"/>
  <c r="M51" i="29"/>
  <c r="Q51" i="29" s="1"/>
  <c r="F25" i="29"/>
  <c r="I49" i="8"/>
  <c r="N49" i="17"/>
  <c r="P51" i="29"/>
  <c r="T51" i="29" s="1"/>
  <c r="J49" i="8"/>
  <c r="M49" i="11"/>
  <c r="I49" i="24"/>
  <c r="L49" i="12"/>
  <c r="N49" i="15"/>
  <c r="O49" i="14"/>
  <c r="H29" i="22"/>
  <c r="I49" i="19"/>
  <c r="J49" i="26"/>
  <c r="K51" i="29"/>
  <c r="L53" i="17"/>
  <c r="P53" i="17"/>
  <c r="J53" i="7"/>
  <c r="N53" i="7"/>
  <c r="J53" i="17"/>
  <c r="N53" i="17"/>
  <c r="J53" i="16"/>
  <c r="N53" i="16"/>
  <c r="L53" i="7"/>
  <c r="P53" i="7"/>
  <c r="L57" i="15"/>
  <c r="P57" i="15"/>
  <c r="I57" i="20"/>
  <c r="M57" i="20"/>
  <c r="I57" i="24"/>
  <c r="M57" i="24"/>
  <c r="I53" i="5"/>
  <c r="M53" i="5"/>
  <c r="K53" i="11"/>
  <c r="O53" i="11"/>
  <c r="J57" i="19"/>
  <c r="N57" i="19"/>
  <c r="J57" i="16"/>
  <c r="N57" i="16"/>
  <c r="K53" i="19"/>
  <c r="O53" i="19"/>
  <c r="J57" i="8"/>
  <c r="N57" i="8"/>
  <c r="J57" i="22"/>
  <c r="N57" i="22"/>
  <c r="L57" i="17"/>
  <c r="P57" i="17"/>
  <c r="L57" i="12"/>
  <c r="P57" i="12"/>
  <c r="L58" i="23"/>
  <c r="P58" i="23"/>
  <c r="J58" i="12"/>
  <c r="N58" i="12"/>
  <c r="K56" i="23"/>
  <c r="O56" i="23"/>
  <c r="O59" i="29" s="1"/>
  <c r="S59" i="29" s="1"/>
  <c r="J58" i="24"/>
  <c r="N58" i="24"/>
  <c r="L58" i="10"/>
  <c r="P58" i="10"/>
  <c r="J58" i="22"/>
  <c r="N58" i="22"/>
  <c r="D32" i="16"/>
  <c r="M32" i="16"/>
  <c r="M43" i="16" s="1"/>
  <c r="L32" i="16"/>
  <c r="L43" i="16" s="1"/>
  <c r="P32" i="16"/>
  <c r="P43" i="16" s="1"/>
  <c r="J32" i="8"/>
  <c r="J43" i="8" s="1"/>
  <c r="N32" i="8"/>
  <c r="N43" i="8" s="1"/>
  <c r="J32" i="14"/>
  <c r="J43" i="14" s="1"/>
  <c r="N32" i="14"/>
  <c r="J32" i="26"/>
  <c r="J43" i="26" s="1"/>
  <c r="N32" i="26"/>
  <c r="N43" i="26" s="1"/>
  <c r="D32" i="9"/>
  <c r="M32" i="9"/>
  <c r="M43" i="9" s="1"/>
  <c r="D32" i="26"/>
  <c r="M32" i="26"/>
  <c r="M43" i="26" s="1"/>
  <c r="L32" i="24"/>
  <c r="L43" i="24" s="1"/>
  <c r="P32" i="24"/>
  <c r="P43" i="24" s="1"/>
  <c r="L32" i="8"/>
  <c r="L43" i="8" s="1"/>
  <c r="P32" i="8"/>
  <c r="P43" i="8" s="1"/>
  <c r="D32" i="17"/>
  <c r="M32" i="17"/>
  <c r="M43" i="17" s="1"/>
  <c r="D32" i="18"/>
  <c r="M32" i="18"/>
  <c r="M43" i="18" s="1"/>
  <c r="L32" i="23"/>
  <c r="L43" i="23" s="1"/>
  <c r="P32" i="23"/>
  <c r="P43" i="23" s="1"/>
  <c r="J32" i="13"/>
  <c r="J43" i="13" s="1"/>
  <c r="N32" i="13"/>
  <c r="N43" i="13" s="1"/>
  <c r="K32" i="15"/>
  <c r="K43" i="15" s="1"/>
  <c r="O32" i="15"/>
  <c r="O43" i="15" s="1"/>
  <c r="L32" i="13"/>
  <c r="L43" i="13" s="1"/>
  <c r="P32" i="13"/>
  <c r="P43" i="13" s="1"/>
  <c r="L32" i="17"/>
  <c r="L43" i="17" s="1"/>
  <c r="P32" i="17"/>
  <c r="P43" i="17" s="1"/>
  <c r="J32" i="23"/>
  <c r="J43" i="23" s="1"/>
  <c r="N32" i="23"/>
  <c r="N43" i="23" s="1"/>
  <c r="J32" i="16"/>
  <c r="J43" i="16" s="1"/>
  <c r="N32" i="16"/>
  <c r="N43" i="16" s="1"/>
  <c r="O32" i="10"/>
  <c r="O43" i="10" s="1"/>
  <c r="K32" i="10"/>
  <c r="K43" i="10" s="1"/>
  <c r="K32" i="21"/>
  <c r="K43" i="21" s="1"/>
  <c r="O32" i="21"/>
  <c r="O43" i="21" s="1"/>
  <c r="L32" i="22"/>
  <c r="L43" i="22" s="1"/>
  <c r="P32" i="22"/>
  <c r="P43" i="22" s="1"/>
  <c r="K21" i="52"/>
  <c r="I21" i="52"/>
  <c r="H21" i="52"/>
  <c r="K13" i="52"/>
  <c r="I13" i="52"/>
  <c r="H13" i="52"/>
  <c r="K17" i="52"/>
  <c r="H17" i="52"/>
  <c r="I17" i="52"/>
  <c r="K10" i="52"/>
  <c r="H10" i="52"/>
  <c r="I10" i="52"/>
  <c r="J8" i="52"/>
  <c r="G8" i="52"/>
  <c r="J18" i="52"/>
  <c r="G18" i="52"/>
  <c r="P32" i="10"/>
  <c r="P43" i="10" s="1"/>
  <c r="K20" i="52"/>
  <c r="I20" i="52"/>
  <c r="H20" i="52"/>
  <c r="K19" i="52"/>
  <c r="I19" i="52"/>
  <c r="H19" i="52"/>
  <c r="J24" i="52"/>
  <c r="G24" i="52"/>
  <c r="J6" i="52"/>
  <c r="G6" i="52"/>
  <c r="L47" i="26"/>
  <c r="L49" i="26" s="1"/>
  <c r="P47" i="26"/>
  <c r="P49" i="26" s="1"/>
  <c r="K47" i="25"/>
  <c r="K49" i="25" s="1"/>
  <c r="O47" i="25"/>
  <c r="O49" i="25" s="1"/>
  <c r="I47" i="16"/>
  <c r="I49" i="16" s="1"/>
  <c r="M47" i="16"/>
  <c r="M49" i="16" s="1"/>
  <c r="L47" i="7"/>
  <c r="L49" i="7" s="1"/>
  <c r="P47" i="7"/>
  <c r="K47" i="8"/>
  <c r="K49" i="8" s="1"/>
  <c r="O47" i="8"/>
  <c r="O49" i="8" s="1"/>
  <c r="V5" i="45"/>
  <c r="W5" i="45"/>
  <c r="U5" i="45"/>
  <c r="K53" i="16"/>
  <c r="O53" i="16"/>
  <c r="J57" i="15"/>
  <c r="N57" i="15"/>
  <c r="I57" i="7"/>
  <c r="M57" i="7"/>
  <c r="J53" i="11"/>
  <c r="N53" i="11"/>
  <c r="J53" i="22"/>
  <c r="N53" i="22"/>
  <c r="J53" i="20"/>
  <c r="N53" i="20"/>
  <c r="J53" i="19"/>
  <c r="N53" i="19"/>
  <c r="J53" i="18"/>
  <c r="N53" i="18"/>
  <c r="L20" i="33"/>
  <c r="AA34" i="27" s="1"/>
  <c r="L17" i="33"/>
  <c r="K57" i="17"/>
  <c r="O57" i="17"/>
  <c r="AA20" i="27"/>
  <c r="Z24" i="27"/>
  <c r="K57" i="12"/>
  <c r="O57" i="12"/>
  <c r="K58" i="23"/>
  <c r="O58" i="23"/>
  <c r="L58" i="12"/>
  <c r="P58" i="12"/>
  <c r="L25" i="33"/>
  <c r="AA39" i="27" s="1"/>
  <c r="I53" i="15"/>
  <c r="M53" i="15"/>
  <c r="L56" i="23"/>
  <c r="P56" i="23"/>
  <c r="P59" i="29" s="1"/>
  <c r="T59" i="29" s="1"/>
  <c r="E49" i="16"/>
  <c r="D39" i="34" s="1"/>
  <c r="K58" i="26"/>
  <c r="O58" i="26"/>
  <c r="L58" i="11"/>
  <c r="P58" i="11"/>
  <c r="L58" i="26"/>
  <c r="P58" i="26"/>
  <c r="P43" i="12"/>
  <c r="J32" i="22"/>
  <c r="J43" i="22" s="1"/>
  <c r="N32" i="22"/>
  <c r="N43" i="22" s="1"/>
  <c r="K32" i="14"/>
  <c r="K43" i="14" s="1"/>
  <c r="O32" i="14"/>
  <c r="O43" i="14" s="1"/>
  <c r="K32" i="26"/>
  <c r="K43" i="26" s="1"/>
  <c r="O32" i="26"/>
  <c r="O43" i="26" s="1"/>
  <c r="K32" i="25"/>
  <c r="K43" i="25" s="1"/>
  <c r="O32" i="25"/>
  <c r="O43" i="25" s="1"/>
  <c r="J32" i="11"/>
  <c r="J43" i="11" s="1"/>
  <c r="N32" i="11"/>
  <c r="N43" i="11" s="1"/>
  <c r="D32" i="24"/>
  <c r="M32" i="24"/>
  <c r="J32" i="15"/>
  <c r="J43" i="15" s="1"/>
  <c r="N32" i="15"/>
  <c r="N43" i="15" s="1"/>
  <c r="L32" i="5"/>
  <c r="L43" i="5" s="1"/>
  <c r="P32" i="5"/>
  <c r="L32" i="19"/>
  <c r="L43" i="19" s="1"/>
  <c r="P32" i="19"/>
  <c r="P43" i="19" s="1"/>
  <c r="D32" i="23"/>
  <c r="M32" i="23"/>
  <c r="M43" i="23" s="1"/>
  <c r="D32" i="19"/>
  <c r="M32" i="19"/>
  <c r="M43" i="19" s="1"/>
  <c r="K32" i="13"/>
  <c r="K43" i="13" s="1"/>
  <c r="O32" i="13"/>
  <c r="O43" i="13" s="1"/>
  <c r="L32" i="15"/>
  <c r="L43" i="15" s="1"/>
  <c r="P32" i="15"/>
  <c r="P43" i="15" s="1"/>
  <c r="J32" i="24"/>
  <c r="J43" i="24" s="1"/>
  <c r="N32" i="24"/>
  <c r="N43" i="24" s="1"/>
  <c r="L32" i="18"/>
  <c r="L43" i="18" s="1"/>
  <c r="P32" i="18"/>
  <c r="P43" i="18" s="1"/>
  <c r="K32" i="8"/>
  <c r="K43" i="8" s="1"/>
  <c r="O32" i="8"/>
  <c r="O43" i="8" s="1"/>
  <c r="D32" i="14"/>
  <c r="M32" i="14"/>
  <c r="M43" i="14" s="1"/>
  <c r="J32" i="21"/>
  <c r="J43" i="21" s="1"/>
  <c r="N32" i="21"/>
  <c r="N43" i="21" s="1"/>
  <c r="J21" i="52"/>
  <c r="G21" i="52"/>
  <c r="J13" i="52"/>
  <c r="G13" i="52"/>
  <c r="J17" i="52"/>
  <c r="G17" i="52"/>
  <c r="K8" i="52"/>
  <c r="I8" i="52"/>
  <c r="H8" i="52"/>
  <c r="K18" i="52"/>
  <c r="H18" i="52"/>
  <c r="I18" i="52"/>
  <c r="J20" i="52"/>
  <c r="G20" i="52"/>
  <c r="E5" i="52"/>
  <c r="C26" i="52"/>
  <c r="D5" i="52"/>
  <c r="J19" i="52"/>
  <c r="G19" i="52"/>
  <c r="J47" i="12"/>
  <c r="J49" i="12" s="1"/>
  <c r="N47" i="12"/>
  <c r="N49" i="12" s="1"/>
  <c r="K47" i="16"/>
  <c r="K49" i="16" s="1"/>
  <c r="O47" i="16"/>
  <c r="O49" i="16" s="1"/>
  <c r="I47" i="14"/>
  <c r="I49" i="14" s="1"/>
  <c r="M47" i="14"/>
  <c r="K24" i="52"/>
  <c r="I24" i="52"/>
  <c r="H24" i="52"/>
  <c r="K6" i="52"/>
  <c r="I6" i="52"/>
  <c r="H6" i="52"/>
  <c r="J47" i="25"/>
  <c r="J49" i="25" s="1"/>
  <c r="N47" i="25"/>
  <c r="N49" i="25" s="1"/>
  <c r="K47" i="12"/>
  <c r="O47" i="12"/>
  <c r="K47" i="26"/>
  <c r="K49" i="26" s="1"/>
  <c r="O47" i="26"/>
  <c r="O49" i="26" s="1"/>
  <c r="O26" i="46"/>
  <c r="K11" i="52"/>
  <c r="I11" i="52"/>
  <c r="H11" i="52"/>
  <c r="O84" i="49"/>
  <c r="P84" i="49" s="1"/>
  <c r="L53" i="16"/>
  <c r="P53" i="16"/>
  <c r="I57" i="9"/>
  <c r="M57" i="9"/>
  <c r="I57" i="10"/>
  <c r="M57" i="10"/>
  <c r="K53" i="22"/>
  <c r="O53" i="22"/>
  <c r="K57" i="19"/>
  <c r="O57" i="19"/>
  <c r="K57" i="16"/>
  <c r="O57" i="16"/>
  <c r="K53" i="20"/>
  <c r="O53" i="20"/>
  <c r="K53" i="18"/>
  <c r="O53" i="18"/>
  <c r="I53" i="8"/>
  <c r="M53" i="8"/>
  <c r="K57" i="8"/>
  <c r="O57" i="8"/>
  <c r="K57" i="22"/>
  <c r="O57" i="22"/>
  <c r="N81" i="49"/>
  <c r="O81" i="49" s="1"/>
  <c r="P81" i="49" s="1"/>
  <c r="J57" i="17"/>
  <c r="N57" i="17"/>
  <c r="J58" i="23"/>
  <c r="N58" i="23"/>
  <c r="E61" i="29"/>
  <c r="D61" i="29" s="1"/>
  <c r="M58" i="17"/>
  <c r="M61" i="29" s="1"/>
  <c r="Q61" i="29" s="1"/>
  <c r="K58" i="12"/>
  <c r="O58" i="12"/>
  <c r="J56" i="23"/>
  <c r="N56" i="23"/>
  <c r="N59" i="29" s="1"/>
  <c r="R59" i="29" s="1"/>
  <c r="L58" i="24"/>
  <c r="P58" i="24"/>
  <c r="J58" i="11"/>
  <c r="N58" i="11"/>
  <c r="M43" i="24"/>
  <c r="J32" i="17"/>
  <c r="J43" i="17" s="1"/>
  <c r="N32" i="17"/>
  <c r="N43" i="17" s="1"/>
  <c r="K32" i="7"/>
  <c r="K43" i="7" s="1"/>
  <c r="O32" i="7"/>
  <c r="O43" i="7" s="1"/>
  <c r="L32" i="25"/>
  <c r="L43" i="25" s="1"/>
  <c r="P32" i="25"/>
  <c r="P43" i="25" s="1"/>
  <c r="J32" i="10"/>
  <c r="J43" i="10" s="1"/>
  <c r="N32" i="10"/>
  <c r="N43" i="10" s="1"/>
  <c r="K32" i="11"/>
  <c r="K43" i="11" s="1"/>
  <c r="O32" i="11"/>
  <c r="O43" i="11" s="1"/>
  <c r="K32" i="9"/>
  <c r="K43" i="9" s="1"/>
  <c r="O32" i="9"/>
  <c r="O43" i="9" s="1"/>
  <c r="D32" i="5"/>
  <c r="M32" i="5"/>
  <c r="M43" i="5" s="1"/>
  <c r="K32" i="17"/>
  <c r="K43" i="17" s="1"/>
  <c r="O32" i="17"/>
  <c r="O43" i="17" s="1"/>
  <c r="K32" i="18"/>
  <c r="K43" i="18" s="1"/>
  <c r="O32" i="18"/>
  <c r="O43" i="18" s="1"/>
  <c r="J32" i="18"/>
  <c r="J43" i="18" s="1"/>
  <c r="N32" i="18"/>
  <c r="N43" i="18" s="1"/>
  <c r="K32" i="23"/>
  <c r="K43" i="23" s="1"/>
  <c r="O32" i="23"/>
  <c r="O43" i="23" s="1"/>
  <c r="K32" i="19"/>
  <c r="K43" i="19" s="1"/>
  <c r="O32" i="19"/>
  <c r="O43" i="19" s="1"/>
  <c r="L32" i="11"/>
  <c r="L43" i="11" s="1"/>
  <c r="P32" i="11"/>
  <c r="P43" i="11" s="1"/>
  <c r="K32" i="20"/>
  <c r="K43" i="20" s="1"/>
  <c r="O32" i="20"/>
  <c r="O43" i="20" s="1"/>
  <c r="D32" i="22"/>
  <c r="M32" i="22"/>
  <c r="M43" i="22" s="1"/>
  <c r="J32" i="25"/>
  <c r="J43" i="25" s="1"/>
  <c r="N32" i="25"/>
  <c r="N43" i="25" s="1"/>
  <c r="K7" i="52"/>
  <c r="H7" i="52"/>
  <c r="I7" i="52"/>
  <c r="K15" i="52"/>
  <c r="H15" i="52"/>
  <c r="I15" i="52"/>
  <c r="K23" i="52"/>
  <c r="H23" i="52"/>
  <c r="I23" i="52"/>
  <c r="K9" i="52"/>
  <c r="H9" i="52"/>
  <c r="I9" i="52"/>
  <c r="J22" i="52"/>
  <c r="G22" i="52"/>
  <c r="J14" i="52"/>
  <c r="G14" i="52"/>
  <c r="K12" i="52"/>
  <c r="H12" i="52"/>
  <c r="I12" i="52"/>
  <c r="J16" i="52"/>
  <c r="G16" i="52"/>
  <c r="K47" i="10"/>
  <c r="K49" i="10" s="1"/>
  <c r="O47" i="10"/>
  <c r="O49" i="10" s="1"/>
  <c r="J55" i="5"/>
  <c r="N55" i="5"/>
  <c r="N58" i="29" s="1"/>
  <c r="R58" i="29" s="1"/>
  <c r="K25" i="52"/>
  <c r="H25" i="52"/>
  <c r="I25" i="52"/>
  <c r="I47" i="25"/>
  <c r="I49" i="25" s="1"/>
  <c r="M47" i="25"/>
  <c r="M49" i="25" s="1"/>
  <c r="T5" i="45"/>
  <c r="S5" i="45"/>
  <c r="E73" i="49"/>
  <c r="F52" i="49"/>
  <c r="F73" i="49" s="1"/>
  <c r="J11" i="52"/>
  <c r="G11" i="52"/>
  <c r="K53" i="17"/>
  <c r="O53" i="17"/>
  <c r="K53" i="7"/>
  <c r="O53" i="7"/>
  <c r="K57" i="15"/>
  <c r="O57" i="15"/>
  <c r="I57" i="21"/>
  <c r="M57" i="21"/>
  <c r="I57" i="13"/>
  <c r="M57" i="13"/>
  <c r="K55" i="12"/>
  <c r="O55" i="12"/>
  <c r="L53" i="11"/>
  <c r="P53" i="11"/>
  <c r="L53" i="22"/>
  <c r="P53" i="22"/>
  <c r="L57" i="19"/>
  <c r="P57" i="19"/>
  <c r="L57" i="16"/>
  <c r="P57" i="16"/>
  <c r="L53" i="20"/>
  <c r="P53" i="20"/>
  <c r="L53" i="19"/>
  <c r="P53" i="19"/>
  <c r="L53" i="18"/>
  <c r="P53" i="18"/>
  <c r="L57" i="8"/>
  <c r="P57" i="8"/>
  <c r="L57" i="22"/>
  <c r="P57" i="22"/>
  <c r="N87" i="49"/>
  <c r="O87" i="49" s="1"/>
  <c r="P87" i="49" s="1"/>
  <c r="N88" i="49"/>
  <c r="O88" i="49" s="1"/>
  <c r="P88" i="49" s="1"/>
  <c r="L16" i="33"/>
  <c r="AA19" i="27"/>
  <c r="J57" i="12"/>
  <c r="N57" i="12"/>
  <c r="I53" i="25"/>
  <c r="M53" i="25"/>
  <c r="I53" i="21"/>
  <c r="M53" i="21"/>
  <c r="K55" i="5"/>
  <c r="O55" i="5"/>
  <c r="L59" i="12"/>
  <c r="P59" i="12"/>
  <c r="P62" i="29" s="1"/>
  <c r="T62" i="29" s="1"/>
  <c r="G49" i="25"/>
  <c r="G50" i="29"/>
  <c r="G52" i="29" s="1"/>
  <c r="G49" i="8"/>
  <c r="L55" i="5"/>
  <c r="P55" i="5"/>
  <c r="P58" i="29" s="1"/>
  <c r="T58" i="29" s="1"/>
  <c r="I49" i="23"/>
  <c r="K58" i="11"/>
  <c r="O58" i="11"/>
  <c r="J58" i="10"/>
  <c r="N58" i="10"/>
  <c r="L58" i="22"/>
  <c r="P58" i="22"/>
  <c r="J59" i="12"/>
  <c r="N59" i="12"/>
  <c r="N62" i="29" s="1"/>
  <c r="R62" i="29" s="1"/>
  <c r="P49" i="18"/>
  <c r="K32" i="16"/>
  <c r="K43" i="16" s="1"/>
  <c r="O32" i="16"/>
  <c r="O43" i="16" s="1"/>
  <c r="D32" i="25"/>
  <c r="M32" i="25"/>
  <c r="M43" i="25" s="1"/>
  <c r="K32" i="22"/>
  <c r="K43" i="22" s="1"/>
  <c r="O32" i="22"/>
  <c r="O43" i="22" s="1"/>
  <c r="J32" i="19"/>
  <c r="J43" i="19" s="1"/>
  <c r="N32" i="19"/>
  <c r="N43" i="19" s="1"/>
  <c r="L32" i="14"/>
  <c r="L43" i="14" s="1"/>
  <c r="P32" i="14"/>
  <c r="P43" i="14" s="1"/>
  <c r="L32" i="20"/>
  <c r="L43" i="20" s="1"/>
  <c r="P32" i="20"/>
  <c r="P43" i="20" s="1"/>
  <c r="J32" i="20"/>
  <c r="J43" i="20" s="1"/>
  <c r="N32" i="20"/>
  <c r="N43" i="20" s="1"/>
  <c r="D32" i="11"/>
  <c r="M32" i="11"/>
  <c r="M43" i="11" s="1"/>
  <c r="L32" i="9"/>
  <c r="L43" i="9" s="1"/>
  <c r="P32" i="9"/>
  <c r="P43" i="9" s="1"/>
  <c r="L32" i="21"/>
  <c r="L43" i="21" s="1"/>
  <c r="P32" i="21"/>
  <c r="P43" i="21" s="1"/>
  <c r="K32" i="5"/>
  <c r="K43" i="5" s="1"/>
  <c r="O32" i="5"/>
  <c r="L32" i="7"/>
  <c r="L43" i="7" s="1"/>
  <c r="P32" i="7"/>
  <c r="P43" i="7" s="1"/>
  <c r="J32" i="7"/>
  <c r="J43" i="7" s="1"/>
  <c r="N32" i="7"/>
  <c r="N43" i="7" s="1"/>
  <c r="K32" i="24"/>
  <c r="K43" i="24" s="1"/>
  <c r="O32" i="24"/>
  <c r="O43" i="24" s="1"/>
  <c r="D32" i="7"/>
  <c r="M32" i="7"/>
  <c r="M43" i="7" s="1"/>
  <c r="D32" i="13"/>
  <c r="M32" i="13"/>
  <c r="M43" i="13" s="1"/>
  <c r="L32" i="26"/>
  <c r="L43" i="26" s="1"/>
  <c r="P32" i="26"/>
  <c r="P43" i="26" s="1"/>
  <c r="D32" i="21"/>
  <c r="M32" i="21"/>
  <c r="M43" i="21" s="1"/>
  <c r="J32" i="9"/>
  <c r="J43" i="9" s="1"/>
  <c r="N32" i="9"/>
  <c r="N43" i="9" s="1"/>
  <c r="D32" i="8"/>
  <c r="M32" i="8"/>
  <c r="M43" i="8" s="1"/>
  <c r="J7" i="52"/>
  <c r="G7" i="52"/>
  <c r="J15" i="52"/>
  <c r="G15" i="52"/>
  <c r="J10" i="52"/>
  <c r="G10" i="52"/>
  <c r="J23" i="52"/>
  <c r="G23" i="52"/>
  <c r="J9" i="52"/>
  <c r="G9" i="52"/>
  <c r="K22" i="52"/>
  <c r="I22" i="52"/>
  <c r="H22" i="52"/>
  <c r="K14" i="52"/>
  <c r="H14" i="52"/>
  <c r="I14" i="52"/>
  <c r="J12" i="52"/>
  <c r="G12" i="52"/>
  <c r="K16" i="52"/>
  <c r="I16" i="52"/>
  <c r="H16" i="52"/>
  <c r="J25" i="52"/>
  <c r="G25" i="52"/>
  <c r="L47" i="10"/>
  <c r="L49" i="10" s="1"/>
  <c r="P47" i="10"/>
  <c r="P49" i="10" s="1"/>
  <c r="L47" i="22"/>
  <c r="L49" i="22" s="1"/>
  <c r="P47" i="22"/>
  <c r="P49" i="22" s="1"/>
  <c r="R5" i="45"/>
  <c r="P5" i="46"/>
  <c r="J58" i="26"/>
  <c r="N58" i="26"/>
  <c r="K59" i="12"/>
  <c r="O59" i="12"/>
  <c r="O62" i="29" s="1"/>
  <c r="S62" i="29" s="1"/>
  <c r="F99" i="49"/>
  <c r="E32" i="49"/>
  <c r="K32" i="49"/>
  <c r="D32" i="49"/>
  <c r="E99" i="49"/>
  <c r="J32" i="49"/>
  <c r="P25" i="29"/>
  <c r="T25" i="29" s="1"/>
  <c r="N24" i="45"/>
  <c r="N21" i="45"/>
  <c r="N15" i="45"/>
  <c r="N9" i="45"/>
  <c r="N7" i="45"/>
  <c r="P7" i="46" s="1"/>
  <c r="U7" i="46" s="1"/>
  <c r="H26" i="45"/>
  <c r="N14" i="45"/>
  <c r="N12" i="45"/>
  <c r="N13" i="45"/>
  <c r="N25" i="45"/>
  <c r="N8" i="45"/>
  <c r="N11" i="45"/>
  <c r="N16" i="45"/>
  <c r="N23" i="45"/>
  <c r="N18" i="45"/>
  <c r="R18" i="45" s="1"/>
  <c r="N10" i="45"/>
  <c r="R10" i="45" s="1"/>
  <c r="N20" i="45"/>
  <c r="N19" i="45"/>
  <c r="N22" i="45"/>
  <c r="N17" i="45"/>
  <c r="N6" i="45"/>
  <c r="G26" i="45"/>
  <c r="O25" i="29"/>
  <c r="S25" i="29" s="1"/>
  <c r="J5" i="46"/>
  <c r="H25" i="29"/>
  <c r="G29" i="13"/>
  <c r="O29" i="13"/>
  <c r="G25" i="29"/>
  <c r="D25" i="34"/>
  <c r="B25" i="34"/>
  <c r="I32" i="26"/>
  <c r="I43" i="26" s="1"/>
  <c r="I32" i="16"/>
  <c r="I43" i="16" s="1"/>
  <c r="I32" i="25"/>
  <c r="I32" i="11"/>
  <c r="I43" i="11" s="1"/>
  <c r="D32" i="20"/>
  <c r="I32" i="20"/>
  <c r="I43" i="20" s="1"/>
  <c r="I32" i="17"/>
  <c r="I32" i="5"/>
  <c r="I43" i="5" s="1"/>
  <c r="I32" i="9"/>
  <c r="I43" i="9" s="1"/>
  <c r="D32" i="10"/>
  <c r="I32" i="10"/>
  <c r="I43" i="10" s="1"/>
  <c r="I32" i="24"/>
  <c r="D32" i="15"/>
  <c r="I32" i="15"/>
  <c r="I43" i="15" s="1"/>
  <c r="G14" i="46"/>
  <c r="H14" i="46" s="1"/>
  <c r="E14" i="46"/>
  <c r="I14" i="46" s="1"/>
  <c r="J14" i="46" s="1"/>
  <c r="G18" i="46"/>
  <c r="H18" i="46" s="1"/>
  <c r="E18" i="46"/>
  <c r="I18" i="46" s="1"/>
  <c r="J18" i="46" s="1"/>
  <c r="G23" i="46"/>
  <c r="H23" i="46" s="1"/>
  <c r="E23" i="46"/>
  <c r="I23" i="46" s="1"/>
  <c r="J23" i="46" s="1"/>
  <c r="E12" i="46"/>
  <c r="I12" i="46" s="1"/>
  <c r="J12" i="46" s="1"/>
  <c r="G12" i="46"/>
  <c r="H12" i="46" s="1"/>
  <c r="E22" i="46"/>
  <c r="I22" i="46" s="1"/>
  <c r="J22" i="46" s="1"/>
  <c r="G22" i="46"/>
  <c r="H22" i="46" s="1"/>
  <c r="E11" i="46"/>
  <c r="I11" i="46" s="1"/>
  <c r="J11" i="46" s="1"/>
  <c r="G11" i="46"/>
  <c r="H11" i="46" s="1"/>
  <c r="G15" i="46"/>
  <c r="H15" i="46" s="1"/>
  <c r="E15" i="46"/>
  <c r="I15" i="46" s="1"/>
  <c r="J15" i="46" s="1"/>
  <c r="G25" i="46"/>
  <c r="H25" i="46" s="1"/>
  <c r="E25" i="46"/>
  <c r="I25" i="46" s="1"/>
  <c r="J25" i="46" s="1"/>
  <c r="G13" i="46"/>
  <c r="H13" i="46" s="1"/>
  <c r="E13" i="46"/>
  <c r="I13" i="46" s="1"/>
  <c r="J13" i="46" s="1"/>
  <c r="G20" i="46"/>
  <c r="H20" i="46" s="1"/>
  <c r="E20" i="46"/>
  <c r="I20" i="46" s="1"/>
  <c r="J20" i="46" s="1"/>
  <c r="G24" i="46"/>
  <c r="H24" i="46" s="1"/>
  <c r="E24" i="46"/>
  <c r="I24" i="46" s="1"/>
  <c r="J24" i="46" s="1"/>
  <c r="G10" i="46"/>
  <c r="H10" i="46" s="1"/>
  <c r="E10" i="46"/>
  <c r="I10" i="46" s="1"/>
  <c r="J10" i="46" s="1"/>
  <c r="F6" i="45"/>
  <c r="F26" i="45" s="1"/>
  <c r="D26" i="45"/>
  <c r="G7" i="46"/>
  <c r="H7" i="46" s="1"/>
  <c r="E7" i="46"/>
  <c r="I7" i="46" s="1"/>
  <c r="J7" i="46" s="1"/>
  <c r="F26" i="46"/>
  <c r="E26" i="45"/>
  <c r="G9" i="46"/>
  <c r="H9" i="46" s="1"/>
  <c r="E9" i="46"/>
  <c r="I9" i="46" s="1"/>
  <c r="J9" i="46" s="1"/>
  <c r="G19" i="46"/>
  <c r="H19" i="46" s="1"/>
  <c r="E19" i="46"/>
  <c r="I19" i="46" s="1"/>
  <c r="J19" i="46" s="1"/>
  <c r="G16" i="46"/>
  <c r="H16" i="46" s="1"/>
  <c r="E16" i="46"/>
  <c r="I16" i="46" s="1"/>
  <c r="J16" i="46" s="1"/>
  <c r="G8" i="46"/>
  <c r="H8" i="46" s="1"/>
  <c r="E8" i="46"/>
  <c r="I8" i="46" s="1"/>
  <c r="J8" i="46" s="1"/>
  <c r="G21" i="46"/>
  <c r="H21" i="46" s="1"/>
  <c r="E21" i="46"/>
  <c r="I21" i="46" s="1"/>
  <c r="J21" i="46" s="1"/>
  <c r="E17" i="46"/>
  <c r="I17" i="46" s="1"/>
  <c r="J17" i="46" s="1"/>
  <c r="G17" i="46"/>
  <c r="H17" i="46" s="1"/>
  <c r="G6" i="46"/>
  <c r="E6" i="46"/>
  <c r="I6" i="46" s="1"/>
  <c r="D26" i="46"/>
  <c r="L14" i="29"/>
  <c r="O43" i="12"/>
  <c r="G36" i="29"/>
  <c r="N43" i="12"/>
  <c r="P29" i="5"/>
  <c r="M16" i="29"/>
  <c r="Q16" i="29" s="1"/>
  <c r="Q32" i="29" s="1"/>
  <c r="G29" i="18"/>
  <c r="O13" i="18"/>
  <c r="O29" i="18" s="1"/>
  <c r="H29" i="24"/>
  <c r="P13" i="24"/>
  <c r="P29" i="24" s="1"/>
  <c r="M36" i="29"/>
  <c r="Q36" i="29" s="1"/>
  <c r="M29" i="5"/>
  <c r="N13" i="5"/>
  <c r="H29" i="8"/>
  <c r="P13" i="8"/>
  <c r="G29" i="21"/>
  <c r="O13" i="21"/>
  <c r="O29" i="21" s="1"/>
  <c r="F29" i="8"/>
  <c r="N13" i="8"/>
  <c r="N29" i="8" s="1"/>
  <c r="P36" i="29"/>
  <c r="T36" i="29" s="1"/>
  <c r="H29" i="20"/>
  <c r="P13" i="20"/>
  <c r="P29" i="20" s="1"/>
  <c r="F29" i="18"/>
  <c r="N13" i="18"/>
  <c r="N29" i="18" s="1"/>
  <c r="G29" i="24"/>
  <c r="O13" i="24"/>
  <c r="G29" i="12"/>
  <c r="O13" i="12"/>
  <c r="F29" i="14"/>
  <c r="N13" i="14"/>
  <c r="N29" i="14" s="1"/>
  <c r="G29" i="5"/>
  <c r="O13" i="5"/>
  <c r="H36" i="29"/>
  <c r="G29" i="25"/>
  <c r="O13" i="25"/>
  <c r="O29" i="25" s="1"/>
  <c r="G29" i="8"/>
  <c r="O13" i="8"/>
  <c r="O29" i="8" s="1"/>
  <c r="G29" i="20"/>
  <c r="O13" i="20"/>
  <c r="F29" i="13"/>
  <c r="N13" i="13"/>
  <c r="N29" i="13" s="1"/>
  <c r="F29" i="26"/>
  <c r="N13" i="26"/>
  <c r="H29" i="14"/>
  <c r="P13" i="14"/>
  <c r="P29" i="14" s="1"/>
  <c r="H29" i="12"/>
  <c r="P13" i="12"/>
  <c r="F29" i="9"/>
  <c r="N13" i="9"/>
  <c r="N29" i="9" s="1"/>
  <c r="F29" i="25"/>
  <c r="N13" i="25"/>
  <c r="N29" i="25" s="1"/>
  <c r="H29" i="23"/>
  <c r="P13" i="23"/>
  <c r="P29" i="23" s="1"/>
  <c r="F29" i="20"/>
  <c r="N13" i="20"/>
  <c r="N29" i="20" s="1"/>
  <c r="H29" i="26"/>
  <c r="P13" i="26"/>
  <c r="P29" i="26" s="1"/>
  <c r="G29" i="26"/>
  <c r="O13" i="26"/>
  <c r="O29" i="26" s="1"/>
  <c r="H29" i="9"/>
  <c r="P13" i="9"/>
  <c r="P29" i="9" s="1"/>
  <c r="F29" i="21"/>
  <c r="N13" i="21"/>
  <c r="N29" i="21" s="1"/>
  <c r="G29" i="14"/>
  <c r="O13" i="14"/>
  <c r="F29" i="12"/>
  <c r="N13" i="12"/>
  <c r="N29" i="12" s="1"/>
  <c r="G29" i="9"/>
  <c r="O13" i="9"/>
  <c r="O29" i="9" s="1"/>
  <c r="H29" i="13"/>
  <c r="P13" i="13"/>
  <c r="P29" i="13" s="1"/>
  <c r="H29" i="25"/>
  <c r="P13" i="25"/>
  <c r="P29" i="25" s="1"/>
  <c r="H29" i="18"/>
  <c r="P13" i="18"/>
  <c r="P29" i="18" s="1"/>
  <c r="H29" i="21"/>
  <c r="P13" i="21"/>
  <c r="P29" i="21" s="1"/>
  <c r="F29" i="23"/>
  <c r="N13" i="23"/>
  <c r="N29" i="23" s="1"/>
  <c r="P14" i="29"/>
  <c r="T14" i="29" s="1"/>
  <c r="T10" i="29"/>
  <c r="I32" i="29"/>
  <c r="H53" i="21"/>
  <c r="N14" i="29"/>
  <c r="R14" i="29" s="1"/>
  <c r="F53" i="21"/>
  <c r="I49" i="5"/>
  <c r="G53" i="21"/>
  <c r="I51" i="29"/>
  <c r="D53" i="21"/>
  <c r="H53" i="15"/>
  <c r="F12" i="29"/>
  <c r="F11" i="29"/>
  <c r="G121" i="15"/>
  <c r="F11" i="14"/>
  <c r="H11" i="29"/>
  <c r="G53" i="15"/>
  <c r="H59" i="29"/>
  <c r="L56" i="5"/>
  <c r="G12" i="29"/>
  <c r="G14" i="29" s="1"/>
  <c r="J49" i="20"/>
  <c r="L51" i="29"/>
  <c r="F53" i="15"/>
  <c r="G11" i="24"/>
  <c r="G35" i="29"/>
  <c r="K32" i="12"/>
  <c r="F59" i="29"/>
  <c r="J56" i="5"/>
  <c r="H12" i="29"/>
  <c r="L49" i="20"/>
  <c r="D53" i="15"/>
  <c r="H58" i="29"/>
  <c r="L55" i="12"/>
  <c r="G59" i="29"/>
  <c r="K56" i="5"/>
  <c r="J32" i="12"/>
  <c r="D32" i="12"/>
  <c r="I32" i="12"/>
  <c r="E35" i="29"/>
  <c r="D35" i="29" s="1"/>
  <c r="H35" i="29"/>
  <c r="L32" i="12"/>
  <c r="F58" i="29"/>
  <c r="J55" i="12"/>
  <c r="D33" i="12"/>
  <c r="E36" i="29"/>
  <c r="D36" i="29" s="1"/>
  <c r="I62" i="29"/>
  <c r="E32" i="29"/>
  <c r="D32" i="29"/>
  <c r="D58" i="17"/>
  <c r="F58" i="17"/>
  <c r="G58" i="17"/>
  <c r="H58" i="17"/>
  <c r="I58" i="17"/>
  <c r="I61" i="29" s="1"/>
  <c r="Y24" i="27"/>
  <c r="Y35" i="27"/>
  <c r="I14" i="29"/>
  <c r="H11" i="14"/>
  <c r="O14" i="29"/>
  <c r="S14" i="29" s="1"/>
  <c r="M14" i="29"/>
  <c r="Q14" i="29" s="1"/>
  <c r="Y27" i="27"/>
  <c r="G11" i="14"/>
  <c r="L28" i="6"/>
  <c r="S36" i="29"/>
  <c r="S49" i="29"/>
  <c r="C60" i="29"/>
  <c r="G47" i="30" s="1"/>
  <c r="C53" i="26"/>
  <c r="N98" i="49" s="1"/>
  <c r="O98" i="49" s="1"/>
  <c r="P98" i="49" s="1"/>
  <c r="G121" i="26"/>
  <c r="G53" i="25"/>
  <c r="D53" i="25"/>
  <c r="H53" i="25"/>
  <c r="F53" i="25"/>
  <c r="G121" i="25"/>
  <c r="C52" i="25"/>
  <c r="N97" i="49" s="1"/>
  <c r="O97" i="49" s="1"/>
  <c r="P97" i="49" s="1"/>
  <c r="G121" i="24"/>
  <c r="C52" i="24"/>
  <c r="N96" i="49" s="1"/>
  <c r="O96" i="49" s="1"/>
  <c r="P96" i="49" s="1"/>
  <c r="G104" i="23"/>
  <c r="C53" i="23" s="1"/>
  <c r="N95" i="49" s="1"/>
  <c r="O95" i="49" s="1"/>
  <c r="P95" i="49" s="1"/>
  <c r="G121" i="5"/>
  <c r="E52" i="5"/>
  <c r="G58" i="29"/>
  <c r="E121" i="12"/>
  <c r="G97" i="12"/>
  <c r="G121" i="12" s="1"/>
  <c r="F16" i="29"/>
  <c r="G16" i="29"/>
  <c r="L32" i="29"/>
  <c r="J32" i="29"/>
  <c r="AA35" i="27"/>
  <c r="AA24" i="27"/>
  <c r="AA32" i="27"/>
  <c r="AA27" i="27"/>
  <c r="J54" i="15"/>
  <c r="K54" i="15"/>
  <c r="J26" i="33"/>
  <c r="Y30" i="27" s="1"/>
  <c r="K26" i="33"/>
  <c r="Z30" i="27" s="1"/>
  <c r="L54" i="15"/>
  <c r="K14" i="29"/>
  <c r="K32" i="29"/>
  <c r="L59" i="5"/>
  <c r="H62" i="29"/>
  <c r="K59" i="5"/>
  <c r="G62" i="29"/>
  <c r="E52" i="23"/>
  <c r="M52" i="23" s="1"/>
  <c r="E52" i="15"/>
  <c r="M52" i="15" s="1"/>
  <c r="C61" i="15"/>
  <c r="C67" i="15" s="1"/>
  <c r="I11" i="49" s="1"/>
  <c r="F52" i="19"/>
  <c r="N52" i="19" s="1"/>
  <c r="H52" i="19"/>
  <c r="P52" i="19" s="1"/>
  <c r="I52" i="19"/>
  <c r="I61" i="19" s="1"/>
  <c r="G52" i="19"/>
  <c r="O52" i="19" s="1"/>
  <c r="D52" i="19"/>
  <c r="D61" i="19" s="1"/>
  <c r="E61" i="19"/>
  <c r="G52" i="16"/>
  <c r="O52" i="16" s="1"/>
  <c r="D52" i="16"/>
  <c r="D61" i="16" s="1"/>
  <c r="D67" i="16" s="1"/>
  <c r="F52" i="16"/>
  <c r="N52" i="16" s="1"/>
  <c r="H52" i="16"/>
  <c r="P52" i="16" s="1"/>
  <c r="I52" i="16"/>
  <c r="I61" i="16" s="1"/>
  <c r="I67" i="16" s="1"/>
  <c r="E61" i="16"/>
  <c r="E67" i="16" s="1"/>
  <c r="K58" i="20"/>
  <c r="E52" i="20"/>
  <c r="M52" i="20" s="1"/>
  <c r="C61" i="20"/>
  <c r="C61" i="18"/>
  <c r="C67" i="18" s="1"/>
  <c r="I10" i="49" s="1"/>
  <c r="E52" i="18"/>
  <c r="M52" i="18" s="1"/>
  <c r="M61" i="18" s="1"/>
  <c r="M67" i="18" s="1"/>
  <c r="E52" i="17"/>
  <c r="M52" i="17" s="1"/>
  <c r="C61" i="17"/>
  <c r="C67" i="17" s="1"/>
  <c r="I12" i="49" s="1"/>
  <c r="C61" i="7"/>
  <c r="C67" i="7" s="1"/>
  <c r="I14" i="49" s="1"/>
  <c r="E52" i="7"/>
  <c r="M52" i="7" s="1"/>
  <c r="C61" i="11"/>
  <c r="C67" i="11" s="1"/>
  <c r="I18" i="49" s="1"/>
  <c r="E52" i="11"/>
  <c r="M52" i="11" s="1"/>
  <c r="M61" i="11" s="1"/>
  <c r="M67" i="11" s="1"/>
  <c r="E52" i="21"/>
  <c r="M52" i="21" s="1"/>
  <c r="C61" i="21"/>
  <c r="C67" i="21" s="1"/>
  <c r="I20" i="49" s="1"/>
  <c r="E52" i="8"/>
  <c r="M52" i="8" s="1"/>
  <c r="C61" i="8"/>
  <c r="C67" i="8" s="1"/>
  <c r="I15" i="49" s="1"/>
  <c r="E121" i="9"/>
  <c r="E121" i="10"/>
  <c r="E121" i="13"/>
  <c r="G52" i="14"/>
  <c r="O52" i="14" s="1"/>
  <c r="D52" i="14"/>
  <c r="F52" i="14"/>
  <c r="N52" i="14" s="1"/>
  <c r="H52" i="14"/>
  <c r="P52" i="14" s="1"/>
  <c r="I52" i="14"/>
  <c r="F52" i="13"/>
  <c r="N52" i="13" s="1"/>
  <c r="H52" i="13"/>
  <c r="P52" i="13" s="1"/>
  <c r="I52" i="13"/>
  <c r="G52" i="13"/>
  <c r="O52" i="13" s="1"/>
  <c r="D52" i="13"/>
  <c r="E52" i="22"/>
  <c r="M52" i="22" s="1"/>
  <c r="M61" i="22" s="1"/>
  <c r="M67" i="22" s="1"/>
  <c r="C61" i="22"/>
  <c r="C67" i="22" s="1"/>
  <c r="I21" i="49" s="1"/>
  <c r="F62" i="29"/>
  <c r="J59" i="5"/>
  <c r="F57" i="20"/>
  <c r="H57" i="20"/>
  <c r="G57" i="20"/>
  <c r="D57" i="20"/>
  <c r="G57" i="7"/>
  <c r="D57" i="7"/>
  <c r="F57" i="7"/>
  <c r="H57" i="7"/>
  <c r="F57" i="9"/>
  <c r="H57" i="9"/>
  <c r="G57" i="9"/>
  <c r="D57" i="9"/>
  <c r="F57" i="21"/>
  <c r="H57" i="21"/>
  <c r="G57" i="21"/>
  <c r="D57" i="21"/>
  <c r="G57" i="10"/>
  <c r="D57" i="10"/>
  <c r="F57" i="10"/>
  <c r="H57" i="10"/>
  <c r="G57" i="13"/>
  <c r="D57" i="13"/>
  <c r="F57" i="13"/>
  <c r="H57" i="13"/>
  <c r="G57" i="24"/>
  <c r="D57" i="24"/>
  <c r="F57" i="24"/>
  <c r="H57" i="24"/>
  <c r="H12" i="34"/>
  <c r="F53" i="5"/>
  <c r="H53" i="5"/>
  <c r="G53" i="5"/>
  <c r="D53" i="5"/>
  <c r="C53" i="14"/>
  <c r="N80" i="49" s="1"/>
  <c r="O80" i="49" s="1"/>
  <c r="P80" i="49" s="1"/>
  <c r="G121" i="14"/>
  <c r="G53" i="8"/>
  <c r="F53" i="8"/>
  <c r="D53" i="8"/>
  <c r="H53" i="8"/>
  <c r="C53" i="9"/>
  <c r="N89" i="49" s="1"/>
  <c r="O89" i="49" s="1"/>
  <c r="P89" i="49" s="1"/>
  <c r="G121" i="9"/>
  <c r="C53" i="10"/>
  <c r="N90" i="49" s="1"/>
  <c r="O90" i="49" s="1"/>
  <c r="P90" i="49" s="1"/>
  <c r="G121" i="10"/>
  <c r="C53" i="13"/>
  <c r="N92" i="49" s="1"/>
  <c r="O92" i="49" s="1"/>
  <c r="P92" i="49" s="1"/>
  <c r="G121" i="13"/>
  <c r="E57" i="14"/>
  <c r="F52" i="26"/>
  <c r="N52" i="26" s="1"/>
  <c r="H52" i="26"/>
  <c r="P52" i="26" s="1"/>
  <c r="I52" i="26"/>
  <c r="G52" i="26"/>
  <c r="O52" i="26" s="1"/>
  <c r="D52" i="26"/>
  <c r="F52" i="10"/>
  <c r="N52" i="10" s="1"/>
  <c r="H52" i="10"/>
  <c r="P52" i="10" s="1"/>
  <c r="I52" i="10"/>
  <c r="G52" i="10"/>
  <c r="O52" i="10" s="1"/>
  <c r="D52" i="10"/>
  <c r="L58" i="20"/>
  <c r="J58" i="20"/>
  <c r="H16" i="29"/>
  <c r="G121" i="20"/>
  <c r="G121" i="7"/>
  <c r="G121" i="21"/>
  <c r="G121" i="8"/>
  <c r="C33" i="34"/>
  <c r="C25" i="34"/>
  <c r="B52" i="34"/>
  <c r="D52" i="34" l="1"/>
  <c r="J36" i="30"/>
  <c r="K36" i="30" s="1"/>
  <c r="J48" i="30"/>
  <c r="K48" i="30" s="1"/>
  <c r="K46" i="30"/>
  <c r="H47" i="30"/>
  <c r="J39" i="30"/>
  <c r="K39" i="30" s="1"/>
  <c r="J33" i="30"/>
  <c r="K33" i="30" s="1"/>
  <c r="J26" i="30"/>
  <c r="K26" i="30" s="1"/>
  <c r="I27" i="30"/>
  <c r="M61" i="8"/>
  <c r="M67" i="8" s="1"/>
  <c r="K59" i="29"/>
  <c r="O61" i="19"/>
  <c r="K62" i="29"/>
  <c r="L62" i="29"/>
  <c r="M61" i="20"/>
  <c r="P61" i="16"/>
  <c r="P67" i="16" s="1"/>
  <c r="M69" i="22"/>
  <c r="C122" i="49" s="1"/>
  <c r="G122" i="49" s="1"/>
  <c r="K58" i="29"/>
  <c r="J59" i="29"/>
  <c r="E52" i="29"/>
  <c r="L50" i="29"/>
  <c r="L52" i="29" s="1"/>
  <c r="P61" i="19"/>
  <c r="J62" i="29"/>
  <c r="I50" i="29"/>
  <c r="I52" i="29" s="1"/>
  <c r="M61" i="17"/>
  <c r="M67" i="17" s="1"/>
  <c r="M61" i="21"/>
  <c r="M67" i="21" s="1"/>
  <c r="L58" i="29"/>
  <c r="M69" i="18"/>
  <c r="C111" i="49" s="1"/>
  <c r="G111" i="49" s="1"/>
  <c r="M61" i="15"/>
  <c r="M67" i="15" s="1"/>
  <c r="M69" i="11"/>
  <c r="C119" i="49" s="1"/>
  <c r="G119" i="49" s="1"/>
  <c r="M69" i="16"/>
  <c r="C114" i="49" s="1"/>
  <c r="G114" i="49" s="1"/>
  <c r="I57" i="14"/>
  <c r="I60" i="29" s="1"/>
  <c r="M57" i="14"/>
  <c r="M60" i="29" s="1"/>
  <c r="Q60" i="29" s="1"/>
  <c r="J53" i="5"/>
  <c r="N53" i="5"/>
  <c r="L57" i="21"/>
  <c r="P57" i="21"/>
  <c r="L57" i="9"/>
  <c r="P57" i="9"/>
  <c r="L57" i="20"/>
  <c r="P57" i="20"/>
  <c r="I52" i="5"/>
  <c r="M52" i="5"/>
  <c r="L53" i="25"/>
  <c r="P53" i="25"/>
  <c r="J58" i="17"/>
  <c r="J61" i="29" s="1"/>
  <c r="N58" i="17"/>
  <c r="N61" i="29" s="1"/>
  <c r="R61" i="29" s="1"/>
  <c r="L53" i="15"/>
  <c r="P53" i="15"/>
  <c r="L53" i="21"/>
  <c r="P53" i="21"/>
  <c r="Q6" i="45"/>
  <c r="P6" i="46"/>
  <c r="Q20" i="45"/>
  <c r="P20" i="46"/>
  <c r="Q16" i="45"/>
  <c r="P16" i="46"/>
  <c r="O13" i="45"/>
  <c r="P13" i="45" s="1"/>
  <c r="T13" i="45" s="1"/>
  <c r="P13" i="46"/>
  <c r="Q24" i="45"/>
  <c r="P24" i="46"/>
  <c r="Q7" i="46"/>
  <c r="S5" i="46"/>
  <c r="M49" i="14"/>
  <c r="M50" i="29"/>
  <c r="K5" i="52"/>
  <c r="K26" i="52" s="1"/>
  <c r="H5" i="52"/>
  <c r="H26" i="52" s="1"/>
  <c r="I5" i="52"/>
  <c r="I26" i="52" s="1"/>
  <c r="D26" i="52"/>
  <c r="J53" i="8"/>
  <c r="N53" i="8"/>
  <c r="K57" i="24"/>
  <c r="O57" i="24"/>
  <c r="K57" i="13"/>
  <c r="O57" i="13"/>
  <c r="K57" i="10"/>
  <c r="O57" i="10"/>
  <c r="J57" i="21"/>
  <c r="N57" i="21"/>
  <c r="J57" i="9"/>
  <c r="N57" i="9"/>
  <c r="K57" i="7"/>
  <c r="O57" i="7"/>
  <c r="J57" i="20"/>
  <c r="N57" i="20"/>
  <c r="M61" i="7"/>
  <c r="M67" i="7" s="1"/>
  <c r="N61" i="16"/>
  <c r="N67" i="16" s="1"/>
  <c r="N61" i="19"/>
  <c r="J53" i="15"/>
  <c r="N53" i="15"/>
  <c r="L59" i="29"/>
  <c r="O17" i="45"/>
  <c r="P17" i="45" s="1"/>
  <c r="T17" i="45" s="1"/>
  <c r="P17" i="46"/>
  <c r="Q10" i="45"/>
  <c r="P10" i="46"/>
  <c r="Q11" i="45"/>
  <c r="P11" i="46"/>
  <c r="Q12" i="45"/>
  <c r="P12" i="46"/>
  <c r="Q9" i="45"/>
  <c r="P9" i="46"/>
  <c r="Q7" i="45"/>
  <c r="S7" i="46"/>
  <c r="T7" i="46" s="1"/>
  <c r="V7" i="46" s="1"/>
  <c r="O35" i="29"/>
  <c r="O43" i="5"/>
  <c r="X5" i="45"/>
  <c r="P49" i="7"/>
  <c r="P50" i="29"/>
  <c r="K53" i="8"/>
  <c r="O53" i="8"/>
  <c r="K53" i="5"/>
  <c r="O53" i="5"/>
  <c r="L57" i="24"/>
  <c r="P57" i="24"/>
  <c r="L57" i="13"/>
  <c r="P57" i="13"/>
  <c r="L57" i="10"/>
  <c r="P57" i="10"/>
  <c r="L57" i="7"/>
  <c r="P57" i="7"/>
  <c r="K53" i="25"/>
  <c r="O53" i="25"/>
  <c r="L58" i="17"/>
  <c r="L61" i="29" s="1"/>
  <c r="P58" i="17"/>
  <c r="P61" i="29" s="1"/>
  <c r="T61" i="29" s="1"/>
  <c r="J53" i="21"/>
  <c r="N53" i="21"/>
  <c r="Q22" i="45"/>
  <c r="P22" i="46"/>
  <c r="Q18" i="45"/>
  <c r="P18" i="46"/>
  <c r="Q8" i="45"/>
  <c r="P8" i="46"/>
  <c r="R14" i="45"/>
  <c r="P14" i="46"/>
  <c r="R15" i="45"/>
  <c r="P15" i="46"/>
  <c r="R6" i="45"/>
  <c r="R7" i="45"/>
  <c r="P69" i="16"/>
  <c r="F114" i="49" s="1"/>
  <c r="J114" i="49" s="1"/>
  <c r="M69" i="8"/>
  <c r="C116" i="49" s="1"/>
  <c r="G116" i="49" s="1"/>
  <c r="U5" i="46"/>
  <c r="O49" i="12"/>
  <c r="O50" i="29"/>
  <c r="F5" i="52"/>
  <c r="E26" i="52"/>
  <c r="P35" i="29"/>
  <c r="T35" i="29" s="1"/>
  <c r="T46" i="29" s="1"/>
  <c r="P43" i="5"/>
  <c r="N43" i="14"/>
  <c r="N35" i="29"/>
  <c r="R35" i="29" s="1"/>
  <c r="L53" i="8"/>
  <c r="P53" i="8"/>
  <c r="L53" i="5"/>
  <c r="P53" i="5"/>
  <c r="J57" i="24"/>
  <c r="N57" i="24"/>
  <c r="J57" i="13"/>
  <c r="N57" i="13"/>
  <c r="J57" i="10"/>
  <c r="N57" i="10"/>
  <c r="K57" i="21"/>
  <c r="O57" i="21"/>
  <c r="K57" i="9"/>
  <c r="O57" i="9"/>
  <c r="J57" i="7"/>
  <c r="N57" i="7"/>
  <c r="K57" i="20"/>
  <c r="O57" i="20"/>
  <c r="O61" i="16"/>
  <c r="O67" i="16" s="1"/>
  <c r="J53" i="25"/>
  <c r="N53" i="25"/>
  <c r="K58" i="17"/>
  <c r="K61" i="29" s="1"/>
  <c r="O58" i="17"/>
  <c r="O61" i="29" s="1"/>
  <c r="S61" i="29" s="1"/>
  <c r="J58" i="29"/>
  <c r="K53" i="15"/>
  <c r="O53" i="15"/>
  <c r="K53" i="21"/>
  <c r="O53" i="21"/>
  <c r="R19" i="45"/>
  <c r="P19" i="46"/>
  <c r="R23" i="45"/>
  <c r="P23" i="46"/>
  <c r="Q25" i="45"/>
  <c r="P25" i="46"/>
  <c r="Q21" i="45"/>
  <c r="P21" i="46"/>
  <c r="R20" i="45"/>
  <c r="O58" i="29"/>
  <c r="S58" i="29" s="1"/>
  <c r="M35" i="29"/>
  <c r="Q35" i="29" s="1"/>
  <c r="Q46" i="29" s="1"/>
  <c r="Q5" i="46"/>
  <c r="K49" i="12"/>
  <c r="K50" i="29"/>
  <c r="K52" i="29" s="1"/>
  <c r="O29" i="20"/>
  <c r="P29" i="8"/>
  <c r="O29" i="24"/>
  <c r="N29" i="26"/>
  <c r="O29" i="14"/>
  <c r="O29" i="12"/>
  <c r="I43" i="24"/>
  <c r="I69" i="16"/>
  <c r="I43" i="17"/>
  <c r="H32" i="29"/>
  <c r="I43" i="25"/>
  <c r="S13" i="45"/>
  <c r="R12" i="45"/>
  <c r="Q14" i="45"/>
  <c r="R25" i="45"/>
  <c r="Q23" i="45"/>
  <c r="R8" i="45"/>
  <c r="R17" i="45"/>
  <c r="R22" i="45"/>
  <c r="R9" i="45"/>
  <c r="R16" i="45"/>
  <c r="R24" i="45"/>
  <c r="R21" i="45"/>
  <c r="R11" i="45"/>
  <c r="R13" i="45"/>
  <c r="O20" i="45"/>
  <c r="P20" i="45" s="1"/>
  <c r="Q17" i="45"/>
  <c r="Q15" i="45"/>
  <c r="Q13" i="45"/>
  <c r="Q19" i="45"/>
  <c r="O22" i="45"/>
  <c r="P22" i="45" s="1"/>
  <c r="O18" i="45"/>
  <c r="P18" i="45" s="1"/>
  <c r="O25" i="45"/>
  <c r="P25" i="45" s="1"/>
  <c r="O9" i="45"/>
  <c r="P9" i="45" s="1"/>
  <c r="O8" i="45"/>
  <c r="P8" i="45" s="1"/>
  <c r="O19" i="45"/>
  <c r="P19" i="45" s="1"/>
  <c r="O23" i="45"/>
  <c r="P23" i="45" s="1"/>
  <c r="O15" i="45"/>
  <c r="P15" i="45" s="1"/>
  <c r="O7" i="45"/>
  <c r="P7" i="45" s="1"/>
  <c r="O14" i="45"/>
  <c r="P14" i="45" s="1"/>
  <c r="O21" i="45"/>
  <c r="P21" i="45" s="1"/>
  <c r="O16" i="45"/>
  <c r="P16" i="45" s="1"/>
  <c r="O12" i="45"/>
  <c r="P12" i="45" s="1"/>
  <c r="O10" i="45"/>
  <c r="P10" i="45" s="1"/>
  <c r="O11" i="45"/>
  <c r="P11" i="45" s="1"/>
  <c r="O24" i="45"/>
  <c r="P24" i="45" s="1"/>
  <c r="N26" i="45"/>
  <c r="W33" i="45" s="1"/>
  <c r="O6" i="45"/>
  <c r="P6" i="45" s="1"/>
  <c r="I26" i="46"/>
  <c r="J6" i="46"/>
  <c r="J26" i="46" s="1"/>
  <c r="C61" i="25"/>
  <c r="C67" i="25" s="1"/>
  <c r="I24" i="49" s="1"/>
  <c r="E52" i="24"/>
  <c r="M52" i="24" s="1"/>
  <c r="G32" i="29"/>
  <c r="H6" i="46"/>
  <c r="M32" i="29"/>
  <c r="O16" i="29"/>
  <c r="O29" i="5"/>
  <c r="N29" i="5"/>
  <c r="N16" i="29"/>
  <c r="P16" i="29"/>
  <c r="P29" i="12"/>
  <c r="F14" i="29"/>
  <c r="G61" i="29"/>
  <c r="G52" i="5"/>
  <c r="H14" i="29"/>
  <c r="J43" i="12"/>
  <c r="L43" i="12"/>
  <c r="L35" i="29"/>
  <c r="L46" i="29" s="1"/>
  <c r="F61" i="29"/>
  <c r="H61" i="29"/>
  <c r="K43" i="12"/>
  <c r="K35" i="29"/>
  <c r="K46" i="29" s="1"/>
  <c r="I43" i="12"/>
  <c r="I35" i="29"/>
  <c r="I46" i="29" s="1"/>
  <c r="H52" i="5"/>
  <c r="D52" i="5"/>
  <c r="F52" i="5"/>
  <c r="C143" i="13"/>
  <c r="C34" i="13" s="1"/>
  <c r="G19" i="49" s="1"/>
  <c r="C34" i="5"/>
  <c r="G5" i="49" s="1"/>
  <c r="C143" i="24"/>
  <c r="C34" i="24" s="1"/>
  <c r="G23" i="49" s="1"/>
  <c r="C143" i="14"/>
  <c r="C34" i="14" s="1"/>
  <c r="G7" i="49" s="1"/>
  <c r="C143" i="26"/>
  <c r="C34" i="26" s="1"/>
  <c r="G25" i="49" s="1"/>
  <c r="C143" i="9"/>
  <c r="C34" i="9" s="1"/>
  <c r="G16" i="49" s="1"/>
  <c r="C143" i="17"/>
  <c r="C34" i="17" s="1"/>
  <c r="G12" i="49" s="1"/>
  <c r="C143" i="16"/>
  <c r="C34" i="16" s="1"/>
  <c r="G13" i="49" s="1"/>
  <c r="C143" i="25"/>
  <c r="C34" i="25" s="1"/>
  <c r="G24" i="49" s="1"/>
  <c r="C143" i="8"/>
  <c r="C34" i="8" s="1"/>
  <c r="G15" i="49" s="1"/>
  <c r="C143" i="19"/>
  <c r="C34" i="19" s="1"/>
  <c r="G9" i="49" s="1"/>
  <c r="C143" i="15"/>
  <c r="C34" i="15" s="1"/>
  <c r="G11" i="49" s="1"/>
  <c r="C143" i="10"/>
  <c r="C34" i="10" s="1"/>
  <c r="G17" i="49" s="1"/>
  <c r="C143" i="20"/>
  <c r="C34" i="20" s="1"/>
  <c r="G8" i="49" s="1"/>
  <c r="C143" i="21"/>
  <c r="C34" i="21" s="1"/>
  <c r="G20" i="49" s="1"/>
  <c r="C143" i="7"/>
  <c r="C34" i="7" s="1"/>
  <c r="G14" i="49" s="1"/>
  <c r="C143" i="18"/>
  <c r="C34" i="18" s="1"/>
  <c r="G10" i="49" s="1"/>
  <c r="C143" i="11"/>
  <c r="C34" i="11" s="1"/>
  <c r="G18" i="49" s="1"/>
  <c r="C143" i="23"/>
  <c r="C34" i="23" s="1"/>
  <c r="G22" i="49" s="1"/>
  <c r="C143" i="22"/>
  <c r="C34" i="22" s="1"/>
  <c r="G21" i="49" s="1"/>
  <c r="C143" i="12"/>
  <c r="C34" i="12" s="1"/>
  <c r="G6" i="49" s="1"/>
  <c r="G121" i="23"/>
  <c r="E53" i="26"/>
  <c r="C61" i="26"/>
  <c r="C67" i="26" s="1"/>
  <c r="I25" i="49" s="1"/>
  <c r="C54" i="5"/>
  <c r="N78" i="49" s="1"/>
  <c r="O78" i="49" s="1"/>
  <c r="P78" i="49" s="1"/>
  <c r="C52" i="12"/>
  <c r="E52" i="25"/>
  <c r="M52" i="25" s="1"/>
  <c r="M61" i="25" s="1"/>
  <c r="M67" i="25" s="1"/>
  <c r="K52" i="10"/>
  <c r="L52" i="10"/>
  <c r="K52" i="26"/>
  <c r="L52" i="26"/>
  <c r="G52" i="22"/>
  <c r="O52" i="22" s="1"/>
  <c r="D52" i="22"/>
  <c r="D61" i="22" s="1"/>
  <c r="D67" i="22" s="1"/>
  <c r="F52" i="22"/>
  <c r="N52" i="22" s="1"/>
  <c r="N61" i="22" s="1"/>
  <c r="N67" i="22" s="1"/>
  <c r="H52" i="22"/>
  <c r="P52" i="22" s="1"/>
  <c r="I52" i="22"/>
  <c r="E61" i="22"/>
  <c r="E67" i="22" s="1"/>
  <c r="J52" i="13"/>
  <c r="J52" i="14"/>
  <c r="K52" i="14"/>
  <c r="H14" i="34"/>
  <c r="H19" i="34"/>
  <c r="G52" i="11"/>
  <c r="O52" i="11" s="1"/>
  <c r="D52" i="11"/>
  <c r="D61" i="11" s="1"/>
  <c r="D67" i="11" s="1"/>
  <c r="F52" i="11"/>
  <c r="N52" i="11" s="1"/>
  <c r="H52" i="11"/>
  <c r="P52" i="11" s="1"/>
  <c r="I52" i="11"/>
  <c r="E61" i="11"/>
  <c r="E67" i="11" s="1"/>
  <c r="F52" i="7"/>
  <c r="N52" i="7" s="1"/>
  <c r="H52" i="7"/>
  <c r="P52" i="7" s="1"/>
  <c r="P61" i="7" s="1"/>
  <c r="P67" i="7" s="1"/>
  <c r="I52" i="7"/>
  <c r="G52" i="7"/>
  <c r="O52" i="7" s="1"/>
  <c r="D52" i="7"/>
  <c r="D61" i="7" s="1"/>
  <c r="D67" i="7" s="1"/>
  <c r="E61" i="7"/>
  <c r="E67" i="7" s="1"/>
  <c r="H11" i="34"/>
  <c r="G52" i="18"/>
  <c r="O52" i="18" s="1"/>
  <c r="O61" i="18" s="1"/>
  <c r="O67" i="18" s="1"/>
  <c r="D52" i="18"/>
  <c r="D61" i="18" s="1"/>
  <c r="D67" i="18" s="1"/>
  <c r="F52" i="18"/>
  <c r="N52" i="18" s="1"/>
  <c r="N61" i="18" s="1"/>
  <c r="N67" i="18" s="1"/>
  <c r="H52" i="18"/>
  <c r="P52" i="18" s="1"/>
  <c r="P61" i="18" s="1"/>
  <c r="P67" i="18" s="1"/>
  <c r="I52" i="18"/>
  <c r="E61" i="18"/>
  <c r="E67" i="18" s="1"/>
  <c r="H39" i="34"/>
  <c r="L52" i="16"/>
  <c r="H61" i="16"/>
  <c r="H67" i="16" s="1"/>
  <c r="K52" i="19"/>
  <c r="G61" i="19"/>
  <c r="L52" i="19"/>
  <c r="H61" i="19"/>
  <c r="H10" i="34"/>
  <c r="F52" i="23"/>
  <c r="N52" i="23" s="1"/>
  <c r="H52" i="23"/>
  <c r="P52" i="23" s="1"/>
  <c r="I52" i="23"/>
  <c r="G52" i="23"/>
  <c r="O52" i="23" s="1"/>
  <c r="D52" i="23"/>
  <c r="J52" i="10"/>
  <c r="J52" i="26"/>
  <c r="G57" i="14"/>
  <c r="O57" i="14" s="1"/>
  <c r="D57" i="14"/>
  <c r="F57" i="14"/>
  <c r="N57" i="14" s="1"/>
  <c r="H57" i="14"/>
  <c r="P57" i="14" s="1"/>
  <c r="E60" i="29"/>
  <c r="D60" i="29" s="1"/>
  <c r="E53" i="13"/>
  <c r="C61" i="13"/>
  <c r="C67" i="13" s="1"/>
  <c r="I19" i="49" s="1"/>
  <c r="E53" i="10"/>
  <c r="C61" i="10"/>
  <c r="C67" i="10" s="1"/>
  <c r="I17" i="49" s="1"/>
  <c r="E53" i="9"/>
  <c r="C61" i="9"/>
  <c r="C67" i="9" s="1"/>
  <c r="I16" i="49" s="1"/>
  <c r="E53" i="14"/>
  <c r="C61" i="14"/>
  <c r="H20" i="34"/>
  <c r="K52" i="13"/>
  <c r="L52" i="13"/>
  <c r="L52" i="14"/>
  <c r="G52" i="8"/>
  <c r="O52" i="8" s="1"/>
  <c r="D52" i="8"/>
  <c r="D61" i="8" s="1"/>
  <c r="D67" i="8" s="1"/>
  <c r="F52" i="8"/>
  <c r="N52" i="8" s="1"/>
  <c r="H52" i="8"/>
  <c r="P52" i="8" s="1"/>
  <c r="I52" i="8"/>
  <c r="E61" i="8"/>
  <c r="E67" i="8" s="1"/>
  <c r="F52" i="21"/>
  <c r="N52" i="21" s="1"/>
  <c r="H52" i="21"/>
  <c r="P52" i="21" s="1"/>
  <c r="I52" i="21"/>
  <c r="G52" i="21"/>
  <c r="O52" i="21" s="1"/>
  <c r="O61" i="21" s="1"/>
  <c r="O67" i="21" s="1"/>
  <c r="D52" i="21"/>
  <c r="D61" i="21" s="1"/>
  <c r="D67" i="21" s="1"/>
  <c r="E61" i="21"/>
  <c r="E67" i="21" s="1"/>
  <c r="H17" i="34"/>
  <c r="H13" i="34"/>
  <c r="F52" i="17"/>
  <c r="N52" i="17" s="1"/>
  <c r="H52" i="17"/>
  <c r="P52" i="17" s="1"/>
  <c r="I52" i="17"/>
  <c r="I61" i="17" s="1"/>
  <c r="I67" i="17" s="1"/>
  <c r="G52" i="17"/>
  <c r="O52" i="17" s="1"/>
  <c r="D52" i="17"/>
  <c r="D61" i="17" s="1"/>
  <c r="D67" i="17" s="1"/>
  <c r="E61" i="17"/>
  <c r="E67" i="17" s="1"/>
  <c r="H9" i="34"/>
  <c r="G52" i="20"/>
  <c r="O52" i="20" s="1"/>
  <c r="D52" i="20"/>
  <c r="D61" i="20" s="1"/>
  <c r="F52" i="20"/>
  <c r="N52" i="20" s="1"/>
  <c r="H52" i="20"/>
  <c r="P52" i="20" s="1"/>
  <c r="I52" i="20"/>
  <c r="E61" i="20"/>
  <c r="J52" i="16"/>
  <c r="F61" i="16"/>
  <c r="F67" i="16" s="1"/>
  <c r="K52" i="16"/>
  <c r="G61" i="16"/>
  <c r="G67" i="16" s="1"/>
  <c r="J52" i="19"/>
  <c r="F61" i="19"/>
  <c r="F52" i="15"/>
  <c r="N52" i="15" s="1"/>
  <c r="H52" i="15"/>
  <c r="P52" i="15" s="1"/>
  <c r="I52" i="15"/>
  <c r="I61" i="15" s="1"/>
  <c r="I67" i="15" s="1"/>
  <c r="G52" i="15"/>
  <c r="O52" i="15" s="1"/>
  <c r="D52" i="15"/>
  <c r="D61" i="15" s="1"/>
  <c r="D67" i="15" s="1"/>
  <c r="E61" i="15"/>
  <c r="E67" i="15" s="1"/>
  <c r="C52" i="34"/>
  <c r="I47" i="30" l="1"/>
  <c r="J27" i="30"/>
  <c r="K27" i="30" s="1"/>
  <c r="S17" i="45"/>
  <c r="P26" i="46"/>
  <c r="N69" i="16"/>
  <c r="D114" i="49" s="1"/>
  <c r="H114" i="49" s="1"/>
  <c r="P61" i="15"/>
  <c r="P67" i="15" s="1"/>
  <c r="N61" i="8"/>
  <c r="N67" i="8" s="1"/>
  <c r="N61" i="21"/>
  <c r="N67" i="21" s="1"/>
  <c r="P61" i="20"/>
  <c r="M69" i="15"/>
  <c r="C112" i="49" s="1"/>
  <c r="G112" i="49" s="1"/>
  <c r="N61" i="15"/>
  <c r="N67" i="15" s="1"/>
  <c r="P46" i="29"/>
  <c r="P60" i="29"/>
  <c r="T60" i="29" s="1"/>
  <c r="N69" i="22"/>
  <c r="D122" i="49" s="1"/>
  <c r="H122" i="49" s="1"/>
  <c r="M69" i="25"/>
  <c r="C125" i="49" s="1"/>
  <c r="G125" i="49" s="1"/>
  <c r="M69" i="21"/>
  <c r="C121" i="49" s="1"/>
  <c r="G121" i="49" s="1"/>
  <c r="N60" i="29"/>
  <c r="R60" i="29" s="1"/>
  <c r="H52" i="24"/>
  <c r="P52" i="24" s="1"/>
  <c r="N61" i="20"/>
  <c r="P61" i="17"/>
  <c r="P67" i="17" s="1"/>
  <c r="P61" i="21"/>
  <c r="P67" i="21" s="1"/>
  <c r="O60" i="29"/>
  <c r="S60" i="29" s="1"/>
  <c r="O69" i="21"/>
  <c r="E121" i="49" s="1"/>
  <c r="I121" i="49" s="1"/>
  <c r="M69" i="17"/>
  <c r="C113" i="49" s="1"/>
  <c r="G113" i="49" s="1"/>
  <c r="N61" i="17"/>
  <c r="N67" i="17" s="1"/>
  <c r="I53" i="10"/>
  <c r="I61" i="10" s="1"/>
  <c r="I67" i="10" s="1"/>
  <c r="M53" i="10"/>
  <c r="O61" i="7"/>
  <c r="O67" i="7" s="1"/>
  <c r="O61" i="22"/>
  <c r="O67" i="22" s="1"/>
  <c r="K52" i="5"/>
  <c r="O52" i="5"/>
  <c r="V15" i="45"/>
  <c r="W15" i="45"/>
  <c r="X15" i="45" s="1"/>
  <c r="U15" i="45"/>
  <c r="U18" i="45"/>
  <c r="V18" i="45"/>
  <c r="W18" i="45"/>
  <c r="X18" i="45" s="1"/>
  <c r="U9" i="45"/>
  <c r="V9" i="45"/>
  <c r="W9" i="45"/>
  <c r="X9" i="45" s="1"/>
  <c r="V11" i="45"/>
  <c r="W11" i="45"/>
  <c r="X11" i="45" s="1"/>
  <c r="U11" i="45"/>
  <c r="AA7" i="46"/>
  <c r="AB7" i="46" s="1"/>
  <c r="W7" i="46"/>
  <c r="X7" i="46" s="1"/>
  <c r="R7" i="46"/>
  <c r="W24" i="45"/>
  <c r="X24" i="45" s="1"/>
  <c r="V24" i="45"/>
  <c r="U24" i="45"/>
  <c r="W16" i="45"/>
  <c r="X16" i="45" s="1"/>
  <c r="U16" i="45"/>
  <c r="V16" i="45"/>
  <c r="U6" i="45"/>
  <c r="V6" i="45"/>
  <c r="W6" i="45"/>
  <c r="O61" i="20"/>
  <c r="P61" i="22"/>
  <c r="P67" i="22" s="1"/>
  <c r="P69" i="18"/>
  <c r="F111" i="49" s="1"/>
  <c r="J111" i="49" s="1"/>
  <c r="U21" i="46"/>
  <c r="Q21" i="46"/>
  <c r="S21" i="46"/>
  <c r="T21" i="46" s="1"/>
  <c r="V21" i="46" s="1"/>
  <c r="S15" i="46"/>
  <c r="T15" i="46" s="1"/>
  <c r="V15" i="46" s="1"/>
  <c r="U15" i="46"/>
  <c r="Q15" i="46"/>
  <c r="T50" i="29"/>
  <c r="T52" i="29" s="1"/>
  <c r="P52" i="29"/>
  <c r="N69" i="15"/>
  <c r="D112" i="49" s="1"/>
  <c r="H112" i="49" s="1"/>
  <c r="S12" i="46"/>
  <c r="T12" i="46" s="1"/>
  <c r="V12" i="46" s="1"/>
  <c r="Q12" i="46"/>
  <c r="U12" i="46"/>
  <c r="Q10" i="46"/>
  <c r="S10" i="46"/>
  <c r="T10" i="46" s="1"/>
  <c r="V10" i="46" s="1"/>
  <c r="U10" i="46"/>
  <c r="Q50" i="29"/>
  <c r="Q52" i="29" s="1"/>
  <c r="M52" i="29"/>
  <c r="Q13" i="46"/>
  <c r="S13" i="46"/>
  <c r="T13" i="46" s="1"/>
  <c r="V13" i="46" s="1"/>
  <c r="U13" i="46"/>
  <c r="U20" i="46"/>
  <c r="Q20" i="46"/>
  <c r="S20" i="46"/>
  <c r="T20" i="46" s="1"/>
  <c r="V20" i="46" s="1"/>
  <c r="D52" i="24"/>
  <c r="O61" i="15"/>
  <c r="O67" i="15" s="1"/>
  <c r="O61" i="8"/>
  <c r="I53" i="9"/>
  <c r="I61" i="9" s="1"/>
  <c r="I67" i="9" s="1"/>
  <c r="M53" i="9"/>
  <c r="I53" i="13"/>
  <c r="I61" i="13" s="1"/>
  <c r="I67" i="13" s="1"/>
  <c r="M53" i="13"/>
  <c r="P61" i="11"/>
  <c r="P67" i="11" s="1"/>
  <c r="L52" i="5"/>
  <c r="P52" i="5"/>
  <c r="V19" i="45"/>
  <c r="W19" i="45"/>
  <c r="X19" i="45" s="1"/>
  <c r="U19" i="45"/>
  <c r="U14" i="45"/>
  <c r="V14" i="45"/>
  <c r="W14" i="45"/>
  <c r="X14" i="45" s="1"/>
  <c r="O69" i="18"/>
  <c r="E111" i="49" s="1"/>
  <c r="I111" i="49" s="1"/>
  <c r="O69" i="16"/>
  <c r="E114" i="49" s="1"/>
  <c r="I114" i="49" s="1"/>
  <c r="U21" i="45"/>
  <c r="V21" i="45"/>
  <c r="W21" i="45"/>
  <c r="X21" i="45" s="1"/>
  <c r="G5" i="52"/>
  <c r="G26" i="52" s="1"/>
  <c r="J5" i="52"/>
  <c r="J26" i="52" s="1"/>
  <c r="F26" i="52"/>
  <c r="W8" i="45"/>
  <c r="X8" i="45" s="1"/>
  <c r="U8" i="45"/>
  <c r="V8" i="45"/>
  <c r="U22" i="45"/>
  <c r="V22" i="45"/>
  <c r="W22" i="45"/>
  <c r="X22" i="45" s="1"/>
  <c r="P69" i="7"/>
  <c r="F115" i="49" s="1"/>
  <c r="J115" i="49" s="1"/>
  <c r="P69" i="15"/>
  <c r="F112" i="49" s="1"/>
  <c r="J112" i="49" s="1"/>
  <c r="V7" i="45"/>
  <c r="W7" i="45"/>
  <c r="X7" i="45" s="1"/>
  <c r="U7" i="45"/>
  <c r="W12" i="45"/>
  <c r="X12" i="45" s="1"/>
  <c r="V12" i="45"/>
  <c r="U12" i="45"/>
  <c r="U10" i="45"/>
  <c r="V10" i="45"/>
  <c r="W10" i="45"/>
  <c r="X10" i="45" s="1"/>
  <c r="W20" i="45"/>
  <c r="X20" i="45" s="1"/>
  <c r="V20" i="45"/>
  <c r="U20" i="45"/>
  <c r="M69" i="7"/>
  <c r="C115" i="49" s="1"/>
  <c r="G115" i="49" s="1"/>
  <c r="I53" i="14"/>
  <c r="I61" i="14" s="1"/>
  <c r="M53" i="14"/>
  <c r="J52" i="5"/>
  <c r="N52" i="5"/>
  <c r="V23" i="45"/>
  <c r="W23" i="45"/>
  <c r="X23" i="45" s="1"/>
  <c r="U23" i="45"/>
  <c r="U25" i="45"/>
  <c r="V25" i="45"/>
  <c r="W25" i="45"/>
  <c r="X25" i="45" s="1"/>
  <c r="F52" i="24"/>
  <c r="N52" i="24" s="1"/>
  <c r="O61" i="17"/>
  <c r="O67" i="17" s="1"/>
  <c r="O61" i="11"/>
  <c r="O67" i="11" s="1"/>
  <c r="I53" i="26"/>
  <c r="I61" i="26" s="1"/>
  <c r="I67" i="26" s="1"/>
  <c r="M53" i="26"/>
  <c r="U17" i="45"/>
  <c r="V17" i="45"/>
  <c r="W17" i="45"/>
  <c r="X17" i="45" s="1"/>
  <c r="S23" i="46"/>
  <c r="T23" i="46" s="1"/>
  <c r="V23" i="46" s="1"/>
  <c r="U23" i="46"/>
  <c r="Q23" i="46"/>
  <c r="Q8" i="46"/>
  <c r="U8" i="46"/>
  <c r="S8" i="46"/>
  <c r="T8" i="46" s="1"/>
  <c r="V8" i="46" s="1"/>
  <c r="Q22" i="46"/>
  <c r="S22" i="46"/>
  <c r="T22" i="46" s="1"/>
  <c r="V22" i="46" s="1"/>
  <c r="U22" i="46"/>
  <c r="I52" i="24"/>
  <c r="G52" i="24"/>
  <c r="O52" i="24" s="1"/>
  <c r="P61" i="8"/>
  <c r="P67" i="8" s="1"/>
  <c r="N61" i="7"/>
  <c r="N67" i="7" s="1"/>
  <c r="N61" i="11"/>
  <c r="N67" i="11" s="1"/>
  <c r="M46" i="29"/>
  <c r="U13" i="45"/>
  <c r="V13" i="45"/>
  <c r="W13" i="45"/>
  <c r="X13" i="45" s="1"/>
  <c r="N69" i="18"/>
  <c r="D111" i="49" s="1"/>
  <c r="H111" i="49" s="1"/>
  <c r="AA5" i="46"/>
  <c r="R5" i="46"/>
  <c r="W5" i="46"/>
  <c r="U25" i="46"/>
  <c r="Q25" i="46"/>
  <c r="S25" i="46"/>
  <c r="T25" i="46" s="1"/>
  <c r="V25" i="46" s="1"/>
  <c r="U19" i="46"/>
  <c r="Q19" i="46"/>
  <c r="S19" i="46"/>
  <c r="T19" i="46" s="1"/>
  <c r="V19" i="46" s="1"/>
  <c r="S50" i="29"/>
  <c r="S52" i="29" s="1"/>
  <c r="O52" i="29"/>
  <c r="Q14" i="46"/>
  <c r="S14" i="46"/>
  <c r="T14" i="46" s="1"/>
  <c r="V14" i="46" s="1"/>
  <c r="U14" i="46"/>
  <c r="Q18" i="46"/>
  <c r="U18" i="46"/>
  <c r="S18" i="46"/>
  <c r="T18" i="46" s="1"/>
  <c r="V18" i="46" s="1"/>
  <c r="S35" i="29"/>
  <c r="S46" i="29" s="1"/>
  <c r="O46" i="29"/>
  <c r="U9" i="46"/>
  <c r="Q9" i="46"/>
  <c r="S9" i="46"/>
  <c r="T9" i="46" s="1"/>
  <c r="V9" i="46" s="1"/>
  <c r="U11" i="46"/>
  <c r="Q11" i="46"/>
  <c r="S11" i="46"/>
  <c r="T11" i="46" s="1"/>
  <c r="V11" i="46" s="1"/>
  <c r="S17" i="46"/>
  <c r="T17" i="46" s="1"/>
  <c r="V17" i="46" s="1"/>
  <c r="U17" i="46"/>
  <c r="Q17" i="46"/>
  <c r="T5" i="46"/>
  <c r="U24" i="46"/>
  <c r="Q24" i="46"/>
  <c r="S24" i="46"/>
  <c r="T24" i="46" s="1"/>
  <c r="V24" i="46" s="1"/>
  <c r="Q16" i="46"/>
  <c r="S16" i="46"/>
  <c r="T16" i="46" s="1"/>
  <c r="V16" i="46" s="1"/>
  <c r="U16" i="46"/>
  <c r="S6" i="46"/>
  <c r="T6" i="46" s="1"/>
  <c r="V6" i="46" s="1"/>
  <c r="Q6" i="46"/>
  <c r="U6" i="46"/>
  <c r="I69" i="15"/>
  <c r="I69" i="17"/>
  <c r="I61" i="21"/>
  <c r="I67" i="21" s="1"/>
  <c r="I61" i="18"/>
  <c r="I67" i="18" s="1"/>
  <c r="L61" i="19"/>
  <c r="I61" i="7"/>
  <c r="I67" i="7" s="1"/>
  <c r="K61" i="19"/>
  <c r="I61" i="22"/>
  <c r="I67" i="22" s="1"/>
  <c r="K61" i="16"/>
  <c r="K67" i="16" s="1"/>
  <c r="I61" i="8"/>
  <c r="I67" i="8" s="1"/>
  <c r="J61" i="16"/>
  <c r="J67" i="16" s="1"/>
  <c r="I61" i="20"/>
  <c r="L61" i="16"/>
  <c r="L67" i="16" s="1"/>
  <c r="I61" i="11"/>
  <c r="J61" i="19"/>
  <c r="S21" i="45"/>
  <c r="T21" i="45"/>
  <c r="S25" i="45"/>
  <c r="T25" i="45"/>
  <c r="S6" i="45"/>
  <c r="T6" i="45"/>
  <c r="S14" i="45"/>
  <c r="T14" i="45"/>
  <c r="S18" i="45"/>
  <c r="T18" i="45"/>
  <c r="S7" i="45"/>
  <c r="T7" i="45"/>
  <c r="S22" i="45"/>
  <c r="T22" i="45"/>
  <c r="S15" i="45"/>
  <c r="T15" i="45"/>
  <c r="T11" i="45"/>
  <c r="S11" i="45"/>
  <c r="R26" i="45"/>
  <c r="S8" i="45"/>
  <c r="T8" i="45"/>
  <c r="T20" i="45"/>
  <c r="S20" i="45"/>
  <c r="S24" i="45"/>
  <c r="T24" i="45"/>
  <c r="S23" i="45"/>
  <c r="T23" i="45"/>
  <c r="S10" i="45"/>
  <c r="T10" i="45"/>
  <c r="T19" i="45"/>
  <c r="S19" i="45"/>
  <c r="T12" i="45"/>
  <c r="S12" i="45"/>
  <c r="S16" i="45"/>
  <c r="T16" i="45"/>
  <c r="S9" i="45"/>
  <c r="T9" i="45"/>
  <c r="O26" i="45"/>
  <c r="Q26" i="45"/>
  <c r="G91" i="49"/>
  <c r="J18" i="49"/>
  <c r="D91" i="49" s="1"/>
  <c r="J15" i="49"/>
  <c r="D88" i="49" s="1"/>
  <c r="G88" i="49"/>
  <c r="G26" i="49"/>
  <c r="R15" i="49" s="1"/>
  <c r="T15" i="49" s="1"/>
  <c r="G78" i="49"/>
  <c r="G83" i="49"/>
  <c r="J10" i="49"/>
  <c r="D83" i="49" s="1"/>
  <c r="G97" i="49"/>
  <c r="J24" i="49"/>
  <c r="D97" i="49" s="1"/>
  <c r="J19" i="49"/>
  <c r="D92" i="49" s="1"/>
  <c r="G92" i="49"/>
  <c r="G95" i="49"/>
  <c r="J13" i="49"/>
  <c r="D86" i="49" s="1"/>
  <c r="G86" i="49"/>
  <c r="G81" i="49"/>
  <c r="J16" i="49"/>
  <c r="D89" i="49" s="1"/>
  <c r="G89" i="49"/>
  <c r="G96" i="49"/>
  <c r="J20" i="49"/>
  <c r="D93" i="49" s="1"/>
  <c r="G93" i="49"/>
  <c r="G90" i="49"/>
  <c r="J17" i="49"/>
  <c r="D90" i="49" s="1"/>
  <c r="J25" i="49"/>
  <c r="D98" i="49" s="1"/>
  <c r="G98" i="49"/>
  <c r="G82" i="49"/>
  <c r="J14" i="49"/>
  <c r="D87" i="49" s="1"/>
  <c r="G87" i="49"/>
  <c r="J12" i="49"/>
  <c r="D85" i="49" s="1"/>
  <c r="G85" i="49"/>
  <c r="G79" i="49"/>
  <c r="J21" i="49"/>
  <c r="D94" i="49" s="1"/>
  <c r="G94" i="49"/>
  <c r="J11" i="49"/>
  <c r="D84" i="49" s="1"/>
  <c r="G84" i="49"/>
  <c r="G80" i="49"/>
  <c r="C57" i="29"/>
  <c r="G44" i="30" s="1"/>
  <c r="S16" i="29"/>
  <c r="S32" i="29" s="1"/>
  <c r="O32" i="29"/>
  <c r="R16" i="29"/>
  <c r="R32" i="29" s="1"/>
  <c r="N32" i="29"/>
  <c r="T16" i="29"/>
  <c r="T32" i="29" s="1"/>
  <c r="P32" i="29"/>
  <c r="F34" i="12"/>
  <c r="F43" i="12" s="1"/>
  <c r="G34" i="12"/>
  <c r="G43" i="12" s="1"/>
  <c r="H34" i="12"/>
  <c r="H43" i="12" s="1"/>
  <c r="F34" i="21"/>
  <c r="F43" i="21" s="1"/>
  <c r="G34" i="21"/>
  <c r="G43" i="21" s="1"/>
  <c r="H34" i="21"/>
  <c r="H43" i="21" s="1"/>
  <c r="G34" i="17"/>
  <c r="G43" i="17" s="1"/>
  <c r="H34" i="17"/>
  <c r="H43" i="17" s="1"/>
  <c r="F34" i="17"/>
  <c r="F43" i="17" s="1"/>
  <c r="G34" i="20"/>
  <c r="G43" i="20" s="1"/>
  <c r="H34" i="20"/>
  <c r="H43" i="20" s="1"/>
  <c r="F34" i="20"/>
  <c r="F43" i="20" s="1"/>
  <c r="G34" i="9"/>
  <c r="G43" i="9" s="1"/>
  <c r="H34" i="9"/>
  <c r="H43" i="9" s="1"/>
  <c r="F34" i="9"/>
  <c r="F43" i="9" s="1"/>
  <c r="F34" i="26"/>
  <c r="F43" i="26" s="1"/>
  <c r="G34" i="26"/>
  <c r="G43" i="26" s="1"/>
  <c r="H34" i="26"/>
  <c r="H43" i="26" s="1"/>
  <c r="G34" i="14"/>
  <c r="G43" i="14" s="1"/>
  <c r="H34" i="14"/>
  <c r="H43" i="14" s="1"/>
  <c r="F34" i="14"/>
  <c r="F43" i="14" s="1"/>
  <c r="G34" i="19"/>
  <c r="G43" i="19" s="1"/>
  <c r="F34" i="19"/>
  <c r="F43" i="19" s="1"/>
  <c r="H34" i="19"/>
  <c r="H43" i="19" s="1"/>
  <c r="F34" i="11"/>
  <c r="F43" i="11" s="1"/>
  <c r="G34" i="11"/>
  <c r="G43" i="11" s="1"/>
  <c r="H34" i="11"/>
  <c r="H43" i="11" s="1"/>
  <c r="H34" i="8"/>
  <c r="H43" i="8" s="1"/>
  <c r="G34" i="8"/>
  <c r="G43" i="8" s="1"/>
  <c r="F34" i="8"/>
  <c r="F43" i="8" s="1"/>
  <c r="G34" i="5"/>
  <c r="H34" i="5"/>
  <c r="G34" i="22"/>
  <c r="G43" i="22" s="1"/>
  <c r="F34" i="22"/>
  <c r="F43" i="22" s="1"/>
  <c r="H34" i="22"/>
  <c r="H43" i="22" s="1"/>
  <c r="G34" i="23"/>
  <c r="G43" i="23" s="1"/>
  <c r="H34" i="23"/>
  <c r="H43" i="23" s="1"/>
  <c r="F34" i="23"/>
  <c r="F43" i="23" s="1"/>
  <c r="H34" i="18"/>
  <c r="H43" i="18" s="1"/>
  <c r="G34" i="18"/>
  <c r="G43" i="18" s="1"/>
  <c r="F34" i="18"/>
  <c r="F43" i="18" s="1"/>
  <c r="F34" i="25"/>
  <c r="F43" i="25" s="1"/>
  <c r="G34" i="25"/>
  <c r="G43" i="25" s="1"/>
  <c r="H34" i="25"/>
  <c r="H43" i="25" s="1"/>
  <c r="H34" i="13"/>
  <c r="H43" i="13" s="1"/>
  <c r="F34" i="13"/>
  <c r="F43" i="13" s="1"/>
  <c r="G34" i="13"/>
  <c r="G43" i="13" s="1"/>
  <c r="G34" i="10"/>
  <c r="G43" i="10" s="1"/>
  <c r="F34" i="10"/>
  <c r="F43" i="10" s="1"/>
  <c r="H34" i="10"/>
  <c r="H43" i="10" s="1"/>
  <c r="H34" i="15"/>
  <c r="H43" i="15" s="1"/>
  <c r="G34" i="15"/>
  <c r="G43" i="15" s="1"/>
  <c r="F34" i="15"/>
  <c r="F43" i="15" s="1"/>
  <c r="G34" i="24"/>
  <c r="G43" i="24" s="1"/>
  <c r="H34" i="24"/>
  <c r="H43" i="24" s="1"/>
  <c r="F34" i="24"/>
  <c r="F43" i="24" s="1"/>
  <c r="G34" i="7"/>
  <c r="G43" i="7" s="1"/>
  <c r="H34" i="7"/>
  <c r="H43" i="7" s="1"/>
  <c r="F34" i="7"/>
  <c r="F43" i="7" s="1"/>
  <c r="F34" i="16"/>
  <c r="F43" i="16" s="1"/>
  <c r="F68" i="16" s="1"/>
  <c r="G34" i="16"/>
  <c r="G43" i="16" s="1"/>
  <c r="G68" i="16" s="1"/>
  <c r="H34" i="16"/>
  <c r="H43" i="16" s="1"/>
  <c r="H68" i="16" s="1"/>
  <c r="F60" i="29"/>
  <c r="J57" i="14"/>
  <c r="J60" i="29" s="1"/>
  <c r="G60" i="29"/>
  <c r="K57" i="14"/>
  <c r="K60" i="29" s="1"/>
  <c r="H60" i="29"/>
  <c r="L57" i="14"/>
  <c r="L60" i="29" s="1"/>
  <c r="E34" i="12"/>
  <c r="F5" i="34"/>
  <c r="C43" i="12"/>
  <c r="C43" i="23"/>
  <c r="E34" i="23"/>
  <c r="F21" i="34"/>
  <c r="F9" i="34"/>
  <c r="I9" i="34" s="1"/>
  <c r="J9" i="34" s="1"/>
  <c r="C43" i="18"/>
  <c r="C68" i="18" s="1"/>
  <c r="E34" i="18"/>
  <c r="E34" i="21"/>
  <c r="C43" i="21"/>
  <c r="C68" i="21" s="1"/>
  <c r="F19" i="34"/>
  <c r="I19" i="34" s="1"/>
  <c r="J19" i="34" s="1"/>
  <c r="C43" i="10"/>
  <c r="F16" i="34"/>
  <c r="E34" i="10"/>
  <c r="C43" i="19"/>
  <c r="F8" i="34"/>
  <c r="E34" i="19"/>
  <c r="F23" i="34"/>
  <c r="C43" i="25"/>
  <c r="E34" i="25"/>
  <c r="F11" i="34"/>
  <c r="I11" i="34" s="1"/>
  <c r="J11" i="34" s="1"/>
  <c r="C43" i="17"/>
  <c r="C68" i="17" s="1"/>
  <c r="E34" i="17"/>
  <c r="E34" i="26"/>
  <c r="C43" i="26"/>
  <c r="F24" i="34"/>
  <c r="F22" i="34"/>
  <c r="C43" i="24"/>
  <c r="E34" i="24"/>
  <c r="E34" i="13"/>
  <c r="F18" i="34"/>
  <c r="C43" i="13"/>
  <c r="E34" i="22"/>
  <c r="F20" i="34"/>
  <c r="I20" i="34" s="1"/>
  <c r="J20" i="34" s="1"/>
  <c r="C43" i="22"/>
  <c r="C68" i="22" s="1"/>
  <c r="E34" i="11"/>
  <c r="C43" i="11"/>
  <c r="C68" i="11" s="1"/>
  <c r="F17" i="34"/>
  <c r="I17" i="34" s="1"/>
  <c r="J17" i="34" s="1"/>
  <c r="E34" i="7"/>
  <c r="F13" i="34"/>
  <c r="I13" i="34" s="1"/>
  <c r="J13" i="34" s="1"/>
  <c r="C43" i="7"/>
  <c r="C68" i="7" s="1"/>
  <c r="F7" i="34"/>
  <c r="C43" i="20"/>
  <c r="E34" i="20"/>
  <c r="E34" i="15"/>
  <c r="F10" i="34"/>
  <c r="I10" i="34" s="1"/>
  <c r="J10" i="34" s="1"/>
  <c r="C43" i="15"/>
  <c r="C68" i="15" s="1"/>
  <c r="F14" i="34"/>
  <c r="I14" i="34" s="1"/>
  <c r="J14" i="34" s="1"/>
  <c r="E34" i="8"/>
  <c r="C43" i="8"/>
  <c r="C68" i="8" s="1"/>
  <c r="E34" i="16"/>
  <c r="F12" i="34"/>
  <c r="I12" i="34" s="1"/>
  <c r="J12" i="34" s="1"/>
  <c r="C43" i="16"/>
  <c r="C68" i="16" s="1"/>
  <c r="C43" i="9"/>
  <c r="F15" i="34"/>
  <c r="E34" i="9"/>
  <c r="E34" i="14"/>
  <c r="C43" i="14"/>
  <c r="F6" i="34"/>
  <c r="E34" i="5"/>
  <c r="C43" i="5"/>
  <c r="F4" i="34"/>
  <c r="C37" i="29"/>
  <c r="E52" i="12"/>
  <c r="C55" i="29"/>
  <c r="G42" i="30" s="1"/>
  <c r="D53" i="26"/>
  <c r="D61" i="26" s="1"/>
  <c r="D67" i="26" s="1"/>
  <c r="G53" i="26"/>
  <c r="O53" i="26" s="1"/>
  <c r="F53" i="26"/>
  <c r="N53" i="26" s="1"/>
  <c r="N61" i="26" s="1"/>
  <c r="N67" i="26" s="1"/>
  <c r="H53" i="26"/>
  <c r="P53" i="26" s="1"/>
  <c r="E61" i="26"/>
  <c r="E67" i="26" s="1"/>
  <c r="H24" i="34"/>
  <c r="E54" i="5"/>
  <c r="M54" i="5" s="1"/>
  <c r="M57" i="29" s="1"/>
  <c r="Q57" i="29" s="1"/>
  <c r="C61" i="5"/>
  <c r="C67" i="5" s="1"/>
  <c r="I5" i="49" s="1"/>
  <c r="J5" i="49" s="1"/>
  <c r="J52" i="15"/>
  <c r="F61" i="15"/>
  <c r="F67" i="15" s="1"/>
  <c r="J52" i="20"/>
  <c r="F61" i="20"/>
  <c r="K52" i="20"/>
  <c r="G61" i="20"/>
  <c r="J52" i="17"/>
  <c r="F61" i="17"/>
  <c r="F67" i="17" s="1"/>
  <c r="J52" i="21"/>
  <c r="F61" i="21"/>
  <c r="F67" i="21" s="1"/>
  <c r="J52" i="8"/>
  <c r="F61" i="8"/>
  <c r="F67" i="8" s="1"/>
  <c r="K52" i="8"/>
  <c r="G61" i="8"/>
  <c r="G67" i="8" s="1"/>
  <c r="H15" i="34"/>
  <c r="H16" i="34"/>
  <c r="H18" i="34"/>
  <c r="J52" i="23"/>
  <c r="H36" i="34"/>
  <c r="H61" i="18"/>
  <c r="H67" i="18" s="1"/>
  <c r="L52" i="18"/>
  <c r="H40" i="34"/>
  <c r="K52" i="7"/>
  <c r="G61" i="7"/>
  <c r="G67" i="7" s="1"/>
  <c r="H61" i="7"/>
  <c r="H67" i="7" s="1"/>
  <c r="L52" i="7"/>
  <c r="H44" i="34"/>
  <c r="H61" i="11"/>
  <c r="H67" i="11" s="1"/>
  <c r="L52" i="11"/>
  <c r="H47" i="34"/>
  <c r="H61" i="22"/>
  <c r="H67" i="22" s="1"/>
  <c r="L52" i="22"/>
  <c r="H23" i="34"/>
  <c r="H37" i="34"/>
  <c r="K52" i="15"/>
  <c r="G61" i="15"/>
  <c r="G67" i="15" s="1"/>
  <c r="H61" i="15"/>
  <c r="H67" i="15" s="1"/>
  <c r="L52" i="15"/>
  <c r="L52" i="20"/>
  <c r="H61" i="20"/>
  <c r="H38" i="34"/>
  <c r="K52" i="17"/>
  <c r="G61" i="17"/>
  <c r="G67" i="17" s="1"/>
  <c r="L52" i="17"/>
  <c r="H61" i="17"/>
  <c r="H67" i="17" s="1"/>
  <c r="H46" i="34"/>
  <c r="G61" i="21"/>
  <c r="G67" i="21" s="1"/>
  <c r="K52" i="21"/>
  <c r="H61" i="21"/>
  <c r="H67" i="21" s="1"/>
  <c r="L52" i="21"/>
  <c r="H41" i="34"/>
  <c r="H61" i="8"/>
  <c r="H67" i="8" s="1"/>
  <c r="L52" i="8"/>
  <c r="D53" i="14"/>
  <c r="D61" i="14" s="1"/>
  <c r="F53" i="14"/>
  <c r="G53" i="14"/>
  <c r="H53" i="14"/>
  <c r="E61" i="14"/>
  <c r="D53" i="9"/>
  <c r="D61" i="9" s="1"/>
  <c r="D67" i="9" s="1"/>
  <c r="E61" i="9"/>
  <c r="E67" i="9" s="1"/>
  <c r="G53" i="9"/>
  <c r="O53" i="9" s="1"/>
  <c r="F53" i="9"/>
  <c r="N53" i="9" s="1"/>
  <c r="H53" i="9"/>
  <c r="P53" i="9" s="1"/>
  <c r="D53" i="10"/>
  <c r="D61" i="10" s="1"/>
  <c r="D67" i="10" s="1"/>
  <c r="H53" i="10"/>
  <c r="P53" i="10" s="1"/>
  <c r="G53" i="10"/>
  <c r="O53" i="10" s="1"/>
  <c r="F53" i="10"/>
  <c r="N53" i="10" s="1"/>
  <c r="E61" i="10"/>
  <c r="E67" i="10" s="1"/>
  <c r="D53" i="13"/>
  <c r="D61" i="13" s="1"/>
  <c r="D67" i="13" s="1"/>
  <c r="H53" i="13"/>
  <c r="P53" i="13" s="1"/>
  <c r="G53" i="13"/>
  <c r="O53" i="13" s="1"/>
  <c r="F53" i="13"/>
  <c r="N53" i="13" s="1"/>
  <c r="E61" i="13"/>
  <c r="E67" i="13" s="1"/>
  <c r="K52" i="23"/>
  <c r="L52" i="23"/>
  <c r="J52" i="18"/>
  <c r="F61" i="18"/>
  <c r="F67" i="18" s="1"/>
  <c r="K52" i="18"/>
  <c r="G61" i="18"/>
  <c r="G67" i="18" s="1"/>
  <c r="J52" i="7"/>
  <c r="F61" i="7"/>
  <c r="F67" i="7" s="1"/>
  <c r="J52" i="11"/>
  <c r="F61" i="11"/>
  <c r="F67" i="11" s="1"/>
  <c r="K52" i="11"/>
  <c r="G61" i="11"/>
  <c r="G67" i="11" s="1"/>
  <c r="J52" i="22"/>
  <c r="F61" i="22"/>
  <c r="F67" i="22" s="1"/>
  <c r="K52" i="22"/>
  <c r="G61" i="22"/>
  <c r="G67" i="22" s="1"/>
  <c r="G52" i="25"/>
  <c r="O52" i="25" s="1"/>
  <c r="D52" i="25"/>
  <c r="D61" i="25" s="1"/>
  <c r="D67" i="25" s="1"/>
  <c r="F52" i="25"/>
  <c r="N52" i="25" s="1"/>
  <c r="H52" i="25"/>
  <c r="P52" i="25" s="1"/>
  <c r="I52" i="25"/>
  <c r="E61" i="25"/>
  <c r="E67" i="25" s="1"/>
  <c r="H44" i="30" l="1"/>
  <c r="I44" i="30" s="1"/>
  <c r="H42" i="30"/>
  <c r="J47" i="30"/>
  <c r="K47" i="30" s="1"/>
  <c r="S26" i="46"/>
  <c r="C46" i="29"/>
  <c r="G28" i="30"/>
  <c r="U26" i="46"/>
  <c r="N69" i="11"/>
  <c r="D119" i="49" s="1"/>
  <c r="H119" i="49" s="1"/>
  <c r="N69" i="8"/>
  <c r="D116" i="49" s="1"/>
  <c r="H116" i="49" s="1"/>
  <c r="L52" i="24"/>
  <c r="J52" i="24"/>
  <c r="O69" i="11"/>
  <c r="E119" i="49" s="1"/>
  <c r="I119" i="49" s="1"/>
  <c r="P69" i="17"/>
  <c r="F113" i="49" s="1"/>
  <c r="J113" i="49" s="1"/>
  <c r="N69" i="21"/>
  <c r="D121" i="49" s="1"/>
  <c r="H121" i="49" s="1"/>
  <c r="P69" i="21"/>
  <c r="F121" i="49" s="1"/>
  <c r="J121" i="49" s="1"/>
  <c r="I69" i="13"/>
  <c r="N69" i="7"/>
  <c r="D115" i="49" s="1"/>
  <c r="H115" i="49" s="1"/>
  <c r="P69" i="22"/>
  <c r="F122" i="49" s="1"/>
  <c r="J122" i="49" s="1"/>
  <c r="P69" i="11"/>
  <c r="F119" i="49" s="1"/>
  <c r="J119" i="49" s="1"/>
  <c r="K52" i="24"/>
  <c r="N61" i="25"/>
  <c r="N67" i="25" s="1"/>
  <c r="F52" i="12"/>
  <c r="N52" i="12" s="1"/>
  <c r="N55" i="29" s="1"/>
  <c r="M52" i="12"/>
  <c r="AA6" i="46"/>
  <c r="AB6" i="46" s="1"/>
  <c r="R6" i="46"/>
  <c r="W6" i="46"/>
  <c r="X6" i="46" s="1"/>
  <c r="W16" i="46"/>
  <c r="X16" i="46" s="1"/>
  <c r="R16" i="46"/>
  <c r="AA16" i="46"/>
  <c r="AB16" i="46" s="1"/>
  <c r="AA14" i="46"/>
  <c r="AB14" i="46" s="1"/>
  <c r="R14" i="46"/>
  <c r="W14" i="46"/>
  <c r="X14" i="46" s="1"/>
  <c r="R19" i="46"/>
  <c r="W19" i="46"/>
  <c r="X19" i="46" s="1"/>
  <c r="AA19" i="46"/>
  <c r="AB19" i="46" s="1"/>
  <c r="AB5" i="46"/>
  <c r="V26" i="45"/>
  <c r="AC7" i="46"/>
  <c r="AD7" i="46" s="1"/>
  <c r="Y7" i="46"/>
  <c r="Z7" i="46" s="1"/>
  <c r="O61" i="13"/>
  <c r="O67" i="13" s="1"/>
  <c r="N61" i="10"/>
  <c r="N67" i="10" s="1"/>
  <c r="P61" i="9"/>
  <c r="P67" i="9" s="1"/>
  <c r="J53" i="14"/>
  <c r="J61" i="14" s="1"/>
  <c r="N53" i="14"/>
  <c r="O61" i="26"/>
  <c r="O67" i="26" s="1"/>
  <c r="I69" i="10"/>
  <c r="T26" i="46"/>
  <c r="V5" i="46"/>
  <c r="V26" i="46" s="1"/>
  <c r="R9" i="46"/>
  <c r="AA9" i="46"/>
  <c r="AB9" i="46" s="1"/>
  <c r="W9" i="46"/>
  <c r="X9" i="46" s="1"/>
  <c r="AA18" i="46"/>
  <c r="AB18" i="46" s="1"/>
  <c r="W18" i="46"/>
  <c r="X18" i="46" s="1"/>
  <c r="R18" i="46"/>
  <c r="Q26" i="46"/>
  <c r="AA8" i="46"/>
  <c r="AB8" i="46" s="1"/>
  <c r="W8" i="46"/>
  <c r="X8" i="46" s="1"/>
  <c r="R8" i="46"/>
  <c r="P69" i="8"/>
  <c r="F116" i="49" s="1"/>
  <c r="J116" i="49" s="1"/>
  <c r="M61" i="14"/>
  <c r="M61" i="9"/>
  <c r="M67" i="9" s="1"/>
  <c r="O69" i="15"/>
  <c r="E112" i="49" s="1"/>
  <c r="I112" i="49" s="1"/>
  <c r="W12" i="46"/>
  <c r="X12" i="46" s="1"/>
  <c r="AA12" i="46"/>
  <c r="AB12" i="46" s="1"/>
  <c r="R12" i="46"/>
  <c r="U26" i="45"/>
  <c r="O69" i="22"/>
  <c r="E122" i="49" s="1"/>
  <c r="I122" i="49" s="1"/>
  <c r="M61" i="10"/>
  <c r="M67" i="10" s="1"/>
  <c r="N61" i="13"/>
  <c r="N67" i="13" s="1"/>
  <c r="K53" i="14"/>
  <c r="K61" i="14" s="1"/>
  <c r="O53" i="14"/>
  <c r="O61" i="25"/>
  <c r="O67" i="25" s="1"/>
  <c r="P61" i="13"/>
  <c r="P67" i="13" s="1"/>
  <c r="O61" i="10"/>
  <c r="O67" i="10" s="1"/>
  <c r="N61" i="9"/>
  <c r="N67" i="9" s="1"/>
  <c r="M61" i="5"/>
  <c r="M67" i="5" s="1"/>
  <c r="W24" i="46"/>
  <c r="X24" i="46" s="1"/>
  <c r="R24" i="46"/>
  <c r="AA24" i="46"/>
  <c r="AB24" i="46" s="1"/>
  <c r="AA17" i="46"/>
  <c r="AB17" i="46" s="1"/>
  <c r="W17" i="46"/>
  <c r="X17" i="46" s="1"/>
  <c r="R17" i="46"/>
  <c r="AA11" i="46"/>
  <c r="AB11" i="46" s="1"/>
  <c r="R11" i="46"/>
  <c r="W11" i="46"/>
  <c r="X11" i="46" s="1"/>
  <c r="G5" i="46"/>
  <c r="AA22" i="46"/>
  <c r="AB22" i="46" s="1"/>
  <c r="W22" i="46"/>
  <c r="X22" i="46" s="1"/>
  <c r="R22" i="46"/>
  <c r="AA23" i="46"/>
  <c r="AB23" i="46" s="1"/>
  <c r="R23" i="46"/>
  <c r="W23" i="46"/>
  <c r="X23" i="46" s="1"/>
  <c r="M61" i="26"/>
  <c r="M67" i="26" s="1"/>
  <c r="AA20" i="46"/>
  <c r="AB20" i="46" s="1"/>
  <c r="R20" i="46"/>
  <c r="W20" i="46"/>
  <c r="X20" i="46" s="1"/>
  <c r="AA13" i="46"/>
  <c r="AB13" i="46" s="1"/>
  <c r="W13" i="46"/>
  <c r="X13" i="46" s="1"/>
  <c r="R13" i="46"/>
  <c r="R15" i="46"/>
  <c r="AA15" i="46"/>
  <c r="AB15" i="46" s="1"/>
  <c r="W15" i="46"/>
  <c r="X15" i="46" s="1"/>
  <c r="P61" i="25"/>
  <c r="P67" i="25" s="1"/>
  <c r="P61" i="10"/>
  <c r="P67" i="10" s="1"/>
  <c r="O61" i="9"/>
  <c r="O67" i="9" s="1"/>
  <c r="L53" i="14"/>
  <c r="L61" i="14" s="1"/>
  <c r="P53" i="14"/>
  <c r="P61" i="26"/>
  <c r="P67" i="26" s="1"/>
  <c r="T26" i="45"/>
  <c r="I69" i="9"/>
  <c r="AA25" i="46"/>
  <c r="AB25" i="46" s="1"/>
  <c r="W25" i="46"/>
  <c r="X25" i="46" s="1"/>
  <c r="R25" i="46"/>
  <c r="Y5" i="46"/>
  <c r="AC5" i="46"/>
  <c r="AD5" i="46" s="1"/>
  <c r="O69" i="17"/>
  <c r="E113" i="49" s="1"/>
  <c r="I113" i="49" s="1"/>
  <c r="M61" i="13"/>
  <c r="M67" i="13" s="1"/>
  <c r="O67" i="8"/>
  <c r="O69" i="8"/>
  <c r="E116" i="49" s="1"/>
  <c r="I116" i="49" s="1"/>
  <c r="AA10" i="46"/>
  <c r="AB10" i="46" s="1"/>
  <c r="W10" i="46"/>
  <c r="X10" i="46" s="1"/>
  <c r="R10" i="46"/>
  <c r="AA21" i="46"/>
  <c r="AB21" i="46" s="1"/>
  <c r="R21" i="46"/>
  <c r="W21" i="46"/>
  <c r="X21" i="46" s="1"/>
  <c r="N69" i="26"/>
  <c r="D126" i="49" s="1"/>
  <c r="H126" i="49" s="1"/>
  <c r="X6" i="45"/>
  <c r="X26" i="45" s="1"/>
  <c r="W26" i="45"/>
  <c r="O69" i="7"/>
  <c r="E115" i="49" s="1"/>
  <c r="I115" i="49" s="1"/>
  <c r="N69" i="17"/>
  <c r="D113" i="49" s="1"/>
  <c r="H113" i="49" s="1"/>
  <c r="I69" i="7"/>
  <c r="I69" i="18"/>
  <c r="J69" i="16"/>
  <c r="I69" i="22"/>
  <c r="L69" i="16"/>
  <c r="I67" i="11"/>
  <c r="I69" i="11"/>
  <c r="I69" i="8"/>
  <c r="K69" i="16"/>
  <c r="I69" i="26"/>
  <c r="I69" i="21"/>
  <c r="K61" i="21"/>
  <c r="K67" i="21" s="1"/>
  <c r="K61" i="11"/>
  <c r="K67" i="11" s="1"/>
  <c r="J61" i="18"/>
  <c r="J67" i="18" s="1"/>
  <c r="L61" i="17"/>
  <c r="L67" i="17" s="1"/>
  <c r="K61" i="15"/>
  <c r="K67" i="15" s="1"/>
  <c r="L61" i="11"/>
  <c r="L67" i="11" s="1"/>
  <c r="L61" i="18"/>
  <c r="L67" i="18" s="1"/>
  <c r="K61" i="8"/>
  <c r="K67" i="8" s="1"/>
  <c r="K61" i="20"/>
  <c r="L61" i="21"/>
  <c r="L67" i="21" s="1"/>
  <c r="J61" i="20"/>
  <c r="J61" i="7"/>
  <c r="J67" i="7" s="1"/>
  <c r="J61" i="21"/>
  <c r="J67" i="21" s="1"/>
  <c r="J61" i="11"/>
  <c r="J67" i="11" s="1"/>
  <c r="K61" i="17"/>
  <c r="K67" i="17" s="1"/>
  <c r="K61" i="22"/>
  <c r="K67" i="22" s="1"/>
  <c r="L61" i="7"/>
  <c r="L67" i="7" s="1"/>
  <c r="L61" i="20"/>
  <c r="J61" i="15"/>
  <c r="J67" i="15" s="1"/>
  <c r="I61" i="25"/>
  <c r="K61" i="18"/>
  <c r="K67" i="18" s="1"/>
  <c r="L61" i="15"/>
  <c r="L67" i="15" s="1"/>
  <c r="L61" i="22"/>
  <c r="L67" i="22" s="1"/>
  <c r="J61" i="8"/>
  <c r="J67" i="8" s="1"/>
  <c r="J61" i="22"/>
  <c r="J67" i="22" s="1"/>
  <c r="L61" i="8"/>
  <c r="L67" i="8" s="1"/>
  <c r="K61" i="7"/>
  <c r="K67" i="7" s="1"/>
  <c r="J61" i="17"/>
  <c r="J67" i="17" s="1"/>
  <c r="S26" i="45"/>
  <c r="P26" i="45"/>
  <c r="D78" i="49"/>
  <c r="G99" i="49"/>
  <c r="L32" i="49"/>
  <c r="F32" i="49"/>
  <c r="H61" i="9"/>
  <c r="L53" i="9"/>
  <c r="F61" i="9"/>
  <c r="J53" i="9"/>
  <c r="G61" i="9"/>
  <c r="K53" i="9"/>
  <c r="H61" i="10"/>
  <c r="L53" i="10"/>
  <c r="L61" i="10" s="1"/>
  <c r="L69" i="10" s="1"/>
  <c r="F61" i="13"/>
  <c r="J53" i="13"/>
  <c r="J61" i="13" s="1"/>
  <c r="J69" i="13" s="1"/>
  <c r="H61" i="13"/>
  <c r="L53" i="13"/>
  <c r="L61" i="13" s="1"/>
  <c r="L69" i="13" s="1"/>
  <c r="H61" i="26"/>
  <c r="L53" i="26"/>
  <c r="L61" i="26" s="1"/>
  <c r="L69" i="26" s="1"/>
  <c r="G61" i="13"/>
  <c r="K53" i="13"/>
  <c r="K61" i="13" s="1"/>
  <c r="K69" i="13" s="1"/>
  <c r="F61" i="26"/>
  <c r="J53" i="26"/>
  <c r="J61" i="26" s="1"/>
  <c r="J69" i="26" s="1"/>
  <c r="F61" i="10"/>
  <c r="J53" i="10"/>
  <c r="J61" i="10" s="1"/>
  <c r="J69" i="10" s="1"/>
  <c r="G61" i="10"/>
  <c r="K53" i="10"/>
  <c r="K61" i="10" s="1"/>
  <c r="K69" i="10" s="1"/>
  <c r="G61" i="26"/>
  <c r="K53" i="26"/>
  <c r="K61" i="26" s="1"/>
  <c r="K69" i="26" s="1"/>
  <c r="H68" i="8"/>
  <c r="H68" i="15"/>
  <c r="I15" i="34"/>
  <c r="J15" i="34" s="1"/>
  <c r="C68" i="26"/>
  <c r="G68" i="22"/>
  <c r="F68" i="21"/>
  <c r="F68" i="11"/>
  <c r="C68" i="9"/>
  <c r="G68" i="8"/>
  <c r="F68" i="7"/>
  <c r="G68" i="17"/>
  <c r="H68" i="17"/>
  <c r="F68" i="15"/>
  <c r="G68" i="15"/>
  <c r="H68" i="18"/>
  <c r="F68" i="18"/>
  <c r="I16" i="34"/>
  <c r="J16" i="34" s="1"/>
  <c r="C68" i="10"/>
  <c r="G68" i="11"/>
  <c r="C68" i="13"/>
  <c r="G68" i="21"/>
  <c r="F68" i="22"/>
  <c r="C68" i="25"/>
  <c r="G68" i="7"/>
  <c r="I18" i="34"/>
  <c r="J18" i="34" s="1"/>
  <c r="F68" i="8"/>
  <c r="H68" i="11"/>
  <c r="I23" i="34"/>
  <c r="J23" i="34" s="1"/>
  <c r="F68" i="17"/>
  <c r="I24" i="34"/>
  <c r="J24" i="34" s="1"/>
  <c r="H52" i="12"/>
  <c r="G68" i="18"/>
  <c r="H68" i="21"/>
  <c r="H68" i="22"/>
  <c r="H68" i="7"/>
  <c r="E55" i="29"/>
  <c r="D55" i="29" s="1"/>
  <c r="E43" i="5"/>
  <c r="F31" i="34"/>
  <c r="D34" i="5"/>
  <c r="D43" i="5" s="1"/>
  <c r="E37" i="29"/>
  <c r="F33" i="34"/>
  <c r="E43" i="14"/>
  <c r="D34" i="14"/>
  <c r="D43" i="14" s="1"/>
  <c r="D34" i="9"/>
  <c r="D43" i="9" s="1"/>
  <c r="E43" i="9"/>
  <c r="F42" i="34"/>
  <c r="E43" i="16"/>
  <c r="E68" i="16" s="1"/>
  <c r="D34" i="16"/>
  <c r="D43" i="16" s="1"/>
  <c r="F39" i="34"/>
  <c r="I39" i="34" s="1"/>
  <c r="E43" i="7"/>
  <c r="E68" i="7" s="1"/>
  <c r="D34" i="7"/>
  <c r="D43" i="7" s="1"/>
  <c r="F40" i="34"/>
  <c r="I40" i="34" s="1"/>
  <c r="D34" i="11"/>
  <c r="D43" i="11" s="1"/>
  <c r="F44" i="34"/>
  <c r="I44" i="34" s="1"/>
  <c r="E43" i="11"/>
  <c r="E68" i="11" s="1"/>
  <c r="D34" i="22"/>
  <c r="D43" i="22" s="1"/>
  <c r="E43" i="22"/>
  <c r="E68" i="22" s="1"/>
  <c r="F47" i="34"/>
  <c r="I47" i="34" s="1"/>
  <c r="D34" i="13"/>
  <c r="D43" i="13" s="1"/>
  <c r="F45" i="34"/>
  <c r="E43" i="13"/>
  <c r="D34" i="26"/>
  <c r="D43" i="26" s="1"/>
  <c r="E43" i="26"/>
  <c r="F51" i="34"/>
  <c r="F38" i="34"/>
  <c r="I38" i="34" s="1"/>
  <c r="D34" i="17"/>
  <c r="D43" i="17" s="1"/>
  <c r="E43" i="17"/>
  <c r="E68" i="17" s="1"/>
  <c r="D34" i="21"/>
  <c r="D43" i="21" s="1"/>
  <c r="F46" i="34"/>
  <c r="I46" i="34" s="1"/>
  <c r="E43" i="21"/>
  <c r="E68" i="21" s="1"/>
  <c r="F32" i="34"/>
  <c r="E43" i="12"/>
  <c r="D34" i="12"/>
  <c r="D43" i="12" s="1"/>
  <c r="D52" i="12"/>
  <c r="I52" i="12"/>
  <c r="F25" i="34"/>
  <c r="H43" i="5"/>
  <c r="H37" i="29"/>
  <c r="H46" i="29" s="1"/>
  <c r="G43" i="5"/>
  <c r="G37" i="29"/>
  <c r="G46" i="29" s="1"/>
  <c r="D34" i="8"/>
  <c r="D43" i="8" s="1"/>
  <c r="E43" i="8"/>
  <c r="E68" i="8" s="1"/>
  <c r="F41" i="34"/>
  <c r="I41" i="34" s="1"/>
  <c r="E43" i="15"/>
  <c r="E68" i="15" s="1"/>
  <c r="D34" i="15"/>
  <c r="D43" i="15" s="1"/>
  <c r="F37" i="34"/>
  <c r="I37" i="34" s="1"/>
  <c r="D34" i="20"/>
  <c r="D43" i="20" s="1"/>
  <c r="E43" i="20"/>
  <c r="F34" i="34"/>
  <c r="D34" i="24"/>
  <c r="D43" i="24" s="1"/>
  <c r="F49" i="34"/>
  <c r="E43" i="24"/>
  <c r="F50" i="34"/>
  <c r="D34" i="25"/>
  <c r="D43" i="25" s="1"/>
  <c r="E43" i="25"/>
  <c r="F35" i="34"/>
  <c r="E43" i="19"/>
  <c r="D34" i="19"/>
  <c r="D43" i="19" s="1"/>
  <c r="E43" i="10"/>
  <c r="D34" i="10"/>
  <c r="D43" i="10" s="1"/>
  <c r="F43" i="34"/>
  <c r="D34" i="18"/>
  <c r="D43" i="18" s="1"/>
  <c r="E43" i="18"/>
  <c r="E68" i="18" s="1"/>
  <c r="F36" i="34"/>
  <c r="I36" i="34" s="1"/>
  <c r="D34" i="23"/>
  <c r="D43" i="23" s="1"/>
  <c r="F48" i="34"/>
  <c r="E43" i="23"/>
  <c r="G52" i="12"/>
  <c r="H51" i="34"/>
  <c r="D54" i="5"/>
  <c r="D61" i="5" s="1"/>
  <c r="D67" i="5" s="1"/>
  <c r="I54" i="5"/>
  <c r="H54" i="5"/>
  <c r="P54" i="5" s="1"/>
  <c r="P57" i="29" s="1"/>
  <c r="T57" i="29" s="1"/>
  <c r="G54" i="5"/>
  <c r="O54" i="5" s="1"/>
  <c r="F54" i="5"/>
  <c r="N54" i="5" s="1"/>
  <c r="N57" i="29" s="1"/>
  <c r="R57" i="29" s="1"/>
  <c r="E57" i="29"/>
  <c r="D57" i="29" s="1"/>
  <c r="E61" i="5"/>
  <c r="E67" i="5" s="1"/>
  <c r="H4" i="34"/>
  <c r="I4" i="34" s="1"/>
  <c r="J4" i="34" s="1"/>
  <c r="C68" i="5"/>
  <c r="H45" i="34"/>
  <c r="G61" i="14"/>
  <c r="H50" i="34"/>
  <c r="L52" i="25"/>
  <c r="H61" i="25"/>
  <c r="J52" i="25"/>
  <c r="F61" i="25"/>
  <c r="K52" i="25"/>
  <c r="G61" i="25"/>
  <c r="H43" i="34"/>
  <c r="H42" i="34"/>
  <c r="H61" i="14"/>
  <c r="F61" i="14"/>
  <c r="J44" i="30" l="1"/>
  <c r="K44" i="30" s="1"/>
  <c r="I42" i="30"/>
  <c r="X5" i="46"/>
  <c r="X26" i="46" s="1"/>
  <c r="AB26" i="46"/>
  <c r="H28" i="30"/>
  <c r="P69" i="9"/>
  <c r="F117" i="49" s="1"/>
  <c r="J117" i="49" s="1"/>
  <c r="N69" i="13"/>
  <c r="D120" i="49" s="1"/>
  <c r="H120" i="49" s="1"/>
  <c r="M69" i="9"/>
  <c r="C117" i="49" s="1"/>
  <c r="G117" i="49" s="1"/>
  <c r="F55" i="29"/>
  <c r="P69" i="10"/>
  <c r="F118" i="49" s="1"/>
  <c r="J118" i="49" s="1"/>
  <c r="N69" i="9"/>
  <c r="D117" i="49" s="1"/>
  <c r="H117" i="49" s="1"/>
  <c r="N69" i="10"/>
  <c r="D118" i="49" s="1"/>
  <c r="H118" i="49" s="1"/>
  <c r="M69" i="5"/>
  <c r="C106" i="49" s="1"/>
  <c r="G106" i="49" s="1"/>
  <c r="P69" i="13"/>
  <c r="F120" i="49" s="1"/>
  <c r="J120" i="49" s="1"/>
  <c r="AC20" i="46"/>
  <c r="AD20" i="46" s="1"/>
  <c r="Y20" i="46"/>
  <c r="Z20" i="46" s="1"/>
  <c r="AC12" i="46"/>
  <c r="AD12" i="46" s="1"/>
  <c r="Y12" i="46"/>
  <c r="Z12" i="46" s="1"/>
  <c r="AC14" i="46"/>
  <c r="AD14" i="46" s="1"/>
  <c r="Y14" i="46"/>
  <c r="Z14" i="46" s="1"/>
  <c r="O57" i="29"/>
  <c r="S57" i="29" s="1"/>
  <c r="O61" i="5"/>
  <c r="O67" i="5" s="1"/>
  <c r="AC10" i="46"/>
  <c r="AD10" i="46" s="1"/>
  <c r="Y10" i="46"/>
  <c r="Z10" i="46" s="1"/>
  <c r="N61" i="5"/>
  <c r="N67" i="5" s="1"/>
  <c r="Z5" i="46"/>
  <c r="P61" i="14"/>
  <c r="AC23" i="46"/>
  <c r="AD23" i="46" s="1"/>
  <c r="Y23" i="46"/>
  <c r="Z23" i="46" s="1"/>
  <c r="H5" i="46"/>
  <c r="H26" i="46" s="1"/>
  <c r="G26" i="46"/>
  <c r="AC17" i="46"/>
  <c r="AD17" i="46" s="1"/>
  <c r="Y17" i="46"/>
  <c r="Z17" i="46" s="1"/>
  <c r="AC24" i="46"/>
  <c r="AD24" i="46" s="1"/>
  <c r="Y24" i="46"/>
  <c r="Z24" i="46" s="1"/>
  <c r="J52" i="12"/>
  <c r="J55" i="29" s="1"/>
  <c r="M69" i="13"/>
  <c r="C120" i="49" s="1"/>
  <c r="G120" i="49" s="1"/>
  <c r="AC25" i="46"/>
  <c r="AD25" i="46" s="1"/>
  <c r="Y25" i="46"/>
  <c r="Z25" i="46" s="1"/>
  <c r="M69" i="26"/>
  <c r="C126" i="49" s="1"/>
  <c r="G126" i="49" s="1"/>
  <c r="O69" i="10"/>
  <c r="E118" i="49" s="1"/>
  <c r="I118" i="49" s="1"/>
  <c r="O69" i="25"/>
  <c r="E125" i="49" s="1"/>
  <c r="I125" i="49" s="1"/>
  <c r="AC8" i="46"/>
  <c r="Y8" i="46"/>
  <c r="Z8" i="46" s="1"/>
  <c r="AC18" i="46"/>
  <c r="AD18" i="46" s="1"/>
  <c r="Y18" i="46"/>
  <c r="Z18" i="46" s="1"/>
  <c r="O69" i="26"/>
  <c r="E126" i="49" s="1"/>
  <c r="I126" i="49" s="1"/>
  <c r="O69" i="13"/>
  <c r="E120" i="49" s="1"/>
  <c r="I120" i="49" s="1"/>
  <c r="AA26" i="46"/>
  <c r="AC19" i="46"/>
  <c r="AD19" i="46" s="1"/>
  <c r="Y19" i="46"/>
  <c r="Z19" i="46" s="1"/>
  <c r="Y6" i="46"/>
  <c r="Z6" i="46" s="1"/>
  <c r="AC6" i="46"/>
  <c r="AD6" i="46" s="1"/>
  <c r="N69" i="25"/>
  <c r="D125" i="49" s="1"/>
  <c r="H125" i="49" s="1"/>
  <c r="L52" i="12"/>
  <c r="L55" i="29" s="1"/>
  <c r="P52" i="12"/>
  <c r="R55" i="29"/>
  <c r="AC13" i="46"/>
  <c r="AD13" i="46" s="1"/>
  <c r="Y13" i="46"/>
  <c r="Z13" i="46" s="1"/>
  <c r="O61" i="14"/>
  <c r="M55" i="29"/>
  <c r="M69" i="10"/>
  <c r="C118" i="49" s="1"/>
  <c r="G118" i="49" s="1"/>
  <c r="G55" i="29"/>
  <c r="O52" i="12"/>
  <c r="AC21" i="46"/>
  <c r="AD21" i="46" s="1"/>
  <c r="Y21" i="46"/>
  <c r="Z21" i="46" s="1"/>
  <c r="R26" i="46"/>
  <c r="P69" i="26"/>
  <c r="F126" i="49" s="1"/>
  <c r="J126" i="49" s="1"/>
  <c r="O69" i="9"/>
  <c r="E117" i="49" s="1"/>
  <c r="I117" i="49" s="1"/>
  <c r="P69" i="25"/>
  <c r="F125" i="49" s="1"/>
  <c r="J125" i="49" s="1"/>
  <c r="AC15" i="46"/>
  <c r="AD15" i="46" s="1"/>
  <c r="Y15" i="46"/>
  <c r="Z15" i="46" s="1"/>
  <c r="AC22" i="46"/>
  <c r="AD22" i="46" s="1"/>
  <c r="Y22" i="46"/>
  <c r="Z22" i="46" s="1"/>
  <c r="W26" i="46"/>
  <c r="AC11" i="46"/>
  <c r="AD11" i="46" s="1"/>
  <c r="Y11" i="46"/>
  <c r="Z11" i="46" s="1"/>
  <c r="P61" i="5"/>
  <c r="P67" i="5" s="1"/>
  <c r="AC9" i="46"/>
  <c r="AD9" i="46" s="1"/>
  <c r="Y9" i="46"/>
  <c r="Z9" i="46" s="1"/>
  <c r="N61" i="14"/>
  <c r="Y16" i="46"/>
  <c r="Z16" i="46" s="1"/>
  <c r="AC16" i="46"/>
  <c r="AD16" i="46" s="1"/>
  <c r="J69" i="7"/>
  <c r="K69" i="11"/>
  <c r="L69" i="21"/>
  <c r="J69" i="17"/>
  <c r="K69" i="21"/>
  <c r="K69" i="7"/>
  <c r="L69" i="8"/>
  <c r="J69" i="18"/>
  <c r="L69" i="7"/>
  <c r="J69" i="22"/>
  <c r="J69" i="15"/>
  <c r="K69" i="17"/>
  <c r="J69" i="21"/>
  <c r="J69" i="11"/>
  <c r="L69" i="17"/>
  <c r="J69" i="8"/>
  <c r="L69" i="18"/>
  <c r="L69" i="22"/>
  <c r="K69" i="8"/>
  <c r="L69" i="15"/>
  <c r="I67" i="25"/>
  <c r="I69" i="25"/>
  <c r="K69" i="18"/>
  <c r="K69" i="22"/>
  <c r="L69" i="11"/>
  <c r="K69" i="15"/>
  <c r="L67" i="26"/>
  <c r="L67" i="13"/>
  <c r="K61" i="25"/>
  <c r="K67" i="25" s="1"/>
  <c r="K67" i="26"/>
  <c r="K67" i="13"/>
  <c r="L67" i="10"/>
  <c r="J61" i="9"/>
  <c r="J67" i="9" s="1"/>
  <c r="J61" i="25"/>
  <c r="J67" i="25" s="1"/>
  <c r="K61" i="9"/>
  <c r="K67" i="9" s="1"/>
  <c r="J67" i="13"/>
  <c r="K67" i="10"/>
  <c r="J67" i="10"/>
  <c r="J67" i="26"/>
  <c r="L61" i="9"/>
  <c r="L67" i="9" s="1"/>
  <c r="H67" i="26"/>
  <c r="H68" i="26" s="1"/>
  <c r="G67" i="26"/>
  <c r="G68" i="26" s="1"/>
  <c r="F67" i="26"/>
  <c r="F68" i="26" s="1"/>
  <c r="F67" i="25"/>
  <c r="F68" i="25" s="1"/>
  <c r="H67" i="25"/>
  <c r="H68" i="25" s="1"/>
  <c r="G67" i="25"/>
  <c r="G68" i="25" s="1"/>
  <c r="H67" i="13"/>
  <c r="H68" i="13" s="1"/>
  <c r="G67" i="13"/>
  <c r="G68" i="13" s="1"/>
  <c r="F67" i="13"/>
  <c r="F68" i="13" s="1"/>
  <c r="H67" i="10"/>
  <c r="H68" i="10" s="1"/>
  <c r="G67" i="10"/>
  <c r="G68" i="10" s="1"/>
  <c r="F67" i="10"/>
  <c r="F68" i="10" s="1"/>
  <c r="G67" i="9"/>
  <c r="G68" i="9" s="1"/>
  <c r="F67" i="9"/>
  <c r="F68" i="9" s="1"/>
  <c r="H67" i="9"/>
  <c r="H68" i="9" s="1"/>
  <c r="H55" i="29"/>
  <c r="I45" i="34"/>
  <c r="E68" i="26"/>
  <c r="E68" i="25"/>
  <c r="E68" i="13"/>
  <c r="E68" i="10"/>
  <c r="I55" i="29"/>
  <c r="E68" i="9"/>
  <c r="I51" i="34"/>
  <c r="I42" i="34"/>
  <c r="I50" i="34"/>
  <c r="I43" i="34"/>
  <c r="D37" i="29"/>
  <c r="D46" i="29" s="1"/>
  <c r="E46" i="29"/>
  <c r="F52" i="34"/>
  <c r="K52" i="12"/>
  <c r="H31" i="34"/>
  <c r="I31" i="34" s="1"/>
  <c r="E68" i="5"/>
  <c r="J54" i="5"/>
  <c r="F57" i="29"/>
  <c r="L54" i="5"/>
  <c r="H57" i="29"/>
  <c r="H61" i="5"/>
  <c r="K54" i="5"/>
  <c r="G57" i="29"/>
  <c r="G61" i="5"/>
  <c r="I57" i="29"/>
  <c r="I61" i="5"/>
  <c r="I69" i="5" s="1"/>
  <c r="L61" i="25"/>
  <c r="L67" i="25" s="1"/>
  <c r="J42" i="30" l="1"/>
  <c r="K42" i="30" s="1"/>
  <c r="I28" i="30"/>
  <c r="P69" i="5"/>
  <c r="F106" i="49" s="1"/>
  <c r="J106" i="49" s="1"/>
  <c r="O55" i="29"/>
  <c r="P55" i="29"/>
  <c r="Z26" i="46"/>
  <c r="AC26" i="46"/>
  <c r="AD8" i="46"/>
  <c r="AD26" i="46" s="1"/>
  <c r="O69" i="5"/>
  <c r="E106" i="49" s="1"/>
  <c r="I106" i="49" s="1"/>
  <c r="Q55" i="29"/>
  <c r="Y26" i="46"/>
  <c r="L69" i="9"/>
  <c r="L69" i="25"/>
  <c r="K69" i="25"/>
  <c r="J69" i="9"/>
  <c r="K69" i="9"/>
  <c r="J69" i="25"/>
  <c r="I67" i="5"/>
  <c r="H67" i="5"/>
  <c r="H68" i="5" s="1"/>
  <c r="G67" i="5"/>
  <c r="G68" i="5" s="1"/>
  <c r="K55" i="29"/>
  <c r="L57" i="29"/>
  <c r="L61" i="5"/>
  <c r="L69" i="5" s="1"/>
  <c r="K57" i="29"/>
  <c r="K61" i="5"/>
  <c r="K69" i="5" s="1"/>
  <c r="J57" i="29"/>
  <c r="J61" i="5"/>
  <c r="J28" i="30" l="1"/>
  <c r="S55" i="29"/>
  <c r="T55" i="29"/>
  <c r="L67" i="5"/>
  <c r="K67" i="5"/>
  <c r="C53" i="12"/>
  <c r="N79" i="49" s="1"/>
  <c r="K28" i="30" l="1"/>
  <c r="N99" i="49"/>
  <c r="O79" i="49"/>
  <c r="C61" i="12"/>
  <c r="C56" i="29"/>
  <c r="G43" i="30" s="1"/>
  <c r="E53" i="12"/>
  <c r="M53" i="12" s="1"/>
  <c r="H43" i="30" l="1"/>
  <c r="M61" i="12"/>
  <c r="M67" i="12" s="1"/>
  <c r="M69" i="12"/>
  <c r="C107" i="49" s="1"/>
  <c r="G107" i="49" s="1"/>
  <c r="P79" i="49"/>
  <c r="O99" i="49"/>
  <c r="C64" i="29"/>
  <c r="H5" i="34"/>
  <c r="I5" i="34" s="1"/>
  <c r="C67" i="12"/>
  <c r="I6" i="49" s="1"/>
  <c r="H53" i="12"/>
  <c r="P53" i="12" s="1"/>
  <c r="I53" i="12"/>
  <c r="D53" i="12"/>
  <c r="D61" i="12" s="1"/>
  <c r="D67" i="12" s="1"/>
  <c r="E61" i="12"/>
  <c r="E67" i="12" s="1"/>
  <c r="G53" i="12"/>
  <c r="O53" i="12" s="1"/>
  <c r="F53" i="12"/>
  <c r="N53" i="12" s="1"/>
  <c r="I43" i="30" l="1"/>
  <c r="J43" i="30" s="1"/>
  <c r="O61" i="12"/>
  <c r="O67" i="12" s="1"/>
  <c r="N61" i="12"/>
  <c r="N67" i="12" s="1"/>
  <c r="P61" i="12"/>
  <c r="P67" i="12" s="1"/>
  <c r="P69" i="12"/>
  <c r="F107" i="49" s="1"/>
  <c r="J107" i="49" s="1"/>
  <c r="J6" i="49"/>
  <c r="C68" i="12"/>
  <c r="F61" i="12"/>
  <c r="J53" i="12"/>
  <c r="G61" i="12"/>
  <c r="K53" i="12"/>
  <c r="I61" i="12"/>
  <c r="I69" i="12" s="1"/>
  <c r="H61" i="12"/>
  <c r="L53" i="12"/>
  <c r="E68" i="12"/>
  <c r="H32" i="34"/>
  <c r="I32" i="34" s="1"/>
  <c r="J5" i="34"/>
  <c r="C61" i="23"/>
  <c r="C67" i="23" s="1"/>
  <c r="I22" i="49" s="1"/>
  <c r="J22" i="49" s="1"/>
  <c r="D95" i="49" s="1"/>
  <c r="E53" i="23"/>
  <c r="M53" i="23" s="1"/>
  <c r="K43" i="30" l="1"/>
  <c r="N69" i="12"/>
  <c r="D107" i="49" s="1"/>
  <c r="H107" i="49" s="1"/>
  <c r="M61" i="23"/>
  <c r="M67" i="23" s="1"/>
  <c r="O69" i="12"/>
  <c r="E107" i="49" s="1"/>
  <c r="I107" i="49" s="1"/>
  <c r="D79" i="49"/>
  <c r="I67" i="12"/>
  <c r="F67" i="12"/>
  <c r="F68" i="12" s="1"/>
  <c r="H67" i="12"/>
  <c r="H68" i="12" s="1"/>
  <c r="G67" i="12"/>
  <c r="G68" i="12" s="1"/>
  <c r="L61" i="12"/>
  <c r="L69" i="12" s="1"/>
  <c r="E61" i="23"/>
  <c r="I53" i="23"/>
  <c r="K61" i="12"/>
  <c r="K69" i="12" s="1"/>
  <c r="J61" i="12"/>
  <c r="J69" i="12" s="1"/>
  <c r="C68" i="23"/>
  <c r="H21" i="34"/>
  <c r="H53" i="23"/>
  <c r="G53" i="23"/>
  <c r="D53" i="23"/>
  <c r="D61" i="23" s="1"/>
  <c r="D67" i="23" s="1"/>
  <c r="F53" i="23"/>
  <c r="M69" i="23" l="1"/>
  <c r="C123" i="49" s="1"/>
  <c r="G123" i="49" s="1"/>
  <c r="L53" i="23"/>
  <c r="L61" i="23" s="1"/>
  <c r="L69" i="23" s="1"/>
  <c r="P53" i="23"/>
  <c r="J53" i="23"/>
  <c r="J61" i="23" s="1"/>
  <c r="J69" i="23" s="1"/>
  <c r="N53" i="23"/>
  <c r="K53" i="23"/>
  <c r="K61" i="23" s="1"/>
  <c r="K69" i="23" s="1"/>
  <c r="O53" i="23"/>
  <c r="L67" i="12"/>
  <c r="J67" i="12"/>
  <c r="K67" i="12"/>
  <c r="E67" i="23"/>
  <c r="E68" i="23" s="1"/>
  <c r="H48" i="34"/>
  <c r="I48" i="34" s="1"/>
  <c r="I61" i="23"/>
  <c r="I69" i="23" s="1"/>
  <c r="F61" i="23"/>
  <c r="G61" i="23"/>
  <c r="I21" i="34"/>
  <c r="H61" i="23"/>
  <c r="K67" i="23" l="1"/>
  <c r="J67" i="23"/>
  <c r="N61" i="23"/>
  <c r="N67" i="23" s="1"/>
  <c r="L67" i="23"/>
  <c r="O61" i="23"/>
  <c r="O67" i="23" s="1"/>
  <c r="P61" i="23"/>
  <c r="P67" i="23" s="1"/>
  <c r="I67" i="23"/>
  <c r="H67" i="23"/>
  <c r="H68" i="23" s="1"/>
  <c r="G67" i="23"/>
  <c r="G68" i="23" s="1"/>
  <c r="F67" i="23"/>
  <c r="F68" i="23" s="1"/>
  <c r="J21" i="34"/>
  <c r="C61" i="24"/>
  <c r="E53" i="24"/>
  <c r="M53" i="24" s="1"/>
  <c r="N69" i="23" l="1"/>
  <c r="D123" i="49" s="1"/>
  <c r="H123" i="49" s="1"/>
  <c r="M61" i="24"/>
  <c r="M67" i="24" s="1"/>
  <c r="M56" i="29"/>
  <c r="P69" i="23"/>
  <c r="F123" i="49" s="1"/>
  <c r="J123" i="49" s="1"/>
  <c r="O69" i="23"/>
  <c r="E123" i="49" s="1"/>
  <c r="I123" i="49" s="1"/>
  <c r="H22" i="34"/>
  <c r="I22" i="34" s="1"/>
  <c r="C67" i="24"/>
  <c r="I23" i="49" s="1"/>
  <c r="J23" i="49" s="1"/>
  <c r="D96" i="49" s="1"/>
  <c r="E56" i="29"/>
  <c r="D56" i="29" s="1"/>
  <c r="D64" i="29" s="1"/>
  <c r="I53" i="24"/>
  <c r="F53" i="24"/>
  <c r="N53" i="24" s="1"/>
  <c r="G53" i="24"/>
  <c r="E61" i="24"/>
  <c r="D53" i="24"/>
  <c r="D61" i="24" s="1"/>
  <c r="D67" i="24" s="1"/>
  <c r="H53" i="24"/>
  <c r="G56" i="29" l="1"/>
  <c r="G64" i="29" s="1"/>
  <c r="O53" i="24"/>
  <c r="Q56" i="29"/>
  <c r="Q64" i="29" s="1"/>
  <c r="M64" i="29"/>
  <c r="L53" i="24"/>
  <c r="L61" i="24" s="1"/>
  <c r="L69" i="24" s="1"/>
  <c r="P53" i="24"/>
  <c r="N61" i="24"/>
  <c r="N67" i="24" s="1"/>
  <c r="N56" i="29"/>
  <c r="M69" i="24"/>
  <c r="C124" i="49" s="1"/>
  <c r="G124" i="49" s="1"/>
  <c r="C68" i="24"/>
  <c r="E67" i="24"/>
  <c r="E68" i="24" s="1"/>
  <c r="E64" i="29"/>
  <c r="G61" i="24"/>
  <c r="K53" i="24"/>
  <c r="F56" i="29"/>
  <c r="J53" i="24"/>
  <c r="I61" i="24"/>
  <c r="I69" i="24" s="1"/>
  <c r="I56" i="29"/>
  <c r="I64" i="29" s="1"/>
  <c r="H49" i="34"/>
  <c r="F61" i="24"/>
  <c r="H56" i="29"/>
  <c r="H64" i="29" s="1"/>
  <c r="H61" i="24"/>
  <c r="J22" i="34"/>
  <c r="H113" i="6"/>
  <c r="L56" i="29" l="1"/>
  <c r="L64" i="29" s="1"/>
  <c r="N69" i="24"/>
  <c r="D124" i="49" s="1"/>
  <c r="H124" i="49" s="1"/>
  <c r="P61" i="24"/>
  <c r="P67" i="24" s="1"/>
  <c r="P69" i="24"/>
  <c r="F124" i="49" s="1"/>
  <c r="J124" i="49" s="1"/>
  <c r="P56" i="29"/>
  <c r="O61" i="24"/>
  <c r="O67" i="24" s="1"/>
  <c r="O56" i="29"/>
  <c r="R56" i="29"/>
  <c r="R64" i="29" s="1"/>
  <c r="N64" i="29"/>
  <c r="L67" i="24"/>
  <c r="I67" i="24"/>
  <c r="H67" i="24"/>
  <c r="H68" i="24" s="1"/>
  <c r="G67" i="24"/>
  <c r="G68" i="24" s="1"/>
  <c r="F67" i="24"/>
  <c r="F68" i="24" s="1"/>
  <c r="J61" i="24"/>
  <c r="J69" i="24" s="1"/>
  <c r="J56" i="29"/>
  <c r="J64" i="29" s="1"/>
  <c r="K61" i="24"/>
  <c r="K69" i="24" s="1"/>
  <c r="K56" i="29"/>
  <c r="K64" i="29" s="1"/>
  <c r="I49" i="34"/>
  <c r="T56" i="29" l="1"/>
  <c r="T64" i="29" s="1"/>
  <c r="P64" i="29"/>
  <c r="S56" i="29"/>
  <c r="S64" i="29" s="1"/>
  <c r="O64" i="29"/>
  <c r="O69" i="24"/>
  <c r="E124" i="49" s="1"/>
  <c r="I124" i="49" s="1"/>
  <c r="J67" i="24"/>
  <c r="K67" i="24"/>
  <c r="C64" i="14"/>
  <c r="C64" i="19"/>
  <c r="C64" i="20"/>
  <c r="F64" i="19" l="1"/>
  <c r="H64" i="19"/>
  <c r="G64" i="19"/>
  <c r="C67" i="19"/>
  <c r="I9" i="49" s="1"/>
  <c r="J9" i="49" s="1"/>
  <c r="D82" i="49" s="1"/>
  <c r="G64" i="20"/>
  <c r="F64" i="20"/>
  <c r="H64" i="20"/>
  <c r="C67" i="20"/>
  <c r="I8" i="49" s="1"/>
  <c r="J8" i="49" s="1"/>
  <c r="D81" i="49" s="1"/>
  <c r="F64" i="14"/>
  <c r="N64" i="14" s="1"/>
  <c r="H64" i="14"/>
  <c r="G64" i="14"/>
  <c r="O64" i="14" s="1"/>
  <c r="C67" i="29"/>
  <c r="G52" i="30" s="1"/>
  <c r="C67" i="14"/>
  <c r="I7" i="49" s="1"/>
  <c r="E64" i="14"/>
  <c r="M64" i="14" s="1"/>
  <c r="E64" i="20"/>
  <c r="M64" i="20" s="1"/>
  <c r="H8" i="34"/>
  <c r="I8" i="34" s="1"/>
  <c r="J8" i="34" s="1"/>
  <c r="E64" i="19"/>
  <c r="M64" i="19" s="1"/>
  <c r="C65" i="20"/>
  <c r="H7" i="34"/>
  <c r="I7" i="34" s="1"/>
  <c r="J7" i="34" s="1"/>
  <c r="C65" i="19"/>
  <c r="C68" i="19" s="1"/>
  <c r="K64" i="14"/>
  <c r="H6" i="34"/>
  <c r="C65" i="14"/>
  <c r="H52" i="30" l="1"/>
  <c r="M65" i="19"/>
  <c r="M67" i="19" s="1"/>
  <c r="J7" i="49"/>
  <c r="I26" i="49"/>
  <c r="G67" i="20"/>
  <c r="O64" i="20"/>
  <c r="F67" i="19"/>
  <c r="N64" i="19"/>
  <c r="N65" i="14"/>
  <c r="N67" i="14" s="1"/>
  <c r="M65" i="20"/>
  <c r="M67" i="20" s="1"/>
  <c r="O65" i="14"/>
  <c r="O67" i="14" s="1"/>
  <c r="O69" i="14"/>
  <c r="E108" i="49" s="1"/>
  <c r="I108" i="49" s="1"/>
  <c r="H67" i="20"/>
  <c r="P64" i="20"/>
  <c r="G67" i="19"/>
  <c r="O64" i="19"/>
  <c r="M65" i="14"/>
  <c r="M67" i="14" s="1"/>
  <c r="M67" i="29"/>
  <c r="H65" i="14"/>
  <c r="P64" i="14"/>
  <c r="F67" i="20"/>
  <c r="N64" i="20"/>
  <c r="H67" i="19"/>
  <c r="P64" i="19"/>
  <c r="C68" i="14"/>
  <c r="G65" i="19"/>
  <c r="C68" i="20"/>
  <c r="H65" i="20"/>
  <c r="C70" i="29"/>
  <c r="I64" i="19"/>
  <c r="E67" i="19"/>
  <c r="D64" i="20"/>
  <c r="D65" i="20" s="1"/>
  <c r="D67" i="20" s="1"/>
  <c r="E67" i="20"/>
  <c r="C68" i="29"/>
  <c r="G67" i="29"/>
  <c r="G70" i="29" s="1"/>
  <c r="G67" i="14"/>
  <c r="H67" i="29"/>
  <c r="H70" i="29" s="1"/>
  <c r="H67" i="14"/>
  <c r="H68" i="14" s="1"/>
  <c r="E67" i="29"/>
  <c r="E70" i="29" s="1"/>
  <c r="E67" i="14"/>
  <c r="F67" i="29"/>
  <c r="F67" i="14"/>
  <c r="K64" i="19"/>
  <c r="K65" i="19" s="1"/>
  <c r="L64" i="14"/>
  <c r="L65" i="14" s="1"/>
  <c r="I64" i="14"/>
  <c r="I65" i="14" s="1"/>
  <c r="E65" i="14"/>
  <c r="D64" i="14"/>
  <c r="D65" i="14" s="1"/>
  <c r="D67" i="14" s="1"/>
  <c r="L64" i="20"/>
  <c r="L65" i="20" s="1"/>
  <c r="H33" i="34"/>
  <c r="I33" i="34" s="1"/>
  <c r="K65" i="14"/>
  <c r="F65" i="19"/>
  <c r="J64" i="19"/>
  <c r="J65" i="19" s="1"/>
  <c r="G65" i="20"/>
  <c r="G68" i="20" s="1"/>
  <c r="K64" i="20"/>
  <c r="K65" i="20" s="1"/>
  <c r="F65" i="14"/>
  <c r="J64" i="14"/>
  <c r="H65" i="19"/>
  <c r="L64" i="19"/>
  <c r="L65" i="19" s="1"/>
  <c r="E65" i="19"/>
  <c r="F65" i="20"/>
  <c r="J64" i="20"/>
  <c r="J65" i="20" s="1"/>
  <c r="H34" i="34"/>
  <c r="I34" i="34" s="1"/>
  <c r="I64" i="20"/>
  <c r="E65" i="20"/>
  <c r="D64" i="19"/>
  <c r="D65" i="19" s="1"/>
  <c r="D67" i="19" s="1"/>
  <c r="H35" i="34"/>
  <c r="I35" i="34" s="1"/>
  <c r="I6" i="34"/>
  <c r="H25" i="34"/>
  <c r="G65" i="14"/>
  <c r="I52" i="30" l="1"/>
  <c r="I53" i="30" s="1"/>
  <c r="H53" i="30"/>
  <c r="H68" i="20"/>
  <c r="M69" i="14"/>
  <c r="C108" i="49" s="1"/>
  <c r="G108" i="49" s="1"/>
  <c r="F68" i="19"/>
  <c r="G68" i="19"/>
  <c r="H68" i="19"/>
  <c r="M69" i="19"/>
  <c r="C110" i="49" s="1"/>
  <c r="G110" i="49" s="1"/>
  <c r="O65" i="19"/>
  <c r="O67" i="19" s="1"/>
  <c r="N65" i="19"/>
  <c r="N67" i="19" s="1"/>
  <c r="G32" i="49"/>
  <c r="M32" i="49"/>
  <c r="N32" i="49" s="1"/>
  <c r="N65" i="20"/>
  <c r="N67" i="20" s="1"/>
  <c r="N69" i="20"/>
  <c r="D109" i="49" s="1"/>
  <c r="H109" i="49" s="1"/>
  <c r="N69" i="14"/>
  <c r="D108" i="49" s="1"/>
  <c r="H108" i="49" s="1"/>
  <c r="D80" i="49"/>
  <c r="J26" i="49"/>
  <c r="D99" i="49" s="1"/>
  <c r="Q67" i="29"/>
  <c r="M68" i="29"/>
  <c r="P65" i="20"/>
  <c r="P67" i="20" s="1"/>
  <c r="O67" i="29"/>
  <c r="O65" i="20"/>
  <c r="O67" i="20" s="1"/>
  <c r="F68" i="20"/>
  <c r="P65" i="19"/>
  <c r="P67" i="19" s="1"/>
  <c r="P67" i="29"/>
  <c r="P65" i="14"/>
  <c r="P67" i="14" s="1"/>
  <c r="M69" i="20"/>
  <c r="C109" i="49" s="1"/>
  <c r="G109" i="49" s="1"/>
  <c r="N67" i="29"/>
  <c r="J67" i="19"/>
  <c r="J69" i="19"/>
  <c r="K67" i="20"/>
  <c r="K69" i="20"/>
  <c r="I65" i="19"/>
  <c r="I67" i="19" s="1"/>
  <c r="L67" i="19"/>
  <c r="L69" i="19"/>
  <c r="K67" i="14"/>
  <c r="K69" i="14"/>
  <c r="J67" i="20"/>
  <c r="J69" i="20"/>
  <c r="I67" i="14"/>
  <c r="I69" i="14"/>
  <c r="L67" i="14"/>
  <c r="L69" i="14"/>
  <c r="K67" i="19"/>
  <c r="K69" i="19"/>
  <c r="L67" i="20"/>
  <c r="L69" i="20"/>
  <c r="C71" i="29"/>
  <c r="G68" i="29"/>
  <c r="G71" i="29" s="1"/>
  <c r="E68" i="19"/>
  <c r="E68" i="20"/>
  <c r="E68" i="29"/>
  <c r="E71" i="29" s="1"/>
  <c r="F68" i="14"/>
  <c r="H68" i="29"/>
  <c r="H71" i="29" s="1"/>
  <c r="G68" i="14"/>
  <c r="E68" i="14"/>
  <c r="L67" i="29"/>
  <c r="L68" i="29" s="1"/>
  <c r="L70" i="29" s="1"/>
  <c r="F3" i="29" s="1"/>
  <c r="K67" i="29"/>
  <c r="K68" i="29" s="1"/>
  <c r="K70" i="29" s="1"/>
  <c r="E3" i="29" s="1"/>
  <c r="H52" i="34"/>
  <c r="D67" i="29"/>
  <c r="D68" i="29" s="1"/>
  <c r="D70" i="29" s="1"/>
  <c r="J65" i="14"/>
  <c r="I65" i="20"/>
  <c r="I67" i="29"/>
  <c r="I68" i="29" s="1"/>
  <c r="I70" i="29" s="1"/>
  <c r="C3" i="29" s="1"/>
  <c r="I52" i="34"/>
  <c r="I25" i="34"/>
  <c r="J25" i="34" s="1"/>
  <c r="J6" i="34"/>
  <c r="J52" i="30" l="1"/>
  <c r="J53" i="30" s="1"/>
  <c r="O69" i="20"/>
  <c r="E109" i="49" s="1"/>
  <c r="I109" i="49" s="1"/>
  <c r="O69" i="19"/>
  <c r="E110" i="49" s="1"/>
  <c r="I110" i="49" s="1"/>
  <c r="N69" i="19"/>
  <c r="D110" i="49" s="1"/>
  <c r="H110" i="49" s="1"/>
  <c r="P69" i="14"/>
  <c r="F108" i="49" s="1"/>
  <c r="J108" i="49" s="1"/>
  <c r="S67" i="29"/>
  <c r="O68" i="29"/>
  <c r="P69" i="20"/>
  <c r="F109" i="49" s="1"/>
  <c r="J109" i="49" s="1"/>
  <c r="R67" i="29"/>
  <c r="N68" i="29"/>
  <c r="T67" i="29"/>
  <c r="P68" i="29"/>
  <c r="P69" i="19"/>
  <c r="F110" i="49" s="1"/>
  <c r="J110" i="49" s="1"/>
  <c r="Q68" i="29"/>
  <c r="Q70" i="29" s="1"/>
  <c r="M70" i="29"/>
  <c r="C4" i="29" s="1"/>
  <c r="I69" i="19"/>
  <c r="I67" i="20"/>
  <c r="I69" i="20"/>
  <c r="J67" i="14"/>
  <c r="J69" i="14"/>
  <c r="H3" i="29"/>
  <c r="N3" i="29"/>
  <c r="J3" i="29"/>
  <c r="P3" i="29"/>
  <c r="K3" i="29"/>
  <c r="Q3" i="29"/>
  <c r="N33" i="5"/>
  <c r="N43" i="5" s="1"/>
  <c r="F33" i="5"/>
  <c r="F36" i="29" s="1"/>
  <c r="F27" i="5"/>
  <c r="F30" i="29" s="1"/>
  <c r="F38" i="29"/>
  <c r="J64" i="5"/>
  <c r="J67" i="29" s="1"/>
  <c r="F34" i="5"/>
  <c r="F37" i="29" s="1"/>
  <c r="F45" i="29"/>
  <c r="F41" i="29"/>
  <c r="F61" i="5"/>
  <c r="F67" i="5" s="1"/>
  <c r="F63" i="29"/>
  <c r="F64" i="29" s="1"/>
  <c r="F70" i="29" s="1"/>
  <c r="F65" i="5"/>
  <c r="J63" i="5"/>
  <c r="J66" i="29" s="1"/>
  <c r="F43" i="29"/>
  <c r="F26" i="5"/>
  <c r="F29" i="29" s="1"/>
  <c r="F40" i="29"/>
  <c r="J37" i="5"/>
  <c r="F42" i="29"/>
  <c r="F35" i="29"/>
  <c r="J32" i="5"/>
  <c r="F47" i="5"/>
  <c r="N47" i="5" s="1"/>
  <c r="F48" i="5"/>
  <c r="F28" i="5"/>
  <c r="F31" i="29" s="1"/>
  <c r="F25" i="5"/>
  <c r="C92" i="6"/>
  <c r="J52" i="49" s="1"/>
  <c r="J73" i="49" s="1"/>
  <c r="N73" i="49" s="1"/>
  <c r="F44" i="29"/>
  <c r="K52" i="30" l="1"/>
  <c r="K53" i="30" s="1"/>
  <c r="E127" i="49"/>
  <c r="I127" i="49"/>
  <c r="J47" i="5"/>
  <c r="J50" i="29" s="1"/>
  <c r="J127" i="49"/>
  <c r="C113" i="6"/>
  <c r="G113" i="6" s="1"/>
  <c r="N50" i="29"/>
  <c r="T68" i="29"/>
  <c r="T70" i="29" s="1"/>
  <c r="P70" i="29"/>
  <c r="F4" i="29" s="1"/>
  <c r="N4" i="29"/>
  <c r="H4" i="29"/>
  <c r="S68" i="29"/>
  <c r="S70" i="29" s="1"/>
  <c r="O70" i="29"/>
  <c r="E4" i="29" s="1"/>
  <c r="J48" i="5"/>
  <c r="J51" i="29" s="1"/>
  <c r="N48" i="5"/>
  <c r="N51" i="29" s="1"/>
  <c r="R51" i="29" s="1"/>
  <c r="F127" i="49"/>
  <c r="R68" i="29"/>
  <c r="R70" i="29" s="1"/>
  <c r="N70" i="29"/>
  <c r="C127" i="49"/>
  <c r="G127" i="49"/>
  <c r="J35" i="29"/>
  <c r="F29" i="5"/>
  <c r="F28" i="29"/>
  <c r="F32" i="29" s="1"/>
  <c r="F49" i="5"/>
  <c r="J43" i="5"/>
  <c r="N36" i="29"/>
  <c r="F46" i="29"/>
  <c r="J68" i="29"/>
  <c r="J70" i="29" s="1"/>
  <c r="F50" i="29"/>
  <c r="F51" i="29"/>
  <c r="J40" i="29"/>
  <c r="J65" i="5"/>
  <c r="J67" i="5" s="1"/>
  <c r="F43" i="5"/>
  <c r="F68" i="29"/>
  <c r="J49" i="5" l="1"/>
  <c r="J52" i="29"/>
  <c r="N49" i="5"/>
  <c r="J4" i="29"/>
  <c r="P4" i="29"/>
  <c r="N69" i="5"/>
  <c r="D106" i="49" s="1"/>
  <c r="H106" i="49" s="1"/>
  <c r="R50" i="29"/>
  <c r="R52" i="29" s="1"/>
  <c r="N52" i="29"/>
  <c r="K4" i="29"/>
  <c r="Q4" i="29"/>
  <c r="J69" i="5"/>
  <c r="J46" i="29"/>
  <c r="F68" i="5"/>
  <c r="N46" i="29"/>
  <c r="R36" i="29"/>
  <c r="R46" i="29" s="1"/>
  <c r="F52" i="29"/>
  <c r="F71" i="29" s="1"/>
  <c r="D3" i="29" l="1"/>
  <c r="I3" i="29" s="1"/>
  <c r="D4" i="29"/>
  <c r="O4" i="29" s="1"/>
  <c r="D127" i="49"/>
  <c r="H127" i="49"/>
  <c r="B25" i="29"/>
  <c r="B11" i="29"/>
  <c r="B9" i="29"/>
  <c r="B12" i="29"/>
  <c r="B24" i="29"/>
  <c r="B20" i="29"/>
  <c r="B22" i="29"/>
  <c r="B18" i="29"/>
  <c r="B10" i="29"/>
  <c r="B21" i="29"/>
  <c r="B19" i="29"/>
  <c r="B23" i="29"/>
  <c r="E26" i="46"/>
  <c r="O3" i="29" l="1"/>
  <c r="I4" i="29"/>
</calcChain>
</file>

<file path=xl/comments1.xml><?xml version="1.0" encoding="utf-8"?>
<comments xmlns="http://schemas.openxmlformats.org/spreadsheetml/2006/main">
  <authors>
    <author>Brett</author>
  </authors>
  <commentList>
    <comment ref="M3" authorId="0">
      <text>
        <r>
          <rPr>
            <b/>
            <sz val="9"/>
            <color indexed="81"/>
            <rFont val="Tahoma"/>
            <family val="2"/>
          </rPr>
          <t xml:space="preserve">Brett Cowan:
</t>
        </r>
        <r>
          <rPr>
            <sz val="9"/>
            <color indexed="81"/>
            <rFont val="Tahoma"/>
            <family val="2"/>
          </rPr>
          <t>Calculated by adding Total Retail Sales with Direct Use to achieve the Total Consumption of Electricity as directed by Paul Hesse of EIA. Ref 1</t>
        </r>
      </text>
    </comment>
    <comment ref="M4" authorId="0">
      <text>
        <r>
          <rPr>
            <b/>
            <sz val="9"/>
            <color indexed="81"/>
            <rFont val="Tahoma"/>
            <family val="2"/>
          </rPr>
          <t xml:space="preserve">Brett Cowan:
</t>
        </r>
        <r>
          <rPr>
            <sz val="9"/>
            <color indexed="81"/>
            <rFont val="Tahoma"/>
            <family val="2"/>
          </rPr>
          <t>Determined by the addition of the Motor Gasoline and 88.1% of Distillate Fuel statistics (11.9% is used for home heating) then converted to gallons. Jet Fuel (44.7 million barrels) is not included in the calculation. Ref 2</t>
        </r>
      </text>
    </comment>
    <comment ref="B63" authorId="0">
      <text>
        <r>
          <rPr>
            <b/>
            <sz val="9"/>
            <color indexed="81"/>
            <rFont val="Tahoma"/>
            <family val="2"/>
          </rPr>
          <t>Brett Cowan:</t>
        </r>
        <r>
          <rPr>
            <sz val="9"/>
            <color indexed="81"/>
            <rFont val="Tahoma"/>
            <family val="2"/>
          </rPr>
          <t xml:space="preserve">
The current biosolids data is from 2011, so the estimated quantity for 2015, 2020, and 2025 has been adjusted for a base year of 2011. It is assumed that the population growth between the 5-year intervals to be linear, so fractions such as 4/5, 9/10, and 14/15 are utilized in the aforementioned year equations, respectively. See each county's sheet for more details.</t>
        </r>
      </text>
    </comment>
    <comment ref="B66" authorId="0">
      <text>
        <r>
          <rPr>
            <b/>
            <sz val="9"/>
            <color indexed="81"/>
            <rFont val="Tahoma"/>
            <family val="2"/>
          </rPr>
          <t>Brett Cowan:</t>
        </r>
        <r>
          <rPr>
            <sz val="9"/>
            <color indexed="81"/>
            <rFont val="Tahoma"/>
            <family val="2"/>
          </rPr>
          <t xml:space="preserve">
The current biogas data is from 2011, so the estimated quantity for 2015, 2020, and 2025 has been adjusted for a base year of 2011. It is assumed that the population growth between the 5-year intervals to be linear, so fractions such as 4/5, 9/10, and 14/15 are utilized in the aforementioned year equations, respectively. See each county's sheet for more details.</t>
        </r>
      </text>
    </comment>
    <comment ref="B67" authorId="0">
      <text>
        <r>
          <rPr>
            <b/>
            <sz val="9"/>
            <color indexed="81"/>
            <rFont val="Tahoma"/>
            <family val="2"/>
          </rPr>
          <t>Brett Cowan:</t>
        </r>
        <r>
          <rPr>
            <sz val="9"/>
            <color indexed="81"/>
            <rFont val="Tahoma"/>
            <family val="2"/>
          </rPr>
          <t xml:space="preserve">
The current LFG data is from 2012, so the estimated quantity for 2015, 2020, and 2025 has been adjusted for a base year of 2012. The population growth fractions were 3/5, 4/5, and 13/15 respectively (same assumption as that of biosolids and biogas). As for the MSW growth rate, the percentage increase from 2010 to 2012 was subtracted from each interval's growth rate to align with a base year of 2012.</t>
        </r>
      </text>
    </comment>
    <comment ref="B70" authorId="0">
      <text>
        <r>
          <rPr>
            <b/>
            <sz val="9"/>
            <color indexed="81"/>
            <rFont val="Tahoma"/>
            <family val="2"/>
          </rPr>
          <t>Brett Cowan:</t>
        </r>
        <r>
          <rPr>
            <sz val="9"/>
            <color indexed="81"/>
            <rFont val="Tahoma"/>
            <family val="2"/>
          </rPr>
          <t xml:space="preserve">
Both the biogas and LFG are recorded in mmscf, so they were converted into tons (i.e. dry tons) by using 29487.1582406855 scf biogas/ton biogas (assuming 65% methane, 35% carbon dioxide) and 25364.5039539246 scf LFG/ton LFG (assuming 50% methane, 50% carbon dioxide).</t>
        </r>
      </text>
    </comment>
  </commentList>
</comments>
</file>

<file path=xl/comments2.xml><?xml version="1.0" encoding="utf-8"?>
<comments xmlns="http://schemas.openxmlformats.org/spreadsheetml/2006/main">
  <authors>
    <author>Brett</author>
    <author>Kevin Sullivan</author>
  </authors>
  <commentList>
    <comment ref="F2" authorId="0">
      <text>
        <r>
          <rPr>
            <b/>
            <sz val="9"/>
            <color indexed="81"/>
            <rFont val="Tahoma"/>
            <family val="2"/>
          </rPr>
          <t>Brett Cowan:</t>
        </r>
        <r>
          <rPr>
            <sz val="9"/>
            <color indexed="81"/>
            <rFont val="Tahoma"/>
            <family val="2"/>
          </rPr>
          <t xml:space="preserve">
This statistic is reported but not utilized in the Net Usable Percentage because some data recorded in the Calculator is what is already collected in each county. Any feedstock with a percentage in this column falls within that category.</t>
        </r>
      </text>
    </comment>
    <comment ref="L18" authorId="1">
      <text>
        <r>
          <rPr>
            <b/>
            <sz val="8"/>
            <color indexed="81"/>
            <rFont val="Tahoma"/>
            <family val="2"/>
          </rPr>
          <t xml:space="preserve">Provided by Dave Specca NJAES:  </t>
        </r>
        <r>
          <rPr>
            <sz val="8"/>
            <color indexed="81"/>
            <rFont val="Tahoma"/>
            <family val="2"/>
          </rPr>
          <t>European Biomass Industry Association's range of moisture in fresh forest wood chips, is 40-60%. We used used 50% in the calculations.  Ed Lempicky, head forester at NJ DEP, confirmed this percentage.</t>
        </r>
      </text>
    </comment>
  </commentList>
</comments>
</file>

<file path=xl/comments3.xml><?xml version="1.0" encoding="utf-8"?>
<comments xmlns="http://schemas.openxmlformats.org/spreadsheetml/2006/main">
  <authors>
    <author>Kevin Sullivan</author>
  </authors>
  <commentList>
    <comment ref="E18" authorId="0">
      <text>
        <r>
          <rPr>
            <b/>
            <sz val="8"/>
            <color indexed="81"/>
            <rFont val="Tahoma"/>
            <family val="2"/>
          </rPr>
          <t>Dave Specca (NJAES):</t>
        </r>
        <r>
          <rPr>
            <sz val="8"/>
            <color indexed="81"/>
            <rFont val="Tahoma"/>
            <family val="2"/>
          </rPr>
          <t xml:space="preserve"> 
50% moisture content Information provided by  Edward Lempicki (NJDEP) . This number fits within the European Biomass Industry Association’s range of moisture in fresh forest wood chips, which is 40-60% (http://p9719.typo3server.info/115.0.html).   </t>
        </r>
      </text>
    </comment>
    <comment ref="E26" authorId="0">
      <text>
        <r>
          <rPr>
            <b/>
            <sz val="8"/>
            <color indexed="81"/>
            <rFont val="Tahoma"/>
            <family val="2"/>
          </rPr>
          <t xml:space="preserve">Ryan Katofski (NCI):  </t>
        </r>
        <r>
          <rPr>
            <sz val="8"/>
            <color indexed="81"/>
            <rFont val="Tahoma"/>
            <family val="2"/>
          </rPr>
          <t xml:space="preserve">
Generally, the moisture content of food waste is quite high. On a dry basis, the energy content of most biomass is very similar. In some recent work for the California Energy Commission, a 70% moisture content was used and is applied here. The PIER-funded biogas digester at UC Davis reported that the average moisture content of food waste is around 70% (ranging from 66% to 73%) [Reference: Characterization of Food and Green Waste as feedstock for Anaerobic Digestion, PIER-funded biogas project (an interim report)]. </t>
        </r>
      </text>
    </comment>
    <comment ref="E40" authorId="0">
      <text>
        <r>
          <rPr>
            <b/>
            <sz val="8"/>
            <color indexed="81"/>
            <rFont val="Tahoma"/>
            <family val="2"/>
          </rPr>
          <t>Dave Specca (NJAES):</t>
        </r>
        <r>
          <rPr>
            <sz val="8"/>
            <color indexed="81"/>
            <rFont val="Tahoma"/>
            <family val="2"/>
          </rPr>
          <t xml:space="preserve">  
This is a conservative estimate. Some sources site  between 75 and 90% moisture and solids. 5%  dry weight figure provided by  Russell Reed, trap grease hauler in NJ.</t>
        </r>
      </text>
    </comment>
  </commentList>
</comments>
</file>

<file path=xl/comments4.xml><?xml version="1.0" encoding="utf-8"?>
<comments xmlns="http://schemas.openxmlformats.org/spreadsheetml/2006/main">
  <authors>
    <author>Brett</author>
    <author>Kevin Sullivan</author>
  </authors>
  <commentList>
    <comment ref="G4" authorId="0">
      <text>
        <r>
          <rPr>
            <b/>
            <sz val="9"/>
            <color indexed="81"/>
            <rFont val="Tahoma"/>
            <family val="2"/>
          </rPr>
          <t>Brett Cowan:</t>
        </r>
        <r>
          <rPr>
            <sz val="9"/>
            <color indexed="81"/>
            <rFont val="Tahoma"/>
            <family val="2"/>
          </rPr>
          <t xml:space="preserve">
The electrical efficiency range was stated as 15% - 35% (pg. 7), so took the average between the extremes to arrive at 25%.</t>
        </r>
      </text>
    </comment>
    <comment ref="G5" authorId="0">
      <text>
        <r>
          <rPr>
            <b/>
            <sz val="9"/>
            <color indexed="81"/>
            <rFont val="Tahoma"/>
            <family val="2"/>
          </rPr>
          <t>Brett Cowan:</t>
        </r>
        <r>
          <rPr>
            <sz val="9"/>
            <color indexed="81"/>
            <rFont val="Tahoma"/>
            <family val="2"/>
          </rPr>
          <t xml:space="preserve">
Based on a 25 MW plant running on synthesis gas (see Figure 8).</t>
        </r>
      </text>
    </comment>
    <comment ref="G6" authorId="0">
      <text>
        <r>
          <rPr>
            <b/>
            <sz val="9"/>
            <color indexed="81"/>
            <rFont val="Tahoma"/>
            <family val="2"/>
          </rPr>
          <t>Brett Cowan:</t>
        </r>
        <r>
          <rPr>
            <sz val="9"/>
            <color indexed="81"/>
            <rFont val="Tahoma"/>
            <family val="2"/>
          </rPr>
          <t xml:space="preserve">
Based on a 560.36 MW plant running on synthesis gas (See Figure 8).</t>
        </r>
      </text>
    </comment>
    <comment ref="G7" authorId="0">
      <text>
        <r>
          <rPr>
            <b/>
            <sz val="9"/>
            <color indexed="81"/>
            <rFont val="Tahoma"/>
            <family val="2"/>
          </rPr>
          <t>Brett Cowan:</t>
        </r>
        <r>
          <rPr>
            <sz val="9"/>
            <color indexed="81"/>
            <rFont val="Tahoma"/>
            <family val="2"/>
          </rPr>
          <t xml:space="preserve">
Electrical efficiency range stated as 35% - 43%, took median of extremes to get 39%. Assumes a 500-750 MW plant, presumably a retrofit of existing coal plant (See Table 3).</t>
        </r>
      </text>
    </comment>
    <comment ref="G8" authorId="1">
      <text>
        <r>
          <rPr>
            <b/>
            <sz val="9"/>
            <color indexed="81"/>
            <rFont val="Tahoma"/>
            <family val="2"/>
          </rPr>
          <t>Ryan Katofski (NCI):</t>
        </r>
        <r>
          <rPr>
            <sz val="9"/>
            <color indexed="81"/>
            <rFont val="Tahoma"/>
            <family val="2"/>
          </rPr>
          <t xml:space="preserve">
Assumption  is that an engine-generator has the same efficiency as  landfill gas, and the digester is 75% efficient at converting feedstock into biogas, thus  33% * 75% = 25%.
</t>
        </r>
        <r>
          <rPr>
            <b/>
            <sz val="9"/>
            <color indexed="81"/>
            <rFont val="Tahoma"/>
            <family val="2"/>
          </rPr>
          <t>Brett Cowan:</t>
        </r>
        <r>
          <rPr>
            <sz val="9"/>
            <color indexed="81"/>
            <rFont val="Tahoma"/>
            <family val="2"/>
          </rPr>
          <t xml:space="preserve"> 
Due to new efficiency information for IC engines and based on assumptions made previously, the efficiency would be 35% * 75% = 26.25%</t>
        </r>
      </text>
    </comment>
    <comment ref="G9" authorId="0">
      <text>
        <r>
          <rPr>
            <b/>
            <sz val="9"/>
            <color indexed="81"/>
            <rFont val="Tahoma"/>
            <family val="2"/>
          </rPr>
          <t>Brett Cowan:</t>
        </r>
        <r>
          <rPr>
            <sz val="9"/>
            <color indexed="81"/>
            <rFont val="Tahoma"/>
            <family val="2"/>
          </rPr>
          <t xml:space="preserve">
Used GREET's default electrical efficiency for IC engines, stated in the first paragraph of section 3.5.2</t>
        </r>
      </text>
    </comment>
    <comment ref="G10" authorId="0">
      <text>
        <r>
          <rPr>
            <b/>
            <sz val="9"/>
            <color indexed="81"/>
            <rFont val="Tahoma"/>
            <family val="2"/>
          </rPr>
          <t>Brett Cowan:</t>
        </r>
        <r>
          <rPr>
            <sz val="9"/>
            <color indexed="81"/>
            <rFont val="Tahoma"/>
            <family val="2"/>
          </rPr>
          <t xml:space="preserve">
First source has efficiency range of 20% - 25% and second source has efficiency of 22%. Considering 22% was close to the median value of the range, I decided to use 22.5%</t>
        </r>
      </text>
    </comment>
    <comment ref="G11" authorId="0">
      <text>
        <r>
          <rPr>
            <b/>
            <sz val="9"/>
            <color indexed="81"/>
            <rFont val="Tahoma"/>
            <family val="2"/>
          </rPr>
          <t xml:space="preserve">Brett Cowan:
</t>
        </r>
        <r>
          <rPr>
            <sz val="9"/>
            <color indexed="81"/>
            <rFont val="Tahoma"/>
            <family val="2"/>
          </rPr>
          <t>Unchanged</t>
        </r>
      </text>
    </comment>
    <comment ref="G12" authorId="1">
      <text>
        <r>
          <rPr>
            <b/>
            <sz val="9"/>
            <color indexed="81"/>
            <rFont val="Tahoma"/>
            <family val="2"/>
          </rPr>
          <t xml:space="preserve">Ryan Katofski (NCI): </t>
        </r>
        <r>
          <rPr>
            <sz val="9"/>
            <color indexed="81"/>
            <rFont val="Tahoma"/>
            <family val="2"/>
          </rPr>
          <t xml:space="preserve">
Generally speaking, small-scale gasifiers are about 70-75% efficient.  Gas cleanup (30%) followed by engine efficiency, (33%) has to be factored in as well. Thus, the calculation is as follows:  70% * 90% * 33% to account for all steps (gasifier-cleanup-engine), which yields 21%. Depending on how well designed the system is, it could be lower, but unlikely to be much higher.
</t>
        </r>
        <r>
          <rPr>
            <b/>
            <sz val="9"/>
            <color indexed="81"/>
            <rFont val="Tahoma"/>
            <family val="2"/>
          </rPr>
          <t xml:space="preserve">Brett Cowan:
</t>
        </r>
        <r>
          <rPr>
            <sz val="9"/>
            <color indexed="81"/>
            <rFont val="Tahoma"/>
            <family val="2"/>
          </rPr>
          <t>Unchanged</t>
        </r>
        <r>
          <rPr>
            <sz val="10"/>
            <color indexed="81"/>
            <rFont val="Tahoma"/>
            <family val="2"/>
          </rPr>
          <t xml:space="preserve">
</t>
        </r>
      </text>
    </comment>
    <comment ref="G16" authorId="0">
      <text>
        <r>
          <rPr>
            <b/>
            <sz val="9"/>
            <color indexed="81"/>
            <rFont val="Tahoma"/>
            <family val="2"/>
          </rPr>
          <t>Brett Cowan:</t>
        </r>
        <r>
          <rPr>
            <sz val="9"/>
            <color indexed="81"/>
            <rFont val="Tahoma"/>
            <family val="2"/>
          </rPr>
          <t xml:space="preserve">
Conversion rate is equivalent to corn</t>
        </r>
      </text>
    </comment>
    <comment ref="G17" authorId="0">
      <text>
        <r>
          <rPr>
            <b/>
            <sz val="9"/>
            <color indexed="81"/>
            <rFont val="Tahoma"/>
            <family val="2"/>
          </rPr>
          <t>Brett Cowan:</t>
        </r>
        <r>
          <rPr>
            <sz val="9"/>
            <color indexed="81"/>
            <rFont val="Tahoma"/>
            <family val="2"/>
          </rPr>
          <t xml:space="preserve">
Unchanged</t>
        </r>
      </text>
    </comment>
    <comment ref="G18" authorId="0">
      <text>
        <r>
          <rPr>
            <b/>
            <sz val="9"/>
            <color indexed="81"/>
            <rFont val="Tahoma"/>
            <family val="2"/>
          </rPr>
          <t>Brett Cowan:</t>
        </r>
        <r>
          <rPr>
            <sz val="9"/>
            <color indexed="81"/>
            <rFont val="Tahoma"/>
            <family val="2"/>
          </rPr>
          <t xml:space="preserve">
Current ethanol yield is around 2.8 gal/bu. The yield of 2.9 gal/bu came from the National Corn Growers Association's projected yields for the 2015-2016 at a medium case. I assumed that a yield of 3.0 gal/bu would be achievable in 2020 (based on high case scenario) and remain constant.</t>
        </r>
      </text>
    </comment>
    <comment ref="G19" authorId="0">
      <text>
        <r>
          <rPr>
            <b/>
            <sz val="9"/>
            <color indexed="81"/>
            <rFont val="Tahoma"/>
            <family val="2"/>
          </rPr>
          <t>Brett Cowan:</t>
        </r>
        <r>
          <rPr>
            <sz val="9"/>
            <color indexed="81"/>
            <rFont val="Tahoma"/>
            <family val="2"/>
          </rPr>
          <t xml:space="preserve">
Unchanged</t>
        </r>
      </text>
    </comment>
    <comment ref="G20" authorId="0">
      <text>
        <r>
          <rPr>
            <b/>
            <sz val="9"/>
            <color indexed="81"/>
            <rFont val="Tahoma"/>
            <family val="2"/>
          </rPr>
          <t>Brett Cowan:</t>
        </r>
        <r>
          <rPr>
            <sz val="9"/>
            <color indexed="81"/>
            <rFont val="Tahoma"/>
            <family val="2"/>
          </rPr>
          <t xml:space="preserve">
Based on assumption of 1.5 gallons of biodiesel per bushel of soybeans (60 lbs/bushel). Note: Soybeans contain 18% - 20% oil.</t>
        </r>
      </text>
    </comment>
    <comment ref="G21" authorId="0">
      <text>
        <r>
          <rPr>
            <b/>
            <sz val="9"/>
            <color indexed="81"/>
            <rFont val="Tahoma"/>
            <family val="2"/>
          </rPr>
          <t>Brett Cowan:</t>
        </r>
        <r>
          <rPr>
            <sz val="9"/>
            <color indexed="81"/>
            <rFont val="Tahoma"/>
            <family val="2"/>
          </rPr>
          <t xml:space="preserve">
Unchanged</t>
        </r>
      </text>
    </comment>
    <comment ref="G22" authorId="0">
      <text>
        <r>
          <rPr>
            <b/>
            <sz val="9"/>
            <color indexed="81"/>
            <rFont val="Tahoma"/>
            <family val="2"/>
          </rPr>
          <t>Brett Cowan:</t>
        </r>
        <r>
          <rPr>
            <sz val="9"/>
            <color indexed="81"/>
            <rFont val="Tahoma"/>
            <family val="2"/>
          </rPr>
          <t xml:space="preserve">
Unchanged
</t>
        </r>
      </text>
    </comment>
    <comment ref="G23" authorId="0">
      <text>
        <r>
          <rPr>
            <b/>
            <sz val="9"/>
            <color indexed="81"/>
            <rFont val="Tahoma"/>
            <family val="2"/>
          </rPr>
          <t>Brett Cowan:</t>
        </r>
        <r>
          <rPr>
            <sz val="9"/>
            <color indexed="81"/>
            <rFont val="Tahoma"/>
            <family val="2"/>
          </rPr>
          <t xml:space="preserve">
Unchanged</t>
        </r>
      </text>
    </comment>
    <comment ref="G24" authorId="0">
      <text>
        <r>
          <rPr>
            <b/>
            <sz val="9"/>
            <color indexed="81"/>
            <rFont val="Tahoma"/>
            <family val="2"/>
          </rPr>
          <t>Brett Cowan:</t>
        </r>
        <r>
          <rPr>
            <sz val="9"/>
            <color indexed="81"/>
            <rFont val="Tahoma"/>
            <family val="2"/>
          </rPr>
          <t xml:space="preserve">
Unchanged</t>
        </r>
      </text>
    </comment>
    <comment ref="G25" authorId="0">
      <text>
        <r>
          <rPr>
            <b/>
            <sz val="9"/>
            <color indexed="81"/>
            <rFont val="Tahoma"/>
            <family val="2"/>
          </rPr>
          <t>Brett Cowan:</t>
        </r>
        <r>
          <rPr>
            <sz val="9"/>
            <color indexed="81"/>
            <rFont val="Tahoma"/>
            <family val="2"/>
          </rPr>
          <t xml:space="preserve">
Unchanged</t>
        </r>
      </text>
    </comment>
    <comment ref="G26" authorId="0">
      <text>
        <r>
          <rPr>
            <b/>
            <sz val="9"/>
            <color indexed="81"/>
            <rFont val="Tahoma"/>
            <family val="2"/>
          </rPr>
          <t>Brett Cowan:</t>
        </r>
        <r>
          <rPr>
            <sz val="9"/>
            <color indexed="81"/>
            <rFont val="Tahoma"/>
            <family val="2"/>
          </rPr>
          <t xml:space="preserve">
Unchanged</t>
        </r>
      </text>
    </comment>
    <comment ref="G27" authorId="0">
      <text>
        <r>
          <rPr>
            <b/>
            <sz val="9"/>
            <color indexed="81"/>
            <rFont val="Tahoma"/>
            <family val="2"/>
          </rPr>
          <t>Brett Cowan:</t>
        </r>
        <r>
          <rPr>
            <sz val="9"/>
            <color indexed="81"/>
            <rFont val="Tahoma"/>
            <family val="2"/>
          </rPr>
          <t xml:space="preserve">
Unchanged</t>
        </r>
      </text>
    </comment>
    <comment ref="G28" authorId="0">
      <text>
        <r>
          <rPr>
            <b/>
            <sz val="9"/>
            <color indexed="81"/>
            <rFont val="Tahoma"/>
            <family val="2"/>
          </rPr>
          <t>Brett Cowan:</t>
        </r>
        <r>
          <rPr>
            <sz val="9"/>
            <color indexed="81"/>
            <rFont val="Tahoma"/>
            <family val="2"/>
          </rPr>
          <t xml:space="preserve">
Unchanged</t>
        </r>
      </text>
    </comment>
    <comment ref="G29" authorId="0">
      <text>
        <r>
          <rPr>
            <b/>
            <sz val="9"/>
            <color indexed="81"/>
            <rFont val="Tahoma"/>
            <family val="2"/>
          </rPr>
          <t>Brett Cowan:</t>
        </r>
        <r>
          <rPr>
            <sz val="9"/>
            <color indexed="81"/>
            <rFont val="Tahoma"/>
            <family val="2"/>
          </rPr>
          <t xml:space="preserve">
Unchanged</t>
        </r>
      </text>
    </comment>
    <comment ref="G30" authorId="0">
      <text>
        <r>
          <rPr>
            <b/>
            <sz val="9"/>
            <color indexed="81"/>
            <rFont val="Tahoma"/>
            <family val="2"/>
          </rPr>
          <t>Brett Cowan:</t>
        </r>
        <r>
          <rPr>
            <sz val="9"/>
            <color indexed="81"/>
            <rFont val="Tahoma"/>
            <family val="2"/>
          </rPr>
          <t xml:space="preserve">
Unchanged</t>
        </r>
      </text>
    </comment>
    <comment ref="G34" authorId="0">
      <text>
        <r>
          <rPr>
            <b/>
            <sz val="9"/>
            <color indexed="81"/>
            <rFont val="Tahoma"/>
            <family val="2"/>
          </rPr>
          <t>Brett Cowan:</t>
        </r>
        <r>
          <rPr>
            <sz val="9"/>
            <color indexed="81"/>
            <rFont val="Tahoma"/>
            <family val="2"/>
          </rPr>
          <t xml:space="preserve">
Unchanged</t>
        </r>
      </text>
    </comment>
    <comment ref="G35" authorId="0">
      <text>
        <r>
          <rPr>
            <b/>
            <sz val="9"/>
            <color indexed="81"/>
            <rFont val="Tahoma"/>
            <family val="2"/>
          </rPr>
          <t>Brett Cowan:</t>
        </r>
        <r>
          <rPr>
            <sz val="9"/>
            <color indexed="81"/>
            <rFont val="Tahoma"/>
            <family val="2"/>
          </rPr>
          <t xml:space="preserve">
Unchanged</t>
        </r>
      </text>
    </comment>
    <comment ref="G36" authorId="0">
      <text>
        <r>
          <rPr>
            <b/>
            <sz val="9"/>
            <color indexed="81"/>
            <rFont val="Tahoma"/>
            <family val="2"/>
          </rPr>
          <t>Brett Cowan:</t>
        </r>
        <r>
          <rPr>
            <sz val="9"/>
            <color indexed="81"/>
            <rFont val="Tahoma"/>
            <family val="2"/>
          </rPr>
          <t xml:space="preserve">
Unchanged</t>
        </r>
      </text>
    </comment>
    <comment ref="G37" authorId="0">
      <text>
        <r>
          <rPr>
            <b/>
            <sz val="9"/>
            <color indexed="81"/>
            <rFont val="Tahoma"/>
            <family val="2"/>
          </rPr>
          <t>Brett Cowan:</t>
        </r>
        <r>
          <rPr>
            <sz val="9"/>
            <color indexed="81"/>
            <rFont val="Tahoma"/>
            <family val="2"/>
          </rPr>
          <t xml:space="preserve">
Unchanged</t>
        </r>
      </text>
    </comment>
  </commentList>
</comments>
</file>

<file path=xl/comments5.xml><?xml version="1.0" encoding="utf-8"?>
<comments xmlns="http://schemas.openxmlformats.org/spreadsheetml/2006/main">
  <authors>
    <author>Brett</author>
    <author>Aministrator</author>
    <author>Kevin Sullivan</author>
  </authors>
  <commentList>
    <comment ref="U4" authorId="0">
      <text>
        <r>
          <rPr>
            <b/>
            <sz val="9"/>
            <color indexed="81"/>
            <rFont val="Tahoma"/>
            <family val="2"/>
          </rPr>
          <t>Brett Cowan:</t>
        </r>
        <r>
          <rPr>
            <sz val="9"/>
            <color indexed="81"/>
            <rFont val="Tahoma"/>
            <family val="2"/>
          </rPr>
          <t xml:space="preserve">
LFG currently used for electricity generation and total LFG collected obtained from various individuals (see specific cells for details) and from M. Aucott of NJDEP (flaring facilities). Figures given by Aucott were converted to mmscfy and multiplied by 2 (assuming methane comprises 50% of LFG by volume). For a landfill breakdown (flaring and energy production), see the LFG Estimates by Landfill sheet.</t>
        </r>
      </text>
    </comment>
    <comment ref="AC4" authorId="0">
      <text>
        <r>
          <rPr>
            <b/>
            <sz val="9"/>
            <color indexed="81"/>
            <rFont val="Tahoma"/>
            <family val="2"/>
          </rPr>
          <t>Brett Cowan:</t>
        </r>
        <r>
          <rPr>
            <sz val="9"/>
            <color indexed="81"/>
            <rFont val="Tahoma"/>
            <family val="2"/>
          </rPr>
          <t xml:space="preserve">
All values in the chart were converted from dry metric tons to dry tons. It is assumed that the incinerated biosolids, out-of-state disposal of biosolids, and in-state beneficial use landfill cover of biosolids are available for energy production or transportation fuels.</t>
        </r>
      </text>
    </comment>
    <comment ref="I5" authorId="0">
      <text>
        <r>
          <rPr>
            <b/>
            <sz val="9"/>
            <color indexed="81"/>
            <rFont val="Tahoma"/>
            <family val="2"/>
          </rPr>
          <t>Brett Cowan:</t>
        </r>
        <r>
          <rPr>
            <sz val="9"/>
            <color indexed="81"/>
            <rFont val="Tahoma"/>
            <family val="2"/>
          </rPr>
          <t xml:space="preserve">
Joseph Davis MPA stated that in 2010, approximately 2.4 million tons of MSW went out of state (OOS), which accounted for the discrepancies between the MSW to landfills and MSW to incineration with the disposed MSW in 2010 (Column F)(landfilled plus incineration did not add up to disposed). However, it is assumed that OOS MSW will be landfilled, hence column I mirroring this assumption.</t>
        </r>
      </text>
    </comment>
    <comment ref="M5" authorId="1">
      <text>
        <r>
          <rPr>
            <b/>
            <sz val="9"/>
            <color indexed="81"/>
            <rFont val="Tahoma"/>
            <family val="2"/>
          </rPr>
          <t>Aministrator:</t>
        </r>
        <r>
          <rPr>
            <sz val="9"/>
            <color indexed="81"/>
            <rFont val="Tahoma"/>
            <family val="2"/>
          </rPr>
          <t xml:space="preserve">
Total MSW is derived from the addition of Disposal MSW and Recyling MSW from 2010 Generation, Disposal, and Recycling Rates from the NJDEP
</t>
        </r>
      </text>
    </comment>
    <comment ref="W7" authorId="0">
      <text>
        <r>
          <rPr>
            <b/>
            <sz val="9"/>
            <color indexed="81"/>
            <rFont val="Tahoma"/>
            <family val="2"/>
          </rPr>
          <t xml:space="preserve">Brett Cowan:
</t>
        </r>
        <r>
          <rPr>
            <sz val="9"/>
            <color indexed="81"/>
            <rFont val="Tahoma"/>
            <family val="2"/>
          </rPr>
          <t>Statistic given by Gary Conover, Solid Waste Director of ACUA.</t>
        </r>
      </text>
    </comment>
    <comment ref="U8" authorId="0">
      <text>
        <r>
          <rPr>
            <b/>
            <sz val="9"/>
            <color indexed="81"/>
            <rFont val="Tahoma"/>
            <family val="2"/>
          </rPr>
          <t>Brett Cowan:</t>
        </r>
        <r>
          <rPr>
            <sz val="9"/>
            <color indexed="81"/>
            <rFont val="Tahoma"/>
            <family val="2"/>
          </rPr>
          <t xml:space="preserve">
Statistic given by Chris Dour, Solid Waste Operations Supervisor of NJMC.</t>
        </r>
      </text>
    </comment>
    <comment ref="W9" authorId="0">
      <text>
        <r>
          <rPr>
            <b/>
            <sz val="9"/>
            <color indexed="81"/>
            <rFont val="Tahoma"/>
            <family val="2"/>
          </rPr>
          <t>Brett Cowan:</t>
        </r>
        <r>
          <rPr>
            <sz val="9"/>
            <color indexed="81"/>
            <rFont val="Tahoma"/>
            <family val="2"/>
          </rPr>
          <t xml:space="preserve">
Statistic given by Robert Simkins, Solid Waste Coordinator of Burlington County.</t>
        </r>
      </text>
    </comment>
    <comment ref="X9" authorId="0">
      <text>
        <r>
          <rPr>
            <b/>
            <sz val="9"/>
            <color indexed="81"/>
            <rFont val="Tahoma"/>
            <family val="2"/>
          </rPr>
          <t>Brett Cowan:</t>
        </r>
        <r>
          <rPr>
            <sz val="9"/>
            <color indexed="81"/>
            <rFont val="Tahoma"/>
            <family val="2"/>
          </rPr>
          <t xml:space="preserve">
The LFG flow to the EcoComplex's Greenhouse (10.3 mmscfy) is for direct use, not power generation or transportation fuel production, and therefore deemed as available LFG.</t>
        </r>
      </text>
    </comment>
    <comment ref="W10" authorId="0">
      <text>
        <r>
          <rPr>
            <b/>
            <sz val="9"/>
            <color indexed="81"/>
            <rFont val="Tahoma"/>
            <family val="2"/>
          </rPr>
          <t>Brett Cowan:</t>
        </r>
        <r>
          <rPr>
            <sz val="9"/>
            <color indexed="81"/>
            <rFont val="Tahoma"/>
            <family val="2"/>
          </rPr>
          <t xml:space="preserve">
Statistic of 24.750244 mmscf for September given by John Londres, Deputy Director of the PCFA of Camden County. Assumed to be the average for each month of 2012, so multiplied by 12 to get approximately 297.003 mmscfy.</t>
        </r>
      </text>
    </comment>
    <comment ref="W11" authorId="0">
      <text>
        <r>
          <rPr>
            <b/>
            <sz val="9"/>
            <color indexed="81"/>
            <rFont val="Tahoma"/>
            <family val="2"/>
          </rPr>
          <t>Brett Cowan:</t>
        </r>
        <r>
          <rPr>
            <sz val="9"/>
            <color indexed="81"/>
            <rFont val="Tahoma"/>
            <family val="2"/>
          </rPr>
          <t xml:space="preserve">
Statistic given by John Baron, Deputy Director of Cape May County MUA.</t>
        </r>
      </text>
    </comment>
    <comment ref="W12" authorId="0">
      <text>
        <r>
          <rPr>
            <b/>
            <sz val="9"/>
            <color indexed="81"/>
            <rFont val="Tahoma"/>
            <family val="2"/>
          </rPr>
          <t>Brett:</t>
        </r>
        <r>
          <rPr>
            <sz val="9"/>
            <color indexed="81"/>
            <rFont val="Tahoma"/>
            <family val="2"/>
          </rPr>
          <t xml:space="preserve">
Statistic given by Enos Martin, Asset Manager at PPL Renewable Energy LLC.</t>
        </r>
      </text>
    </comment>
    <comment ref="U13" authorId="0">
      <text>
        <r>
          <rPr>
            <b/>
            <sz val="9"/>
            <color indexed="81"/>
            <rFont val="Tahoma"/>
            <family val="2"/>
          </rPr>
          <t>Brett Cowan:</t>
        </r>
        <r>
          <rPr>
            <sz val="9"/>
            <color indexed="81"/>
            <rFont val="Tahoma"/>
            <family val="2"/>
          </rPr>
          <t xml:space="preserve">
Statistic given by Thomas Marturano, Director of Solid Waste and Natural Resources at the New Jersey Meadowlands Commission.</t>
        </r>
      </text>
    </comment>
    <comment ref="W14" authorId="0">
      <text>
        <r>
          <rPr>
            <b/>
            <sz val="9"/>
            <color indexed="81"/>
            <rFont val="Tahoma"/>
            <family val="2"/>
          </rPr>
          <t>Brett:</t>
        </r>
        <r>
          <rPr>
            <sz val="9"/>
            <color indexed="81"/>
            <rFont val="Tahoma"/>
            <family val="2"/>
          </rPr>
          <t xml:space="preserve">
Statistic given by Eric Peterson, Vice President of SCS Engineers (was told that Gloucester is not producing any electricity from LFG).</t>
        </r>
      </text>
    </comment>
    <comment ref="U15" authorId="0">
      <text>
        <r>
          <rPr>
            <b/>
            <sz val="9"/>
            <color indexed="81"/>
            <rFont val="Tahoma"/>
            <family val="2"/>
          </rPr>
          <t>Brett Cowan:</t>
        </r>
        <r>
          <rPr>
            <sz val="9"/>
            <color indexed="81"/>
            <rFont val="Tahoma"/>
            <family val="2"/>
          </rPr>
          <t xml:space="preserve">
Statistic given by Thomas Marturano, Director of Solid Waste and Natural Resources at the New Jersey Meadowlands Commission.</t>
        </r>
      </text>
    </comment>
    <comment ref="W18" authorId="0">
      <text>
        <r>
          <rPr>
            <b/>
            <sz val="9"/>
            <color indexed="81"/>
            <rFont val="Tahoma"/>
            <family val="2"/>
          </rPr>
          <t>Brett Cowan:</t>
        </r>
        <r>
          <rPr>
            <sz val="9"/>
            <color indexed="81"/>
            <rFont val="Tahoma"/>
            <family val="2"/>
          </rPr>
          <t xml:space="preserve">
Statistics for the Middlesex County LF (1674.5 mmscfy used, 248.9 mmscfy flared) and the ILR (800-1000 scfm from 1/1/12 to about 10/29/12, assumed to be 900 scfm) given by Robert Leslie of the MCUA Solid Waste Division.
Statistic for the Edgeboro Landfill (3000 scfm used, 0 scfm flared) given by Jack Whitman, Jr., Vice President of Egdeboro International, Inc.</t>
        </r>
      </text>
    </comment>
    <comment ref="W21" authorId="0">
      <text>
        <r>
          <rPr>
            <b/>
            <sz val="9"/>
            <color indexed="81"/>
            <rFont val="Tahoma"/>
            <family val="2"/>
          </rPr>
          <t>Brett Cowan:</t>
        </r>
        <r>
          <rPr>
            <sz val="9"/>
            <color indexed="81"/>
            <rFont val="Tahoma"/>
            <family val="2"/>
          </rPr>
          <t xml:space="preserve">
Statistic (as well as what is flared/available) given by Martin Ryan, Engineering VP of the Ocean County Landfill Corporation.</t>
        </r>
      </text>
    </comment>
    <comment ref="W23" authorId="0">
      <text>
        <r>
          <rPr>
            <b/>
            <sz val="9"/>
            <color indexed="81"/>
            <rFont val="Tahoma"/>
            <family val="2"/>
          </rPr>
          <t>Brett Cowan:</t>
        </r>
        <r>
          <rPr>
            <sz val="9"/>
            <color indexed="81"/>
            <rFont val="Tahoma"/>
            <family val="2"/>
          </rPr>
          <t xml:space="preserve">
Statistic (as well as what is flared/available) given by Lynn Schmidt, Site Manager of the Salem County Landfill.</t>
        </r>
      </text>
    </comment>
    <comment ref="X23" authorId="0">
      <text>
        <r>
          <rPr>
            <b/>
            <sz val="9"/>
            <color indexed="81"/>
            <rFont val="Tahoma"/>
            <family val="2"/>
          </rPr>
          <t>Brett Cowan:</t>
        </r>
        <r>
          <rPr>
            <sz val="9"/>
            <color indexed="81"/>
            <rFont val="Tahoma"/>
            <family val="2"/>
          </rPr>
          <t xml:space="preserve">
The LFG flow to the Salem Community College (1.666 mmscfy) is for direct use, not power generation or transportation fuel production, and therefore deemed as available LFG.</t>
        </r>
      </text>
    </comment>
    <comment ref="W25" authorId="0">
      <text>
        <r>
          <rPr>
            <b/>
            <sz val="9"/>
            <color indexed="81"/>
            <rFont val="Tahoma"/>
            <family val="2"/>
          </rPr>
          <t>Brett Cowan:</t>
        </r>
        <r>
          <rPr>
            <sz val="9"/>
            <color indexed="81"/>
            <rFont val="Tahoma"/>
            <family val="2"/>
          </rPr>
          <t xml:space="preserve">
Statistic given on a monthly basis for 2012 by Thomas Varro, Chief Engineer of SCMUA.</t>
        </r>
      </text>
    </comment>
    <comment ref="W27" authorId="0">
      <text>
        <r>
          <rPr>
            <b/>
            <sz val="9"/>
            <color indexed="81"/>
            <rFont val="Tahoma"/>
            <family val="2"/>
          </rPr>
          <t>Brett Cowan:</t>
        </r>
        <r>
          <rPr>
            <sz val="9"/>
            <color indexed="81"/>
            <rFont val="Tahoma"/>
            <family val="2"/>
          </rPr>
          <t xml:space="preserve">
Statistic (as well as what is flared/available) given by James Williams, Director of Operations at the Warren County District Landfill.</t>
        </r>
      </text>
    </comment>
    <comment ref="B38" authorId="0">
      <text>
        <r>
          <rPr>
            <b/>
            <sz val="9"/>
            <color indexed="81"/>
            <rFont val="Tahoma"/>
            <family val="2"/>
          </rPr>
          <t>Brett Cowan:</t>
        </r>
        <r>
          <rPr>
            <sz val="9"/>
            <color indexed="81"/>
            <rFont val="Tahoma"/>
            <family val="2"/>
          </rPr>
          <t xml:space="preserve">
USDA Crop Production Summary. Accessed August 2011. http://usda01.library.cornell.edu/usda/current/CropProdSu/CropProdSu-01-12-2012.pdf
</t>
        </r>
        <r>
          <rPr>
            <b/>
            <sz val="9"/>
            <color indexed="81"/>
            <rFont val="Tahoma"/>
            <family val="2"/>
          </rPr>
          <t>Note</t>
        </r>
        <r>
          <rPr>
            <sz val="9"/>
            <color indexed="81"/>
            <rFont val="Tahoma"/>
            <family val="2"/>
          </rPr>
          <t>: Calculated average for Sorghum and Rye over 2009-2011 period due to lack of information pertaining to New Jersey</t>
        </r>
        <r>
          <rPr>
            <sz val="9"/>
            <color indexed="81"/>
            <rFont val="Tahoma"/>
            <family val="2"/>
          </rPr>
          <t>.</t>
        </r>
      </text>
    </comment>
    <comment ref="H43" authorId="0">
      <text>
        <r>
          <rPr>
            <b/>
            <sz val="9"/>
            <color indexed="81"/>
            <rFont val="Tahoma"/>
            <family val="2"/>
          </rPr>
          <t>Brett Cowan:</t>
        </r>
        <r>
          <rPr>
            <sz val="9"/>
            <color indexed="81"/>
            <rFont val="Tahoma"/>
            <family val="2"/>
          </rPr>
          <t xml:space="preserve">
Determined by subtracting the Food Waste and Paper Waste percentages for NJ from the national average Total Biomass percentage of MSW.</t>
        </r>
      </text>
    </comment>
    <comment ref="H44" authorId="0">
      <text>
        <r>
          <rPr>
            <b/>
            <sz val="9"/>
            <color indexed="81"/>
            <rFont val="Tahoma"/>
            <family val="2"/>
          </rPr>
          <t>Brett Cowan:</t>
        </r>
        <r>
          <rPr>
            <sz val="9"/>
            <color indexed="81"/>
            <rFont val="Tahoma"/>
            <family val="2"/>
          </rPr>
          <t xml:space="preserve">
This percentage is the addition of all organic portions of MSW, which are paper and paperboard (28.5%), yard trimmings(13.4%), food scraps (13.9%), and wood (6.4%).</t>
        </r>
      </text>
    </comment>
    <comment ref="B48" authorId="2">
      <text>
        <r>
          <rPr>
            <b/>
            <sz val="10"/>
            <color indexed="81"/>
            <rFont val="Tahoma"/>
            <family val="2"/>
          </rPr>
          <t xml:space="preserve">Kevin Sullivan (NJAES) :
</t>
        </r>
        <r>
          <rPr>
            <sz val="10"/>
            <color indexed="81"/>
            <rFont val="Tahoma"/>
            <family val="2"/>
          </rPr>
          <t xml:space="preserve">Residue estimates assume that ample biomass will be left on the field (to cover 32% of surface area) for soil conservation and nutrient replenishment.   USDA, Agricultural Handbook Number 537.  
Sweet Corn: Yield estimates assume corn stalks will mostly dry on the field before harvest per  Zane Helsel (NJAES). 
Corn for Silage, Alfalfa Hay and Other Hay: NJ NASS Agricultural Statistics 2005 Annual Report for years 2000 - 2004.   Yield used is 5-year average.  </t>
        </r>
      </text>
    </comment>
    <comment ref="B81" authorId="0">
      <text>
        <r>
          <rPr>
            <b/>
            <sz val="9"/>
            <color indexed="81"/>
            <rFont val="Tahoma"/>
            <family val="2"/>
          </rPr>
          <t>Brett Cowan:</t>
        </r>
        <r>
          <rPr>
            <sz val="9"/>
            <color indexed="81"/>
            <rFont val="Tahoma"/>
            <family val="2"/>
          </rPr>
          <t xml:space="preserve">
Compares the generation of each resource and NJ population on a yearly basis, resulting in a tons/person/yr statistic. It was then averaged over the ten year period and the final value is shown. The following estimates for future years utilize the growth rate compounded annually.</t>
        </r>
      </text>
    </comment>
    <comment ref="B84" authorId="0">
      <text>
        <r>
          <rPr>
            <b/>
            <sz val="9"/>
            <color indexed="81"/>
            <rFont val="Tahoma"/>
            <family val="2"/>
          </rPr>
          <t>Brett Cowan:</t>
        </r>
        <r>
          <rPr>
            <sz val="9"/>
            <color indexed="81"/>
            <rFont val="Tahoma"/>
            <family val="2"/>
          </rPr>
          <t xml:space="preserve">
This growth rate is the average from the years 1995-2010.</t>
        </r>
      </text>
    </comment>
  </commentList>
</comments>
</file>

<file path=xl/comments6.xml><?xml version="1.0" encoding="utf-8"?>
<comments xmlns="http://schemas.openxmlformats.org/spreadsheetml/2006/main">
  <authors>
    <author>Brett</author>
  </authors>
  <commentList>
    <comment ref="G5" authorId="0">
      <text>
        <r>
          <rPr>
            <b/>
            <sz val="9"/>
            <color indexed="81"/>
            <rFont val="Tahoma"/>
            <family val="2"/>
          </rPr>
          <t>Brett Cowan:</t>
        </r>
        <r>
          <rPr>
            <sz val="9"/>
            <color indexed="81"/>
            <rFont val="Tahoma"/>
            <family val="2"/>
          </rPr>
          <t xml:space="preserve">
This is the amount of CO</t>
        </r>
        <r>
          <rPr>
            <vertAlign val="subscript"/>
            <sz val="9"/>
            <color indexed="81"/>
            <rFont val="Tahoma"/>
            <family val="2"/>
          </rPr>
          <t>2</t>
        </r>
        <r>
          <rPr>
            <sz val="9"/>
            <color indexed="81"/>
            <rFont val="Tahoma"/>
            <family val="2"/>
          </rPr>
          <t xml:space="preserve"> being produced by non-LFG sources with equivalent electricity generation potential, based on PJM's Average CO</t>
        </r>
        <r>
          <rPr>
            <vertAlign val="subscript"/>
            <sz val="9"/>
            <color indexed="81"/>
            <rFont val="Tahoma"/>
            <family val="2"/>
          </rPr>
          <t>2</t>
        </r>
        <r>
          <rPr>
            <sz val="9"/>
            <color indexed="81"/>
            <rFont val="Tahoma"/>
            <family val="2"/>
          </rPr>
          <t xml:space="preserve"> Emissions Rates for the year 2009.</t>
        </r>
      </text>
    </comment>
    <comment ref="L5" authorId="0">
      <text>
        <r>
          <rPr>
            <b/>
            <sz val="9"/>
            <color indexed="81"/>
            <rFont val="Tahoma"/>
            <family val="2"/>
          </rPr>
          <t>Brett Cowan:</t>
        </r>
        <r>
          <rPr>
            <sz val="9"/>
            <color indexed="81"/>
            <rFont val="Tahoma"/>
            <family val="2"/>
          </rPr>
          <t xml:space="preserve">
This is the amount of CO</t>
        </r>
        <r>
          <rPr>
            <vertAlign val="subscript"/>
            <sz val="9"/>
            <color indexed="81"/>
            <rFont val="Tahoma"/>
            <family val="2"/>
          </rPr>
          <t>2</t>
        </r>
        <r>
          <rPr>
            <sz val="9"/>
            <color indexed="81"/>
            <rFont val="Tahoma"/>
            <family val="2"/>
          </rPr>
          <t xml:space="preserve"> being produced by non-LFG sources with equivalent electricity generation, based on PJM's Average CO</t>
        </r>
        <r>
          <rPr>
            <vertAlign val="subscript"/>
            <sz val="9"/>
            <color indexed="81"/>
            <rFont val="Tahoma"/>
            <family val="2"/>
          </rPr>
          <t>2</t>
        </r>
        <r>
          <rPr>
            <sz val="9"/>
            <color indexed="81"/>
            <rFont val="Tahoma"/>
            <family val="2"/>
          </rPr>
          <t xml:space="preserve"> Emissions Rates for the year 2009.</t>
        </r>
      </text>
    </comment>
    <comment ref="Q5" authorId="0">
      <text>
        <r>
          <rPr>
            <b/>
            <sz val="9"/>
            <color indexed="81"/>
            <rFont val="Tahoma"/>
            <family val="2"/>
          </rPr>
          <t>Brett Cowan:</t>
        </r>
        <r>
          <rPr>
            <sz val="9"/>
            <color indexed="81"/>
            <rFont val="Tahoma"/>
            <family val="2"/>
          </rPr>
          <t xml:space="preserve">
This is the amount of CO</t>
        </r>
        <r>
          <rPr>
            <vertAlign val="subscript"/>
            <sz val="9"/>
            <color indexed="81"/>
            <rFont val="Tahoma"/>
            <family val="2"/>
          </rPr>
          <t>2</t>
        </r>
        <r>
          <rPr>
            <sz val="9"/>
            <color indexed="81"/>
            <rFont val="Tahoma"/>
            <family val="2"/>
          </rPr>
          <t xml:space="preserve"> being produced by non-LFG sources with equivalent electricity generation potential, based on PJM's Average CO</t>
        </r>
        <r>
          <rPr>
            <vertAlign val="subscript"/>
            <sz val="9"/>
            <color indexed="81"/>
            <rFont val="Tahoma"/>
            <family val="2"/>
          </rPr>
          <t>2</t>
        </r>
        <r>
          <rPr>
            <sz val="9"/>
            <color indexed="81"/>
            <rFont val="Tahoma"/>
            <family val="2"/>
          </rPr>
          <t xml:space="preserve"> Emissions Rates for the year 2009.</t>
        </r>
      </text>
    </comment>
    <comment ref="R5" authorId="0">
      <text>
        <r>
          <rPr>
            <b/>
            <sz val="9"/>
            <color indexed="81"/>
            <rFont val="Tahoma"/>
            <family val="2"/>
          </rPr>
          <t>Brett Cowan:</t>
        </r>
        <r>
          <rPr>
            <sz val="9"/>
            <color indexed="81"/>
            <rFont val="Tahoma"/>
            <family val="2"/>
          </rPr>
          <t xml:space="preserve">
This is the amount of CO</t>
        </r>
        <r>
          <rPr>
            <vertAlign val="subscript"/>
            <sz val="9"/>
            <color indexed="81"/>
            <rFont val="Tahoma"/>
            <family val="2"/>
          </rPr>
          <t>2</t>
        </r>
        <r>
          <rPr>
            <sz val="9"/>
            <color indexed="81"/>
            <rFont val="Tahoma"/>
            <family val="2"/>
          </rPr>
          <t xml:space="preserve"> being produced by non-LFG sources with equivalent electricity generation potential, based on PJM's Average CO</t>
        </r>
        <r>
          <rPr>
            <vertAlign val="subscript"/>
            <sz val="9"/>
            <color indexed="81"/>
            <rFont val="Tahoma"/>
            <family val="2"/>
          </rPr>
          <t>2</t>
        </r>
        <r>
          <rPr>
            <sz val="9"/>
            <color indexed="81"/>
            <rFont val="Tahoma"/>
            <family val="2"/>
          </rPr>
          <t xml:space="preserve"> Emissions Rates for the year 2009.</t>
        </r>
      </text>
    </comment>
    <comment ref="I6" authorId="0">
      <text>
        <r>
          <rPr>
            <b/>
            <sz val="9"/>
            <color indexed="81"/>
            <rFont val="Tahoma"/>
            <family val="2"/>
          </rPr>
          <t>Brett Cowan:</t>
        </r>
        <r>
          <rPr>
            <sz val="9"/>
            <color indexed="81"/>
            <rFont val="Tahoma"/>
            <family val="2"/>
          </rPr>
          <t xml:space="preserve">
Statistic given by Gary Conover, Solid Waste Director of ACUA.</t>
        </r>
      </text>
    </comment>
    <comment ref="I8" authorId="0">
      <text>
        <r>
          <rPr>
            <b/>
            <sz val="9"/>
            <color indexed="81"/>
            <rFont val="Tahoma"/>
            <family val="2"/>
          </rPr>
          <t>Brett Cowan:</t>
        </r>
        <r>
          <rPr>
            <sz val="9"/>
            <color indexed="81"/>
            <rFont val="Tahoma"/>
            <family val="2"/>
          </rPr>
          <t xml:space="preserve">
Statistic given by Bob Simkins, Solid Waste Coordinator of Burlington County.</t>
        </r>
      </text>
    </comment>
    <comment ref="I9" authorId="0">
      <text>
        <r>
          <rPr>
            <b/>
            <sz val="9"/>
            <color indexed="81"/>
            <rFont val="Tahoma"/>
            <family val="2"/>
          </rPr>
          <t>Brett Cowan:</t>
        </r>
        <r>
          <rPr>
            <sz val="9"/>
            <color indexed="81"/>
            <rFont val="Tahoma"/>
            <family val="2"/>
          </rPr>
          <t xml:space="preserve">
Statistic (rate of 0.043 kWh/scf) given by John Londres, Deputy Director of PCFA of Camden County.</t>
        </r>
      </text>
    </comment>
    <comment ref="I10" authorId="0">
      <text>
        <r>
          <rPr>
            <b/>
            <sz val="9"/>
            <color indexed="81"/>
            <rFont val="Tahoma"/>
            <family val="2"/>
          </rPr>
          <t>Brett Cowan:</t>
        </r>
        <r>
          <rPr>
            <sz val="9"/>
            <color indexed="81"/>
            <rFont val="Tahoma"/>
            <family val="2"/>
          </rPr>
          <t xml:space="preserve">
Statistic given by John Baron, Deputy Director of Cape May County MUA.</t>
        </r>
      </text>
    </comment>
    <comment ref="I11" authorId="0">
      <text>
        <r>
          <rPr>
            <b/>
            <sz val="9"/>
            <color indexed="81"/>
            <rFont val="Tahoma"/>
            <family val="2"/>
          </rPr>
          <t>Brett Cowan:</t>
        </r>
        <r>
          <rPr>
            <sz val="9"/>
            <color indexed="81"/>
            <rFont val="Tahoma"/>
            <family val="2"/>
          </rPr>
          <t xml:space="preserve">
Statistic given by Enos Martin, Asset Manager at PPL Renewable Energy LLC and Eric Peterson, Vice President of SCS Engineers.</t>
        </r>
      </text>
    </comment>
    <comment ref="I17" authorId="0">
      <text>
        <r>
          <rPr>
            <b/>
            <sz val="9"/>
            <color indexed="81"/>
            <rFont val="Tahoma"/>
            <family val="2"/>
          </rPr>
          <t>Brett Cowan:</t>
        </r>
        <r>
          <rPr>
            <sz val="9"/>
            <color indexed="81"/>
            <rFont val="Tahoma"/>
            <family val="2"/>
          </rPr>
          <t xml:space="preserve">
Statistics (additive) given by Jack Whitman, Jr., Vice President of Edgeboro International, Inc. (9.2 MW capacity for WWT plant) and Robert Leslie of the MCUA Solid Waste Division (101,315.9 MWh/yr in 2012 for the power plant).</t>
        </r>
      </text>
    </comment>
    <comment ref="I24" authorId="0">
      <text>
        <r>
          <rPr>
            <b/>
            <sz val="9"/>
            <color indexed="81"/>
            <rFont val="Tahoma"/>
            <family val="2"/>
          </rPr>
          <t>Brett Cowan:</t>
        </r>
        <r>
          <rPr>
            <sz val="9"/>
            <color indexed="81"/>
            <rFont val="Tahoma"/>
            <family val="2"/>
          </rPr>
          <t xml:space="preserve">
Statistic given on a monthly basis for 2012 by Thomas Varro, Chief Engineer of SCMUA.</t>
        </r>
      </text>
    </comment>
  </commentList>
</comments>
</file>

<file path=xl/comments7.xml><?xml version="1.0" encoding="utf-8"?>
<comments xmlns="http://schemas.openxmlformats.org/spreadsheetml/2006/main">
  <authors>
    <author>Brett</author>
  </authors>
  <commentList>
    <comment ref="F4" authorId="0">
      <text>
        <r>
          <rPr>
            <b/>
            <sz val="9"/>
            <color indexed="81"/>
            <rFont val="Tahoma"/>
            <family val="2"/>
          </rPr>
          <t>Brett Cowan:</t>
        </r>
        <r>
          <rPr>
            <sz val="9"/>
            <color indexed="81"/>
            <rFont val="Tahoma"/>
            <family val="2"/>
          </rPr>
          <t xml:space="preserve">
This is the amount of CO2 being produced by non-LFG sources with equivalent electricity generation potential, based on PJM's Average CO2 Emissions Rates for the year 2009.</t>
        </r>
      </text>
    </comment>
  </commentList>
</comments>
</file>

<file path=xl/sharedStrings.xml><?xml version="1.0" encoding="utf-8"?>
<sst xmlns="http://schemas.openxmlformats.org/spreadsheetml/2006/main" count="8130" uniqueCount="1572">
  <si>
    <r>
      <t>3) Net Usable Assumptions</t>
    </r>
    <r>
      <rPr>
        <b/>
        <sz val="12"/>
        <rFont val="Times New Roman"/>
        <family val="1"/>
      </rPr>
      <t xml:space="preserve"> - </t>
    </r>
    <r>
      <rPr>
        <sz val="12"/>
        <rFont val="Times New Roman"/>
        <family val="1"/>
      </rPr>
      <t>This worksheet contains the net usable percentages of biomass feedstocks. At the bottom of the sheet, there is a list of agricultural crops. To estimate the energy potential that could be generated if the acreage devoted to these crops was converted to a bioenergy crop (poplar or switchgrass) simply use the drop down screen to the right of the crop name and change the cell from No to Yes. To calculate the energy generation potential if only a portion of the acreage was switched to a bioenergy crop, go back to the top of the sheet and make the change in the yellow highlighted area to reflect the percent of acreage that would be devoted to bioenergy crops. These changes will automatically cause the energy generation potential to be recalculated. Additional changes to this worksheet can be made in the yellow highlighted sections to increase or decrease the percentage of usable biomass for each feedstock. Again, changes on this sheet will automatically be carried through to the Bioenergy Calculator worksheet and the bioenergy potential will be recalculated to reflect the changes. Sources of information for all data contained on this worksheet can be found in Column F.</t>
    </r>
  </si>
  <si>
    <r>
      <t>8) Electricity and Fuel Generation from LFG</t>
    </r>
    <r>
      <rPr>
        <sz val="12"/>
        <rFont val="Times New Roman"/>
        <family val="1"/>
      </rPr>
      <t xml:space="preserve"> – This worksheet contains summary information for all New Jersey counties on the current quantity of electricity and fuel generated from landfill gas. It also includes projections for 2010, 2015, and 2020. Projections are based on estimated increases in population from the Department of Labor, but do not take into account any reductions in waste deposited at the landfills as a result of increased diversion for other purposes. This is a static worksheet and is for informational purposes only. It is not linked to the main Bioenergy Calculator worksheet, thus changes made here will not carry through the program. </t>
    </r>
  </si>
  <si>
    <r>
      <t>Welcome to the New Jersey Bioenergy Calculator</t>
    </r>
    <r>
      <rPr>
        <vertAlign val="superscript"/>
        <sz val="10"/>
        <rFont val="Times New Roman"/>
        <family val="1"/>
      </rPr>
      <t>©</t>
    </r>
    <r>
      <rPr>
        <b/>
        <sz val="14"/>
        <rFont val="Times New Roman"/>
        <family val="1"/>
      </rPr>
      <t xml:space="preserve"> and Biomass Resource Database</t>
    </r>
  </si>
  <si>
    <r>
      <t>—</t>
    </r>
    <r>
      <rPr>
        <sz val="7"/>
        <rFont val="Times New Roman"/>
        <family val="1"/>
      </rPr>
      <t xml:space="preserve">    </t>
    </r>
    <r>
      <rPr>
        <sz val="12"/>
        <rFont val="Times New Roman"/>
        <family val="1"/>
      </rPr>
      <t xml:space="preserve">There are numerous </t>
    </r>
    <r>
      <rPr>
        <i/>
        <sz val="12"/>
        <rFont val="Times New Roman"/>
        <family val="1"/>
      </rPr>
      <t>technically feasible</t>
    </r>
    <r>
      <rPr>
        <sz val="12"/>
        <rFont val="Times New Roman"/>
        <family val="1"/>
      </rPr>
      <t xml:space="preserve"> bioenergy conversion technologies.  However, certain technologies that are not well developed yet and/or are likely to be applicable mainly to niche applications were generally excluded from detailed analysis.</t>
    </r>
  </si>
  <si>
    <t>Developed by the New Jersey Agricultural Experiment Station - Rutgers the State University of New Jersey</t>
  </si>
  <si>
    <r>
      <t>—</t>
    </r>
    <r>
      <rPr>
        <sz val="7"/>
        <rFont val="Times New Roman"/>
        <family val="1"/>
      </rPr>
      <t xml:space="preserve">    </t>
    </r>
    <r>
      <rPr>
        <sz val="12"/>
        <rFont val="Times New Roman"/>
        <family val="1"/>
      </rPr>
      <t xml:space="preserve">Although there are many biomass feedstocks that </t>
    </r>
    <r>
      <rPr>
        <i/>
        <sz val="12"/>
        <rFont val="Times New Roman"/>
        <family val="1"/>
      </rPr>
      <t>could</t>
    </r>
    <r>
      <rPr>
        <sz val="12"/>
        <rFont val="Times New Roman"/>
        <family val="1"/>
      </rPr>
      <t xml:space="preserve"> be used with a particular conversion technology, in practice, certain feedstocks are better suited to certain conversion processes.  </t>
    </r>
  </si>
  <si>
    <r>
      <t>—</t>
    </r>
    <r>
      <rPr>
        <sz val="7"/>
        <rFont val="Times New Roman"/>
        <family val="1"/>
      </rPr>
      <t xml:space="preserve">    </t>
    </r>
    <r>
      <rPr>
        <sz val="12"/>
        <rFont val="Times New Roman"/>
        <family val="1"/>
      </rPr>
      <t>Given the wide range of technologies within a particular “platform” (e.g., types of biomass gasification reactors), the analysis focuses on broad technology platforms with similar characteristics.  Representative feedstock-conversion-end use pathways were selected for the economic analysis.</t>
    </r>
  </si>
  <si>
    <r>
      <t>—</t>
    </r>
    <r>
      <rPr>
        <sz val="7"/>
        <rFont val="Times New Roman"/>
        <family val="1"/>
      </rPr>
      <t xml:space="preserve">    </t>
    </r>
    <r>
      <rPr>
        <sz val="12"/>
        <rFont val="Times New Roman"/>
        <family val="1"/>
      </rPr>
      <t xml:space="preserve">The decision to screen out specific technologies </t>
    </r>
    <r>
      <rPr>
        <i/>
        <sz val="12"/>
        <rFont val="Times New Roman"/>
        <family val="1"/>
      </rPr>
      <t>for the current analysis</t>
    </r>
    <r>
      <rPr>
        <b/>
        <sz val="12"/>
        <rFont val="Times New Roman"/>
        <family val="1"/>
      </rPr>
      <t xml:space="preserve"> </t>
    </r>
    <r>
      <rPr>
        <sz val="12"/>
        <rFont val="Times New Roman"/>
        <family val="1"/>
      </rPr>
      <t>does not mean that it will not find some application in New Jersey in the future.</t>
    </r>
  </si>
  <si>
    <r>
      <t>Using the Bioenergy Calculator</t>
    </r>
    <r>
      <rPr>
        <b/>
        <u/>
        <vertAlign val="superscript"/>
        <sz val="11"/>
        <rFont val="Times New Roman"/>
        <family val="1"/>
      </rPr>
      <t>©</t>
    </r>
    <r>
      <rPr>
        <b/>
        <u/>
        <sz val="12"/>
        <rFont val="Times New Roman"/>
        <family val="1"/>
      </rPr>
      <t xml:space="preserve"> and Biomass Resource Database</t>
    </r>
  </si>
  <si>
    <t>This database consists of 32 worksheets. The contents and use of each sheet are described below.</t>
  </si>
  <si>
    <r>
      <t>4) Energy Content Assumptions</t>
    </r>
    <r>
      <rPr>
        <sz val="12"/>
        <rFont val="Times New Roman"/>
        <family val="1"/>
      </rPr>
      <t xml:space="preserve"> - This worksheet contains information on energy content and percent dry matter for each feedstock. Changes can be made in the yellow highlighted sections to increase or decrease these figures. Changes on this sheet will automatically be carried through to the Bioenergy Calculator worksheet and the bioenergy potential will be recalculated to reflect the changes. Sources of information for all data contained on this worksheet can be found in Column E.</t>
    </r>
  </si>
  <si>
    <r>
      <t>6) Conversion Tables</t>
    </r>
    <r>
      <rPr>
        <sz val="12"/>
        <rFont val="Times New Roman"/>
        <family val="1"/>
      </rPr>
      <t xml:space="preserve"> – This worksheet lists the assumed yield of electricity or fuel per given unit of feedstock.  Depending on the conversion technology selected, there may be no value given for certain feedstocks in the technology columns that are inappropriate for those feedstocks.  </t>
    </r>
  </si>
  <si>
    <r>
      <t>7)  Updated Landfill Gas Estimates</t>
    </r>
    <r>
      <rPr>
        <sz val="12"/>
        <rFont val="Times New Roman"/>
        <family val="1"/>
      </rPr>
      <t xml:space="preserve"> – This worksheet contains the most current and comprehensive data for landfill gas (LFG) generated in the state. It contains detailed information on the amount of LFG generated, amount of LFG flared, and the amount of electricity produced from LFG for each of the landfills in New Jersey which currently utilizes the gas directly, converts it to electricity or has a flaring system in place. Sources of information for all data contained on this worksheet can be found in Column P and in the Notes section below the table.</t>
    </r>
  </si>
  <si>
    <r>
      <t>9) Biomass Data Assumptions</t>
    </r>
    <r>
      <rPr>
        <sz val="12"/>
        <rFont val="Times New Roman"/>
        <family val="1"/>
      </rPr>
      <t xml:space="preserve"> – This worksheet contains all biomass data assumptions used in the database. Changes on this sheet can be made in the yellow highlighted sections to increase or decrease these figures. Changes will automatically be carried through to the Bioenergy Calculator worksheet and the bioenergy potential will be recalculated to reflect the changes.   </t>
    </r>
  </si>
  <si>
    <t>[2] Biomass is a broad definition for biologically-derived renewable materials that can be used to produce heat, electric power, transportation fuels, and other products and chemicals.</t>
  </si>
  <si>
    <t>Ryan Katofsky</t>
  </si>
  <si>
    <t>Navigant Consulting</t>
  </si>
  <si>
    <t>rkatofsky@navigantconsulting.com</t>
  </si>
  <si>
    <t>Fuel Yield Projections Provided by Navigant Consulting</t>
  </si>
  <si>
    <t>Sources for assumptions from Steve Paul are listed below:</t>
  </si>
  <si>
    <t>Food Waste from Atlantic City Area</t>
  </si>
  <si>
    <t>Amount Currently Used</t>
  </si>
  <si>
    <t>(DATA FOR DAH PROVIDED BY STEVE PAUL)</t>
  </si>
  <si>
    <t>Data Calculations- Data in YELLOW can be modified</t>
  </si>
  <si>
    <t xml:space="preserve">Rhea Brekke </t>
  </si>
  <si>
    <r>
      <t>NJ CAT -</t>
    </r>
    <r>
      <rPr>
        <sz val="10"/>
        <rFont val="Times New Roman"/>
        <family val="1"/>
      </rPr>
      <t xml:space="preserve"> New Jersey Corporation for Advanced Technology</t>
    </r>
  </si>
  <si>
    <t>rwbrekke@njcat.org</t>
  </si>
  <si>
    <t>NJ CAT - Director</t>
  </si>
  <si>
    <t xml:space="preserve">     Mapping Team</t>
  </si>
  <si>
    <t>Caroline Phillipuk</t>
  </si>
  <si>
    <t xml:space="preserve">NJAES - GIS Specialist, CRSSA </t>
  </si>
  <si>
    <t>puk@crssa.rutgers.edu</t>
  </si>
  <si>
    <t>Policy Team Leader</t>
  </si>
  <si>
    <t xml:space="preserve">     Policy Team</t>
  </si>
  <si>
    <r>
      <t>NJAES</t>
    </r>
    <r>
      <rPr>
        <sz val="10"/>
        <rFont val="Times New Roman"/>
        <family val="1"/>
      </rPr>
      <t xml:space="preserve"> - New Jersey Agricultural Experiment Station</t>
    </r>
  </si>
  <si>
    <r>
      <t>CRSSA</t>
    </r>
    <r>
      <rPr>
        <sz val="10"/>
        <rFont val="Times New Roman"/>
        <family val="1"/>
      </rPr>
      <t xml:space="preserve"> - Center for Remote Sensing and Spatial Analysis - Cook</t>
    </r>
  </si>
  <si>
    <r>
      <t>FPI</t>
    </r>
    <r>
      <rPr>
        <sz val="10"/>
        <rFont val="Times New Roman"/>
        <family val="1"/>
      </rPr>
      <t xml:space="preserve"> - Food Policy Institute</t>
    </r>
  </si>
  <si>
    <r>
      <t>SWRRG</t>
    </r>
    <r>
      <rPr>
        <sz val="10"/>
        <rFont val="Times New Roman"/>
        <family val="1"/>
      </rPr>
      <t xml:space="preserve"> - Solid Waste Resource Renewal Group</t>
    </r>
  </si>
  <si>
    <r>
      <t>Source for columns J,K, and L from NCI</t>
    </r>
    <r>
      <rPr>
        <sz val="8"/>
        <rFont val="Arial"/>
        <family val="2"/>
      </rPr>
      <t>:  Lignocellulosic Biomass to Ethanol Process Design and Economics Utilizating Co-Current Dilute Acid Prehydrolysis and Enzymatic Hydrolysis for Corn Stover</t>
    </r>
  </si>
  <si>
    <t>Name</t>
  </si>
  <si>
    <t>Affiliation</t>
  </si>
  <si>
    <t>Email</t>
  </si>
  <si>
    <t>Project Director</t>
  </si>
  <si>
    <t>Margaret Brennan</t>
  </si>
  <si>
    <t>NJAES - Associate Director</t>
  </si>
  <si>
    <t>brennan@aesop.rutgers.edu</t>
  </si>
  <si>
    <t>Technology Assessment Team Leader</t>
  </si>
  <si>
    <t>Dave Specca</t>
  </si>
  <si>
    <t xml:space="preserve">NJAES - Director, Rutgers EcoComplex </t>
  </si>
  <si>
    <t>specca@aesop.rutgers.edu</t>
  </si>
  <si>
    <t xml:space="preserve">     Technology Assessment Team </t>
  </si>
  <si>
    <t xml:space="preserve">Princeton Plasma Physics Laboratory - Research Scientist </t>
  </si>
  <si>
    <t>spaul@princeton.edu</t>
  </si>
  <si>
    <t>Donna Fennell</t>
  </si>
  <si>
    <t>NJAES -  Associate Professor, Dept.of Environmental Science</t>
  </si>
  <si>
    <t>fennell@envsci.rutgers.edu</t>
  </si>
  <si>
    <t>AJ Both</t>
  </si>
  <si>
    <t>NJAES - Associate Professor, Dept. of  Bioresource Engineering</t>
  </si>
  <si>
    <t>both@aesop.rutgers.edu</t>
  </si>
  <si>
    <t>Jacqueline Melillo</t>
  </si>
  <si>
    <t>jmelillo@aesop.rutgers.edu</t>
  </si>
  <si>
    <t>Resource Assessment Team Leader</t>
  </si>
  <si>
    <t>Brian Schilling</t>
  </si>
  <si>
    <t xml:space="preserve">NJAES - Associate Director, FPI </t>
  </si>
  <si>
    <t>schilling@aesop.rutgers.edu</t>
  </si>
  <si>
    <t xml:space="preserve">     Resource Assessment Team</t>
  </si>
  <si>
    <t>Kevin Sullivan</t>
  </si>
  <si>
    <t>NJAES - Institutional Analyst</t>
  </si>
  <si>
    <t>sullivan@aesop.rutgers.edu</t>
  </si>
  <si>
    <t>Zane Helsel</t>
  </si>
  <si>
    <t>NJAES - Extension Specialist, Dept. of Plant Biology&amp;Pathology</t>
  </si>
  <si>
    <t>helsel@aesop.rutgers.edu</t>
  </si>
  <si>
    <t>Bob Simkins</t>
  </si>
  <si>
    <t>Burlington County Solid Waste Coordinator</t>
  </si>
  <si>
    <t>rsimkins@co.burlington.nj.us</t>
  </si>
  <si>
    <t>Priscilla Hayes</t>
  </si>
  <si>
    <t>NJAES - Director, SWRRG</t>
  </si>
  <si>
    <t>hayes@aesop.rutgers.edu</t>
  </si>
  <si>
    <t>Mike Westendorf</t>
  </si>
  <si>
    <t>NJAES - Associate Extension Specialist, Dept.of Animal Science</t>
  </si>
  <si>
    <t>westendorf@aesop.rutgers.edu</t>
  </si>
  <si>
    <t>Stacy Bonos</t>
  </si>
  <si>
    <t>NJAES - Assistant Professor, Dept. of Plant Biology&amp;Pathology</t>
  </si>
  <si>
    <t>bonos@aesop.rutgers.edu</t>
  </si>
  <si>
    <t>GIS Mapping Team Leader</t>
  </si>
  <si>
    <t>David Tulloch</t>
  </si>
  <si>
    <t xml:space="preserve">NJAES - Associate Director for Program Development, CRSSA </t>
  </si>
  <si>
    <t>dtulloch@crssa.rutgers.edu</t>
  </si>
  <si>
    <t>C. Ververis, K. Georghiou, D. Danielidis, D.G. Hatzinikolaou, P. Santas, R. Santas and V. Corleti, “Cellulose, hemicelluloses, lignin and ash content of some organic materials and their suitability for use as paper pulp supplements“,  Bioresource Technology, Volume 98, Issue 2, January 2007, Pages 296-301.</t>
  </si>
  <si>
    <t>NJ DEP, "2004 Generation, Disposal and Recycling Rates in NJ"</t>
  </si>
  <si>
    <t>See Lines 64 and 65 for energy content.  50% dry matter per Ryan Katofsky (NCI)</t>
  </si>
  <si>
    <t>Atlantic County Utilities Authority</t>
  </si>
  <si>
    <t>Flare</t>
  </si>
  <si>
    <t>Burlington County SLF</t>
  </si>
  <si>
    <t>Florence</t>
  </si>
  <si>
    <t>Parklands</t>
  </si>
  <si>
    <t>Big Hill</t>
  </si>
  <si>
    <t>Buzby Bros.</t>
  </si>
  <si>
    <t>Gems</t>
  </si>
  <si>
    <t>Kramer</t>
  </si>
  <si>
    <t>Kin-Buc</t>
  </si>
  <si>
    <t>Combe Fill North</t>
  </si>
  <si>
    <t>Combe Fill South</t>
  </si>
  <si>
    <t>Electricity</t>
  </si>
  <si>
    <t>Manure Characteristics, MWPS-18, Manure Management Series, Iowa State University.</t>
  </si>
  <si>
    <t>Yield estimates are 5 -yr avg yields from NJ</t>
  </si>
  <si>
    <t>Manure production assumptions from Manure Characteristics.</t>
  </si>
  <si>
    <t>MWPS-18 Manure Management Series. Iowa State University, Ames.</t>
  </si>
  <si>
    <t>Availability factors from Mike Westendorf, Rutgers NJAES.</t>
  </si>
  <si>
    <t>Arena, Blaise J. and Allenza, Paul, “Monosaccharides from corn kernel hulls by hydrolysis”, US patent #4,752,579, June 21, 1988.</t>
  </si>
  <si>
    <t>Clydesdale, F. M. (1994). Optimizing the diet with whole grains. Critical Reviews in Food Science and Nutrition. 34:453-471.</t>
  </si>
  <si>
    <t>Lasztity, R. (1998). “Oat Grain - A Wonderful Reservoir of Natural Nutrients and Biologically Active Substances”, Food Rev. Int. 14:99-119.</t>
  </si>
  <si>
    <t>Betty W. Li, “Determination of sugars, starches, and total dietary fiber in selected high-consumption foods”, Journal AOAC International. 1996;79:718–723.</t>
  </si>
  <si>
    <t>Betty W. Li, Karen W. Andrews, Pamela R. Pehrsson, “Individual Sugars, Soluble, and Insoluble Dietary Fiber Contents of 70 High Consumption Foods“, JOURNAL OF FOOD COMPOSITION AND ANALYSIS, (2002) 15, 715–723.</t>
  </si>
  <si>
    <t>Nilsson, M., Åman, P., Härkönen, H., Hallmans, G., Bach Knudsen, K.E., Mazur, W. and Adlercreutz, H. “Content of nutrients and lignans in roller milled fractions of rye”, Journal of the Science of Food and Agriculture 73:143-148.</t>
  </si>
  <si>
    <t>Sorghum and millets in human nutrition, FOOD AND AGRICULTURE ORGANIZATION OF THE UNITED NATIONS</t>
  </si>
  <si>
    <t>Rome, 1995 (FAO Food and Nutrition Series, No. 27), ISBN 92-5-103381-1</t>
  </si>
  <si>
    <t>USDA National Nutrient Database for Standard Reference, Release 17.</t>
  </si>
  <si>
    <t>    http://www.nal.usda.gov/fnic/foodcomp/Data/SR17/wtrank/wt_rank.html</t>
  </si>
  <si>
    <t>Electricity Production Technologies</t>
  </si>
  <si>
    <t>Direct Combustion-Anaerobic Digestion with Recip Engine</t>
  </si>
  <si>
    <t>Direct Combustion-Landfill Gas with Recip Engine</t>
  </si>
  <si>
    <t>Capture Incinerated MSW in MSW total?</t>
  </si>
  <si>
    <t xml:space="preserve">FOR INFORMATION ONLY - DO NOT CHANGE </t>
  </si>
  <si>
    <t>Landfilled Biomass</t>
  </si>
  <si>
    <t xml:space="preserve">Monmouth </t>
  </si>
  <si>
    <t>salem</t>
  </si>
  <si>
    <t xml:space="preserve">Note:  The Source calculated the population in 2007, 2012, 2015 and 2020, which is why the yearly rate of change was needed for 2010. </t>
  </si>
  <si>
    <t>Food Waste  Landfilled</t>
  </si>
  <si>
    <t>Waste Paper Landfilled</t>
  </si>
  <si>
    <t xml:space="preserve">Sources:  </t>
  </si>
  <si>
    <t>Ethanol to GGE</t>
  </si>
  <si>
    <t>F-T Diesel to GGE</t>
  </si>
  <si>
    <t>Biodiesel to GGE</t>
  </si>
  <si>
    <t>P-Series (MeTHF) to GGE</t>
  </si>
  <si>
    <t>GREET</t>
  </si>
  <si>
    <t>www.worldenergy.net</t>
  </si>
  <si>
    <t>Steve Paul</t>
  </si>
  <si>
    <t>Gal of Eth/GGE</t>
  </si>
  <si>
    <t>Gal of FTE/GGE</t>
  </si>
  <si>
    <t>Gal of BD/GGE</t>
  </si>
  <si>
    <t>Gal of MeTHF/GGE</t>
  </si>
  <si>
    <t xml:space="preserve">The purpose of the resource assessment was to look comprehensively at the state’s biomass resource base to determine the quantity and availability of feedstocks for bioenergy production. The NJAES conducted primary research and collected public data on biomass resources for each New Jersey county (21) to determine an estimated total biomass quantity for the state of New Jersey. More than 40 biomass resources were examined and divided into five categories based on their physical characteristics: sugars/starches, lignocellulosic biomass, bio-oils, solid wastes, and other waste (i.e. animal waste). A screening process was created within the database to determine how much of the total theoretically available biomass was “practically” recoverable for energy production. </t>
  </si>
  <si>
    <t>The following factors were considered in this process: Is/Can the Biomass Be Collected? Is the Biomass Sortable (or is Sorting Needed)? Does the Biomass Have a Valuable Alternative Use?  “Typical” moisture and energy content and/or yield assumptions for each resource were developed and used to calculate total estimated energy potential.  This was a high-level examination of potential energy from biomass, such that the quantitative estimates included in this database should be considered indicative only.  In particular, the results of the screening analysis to estimate recoverable potential are considered preliminary.</t>
  </si>
  <si>
    <r>
      <t>12 – 32 County Summaries</t>
    </r>
    <r>
      <rPr>
        <sz val="12"/>
        <rFont val="Times New Roman"/>
        <family val="1"/>
      </rPr>
      <t xml:space="preserve"> - These worksheets utilize the same categories of information as the Bioenergy Calculator worksheet, but contain data specific for each of New Jersey’s 21 counties.  Energy generation figures on these sheets automatically change when a technology is selected on the Bioenergy Calculator worksheet. Changes on this sheet can be made in the yellow highlighted sections to increase or decrease these figures. Changes will automatically be carried through to the Bioenergy Calculator worksheet and the bioenergy potential will be recalculated to reflect the changes.   </t>
    </r>
  </si>
  <si>
    <t>Net MSW to Landfills</t>
  </si>
  <si>
    <t>Square Miles per County</t>
  </si>
  <si>
    <t>County Specific</t>
  </si>
  <si>
    <t>Yield Estimates</t>
  </si>
  <si>
    <t>WWTP Biogas</t>
  </si>
  <si>
    <t>Flow per Day (MMGal/day)</t>
  </si>
  <si>
    <t>SCF/MMG</t>
  </si>
  <si>
    <t>MMSCF/Year</t>
  </si>
  <si>
    <t>NET USABLE</t>
  </si>
  <si>
    <t xml:space="preserve"> </t>
  </si>
  <si>
    <t xml:space="preserve">Collectibility </t>
  </si>
  <si>
    <t>Alt Use? (0=Yes)</t>
  </si>
  <si>
    <t>Sortable or Sort N/A</t>
  </si>
  <si>
    <t>LFG</t>
  </si>
  <si>
    <t>Wastewater Treatment</t>
  </si>
  <si>
    <t>Assume 8000 btu/lb dry heat content</t>
  </si>
  <si>
    <t>MMBtu/ton</t>
  </si>
  <si>
    <t>TOTAL BIOMASS</t>
  </si>
  <si>
    <t>Other Wastes</t>
  </si>
  <si>
    <t>MMscf/Ton</t>
  </si>
  <si>
    <t>GROSS</t>
  </si>
  <si>
    <t>Sugar/
Starch</t>
  </si>
  <si>
    <t>Equivalent energy content in MMbtu/dry ton for biogases</t>
  </si>
  <si>
    <t>Collecion System/Already producing power</t>
  </si>
  <si>
    <t>Digesters in place</t>
  </si>
  <si>
    <t>Incineration included</t>
  </si>
  <si>
    <t>gallons/yr</t>
  </si>
  <si>
    <t>Approximate Capacity</t>
  </si>
  <si>
    <t>bbl/day</t>
  </si>
  <si>
    <t>MW</t>
  </si>
  <si>
    <t>Provided by Steve Paul  - see "Conversion Tables" tab</t>
  </si>
  <si>
    <t>Estimates provided by Steve P.</t>
  </si>
  <si>
    <t>Assume CNG/LNG, expressed as gallons of gasoline equivalent. 600 scf CNG (or LNG) per MMBtu biomass (65% digester efficiency, 90% methane recovery)</t>
  </si>
  <si>
    <t>Gallons of gasoline equivalent (GGE) estimated assuming gasoline HHV of 124,340 Btu/gallon</t>
  </si>
  <si>
    <t>Wood Composition of C&amp;D</t>
  </si>
  <si>
    <t>C5 mass conversion</t>
  </si>
  <si>
    <t>%</t>
  </si>
  <si>
    <t>C6 mass conversion</t>
  </si>
  <si>
    <t>C5 yield to fuel</t>
  </si>
  <si>
    <t>gal/ton C5</t>
  </si>
  <si>
    <t>C6 yield to fuel</t>
  </si>
  <si>
    <t>gal/ton C6</t>
  </si>
  <si>
    <t>Density</t>
  </si>
  <si>
    <t>lb/gallon</t>
  </si>
  <si>
    <t>% of biomass</t>
  </si>
  <si>
    <t>Fuel yield (gallons / ton) for:</t>
  </si>
  <si>
    <t>Cellulose</t>
  </si>
  <si>
    <t>Corn Stover</t>
  </si>
  <si>
    <t>Citrus Peels</t>
  </si>
  <si>
    <t>Corn Kernel Hulls</t>
  </si>
  <si>
    <t>Corn Kernel</t>
  </si>
  <si>
    <t>Wheat Straw</t>
  </si>
  <si>
    <t>Food waste</t>
  </si>
  <si>
    <t>Newspapers</t>
  </si>
  <si>
    <t>Office paper</t>
  </si>
  <si>
    <t>Mixed paper</t>
  </si>
  <si>
    <t xml:space="preserve">Acres </t>
  </si>
  <si>
    <t>Fresh Weight in tons/yr (1 acre = 1 ton per yr)</t>
  </si>
  <si>
    <t>Dry weight in tons/yr (50% of fresh weight)</t>
  </si>
  <si>
    <t>Note:  In Table 36 of the Northeastern Inventory and Analysis, the following counties were grouped together:  Atlantic and Cape May counties; Bergen and Essex counties; Hudson, Passaic and Union counties; Camden and Gloucester counties; and Mercer, Middlesex and Somerset counties.</t>
  </si>
  <si>
    <t>Forestry Residues</t>
  </si>
  <si>
    <t>ICF Incorporated (1995) and "Characterization of Building-Related Construction and Demolition Debris in the US" by Franklin Associates (June 1998)</t>
  </si>
  <si>
    <t>Gross</t>
  </si>
  <si>
    <t>MSW (Non-Recycled)</t>
  </si>
  <si>
    <t>MSW (Incinerated)</t>
  </si>
  <si>
    <t>MSW (Landfilled)</t>
  </si>
  <si>
    <t>MSW (TOTAL)</t>
  </si>
  <si>
    <t>Solid Waste</t>
  </si>
  <si>
    <t>Recycled</t>
  </si>
  <si>
    <t>C&amp;D non-recycled</t>
  </si>
  <si>
    <t>Bio-Oils</t>
  </si>
  <si>
    <t>Ligno</t>
  </si>
  <si>
    <t>Other</t>
  </si>
  <si>
    <t>average used for mixed paper, landfilled</t>
  </si>
  <si>
    <t>Food Waste (Recycled)</t>
  </si>
  <si>
    <t>TOTALS</t>
  </si>
  <si>
    <t>Totals (Tons)</t>
  </si>
  <si>
    <t>Tons Per Sq. Mile</t>
  </si>
  <si>
    <t>GGE Conversions</t>
  </si>
  <si>
    <t>http://www.vt.tuwien.ac.at/biobib/biobib.html. Assumes dried for transport</t>
  </si>
  <si>
    <t>Anaerobic digestion to Transportation Fuel</t>
  </si>
  <si>
    <t>GGE/MMBtu</t>
  </si>
  <si>
    <t>For CHP, steam/heat production</t>
  </si>
  <si>
    <t>Co-products or process energy requirements for ethanol from cereal grains or transesterification</t>
  </si>
  <si>
    <t>Co-produced electricity from cellulosic ethanol and FT fuels</t>
  </si>
  <si>
    <t>Values given above are conversion efficiencies and yields for the primary products only. For example, the following are not included:</t>
  </si>
  <si>
    <t>Char sales from pyrolysis</t>
  </si>
  <si>
    <t>Process energy reqiorements for LFG or anaerobic digester gas to transportation fuels</t>
  </si>
  <si>
    <t>WEF Manual of Practice FD-19, Sludge Incineration: Thermal Destruction of Residues (1992), Water Environment Federation, Alexandria, VA.)</t>
  </si>
  <si>
    <t>Not needed for calculations</t>
  </si>
  <si>
    <t>Moisture content information not used in all cases, depending on whether or not the source data is supplied on an "as received" or dry basis</t>
  </si>
  <si>
    <t>Btu per kWh</t>
  </si>
  <si>
    <t>% available = 100% to estimate maximum potential</t>
  </si>
  <si>
    <t>Agricultural Crops - starch/sugar based</t>
  </si>
  <si>
    <t>Total Recycled Tons (Dry)</t>
  </si>
  <si>
    <t>Total Recycled Tons (as received)</t>
  </si>
  <si>
    <t>Gross MSW (Dry)</t>
  </si>
  <si>
    <t>Total LFG collected</t>
  </si>
  <si>
    <t>Existing Uses</t>
  </si>
  <si>
    <t>Net LFG Available</t>
  </si>
  <si>
    <t>Totals from Selected technology:</t>
  </si>
  <si>
    <t>Transesterification</t>
  </si>
  <si>
    <t>Subtotal (other wastes  - solid)</t>
  </si>
  <si>
    <t>Subtotal (other wastes - gaseous)</t>
  </si>
  <si>
    <t>Subtotal (other wastes - all)</t>
  </si>
  <si>
    <t>Waste methane sources</t>
  </si>
  <si>
    <t>MMSCF</t>
  </si>
  <si>
    <t>Landfill gas or WWTP biogas to Transportation fuel</t>
  </si>
  <si>
    <t>Assume CNG/LNG, expressed as gallons of gasoline equivalent. Assumes 90% methane recovery from either LFG or WWTP biogas</t>
  </si>
  <si>
    <t>gallons of gasoline equivalent/MMSCF</t>
  </si>
  <si>
    <t>GGE/MMSCF</t>
  </si>
  <si>
    <t>Waste Methane Sources</t>
  </si>
  <si>
    <t>Subtotal (other wastes - solid)</t>
  </si>
  <si>
    <t>Sutotal (other waste - all)</t>
  </si>
  <si>
    <t>MWh/yr</t>
  </si>
  <si>
    <t>http://www.eia.doe.gov/cneaf/solar.renewables/page/trends/table10.html</t>
  </si>
  <si>
    <t>MMBtu/Dry Ton</t>
  </si>
  <si>
    <t>http://www.p2pays.org/ref/05/04547.pdf</t>
  </si>
  <si>
    <t>http://www.deq.state.or.us/wmc/solwaste/documents/LC041681-AppendixE.pdf</t>
  </si>
  <si>
    <t>http://www.vt.tuwien.ac.at/biobib/biobib.html</t>
  </si>
  <si>
    <t>Feedstocks</t>
  </si>
  <si>
    <t>Energy Content Assumptions</t>
  </si>
  <si>
    <t>Argonne National Lab GREET model (Woody Biomass)</t>
  </si>
  <si>
    <t>Argonne National Lab GREET model (Herbaceous Biomass)</t>
  </si>
  <si>
    <t>Choose Technology for Electricity Production:</t>
  </si>
  <si>
    <t>Ethanol from Starch</t>
  </si>
  <si>
    <t>Btu/scf</t>
  </si>
  <si>
    <t xml:space="preserve">Grains </t>
  </si>
  <si>
    <t>Ethanol from Starch (Gallon/Bushel)</t>
  </si>
  <si>
    <t>Fuel Production Potential (Gallons/Yr)</t>
  </si>
  <si>
    <t>Electricity Production Potential (MWh/Yr)</t>
  </si>
  <si>
    <t>Fuel Production Technologies</t>
  </si>
  <si>
    <t>None</t>
  </si>
  <si>
    <t>AD/Landfill Gas to Transportation Fuel</t>
  </si>
  <si>
    <t>Dilute Acid Hydrolysis</t>
  </si>
  <si>
    <t>Recycled Products</t>
  </si>
  <si>
    <t>Corrugated Cardboard</t>
  </si>
  <si>
    <t>Energy Content (HHV, Dry Basis)</t>
  </si>
  <si>
    <t>% Dry Matter (as received)</t>
  </si>
  <si>
    <t>Fuel Production Assumptions</t>
  </si>
  <si>
    <t>Efficiency</t>
  </si>
  <si>
    <t>Industry Standard</t>
  </si>
  <si>
    <t>Feedstock Net Usability Assumptions</t>
  </si>
  <si>
    <t>Poplar</t>
  </si>
  <si>
    <t>Energy Crops</t>
  </si>
  <si>
    <t>Yield Per Acre</t>
  </si>
  <si>
    <t>Tons/Acre</t>
  </si>
  <si>
    <t>No-Keep as Actual Crops</t>
  </si>
  <si>
    <t>No</t>
  </si>
  <si>
    <t>Yes</t>
  </si>
  <si>
    <t>Would you like to convert to Energy Crops</t>
  </si>
  <si>
    <t>Energy Crop (if Applicable)</t>
  </si>
  <si>
    <t>Acreage</t>
  </si>
  <si>
    <t>Head</t>
  </si>
  <si>
    <t>Tons Per Acre</t>
  </si>
  <si>
    <t>Dry Tons/Acre</t>
  </si>
  <si>
    <t>Processing Residues (waste sugars)</t>
  </si>
  <si>
    <t>Processing Residues (lignocellulosic)</t>
  </si>
  <si>
    <t>Recycled Materials</t>
  </si>
  <si>
    <t>Wastewater treatment plant biogas</t>
  </si>
  <si>
    <t>Wastewater treatment plant biosolids</t>
  </si>
  <si>
    <t>Biomass Direct Combustion (CHP) (power component only)</t>
  </si>
  <si>
    <t>Important Notes</t>
  </si>
  <si>
    <t>gallon/bu</t>
  </si>
  <si>
    <t>gallon/lb</t>
  </si>
  <si>
    <t>gallon/dry ton</t>
  </si>
  <si>
    <t>Food Processing Residues (waste sugars)</t>
  </si>
  <si>
    <t>http://www1.eere.energy.gov/biomass/feedstock_databases.html  (average of 6 samples)</t>
  </si>
  <si>
    <t>http://www1.eere.energy.gov/biomass/feedstock_databases.html (average of 12 samples)</t>
  </si>
  <si>
    <t>http://www1.eere.energy.gov/biomass/feedstock_databases.html (1 sample)</t>
  </si>
  <si>
    <t>Units</t>
  </si>
  <si>
    <t>Energy Content</t>
  </si>
  <si>
    <t>Direct Combustion-Co-Firing with Coal</t>
  </si>
  <si>
    <t>Small Scale Gasifier with Recip Engine</t>
  </si>
  <si>
    <t>Transesterification- Soy</t>
  </si>
  <si>
    <t>Assumptions Provided by Rutgers</t>
  </si>
  <si>
    <t>Grease Waste Estimates</t>
  </si>
  <si>
    <t>County</t>
  </si>
  <si>
    <t>Yellow Grease Waste (lbs)</t>
  </si>
  <si>
    <t>Trap Grease Waste (lbs)</t>
  </si>
  <si>
    <t>Bergen</t>
  </si>
  <si>
    <t xml:space="preserve">Grease Waste </t>
  </si>
  <si>
    <t>Trap Waste</t>
  </si>
  <si>
    <t>Burlington</t>
  </si>
  <si>
    <t>per restaurant</t>
  </si>
  <si>
    <t>per person</t>
  </si>
  <si>
    <t>Camden</t>
  </si>
  <si>
    <t>Grease Waste (kilograms)</t>
  </si>
  <si>
    <t>Cape May</t>
  </si>
  <si>
    <t>Grease Waste (pounds)</t>
  </si>
  <si>
    <t>Cumberland</t>
  </si>
  <si>
    <t>Essex</t>
  </si>
  <si>
    <t>Gloucester</t>
  </si>
  <si>
    <t>Hudson</t>
  </si>
  <si>
    <t>Hunterdon</t>
  </si>
  <si>
    <t>Mercer</t>
  </si>
  <si>
    <t>Middlesex</t>
  </si>
  <si>
    <t>Monmouth</t>
  </si>
  <si>
    <t>Morris</t>
  </si>
  <si>
    <t>Ocean</t>
  </si>
  <si>
    <t>Passaic</t>
  </si>
  <si>
    <t>Salem</t>
  </si>
  <si>
    <t>Somerset</t>
  </si>
  <si>
    <t>Sussex</t>
  </si>
  <si>
    <t>Union</t>
  </si>
  <si>
    <t>Warren</t>
  </si>
  <si>
    <t>New Jersey</t>
  </si>
  <si>
    <t>Ethanol Conversion- Sorghum</t>
  </si>
  <si>
    <t>Ethanol Conversion- Rye</t>
  </si>
  <si>
    <t>Ethanol Conversion- Corn for Grain</t>
  </si>
  <si>
    <t>Ethanol Conversion- Wheat</t>
  </si>
  <si>
    <t>F-T Gasification-Conversion for Woody Biomass</t>
  </si>
  <si>
    <t>F-T Gasification-Conversion for Herbaceous Biomass</t>
  </si>
  <si>
    <t>Direct Combustion- Waste to Energy</t>
  </si>
  <si>
    <t>For F-T, total yield for liquids is expressed as gallons of FTD equivalent</t>
  </si>
  <si>
    <t>Transesterification- Yellow Grease</t>
  </si>
  <si>
    <t>Transesterification- Brown Grease</t>
  </si>
  <si>
    <t>Btu/Scf</t>
  </si>
  <si>
    <t>Amount</t>
  </si>
  <si>
    <t>Power:</t>
  </si>
  <si>
    <t>Fuels:</t>
  </si>
  <si>
    <t>Direct Combustion-Stand Alone for Solid Biomass</t>
  </si>
  <si>
    <t>Direct Combustion-Small Scale CHP for Solid Biomass</t>
  </si>
  <si>
    <t>Direct Combustion-ADG/Landfill Gas</t>
  </si>
  <si>
    <t>Pick from Drop-Down Menu Below:</t>
  </si>
  <si>
    <t>Power Generation through Pyrolysis Oils</t>
  </si>
  <si>
    <t xml:space="preserve">Sheraton Atlantic City Convention Center Hotel </t>
  </si>
  <si>
    <t>Atlantic City Hilton Casino Resort</t>
  </si>
  <si>
    <t xml:space="preserve">Bally's Atlantic City </t>
  </si>
  <si>
    <t>Borgata Hotel Casino &amp; Spa</t>
  </si>
  <si>
    <t>Caesar's Atlantic City</t>
  </si>
  <si>
    <t>Resorts Atlantic City</t>
  </si>
  <si>
    <t>Showboat-The Mardi Gras Casino</t>
  </si>
  <si>
    <t>Tropicana Casino and Resort</t>
  </si>
  <si>
    <t>Trump Marina Hotel Casino</t>
  </si>
  <si>
    <t>Trump Plaza Hotel and Casino</t>
  </si>
  <si>
    <t>Trump Taj Mahal Casino Resort</t>
  </si>
  <si>
    <t>A Touch of Italy</t>
  </si>
  <si>
    <t>Angeloni's II Restaurant and Lounge</t>
  </si>
  <si>
    <t>Angelo's Fairmount Tavern</t>
  </si>
  <si>
    <t>Back Bay Ale House, LLC</t>
  </si>
  <si>
    <t>Buddakan</t>
  </si>
  <si>
    <t xml:space="preserve">Carmine's </t>
  </si>
  <si>
    <t>Cuba Libre Restaurant &amp; Rum Bar</t>
  </si>
  <si>
    <t>Deauville Inn</t>
  </si>
  <si>
    <t>Strathmere</t>
  </si>
  <si>
    <t>Laguna Grill Martini bar</t>
  </si>
  <si>
    <t>Brigantine</t>
  </si>
  <si>
    <t>Morton's The Steakhouse</t>
  </si>
  <si>
    <t>Old Waterway Inn</t>
  </si>
  <si>
    <t>Opa Bar and Grille</t>
  </si>
  <si>
    <t>Palm, Atlantic City</t>
  </si>
  <si>
    <t>Rainforest Café</t>
  </si>
  <si>
    <t>Ram's Head Inn</t>
  </si>
  <si>
    <t>Romanelli's By the Sea</t>
  </si>
  <si>
    <t>Longport</t>
  </si>
  <si>
    <t>Ruth's Chris Steakhouse</t>
  </si>
  <si>
    <t>The Continental Restaurant</t>
  </si>
  <si>
    <t>Atlantic</t>
  </si>
  <si>
    <t>Blue Heron Pines Golf Club</t>
  </si>
  <si>
    <t>Cologne</t>
  </si>
  <si>
    <t>Harbor Pines Golf Club</t>
  </si>
  <si>
    <t>Links at Brigantine Beach, The</t>
  </si>
  <si>
    <t>McCullogh's Emerald Golf Links</t>
  </si>
  <si>
    <t>Total</t>
  </si>
  <si>
    <t>Hybrid Poplar</t>
  </si>
  <si>
    <t>Switchgrass</t>
  </si>
  <si>
    <t>Acceptable Use Policy</t>
  </si>
  <si>
    <t>The New Jersey BioEnergy Calculator and Bioenergy Resource Database are copyright protected.</t>
  </si>
  <si>
    <t xml:space="preserve">The Rutgers University Acceptable Use Policy for Computing and Information Technology Resources requires all system users to abide by applicable laws </t>
  </si>
  <si>
    <t xml:space="preserve">and to respect the copyrights and intellectual property of others. Violators of this policy are subject to disciplinary proceedings, and sanctions may include </t>
  </si>
  <si>
    <t xml:space="preserve">suspension of system privileges. In accordance with federal law, the university, in appropriate circumstances, will terminate system privileges of users who </t>
  </si>
  <si>
    <t>are found to be repeat infringers of the copyright laws. See Title 17 United States Code, Section 512(i)(1)(A).</t>
  </si>
  <si>
    <t>Information on Copyright Law</t>
  </si>
  <si>
    <t>Information on United States copyright law is available from the U.S. Copyright Office:</t>
  </si>
  <si>
    <t>http://lcweb.loc.gov/copyright</t>
  </si>
  <si>
    <t>Compliance with Digital Millennium Copyright Act</t>
  </si>
  <si>
    <r>
      <t>Energy generation data for the thirteen selected bioenergy technologies, which takes into consideration advances in energy output and efficiency over time, was also calculated. Estimated energy potential included energy produced using current or near-term technologies appropriate for each resource. All the resource and technology data was integrated with other information (e.g. technology process efficiencies and yields) provided by Navigant Consulting, Inc. A unique Bioenergy Calculator</t>
    </r>
    <r>
      <rPr>
        <vertAlign val="superscript"/>
        <sz val="11"/>
        <rFont val="Times New Roman"/>
        <family val="1"/>
      </rPr>
      <t>©</t>
    </r>
    <r>
      <rPr>
        <sz val="12"/>
        <rFont val="Times New Roman"/>
        <family val="1"/>
      </rPr>
      <t xml:space="preserve"> and biomass resource database were then developed to aggregate all biomass and technology information and to automatically calculate energy generation potential. The database was designed to analyze the biomass resource data and technology assessment data in an interactive fashion and can be updated and modified. The Bioenergy Calculator</t>
    </r>
    <r>
      <rPr>
        <vertAlign val="superscript"/>
        <sz val="11"/>
        <rFont val="Times New Roman"/>
        <family val="1"/>
      </rPr>
      <t>©</t>
    </r>
    <r>
      <rPr>
        <sz val="12"/>
        <rFont val="Times New Roman"/>
        <family val="1"/>
      </rPr>
      <t xml:space="preserve"> yields projected biopower and biofuel estimates for 2007, 2010, 2015, 2020. The database allows for continual updating as additional data is collected and refined.</t>
    </r>
  </si>
  <si>
    <t>[1] Brennan, Margaret, David Specca, Brian Schilling, David Tulloch,Steven Paul, Kevin Sullivan, Zane Helsel, Priscilla Hayes, Jacqueline Melillo, Bob Simkins, Caroline Phillipuk, A.J. Both, Donna Fennell, Mike Westendorf,  Stacy Bonos and  Rhea Brekke. “Assessment of Biomass Energy Potential in New Jersey.” New Jersey Agricultural Experiment Station Publication No. 2007-1. Rutgers, The State University of New Jersey, New Brunswick, NJ. July, 2007.</t>
  </si>
  <si>
    <t>Btu/lb</t>
  </si>
  <si>
    <t>Unit</t>
  </si>
  <si>
    <t>Source</t>
  </si>
  <si>
    <t>Efficiency Assumptions</t>
  </si>
  <si>
    <t>Biomass Direct Combustion (grid sited)</t>
  </si>
  <si>
    <t>Gasification Stand Alone BIGCC</t>
  </si>
  <si>
    <t>Comments</t>
  </si>
  <si>
    <t>NA</t>
  </si>
  <si>
    <t>Selected Technology from Assumptions Page:</t>
  </si>
  <si>
    <t>Selected Technologies from Assumptions Page:</t>
  </si>
  <si>
    <t>School Waste</t>
  </si>
  <si>
    <t>Public</t>
  </si>
  <si>
    <t>Private</t>
  </si>
  <si>
    <t>College</t>
  </si>
  <si>
    <t>Tons</t>
  </si>
  <si>
    <t>NJ Biomass Summary of Resources- Monmouth</t>
  </si>
  <si>
    <t>NJ Biomass Summary of Resources- Middlesex</t>
  </si>
  <si>
    <t>NJ Biomass Summary of Resources- Mercer</t>
  </si>
  <si>
    <t>NJ Biomass Summary of Resources- Hunterdon</t>
  </si>
  <si>
    <t>NJ Biomass Summary of Resources- Hudson</t>
  </si>
  <si>
    <t>NJ Biomass Summary of Resources- Gloucester</t>
  </si>
  <si>
    <t>NJ Biomass Summary of Resources- Essex</t>
  </si>
  <si>
    <t>NJ Biomass Summary of Resources- Cumberland</t>
  </si>
  <si>
    <t>NJ Biomass Summary of Resources- Cape May</t>
  </si>
  <si>
    <t>NJ Biomass Summary of Resources- Camden</t>
  </si>
  <si>
    <t>NJ Biomass Summary of Resources- Burlington</t>
  </si>
  <si>
    <t>Pounds per Bushel</t>
  </si>
  <si>
    <t>Yield per Acre (bu)</t>
  </si>
  <si>
    <t>Yield per Acre (tons)</t>
  </si>
  <si>
    <t>Direct Combustion-Co-Firing</t>
  </si>
  <si>
    <t>Gasification-Stand Alone BIGCC</t>
  </si>
  <si>
    <t>Gasification-Small Scale CHP</t>
  </si>
  <si>
    <t>Pyrolysis</t>
  </si>
  <si>
    <t>List of Power Technologies</t>
  </si>
  <si>
    <t>List of Fuel Technologies</t>
  </si>
  <si>
    <t>Gasification (F-T)</t>
  </si>
  <si>
    <t>Choose Technology for Fuel Production:</t>
  </si>
  <si>
    <t>Cellulosic Ethanol</t>
  </si>
  <si>
    <t>Total MSW</t>
  </si>
  <si>
    <t>Construction and Demo</t>
  </si>
  <si>
    <t>Generator Type</t>
  </si>
  <si>
    <t xml:space="preserve">Calculated Food Waste Tonnage/Mo.  </t>
  </si>
  <si>
    <t xml:space="preserve">Calculated Food Waste Tonnage/Yr.  </t>
  </si>
  <si>
    <t>Hospitals</t>
  </si>
  <si>
    <t>70 tons/mo</t>
  </si>
  <si>
    <t>Long Term Care Facilities</t>
  </si>
  <si>
    <t>105 tons/mo</t>
  </si>
  <si>
    <t>Restaurants</t>
  </si>
  <si>
    <t>2540 tons/mo</t>
  </si>
  <si>
    <t>Hotels</t>
  </si>
  <si>
    <t>405 tons/mo</t>
  </si>
  <si>
    <t>Conference Centers</t>
  </si>
  <si>
    <t>Public K-12</t>
  </si>
  <si>
    <t>Private K-!2</t>
  </si>
  <si>
    <t>Higher Education</t>
  </si>
  <si>
    <t>TOTAL</t>
  </si>
  <si>
    <t>Data Provided by Rutgers (Priscilla Hayes) on 11/16/2006</t>
  </si>
  <si>
    <t>Casino Name</t>
  </si>
  <si>
    <t>City</t>
  </si>
  <si>
    <t>Hotel Accommodations</t>
  </si>
  <si>
    <t># of Fine Dining</t>
  </si>
  <si>
    <t>Casual Dining</t>
  </si>
  <si>
    <t>Bars/Lounges</t>
  </si>
  <si>
    <t>Full Banquet Seating</t>
  </si>
  <si>
    <t>Restaurant Waste in Tons</t>
  </si>
  <si>
    <t>Clarion Hotel and Convention Center</t>
  </si>
  <si>
    <t>West Atlantic City/EHT</t>
  </si>
  <si>
    <t>Comfort Inn North</t>
  </si>
  <si>
    <t>Absecon</t>
  </si>
  <si>
    <t>Days Inn Atlantic City/Pleasantville</t>
  </si>
  <si>
    <t>Egg Harbor Township</t>
  </si>
  <si>
    <t>Hampton Inn Absecon</t>
  </si>
  <si>
    <t>Howard Johnson Hotel</t>
  </si>
  <si>
    <t>Atlantic City</t>
  </si>
  <si>
    <t>Quality Inn Bayside Resort</t>
  </si>
  <si>
    <t>West Atlantic City</t>
  </si>
  <si>
    <t>Ramada Inn</t>
  </si>
  <si>
    <t>Hammonton</t>
  </si>
  <si>
    <t>Seaview Resort &amp; Spa, A Marriot Resort</t>
  </si>
  <si>
    <t>Galloway</t>
  </si>
  <si>
    <t>Agricultual crop residuals</t>
  </si>
  <si>
    <t>Agricultural livestock waste</t>
  </si>
  <si>
    <t>FEEDSTOCKS</t>
  </si>
  <si>
    <t>Energy crops - lignocellulosic</t>
  </si>
  <si>
    <t>Oils - Used cooking oil "yellow"</t>
  </si>
  <si>
    <t>Oils - Grease trap waste "brown"</t>
  </si>
  <si>
    <t>Oils - field crop or virgin</t>
  </si>
  <si>
    <t>Energy crops - starch/sugar based</t>
  </si>
  <si>
    <t>Landfill Gas</t>
  </si>
  <si>
    <t>SUGARS/STARCHES</t>
  </si>
  <si>
    <t>LIGNOCELLULOSIC BIOMASS</t>
  </si>
  <si>
    <t>BIO-OILS</t>
  </si>
  <si>
    <t>SOLID WASTES</t>
  </si>
  <si>
    <t>OTHER WASTES</t>
  </si>
  <si>
    <t>Yard waste</t>
  </si>
  <si>
    <t>Sorghum</t>
  </si>
  <si>
    <t>Rye</t>
  </si>
  <si>
    <t>Corn for Grain</t>
  </si>
  <si>
    <t>Wheat</t>
  </si>
  <si>
    <t>Net Usable Quantity (Dry Tons)</t>
  </si>
  <si>
    <t>Subtotal</t>
  </si>
  <si>
    <t>Soybeans</t>
  </si>
  <si>
    <t>Biomass  (Residues)</t>
  </si>
  <si>
    <t>Sweet Corn</t>
  </si>
  <si>
    <t>Corn for Silage</t>
  </si>
  <si>
    <t>Alfalfa Hay</t>
  </si>
  <si>
    <t>Other Hay</t>
  </si>
  <si>
    <t>Livestock</t>
  </si>
  <si>
    <r>
      <t>Animal Weight</t>
    </r>
    <r>
      <rPr>
        <b/>
        <vertAlign val="superscript"/>
        <sz val="10"/>
        <rFont val="Arial"/>
        <family val="2"/>
      </rPr>
      <t>2</t>
    </r>
  </si>
  <si>
    <t>Animal Units (1000lbs)</t>
  </si>
  <si>
    <t>Annual Manure Production (lbs)</t>
  </si>
  <si>
    <t>Beef Cattle</t>
  </si>
  <si>
    <t>Growing</t>
  </si>
  <si>
    <t>Cows</t>
  </si>
  <si>
    <t>All Beef Cattle</t>
  </si>
  <si>
    <t>Dairy Cows</t>
  </si>
  <si>
    <t>Calves</t>
  </si>
  <si>
    <t>Heifers</t>
  </si>
  <si>
    <t>Lactating</t>
  </si>
  <si>
    <t>Dry</t>
  </si>
  <si>
    <t>All Dairy Cows</t>
  </si>
  <si>
    <t>Equine</t>
  </si>
  <si>
    <t>Sheep</t>
  </si>
  <si>
    <t>Goats</t>
  </si>
  <si>
    <t>Pigs</t>
  </si>
  <si>
    <t>Growing Swine</t>
  </si>
  <si>
    <t>Mature Swine</t>
  </si>
  <si>
    <t>Poultry (layers)</t>
  </si>
  <si>
    <t>Turkeys</t>
  </si>
  <si>
    <t>Total Livestock</t>
  </si>
  <si>
    <t>Total Manure plus Bedding (Tons)</t>
  </si>
  <si>
    <t>Corrugated</t>
  </si>
  <si>
    <t>Mixed Office Paper</t>
  </si>
  <si>
    <t>Newspaper</t>
  </si>
  <si>
    <t>Other Paper/Mag/JunkMail</t>
  </si>
  <si>
    <t>Brush/Tree Parts</t>
  </si>
  <si>
    <t>Grass Clippings</t>
  </si>
  <si>
    <t>Leaves</t>
  </si>
  <si>
    <t>Stumps</t>
  </si>
  <si>
    <t>Food Waste</t>
  </si>
  <si>
    <t>Process Residue</t>
  </si>
  <si>
    <t>Wood Scraps</t>
  </si>
  <si>
    <t>NJ Biomass Summary of Resources- Atlantic</t>
  </si>
  <si>
    <t>FEEDSTOCK CATEGORIES</t>
  </si>
  <si>
    <t>Total Available Manure (Tons)</t>
  </si>
  <si>
    <t>Total Bedding (Tons)</t>
  </si>
  <si>
    <t>Comments:</t>
  </si>
  <si>
    <t>NJ Biomass Summary of Resources- Warren</t>
  </si>
  <si>
    <t>NJ Biomass Summary of Resources- Union</t>
  </si>
  <si>
    <t>NJ Biomass Summary of Resources- Sussex</t>
  </si>
  <si>
    <t>NJ Biomass Summary of Resources- Somerset</t>
  </si>
  <si>
    <t>NJ Biomass Summary of Resources- Salem</t>
  </si>
  <si>
    <t>NJ Biomass Summary of Resources- Passiac</t>
  </si>
  <si>
    <t>NJ Biomass Summary of Resources- Ocean</t>
  </si>
  <si>
    <t>NJ Biomass Summary of Resources- Morris</t>
  </si>
  <si>
    <t>Loyola College, MD - Student Intern</t>
  </si>
  <si>
    <t>See Note (right corner)</t>
  </si>
  <si>
    <t xml:space="preserve">Moisture content is NCI estimate </t>
  </si>
  <si>
    <t>Comment:</t>
  </si>
  <si>
    <t>Heat Content and Moisture provided by NJAES and Biobib - http://www.vt.tuwien.ac.at/biobib/biobib.html</t>
  </si>
  <si>
    <t>See note (right corner)</t>
  </si>
  <si>
    <t>See Comment Below</t>
  </si>
  <si>
    <t>Pyrolysis produces char (carbon) that can be sold or also used to generate electricity</t>
  </si>
  <si>
    <t>Thirteen bioenergy applications that are compatible with New Jersey’s biomass resources were analyzed in detail. Considerations for the technology assessment included the following:</t>
  </si>
  <si>
    <r>
      <t>The New Jersey Bioenergy Calculator</t>
    </r>
    <r>
      <rPr>
        <vertAlign val="superscript"/>
        <sz val="11"/>
        <rFont val="Times New Roman"/>
        <family val="1"/>
      </rPr>
      <t>©</t>
    </r>
    <r>
      <rPr>
        <sz val="12"/>
        <rFont val="Times New Roman"/>
        <family val="1"/>
      </rPr>
      <t xml:space="preserve"> and Biomass Resource Database were developed by the New Jersey Agricultural Experiment Station (NJAES) and was funded by the New Jersey Board of Public Utilities. They are part of the larger NJAES project entitled: “Assessment of Biomass Energy Potential in New Jersey.”</t>
    </r>
    <r>
      <rPr>
        <vertAlign val="superscript"/>
        <sz val="11"/>
        <rFont val="Times New Roman"/>
        <family val="1"/>
      </rPr>
      <t>[1]</t>
    </r>
    <r>
      <rPr>
        <sz val="12"/>
        <rFont val="Times New Roman"/>
        <family val="1"/>
      </rPr>
      <t xml:space="preserve"> The objectives of this study were to: 1) assess the characteristics and quantity of New Jersey’s biomass</t>
    </r>
    <r>
      <rPr>
        <vertAlign val="superscript"/>
        <sz val="11"/>
        <rFont val="Times New Roman"/>
        <family val="1"/>
      </rPr>
      <t>[2]</t>
    </r>
    <r>
      <rPr>
        <sz val="12"/>
        <rFont val="Times New Roman"/>
        <family val="1"/>
      </rPr>
      <t xml:space="preserve"> resources; 2) assess technologies (commercially or near commercially available) that are capable of producing bioenergy, in the form of electric power and transportation fuels from New Jersey’s biomass resources; 3) develop the first statewide mapping of waste/biomass resources and bioenergy potential; and 4) develop policy recommendations for moving New Jersey into the forefront of bioenergy innovation. It is anticipated that these deliverables will result in the establishment of an outstanding foundation upon which to develop the bioenergy potential for New Jersey.</t>
    </r>
  </si>
  <si>
    <t>Project Overview</t>
  </si>
  <si>
    <r>
      <t>Updating/Changing Information:</t>
    </r>
    <r>
      <rPr>
        <sz val="12"/>
        <rFont val="Times New Roman"/>
        <family val="1"/>
      </rPr>
      <t xml:space="preserve"> Any changes to biomass quantities or energy efficiencies </t>
    </r>
    <r>
      <rPr>
        <b/>
        <sz val="12"/>
        <rFont val="Times New Roman"/>
        <family val="1"/>
      </rPr>
      <t>SHOULD NOT</t>
    </r>
    <r>
      <rPr>
        <sz val="12"/>
        <rFont val="Times New Roman"/>
        <family val="1"/>
      </rPr>
      <t xml:space="preserve"> be made on this sheet. All changes need to be made on the relevant supporting worksheets. For changes in biomass quantities, make adjustments to the desired feedstock on the "Biomass Assumptions"  or "County" worksheets. Modifications will automatically be carried through the database and the energy generation potential estimated on the Bioenergy Calculator worksheet will automatically adjust to reflect the new information. For changes in energy efficiencies go to the Technology Assumptions worksheet and make changes as desired. Additional factors in the calculator can be changed as well, and are described in the sections below. Once again, all modifications will automatically create updated energy generation figures on the Bioenergy Calculator worksheet.</t>
    </r>
  </si>
  <si>
    <t>NASSAgricultural Statistics 2011 Annual</t>
  </si>
  <si>
    <t>% Growth Between 2010 and 2015</t>
  </si>
  <si>
    <t>% Growth Between 2010 and 2020</t>
  </si>
  <si>
    <t>% Growth Between 2010 and 2025</t>
  </si>
  <si>
    <t>Source:  "Table 1. Projections of Total Population by County:  New Jersey, 2008 to 2028," NJ Department of Labor and Workforce Development http://lwd.state.nj.us/labor/lpa/dmograph/lfproj/lfproj_index.html</t>
  </si>
  <si>
    <t xml:space="preserve"> Average</t>
  </si>
  <si>
    <t>Timberland Biomass in NJ                             (Data in thousands)</t>
  </si>
  <si>
    <t>Acreage from 2009 New Jersey Farmland Assessment Data</t>
  </si>
  <si>
    <t># Head from 2009 New Jersey Farmland Assessment Data</t>
  </si>
  <si>
    <t>*Includes Rye for Cover and Rye for Grain</t>
  </si>
  <si>
    <t>*Includes Wheat  and Wheat for Cover</t>
  </si>
  <si>
    <t>*Poultry population includes ducks, meat chickens, and egg chickens</t>
  </si>
  <si>
    <t>Young</t>
  </si>
  <si>
    <t>Mature</t>
  </si>
  <si>
    <t>Swine</t>
  </si>
  <si>
    <t>*Poultry Population includes ducks, meat chickens, and egg chickens</t>
  </si>
  <si>
    <t>* Includes Rye for Grain and Rye for Cover</t>
  </si>
  <si>
    <t>*Includes Wheat for Grain and Wheat for Cover</t>
  </si>
  <si>
    <t>* Poultry population includes ducks, meat chickens, and egg chickens</t>
  </si>
  <si>
    <t>*Poultry population includes duck, meat chickens, and egg chickens</t>
  </si>
  <si>
    <t>* Poultry Population includes ducks, meat chickens, and egg chickens</t>
  </si>
  <si>
    <t>* Electronic File Exceprt from Sewage Sludge production by Management Mode 2010</t>
  </si>
  <si>
    <t>http://www.state.nj.us/dep/dwq/sludge.htm</t>
  </si>
  <si>
    <t xml:space="preserve">Source:  2010 Online Residuals PDF from Bureau of Pretreatment and Residuals </t>
  </si>
  <si>
    <t># Head from 2004 New Jersey Farmland Assessment Data</t>
  </si>
  <si>
    <t>Population Estimate 2010</t>
  </si>
  <si>
    <t>Emailed Dr. Stacy Bonos 3/15/12</t>
  </si>
  <si>
    <t>Change in Population 2010 to 2025</t>
  </si>
  <si>
    <t>Flow From 2010 DEP Report*</t>
  </si>
  <si>
    <t>Facility</t>
  </si>
  <si>
    <t>Design Flow (MMgal/day)</t>
  </si>
  <si>
    <t>Atlantic County UA</t>
  </si>
  <si>
    <t>Boro of Buena MUA</t>
  </si>
  <si>
    <t>Wilad Glass</t>
  </si>
  <si>
    <t>Hammonton WWTP</t>
  </si>
  <si>
    <t>Elwood Elementary</t>
  </si>
  <si>
    <t>Oaks of Weymouth</t>
  </si>
  <si>
    <t>Edgewater Boro STP</t>
  </si>
  <si>
    <t>Mtn. Shadows at Franklin Lakes</t>
  </si>
  <si>
    <t>Franklin Square S.C.</t>
  </si>
  <si>
    <t>Franklin Crossing</t>
  </si>
  <si>
    <t>Horizons at Franklin Lakes</t>
  </si>
  <si>
    <t>Bergen County UA</t>
  </si>
  <si>
    <t>Ramapo-Indian Hills H.S.</t>
  </si>
  <si>
    <t>Ramapo River Club WTP</t>
  </si>
  <si>
    <t>Skyview Hi Brook STP</t>
  </si>
  <si>
    <t>Oakland DPW-Oakwood Knolls</t>
  </si>
  <si>
    <t>Boro of Oakland-Chapel Hill</t>
  </si>
  <si>
    <t>Cablevision</t>
  </si>
  <si>
    <t>Aramis Inc.</t>
  </si>
  <si>
    <t>Oaklyn Care Center</t>
  </si>
  <si>
    <t>Ridgewood Village STP</t>
  </si>
  <si>
    <t>Norwest Bergen County UA</t>
  </si>
  <si>
    <t>Usable Flow for Biogas Production (MMgal/day)</t>
  </si>
  <si>
    <t>Viking Yacht</t>
  </si>
  <si>
    <t>Beverly SA</t>
  </si>
  <si>
    <t>Youth Correctional Institution</t>
  </si>
  <si>
    <t>Common Council-Burlington City</t>
  </si>
  <si>
    <t>Burlington Twp Central Ave STP</t>
  </si>
  <si>
    <t>Old York Country Club</t>
  </si>
  <si>
    <t>Delran SA</t>
  </si>
  <si>
    <t>Evesham Twp Elmwood STP</t>
  </si>
  <si>
    <t>Evesham Twp Woodstream STP</t>
  </si>
  <si>
    <t>Kings Grant Sewerage Corp</t>
  </si>
  <si>
    <t>Fieldsboro STP</t>
  </si>
  <si>
    <t>Florence Twp STP</t>
  </si>
  <si>
    <t>Mansfield Farms</t>
  </si>
  <si>
    <t>Homestead Utility Company</t>
  </si>
  <si>
    <t>Maple Shade</t>
  </si>
  <si>
    <t>Boro of Medford Lakes STP</t>
  </si>
  <si>
    <t>Medford WPCP</t>
  </si>
  <si>
    <t>Mount Holly MUA</t>
  </si>
  <si>
    <t>Spartan Village Mobile Home</t>
  </si>
  <si>
    <t>North Hanover Middle school</t>
  </si>
  <si>
    <t>Palmyra STP</t>
  </si>
  <si>
    <t>Helen Fort Middle School</t>
  </si>
  <si>
    <t>Pemberton Twp MUA</t>
  </si>
  <si>
    <t>US Army Fort Dix/ McGuire AFB</t>
  </si>
  <si>
    <t>Riverside STP</t>
  </si>
  <si>
    <t>Riverton</t>
  </si>
  <si>
    <t>Mobile Estates of Southampton</t>
  </si>
  <si>
    <t>Pinelands Sewer Company</t>
  </si>
  <si>
    <t>Springfield Twp. School STP</t>
  </si>
  <si>
    <t>Tabernacle Twp. Middle School</t>
  </si>
  <si>
    <t>Upper Elementary</t>
  </si>
  <si>
    <t>Willingboro MUA</t>
  </si>
  <si>
    <t>New Lisbon State School</t>
  </si>
  <si>
    <t>Wrightstown MUA</t>
  </si>
  <si>
    <t>Cinnaminson SA</t>
  </si>
  <si>
    <t>Morrestown Twp STP</t>
  </si>
  <si>
    <t xml:space="preserve">Mount Laurel MUA </t>
  </si>
  <si>
    <t>Executive Days Inn</t>
  </si>
  <si>
    <t xml:space="preserve">Hanover Mobile Home Park </t>
  </si>
  <si>
    <t>California Villa Mobile Home</t>
  </si>
  <si>
    <t>Camden County MUA Main STP</t>
  </si>
  <si>
    <t>Camden County Vo-Tech School</t>
  </si>
  <si>
    <t>Winslow Sanitary Corp.</t>
  </si>
  <si>
    <t>AC Moore</t>
  </si>
  <si>
    <t>Cape May Co. MUA 7-Mile Beach</t>
  </si>
  <si>
    <t>Lake and Shore Resort</t>
  </si>
  <si>
    <t>Lower Twp. MUA</t>
  </si>
  <si>
    <t>Cape May City WWTP</t>
  </si>
  <si>
    <t>Avalon Country Club</t>
  </si>
  <si>
    <t>Cape May County MUA Ocean City</t>
  </si>
  <si>
    <t>Cedar Square Shopping Center</t>
  </si>
  <si>
    <t>Atlantic Electric</t>
  </si>
  <si>
    <t>Osprey Point</t>
  </si>
  <si>
    <t>Marmora Shopping Center</t>
  </si>
  <si>
    <t>Carol Lynn Resorts</t>
  </si>
  <si>
    <t>Woodbine State School</t>
  </si>
  <si>
    <t>CCUA-Cohansey River Basin</t>
  </si>
  <si>
    <t>Myron Powell Elementary</t>
  </si>
  <si>
    <t>Bayside State Prison</t>
  </si>
  <si>
    <t>Millville SA STP</t>
  </si>
  <si>
    <t>Landis SA STP</t>
  </si>
  <si>
    <t>Caldwell Boro</t>
  </si>
  <si>
    <t>Cedar Grove STP</t>
  </si>
  <si>
    <t>Livingston Twp STP</t>
  </si>
  <si>
    <t>Verona STP</t>
  </si>
  <si>
    <t>Delsea Middle School</t>
  </si>
  <si>
    <t>Greenwich Twp STP</t>
  </si>
  <si>
    <t>Twp of Harrison Mullica Hill</t>
  </si>
  <si>
    <t>Logan Twp MUA</t>
  </si>
  <si>
    <t>Boro of Swedesboro</t>
  </si>
  <si>
    <t>Gloucester County UA</t>
  </si>
  <si>
    <t>WaWa</t>
  </si>
  <si>
    <t>Hoboken City STP</t>
  </si>
  <si>
    <t>North Bergen Woodcliff</t>
  </si>
  <si>
    <t>North Bergen Central STP</t>
  </si>
  <si>
    <t>Hudson County Meadowview Hosp.</t>
  </si>
  <si>
    <t>West New York Town MUA</t>
  </si>
  <si>
    <t>Salvation Army- Camp Tecumseh</t>
  </si>
  <si>
    <t>Alexandria School</t>
  </si>
  <si>
    <t>Thomas Conley Elementary</t>
  </si>
  <si>
    <t>Travel Centers of America</t>
  </si>
  <si>
    <t>Fawn Run</t>
  </si>
  <si>
    <t>Clinton Town STP</t>
  </si>
  <si>
    <t>Round Valley School STP</t>
  </si>
  <si>
    <t>Youth Corr'n Inst.- Annandale</t>
  </si>
  <si>
    <t>Arrow Mill</t>
  </si>
  <si>
    <t>Exxon Research and Development</t>
  </si>
  <si>
    <t>Glen Meadows/Twin Oaks</t>
  </si>
  <si>
    <t>Delaware Twp MUA</t>
  </si>
  <si>
    <t>Verducci's Specialty</t>
  </si>
  <si>
    <t>Frenchtown STP</t>
  </si>
  <si>
    <t>Route 12 Business Park</t>
  </si>
  <si>
    <t>Spruce Hills Development Corp.</t>
  </si>
  <si>
    <t>Kingwood Twp Board of Ed.</t>
  </si>
  <si>
    <t>Lambertville STP</t>
  </si>
  <si>
    <t>Hagadorn Geriatric Center</t>
  </si>
  <si>
    <t>Milford Sewer Utility STP</t>
  </si>
  <si>
    <t>Copper Hill School</t>
  </si>
  <si>
    <t>Raritan Twp MUA</t>
  </si>
  <si>
    <t>Raritan Twp MUA Flemington STP</t>
  </si>
  <si>
    <t>Stanton Prop</t>
  </si>
  <si>
    <t>Readington Lebanon SA</t>
  </si>
  <si>
    <t>A.M. Best Company</t>
  </si>
  <si>
    <t>Valley Road S.C.-Pottersville</t>
  </si>
  <si>
    <t>Oldwick Village STP</t>
  </si>
  <si>
    <t>Crossroads @ Oldwick</t>
  </si>
  <si>
    <t>Christy Property</t>
  </si>
  <si>
    <t>Village Square</t>
  </si>
  <si>
    <t>Premier Development</t>
  </si>
  <si>
    <t>Union Twp. Board of Ed.-Jutland</t>
  </si>
  <si>
    <t xml:space="preserve">Lookout Point </t>
  </si>
  <si>
    <t>Brass Castle</t>
  </si>
  <si>
    <t>Rheox</t>
  </si>
  <si>
    <t>East Windsor MUA</t>
  </si>
  <si>
    <t>Independence Ave. WWTP</t>
  </si>
  <si>
    <t>Hightstown Boro</t>
  </si>
  <si>
    <t>Bristol-Myers Squibb</t>
  </si>
  <si>
    <t>AT&amp;T</t>
  </si>
  <si>
    <t>Mercer County Correction Cntr.</t>
  </si>
  <si>
    <t>Stony Brook RSA-Hopewell STP</t>
  </si>
  <si>
    <t>Educational Testing Service</t>
  </si>
  <si>
    <t>Ewing Lawrence SA</t>
  </si>
  <si>
    <t>Pennytown Shopping Center</t>
  </si>
  <si>
    <t>Stony Brook RSA</t>
  </si>
  <si>
    <t>Trenton STP</t>
  </si>
  <si>
    <t>Stony Brook RSA-Pennington STP</t>
  </si>
  <si>
    <t>Jamesway - Firestone</t>
  </si>
  <si>
    <t>Jamesburg Training Center</t>
  </si>
  <si>
    <t>Lincoln Property Utility Co.</t>
  </si>
  <si>
    <t>Middlesex County UA</t>
  </si>
  <si>
    <t>Marlboro Psychiatric</t>
  </si>
  <si>
    <t>Existing Flow (MMgal/day)</t>
  </si>
  <si>
    <t>Bordentown SA</t>
  </si>
  <si>
    <t>National Auto Dealers Exchange</t>
  </si>
  <si>
    <t>Seneca High School</t>
  </si>
  <si>
    <t>CMCMUA Wildwood/Lower STP</t>
  </si>
  <si>
    <t>Passaic Valley Sewerage Comm.</t>
  </si>
  <si>
    <t>Secaucus MUA</t>
  </si>
  <si>
    <t>Tewksbury Twp Elementary</t>
  </si>
  <si>
    <t>Allentown WPCP</t>
  </si>
  <si>
    <t>Asbury Park STP</t>
  </si>
  <si>
    <t>Due Process Golf Course</t>
  </si>
  <si>
    <t>Colts Neck High School</t>
  </si>
  <si>
    <t>The Orchards of Colts Neck</t>
  </si>
  <si>
    <t>Conover Rd Elementary</t>
  </si>
  <si>
    <t>Brandywine Assisted Living</t>
  </si>
  <si>
    <t>Earle Naval Weapons Station</t>
  </si>
  <si>
    <t>Colts Neck Inn</t>
  </si>
  <si>
    <t>Shadow Isle Golf Club</t>
  </si>
  <si>
    <t>Monmouth Battlefield State Park</t>
  </si>
  <si>
    <t>Bd. Of Ed Hlmdel Twp.</t>
  </si>
  <si>
    <t>Holmdel Nursing and Convales.</t>
  </si>
  <si>
    <t xml:space="preserve">Prudential Ins. Co. of America </t>
  </si>
  <si>
    <t>Orchard Estates</t>
  </si>
  <si>
    <t>Long Branch SA Joling Ave. STP</t>
  </si>
  <si>
    <t>Western Monmouth UA</t>
  </si>
  <si>
    <t>Manalapan Bowling Center</t>
  </si>
  <si>
    <t>Sandy Hook Nat'l Rec Area</t>
  </si>
  <si>
    <t>Middletown Twp SA</t>
  </si>
  <si>
    <t>McDonalds</t>
  </si>
  <si>
    <t>Northeast Monmouth RSA</t>
  </si>
  <si>
    <t>Neptune Twp STP #2 Old Corlies</t>
  </si>
  <si>
    <t>Twp of Ocean SA</t>
  </si>
  <si>
    <t>Roosevelt Boro STP</t>
  </si>
  <si>
    <t>Bayshore Regional SA</t>
  </si>
  <si>
    <t>Becon Hill WTF</t>
  </si>
  <si>
    <t>South Monmouth RSA</t>
  </si>
  <si>
    <t xml:space="preserve">Econo Lodge Motel </t>
  </si>
  <si>
    <t>95 West Main Street</t>
  </si>
  <si>
    <t>Chester Outlet Mall</t>
  </si>
  <si>
    <t>Madison - Chatham Joint Meeting</t>
  </si>
  <si>
    <t>Chatham Twp - Park Central</t>
  </si>
  <si>
    <t>Chatham Twp - Main</t>
  </si>
  <si>
    <t>Chatham Glen</t>
  </si>
  <si>
    <t>Chester Shopping Mall</t>
  </si>
  <si>
    <t>Hills of Chester</t>
  </si>
  <si>
    <t>Chester Springs Shopping Cntr.</t>
  </si>
  <si>
    <t>Four Seasons at Chester</t>
  </si>
  <si>
    <t>Chester Breeding Station</t>
  </si>
  <si>
    <t>Welkind Neurological Hospital</t>
  </si>
  <si>
    <t>The Green at Florham Park</t>
  </si>
  <si>
    <t>Florham Park SA</t>
  </si>
  <si>
    <t>Hanover Twp STP</t>
  </si>
  <si>
    <t>Morristown STP</t>
  </si>
  <si>
    <t xml:space="preserve">Sunrise at Jefferson </t>
  </si>
  <si>
    <t>Pathmark Supermarket</t>
  </si>
  <si>
    <t>Seneca Gardens</t>
  </si>
  <si>
    <t>Berskshire Valley Golf</t>
  </si>
  <si>
    <t>Senior High-Middle School</t>
  </si>
  <si>
    <t>Arthur Stanlick school</t>
  </si>
  <si>
    <t>White Rock STP</t>
  </si>
  <si>
    <t>Sandy Point, Inc.</t>
  </si>
  <si>
    <t>Westage at Mendham</t>
  </si>
  <si>
    <t>Mossepac Development</t>
  </si>
  <si>
    <t>Jefferson Village Square</t>
  </si>
  <si>
    <t>Kinnelon Twp. Stony Brook Sch.</t>
  </si>
  <si>
    <t>Philips Accessories</t>
  </si>
  <si>
    <t>Peq. Lincoln Park Fairfield SA</t>
  </si>
  <si>
    <t>Medham East</t>
  </si>
  <si>
    <t>India Brook STP</t>
  </si>
  <si>
    <t>Morris Twp-Butterworth STP</t>
  </si>
  <si>
    <t>Morris Twp-Woodland STP</t>
  </si>
  <si>
    <t>Hills of Arlington</t>
  </si>
  <si>
    <t>Wyndham Point</t>
  </si>
  <si>
    <t>Mt. Olive Twp STP</t>
  </si>
  <si>
    <t>Musconetcong SA</t>
  </si>
  <si>
    <t>Mount Olive Villages</t>
  </si>
  <si>
    <t>Hidden Meadows</t>
  </si>
  <si>
    <t>Rockaway Valley Regional SA</t>
  </si>
  <si>
    <t>Parsippany Troy-Hills STP</t>
  </si>
  <si>
    <t>Greystone Park Psych. Hospital</t>
  </si>
  <si>
    <t>Twp of Long Hill</t>
  </si>
  <si>
    <t>Sussex Turnpike</t>
  </si>
  <si>
    <t>Aspen Ice</t>
  </si>
  <si>
    <t>Roxbury Twp-Ajax Terrace STP</t>
  </si>
  <si>
    <t>Days Inn STP</t>
  </si>
  <si>
    <t>Hackettstwon MUA WPCP</t>
  </si>
  <si>
    <t>Schooley's Mt. STP</t>
  </si>
  <si>
    <t>Long Valley Village</t>
  </si>
  <si>
    <t>Ocean County UA Central STP</t>
  </si>
  <si>
    <t>Ocean County UA North STP</t>
  </si>
  <si>
    <t>Maple Blen Mobile Park</t>
  </si>
  <si>
    <t>Southwind Mobile Homes Village</t>
  </si>
  <si>
    <t>Jackson Estates</t>
  </si>
  <si>
    <t>Jensen's Deep Run Village</t>
  </si>
  <si>
    <t>Plumstead Middle School</t>
  </si>
  <si>
    <t>Ocean Co. UA Southern STP</t>
  </si>
  <si>
    <t>Pompton Lakes MUA</t>
  </si>
  <si>
    <t>Bald Eagle Village</t>
  </si>
  <si>
    <t>Franciscan Friars</t>
  </si>
  <si>
    <t>Ringwood State Park</t>
  </si>
  <si>
    <t>Ringwood Acres</t>
  </si>
  <si>
    <t>Robert Erksine School</t>
  </si>
  <si>
    <t>Ringwood Shopping Plaza</t>
  </si>
  <si>
    <t>Wanaque Valley RSA</t>
  </si>
  <si>
    <t>Wayne Twp-Mountainview</t>
  </si>
  <si>
    <t>West Milford Shopping Center</t>
  </si>
  <si>
    <t xml:space="preserve">Crescent Park STP </t>
  </si>
  <si>
    <t>Reflection Lakes Garden Apts.</t>
  </si>
  <si>
    <t>Awosting STP</t>
  </si>
  <si>
    <t>Olde Milford Sewage Plant</t>
  </si>
  <si>
    <t>Highview STP</t>
  </si>
  <si>
    <t>West Millford Twp-Birch Hill</t>
  </si>
  <si>
    <t xml:space="preserve">Greenwood Waterfront </t>
  </si>
  <si>
    <t>Bald Eagle Manor</t>
  </si>
  <si>
    <t>Carney's Point STP</t>
  </si>
  <si>
    <t>PSE&amp;G Hope Creek Gen Station STP</t>
  </si>
  <si>
    <t>Hancock's Bridge Village STP</t>
  </si>
  <si>
    <t>Canton Village STP</t>
  </si>
  <si>
    <t>Energy Freedom Pioneers</t>
  </si>
  <si>
    <t>Penns Grove SA</t>
  </si>
  <si>
    <t>Pennsville STP</t>
  </si>
  <si>
    <t>Waddington Richman</t>
  </si>
  <si>
    <t>Harding Woods Inc.</t>
  </si>
  <si>
    <t>Daytop of New Jersey</t>
  </si>
  <si>
    <t>City of Salem STP</t>
  </si>
  <si>
    <t>Upper Pittsgrove Twp Elem. School</t>
  </si>
  <si>
    <t>Woodstown STP</t>
  </si>
  <si>
    <t>Lamington Farm</t>
  </si>
  <si>
    <t>Fiddler's Elbow Country Club</t>
  </si>
  <si>
    <t>Environmental Disposal Corp.</t>
  </si>
  <si>
    <t>Hamilton Farms Golf Club</t>
  </si>
  <si>
    <t>Bernards Tp. SA-Harrison Brook</t>
  </si>
  <si>
    <t>USVA Hostipal STP-Lyons</t>
  </si>
  <si>
    <t>Bernardsville Boro STP</t>
  </si>
  <si>
    <t>Somerset Raritan Valley SA</t>
  </si>
  <si>
    <t>Trap Rock Industries</t>
  </si>
  <si>
    <t>Hillsborough Chase</t>
  </si>
  <si>
    <t>Skillman Village</t>
  </si>
  <si>
    <t>Montogomery Twp Bd of Ed.</t>
  </si>
  <si>
    <t>Carrier Foundation</t>
  </si>
  <si>
    <t>Johnson and Johnson</t>
  </si>
  <si>
    <t>Montgomery Twp - STP #1</t>
  </si>
  <si>
    <t>Montgomery Twp - STP #2</t>
  </si>
  <si>
    <t>Mont Twp - Riverside Farm STP</t>
  </si>
  <si>
    <t>Pike Brook STP</t>
  </si>
  <si>
    <t>Oxbridge Treatment Plant</t>
  </si>
  <si>
    <t>Computer Associates</t>
  </si>
  <si>
    <t>Montgomery Twp/Cherry Valley</t>
  </si>
  <si>
    <t>Princeton Montessori School</t>
  </si>
  <si>
    <t>Convatech</t>
  </si>
  <si>
    <t>USVA Supply Depot</t>
  </si>
  <si>
    <t>Warren Twp SA - Stage II STP</t>
  </si>
  <si>
    <t>Warren Twp SA - Stage IV STP</t>
  </si>
  <si>
    <t>Warren Twp SA - Stage V STP</t>
  </si>
  <si>
    <t>Colorado Café</t>
  </si>
  <si>
    <t>Long Pond</t>
  </si>
  <si>
    <t>St. Paul's Abbey</t>
  </si>
  <si>
    <t>Andover Nursing Home</t>
  </si>
  <si>
    <t>Selective Insurance</t>
  </si>
  <si>
    <t>Franklin Mutual Insurance Co.</t>
  </si>
  <si>
    <t>Homestead</t>
  </si>
  <si>
    <t>Skylands Park</t>
  </si>
  <si>
    <t>Bear Brook Golf Village</t>
  </si>
  <si>
    <t>Big N Shopping Center</t>
  </si>
  <si>
    <t>Hampton Commons STP</t>
  </si>
  <si>
    <t>Sussex Co. MUA-Upper Wallkill</t>
  </si>
  <si>
    <t>Pope John XXIII Reg. High School</t>
  </si>
  <si>
    <t>Montaque Twp. OE</t>
  </si>
  <si>
    <t>Newton Municipal STP</t>
  </si>
  <si>
    <t>Kittantiny Regional Bd of Ed.</t>
  </si>
  <si>
    <t>Martin Property</t>
  </si>
  <si>
    <t>NJ School of Conservation</t>
  </si>
  <si>
    <t>Plaza STP</t>
  </si>
  <si>
    <t>Alpine School Sewage Plant</t>
  </si>
  <si>
    <t>Sussex Co. Vo-Tech High School</t>
  </si>
  <si>
    <t>Garden State Academy</t>
  </si>
  <si>
    <t>Vernon Twp High School</t>
  </si>
  <si>
    <t>Vernon Tp/Lounsb. Hollow School</t>
  </si>
  <si>
    <t>Great Gorge's Resort Hotel</t>
  </si>
  <si>
    <t>Clover Hill Manor</t>
  </si>
  <si>
    <t xml:space="preserve">Regency at Sussex Co. </t>
  </si>
  <si>
    <t>High Point Reg'l High School</t>
  </si>
  <si>
    <t>Berkeley Heights STP</t>
  </si>
  <si>
    <t>New Providence STP</t>
  </si>
  <si>
    <t>Jnt. Mtg. of Essex &amp; Union Co.</t>
  </si>
  <si>
    <t>Linden Roselle SA</t>
  </si>
  <si>
    <t>Rahway Valley SA</t>
  </si>
  <si>
    <t>Allamuchy STP</t>
  </si>
  <si>
    <t>Allamuchy Elementary School</t>
  </si>
  <si>
    <t>WC(PR)MUA-Belvidere Area STP</t>
  </si>
  <si>
    <t>Blair Academy STP</t>
  </si>
  <si>
    <t>North Warren Regional H.S. STP</t>
  </si>
  <si>
    <t>Great Atlantic and Pacific Tea</t>
  </si>
  <si>
    <t>Franklin Twp Elementary</t>
  </si>
  <si>
    <t>Warren County Technical School</t>
  </si>
  <si>
    <t>Forest Manor</t>
  </si>
  <si>
    <t>Little Hill Foundation</t>
  </si>
  <si>
    <t>Knowlton WWTP</t>
  </si>
  <si>
    <t>Pequest Fish Hatchery</t>
  </si>
  <si>
    <t>Liberty Twp Bd of Ed</t>
  </si>
  <si>
    <t>WC(PR)MUA - Oxford Area STP</t>
  </si>
  <si>
    <t>Phillipsburg STP</t>
  </si>
  <si>
    <t>hawk Pointe Golf Course</t>
  </si>
  <si>
    <t>Washington Boro</t>
  </si>
  <si>
    <t>Washington Twp Shopping Center</t>
  </si>
  <si>
    <t>380 Rt 57 LLC</t>
  </si>
  <si>
    <t>Oakwood Village STP</t>
  </si>
  <si>
    <t>Ancora State Physiciatric Hosp.</t>
  </si>
  <si>
    <t>It was assumed that sorghum, rye, corn for grain, and wheat all had alternative uses that had higher economic than bioenergy production, therefore none was available.</t>
  </si>
  <si>
    <t>30% cover requires 500 lbs of residues per acre</t>
  </si>
  <si>
    <t>30% cover requires 1000 lbs of residues per acre</t>
  </si>
  <si>
    <t>Does not require soil cover</t>
  </si>
  <si>
    <t xml:space="preserve">Collectibility is impacted by a 30% bare soil cover requirement with crop residue through winter.  Data for residue requirements was taken from USDA Agricultural Handbook 537.  Equations used can be found in the assumptions worksheet. </t>
  </si>
  <si>
    <t>Cellulosic (Enzymatic) Ethanol- Herbaceous Biomass</t>
  </si>
  <si>
    <t>Cellulosic (Enzymatic) Ethanol- Woody Biomass</t>
  </si>
  <si>
    <t>Cellulosic (Acid Hydrolysis) Ethanol- Woody Biomass</t>
  </si>
  <si>
    <t>Cellulosic (Acid Hydrolysis) Ethanol- Herbaceous Biomass</t>
  </si>
  <si>
    <t>Acid Hydrolysis</t>
  </si>
  <si>
    <t>Enzymatic Hydrolysis</t>
  </si>
  <si>
    <t>Enzymatic Hydrolysis Ethanol (Gallon/Dry Ton)</t>
  </si>
  <si>
    <t>Acid Hydrolysis Ethanol (Gallon/Dry Ton)</t>
  </si>
  <si>
    <t>Hemicellusose</t>
  </si>
  <si>
    <t>Hemicellulose</t>
  </si>
  <si>
    <t>Peterson, David and Scott Haase. Market Assessment of Biomass Gasification and Combustion for Small- and Medium-Scale Applications. NREL/TP-7A2-46190. July 2009. Accessed 9 Sept 2012. http://www.nrel.gov/analysis/pdfs/46190.pdf</t>
  </si>
  <si>
    <t>Biomass Technology Review. Prepared for the Biomass Power Association by McHale &amp; Associates, Inc. 21 Oct 2010. Accessed July 2012. http://www.usabiomass.org/docs/2010_10_20_Biomass_Technology_Review_Rev_1.pdf</t>
  </si>
  <si>
    <t>Biomass Technology Review. Prepared for the Biomass Power Association by McHale &amp; Associates, Inc. 21 Oct 2010. Accessed July 2012. http://www.usabiomass.org/docs/2010_10_20_Biomass_Technology_Review_Rev_1.pdf
(560.36 MW plant)</t>
  </si>
  <si>
    <t>Incineration - The Heating Power of Refuse. planete-energies.com. 6 Aug 2010. Accessed Aug 2012. http://www.planete-energies.com/en/energy-sources-/waste-recovery-/incineration-the-heating-power-of-refuse-102.html
Alternative Fuel Sources – Waste-to-Energy for Combined Heat and Power. Frontline Energy &amp; Environmental. Accessed Aug 2012. http://frontlineenergy.ie/whitepaper/pdf/AlternativeFuelSources.pdf http://www.environment-agency.gov.uk/static/documents/Business/Information_Pack_-_QA_(2).pdf</t>
  </si>
  <si>
    <t>Industry Standard
F. John Hay. Soybean as a Biofuel Feedstock. University of Nebraska-Lincoln. Accessed July 2012. http://cropwatch.unl.edu/web/bioenergy/14</t>
  </si>
  <si>
    <t>* Email from Mike Westendorf 9/7/12</t>
  </si>
  <si>
    <t>Industry Standard 
How Much Ethanol Can Come From Corn?. National Corn Growers Association. Accessed July 2012. http://www.micorn.org/downloads/How_Much_Ethanol_From_Corn.pdf
Mueller, Steffen. Detailed Report: 2008 National Dry Mill Corn Ethanol Survey. University of Illinois. 4 May 2010. Accessed 11 Sept 2012. http://www.ethanol.org/pdf/contentmgmt/Ethanol_production_efficiency_U_of_IL_spring_2010.pdf</t>
  </si>
  <si>
    <t>gas/elec</t>
  </si>
  <si>
    <t>elec/fla</t>
  </si>
  <si>
    <t>elec</t>
  </si>
  <si>
    <t>gas</t>
  </si>
  <si>
    <t>N/A</t>
  </si>
  <si>
    <t>fla</t>
  </si>
  <si>
    <t>New Jersey Generation, Disposal and Recycling Statistics: Final Report 2010. Solid and Hazardous Waste Management Program. NJDEP. Accessed 9 Oct 2012. http://www.state.nj.us/dep/dshw/recycling/stat_links/2010finalreport.pdf</t>
  </si>
  <si>
    <t>New Jersey Generation, Disposal and Recycling Statistics: Final Report 2010. Solid and Hazardous Waste Management Program. NJDEP. Accessed 10 Oct 2012. http://www.state.nj.us/dep/dshw/recycling/stat_links/2010finalreport.pdf</t>
  </si>
  <si>
    <t>Recycled Product</t>
  </si>
  <si>
    <t>Total MSW 2010</t>
  </si>
  <si>
    <t>2010 New Jersey Generation, Disposal and Recycling Statistics: By County. Solid and Hazardous Waste management Program. NJDEP. Accessed 6 Nov 2012. http://www.state.nj.us/dep/dshw/recycling/stat_links/10disposalrates.pdf</t>
  </si>
  <si>
    <t>2007 Bioenergy Calculator</t>
  </si>
  <si>
    <t>2012 Bioenergy Calculator</t>
  </si>
  <si>
    <t>Email/Contact Information</t>
  </si>
  <si>
    <t>Calculated by Joseph Davis MPA, Data Base Analyst 1 of NJDEP on November 9, 2012 (Source unknown). Only type 10 and 23 waste were counted (MSW classifications).</t>
  </si>
  <si>
    <t>Calculation : MSW Non-Recycled minus MSW Incinerated. See note on 'Biomass Data Assumptions' sheet cell I5 for more information.</t>
  </si>
  <si>
    <r>
      <t>2010 MSW to incineration</t>
    </r>
    <r>
      <rPr>
        <b/>
        <vertAlign val="superscript"/>
        <sz val="12"/>
        <color indexed="9"/>
        <rFont val="Arial"/>
        <family val="2"/>
      </rPr>
      <t>1</t>
    </r>
  </si>
  <si>
    <t>Report for years 2005 - 2010</t>
  </si>
  <si>
    <t xml:space="preserve">   New Jersey Generation, Disposal and Recycling Statistics: By County. Solid and Hazardous Waste management Program. NJDEP. Accessed 6 Nov 2012. http://www.nj.gov/dep/dshw/recycling/stats.htm</t>
  </si>
  <si>
    <t>2 LMOP data: New Jersey. EPA. Accessed 19 Sept 2012. http://www.epa.gov/lmop/projects-candidates/index.html#map-area</t>
  </si>
  <si>
    <t>Joseph Davis</t>
  </si>
  <si>
    <t>NJDEP - Data Base Analyst 1</t>
  </si>
  <si>
    <t>joseph.davis@dep.state.nj.us</t>
  </si>
  <si>
    <t>James Williams</t>
  </si>
  <si>
    <t>Warren County District Landfill - Director of Operations</t>
  </si>
  <si>
    <t>jwilliams@pcfawc.com</t>
  </si>
  <si>
    <t xml:space="preserve">    Data given by M. Aucott of NJDEP that was received 9/25/12</t>
  </si>
  <si>
    <t>1  Data given by Joseph Davis MPA, Data base Analyst 1 of NJDEP that was received 11/9/12</t>
  </si>
  <si>
    <t>Percent of Total Consumption</t>
  </si>
  <si>
    <t>Current Gross Quantity
(Dry Tons)</t>
  </si>
  <si>
    <t>Total Available Biomass
(Dry Tons)</t>
  </si>
  <si>
    <t>Grains (Energy Crops)</t>
  </si>
  <si>
    <t>Biomass (Residues)</t>
  </si>
  <si>
    <t>Gross (Tons)</t>
  </si>
  <si>
    <t>Gross MSW (Dry Tons)</t>
  </si>
  <si>
    <t>Total Yield
(Tons)</t>
  </si>
  <si>
    <t>Total Yield
(bushels)</t>
  </si>
  <si>
    <t>Total Recycled (as received, Tons)</t>
  </si>
  <si>
    <t>Total Recycled (Dry Tons)</t>
  </si>
  <si>
    <t>Annual Manure Production
(lbs)</t>
  </si>
  <si>
    <t>Total Manure plus Bedding
(Tons)</t>
  </si>
  <si>
    <t>Total Bedding
(Tons)</t>
  </si>
  <si>
    <t>Total Available Manure
(Tons)</t>
  </si>
  <si>
    <t>NJ Biomass Summary of Resources- Bergen</t>
  </si>
  <si>
    <t>Animal Units
(1000lbs)</t>
  </si>
  <si>
    <t>Current Net Energy Available
(MMBtu)</t>
  </si>
  <si>
    <t>Gallons of Gasoline Equivalent (GGE/Yr)</t>
  </si>
  <si>
    <t>Disposed</t>
  </si>
  <si>
    <t>Incinerated</t>
  </si>
  <si>
    <t>Landfilled</t>
  </si>
  <si>
    <t>Other Biomass</t>
  </si>
  <si>
    <t>% of MSW</t>
  </si>
  <si>
    <t>Biomass Waste in MSW (2010) (Tons)</t>
  </si>
  <si>
    <t>MSW DISPOSAL IN NEW JERSEY (Tons)</t>
  </si>
  <si>
    <t>Mintz, M., Han, J., Wang, M., et.al. Well-to-Wheel Analysis of Landfill Gas-Based Pathways and Their Addition to the GREET Model. Argonne National Laboratory. 30 June 2010. Accessed 27 Feb 2013. http://www.ipd.anl.gov/anlpubs/2010/06/67365.pdf</t>
  </si>
  <si>
    <t>Koop, K., Koper, M., Bĳ sma, R., Wonink, S., Ouwens, J.D., 2010. Evaluation of improvements in
end-conversion efficiency for bioenergy production. Accessed July 2012. http://ec.europa.eu/energy/renewables/bioenergy/doc/2010_02_25_report_conversion_efficiency.pdf</t>
  </si>
  <si>
    <t>Other Landfilled Biomass</t>
  </si>
  <si>
    <t>Calculated from: “2005 Annual Solid Waste Disposal Data”.  General percentages of MSW for food waste and other paper were applied to each county’s MSW to calculate total generated per county.</t>
  </si>
  <si>
    <t>Calculated from: Municipal Solid Waste. EPA. Accessed 1 Feb 2013. http://www.epa.gov/epawaste/nonhaz/municipal/index.htm. Used the Biomass portion percentage and applied to each county's MSW</t>
  </si>
  <si>
    <t>LFG Collected</t>
  </si>
  <si>
    <t>LFG Used</t>
  </si>
  <si>
    <t>LFG Available</t>
  </si>
  <si>
    <t>LFG Amount
(mmscfy)</t>
  </si>
  <si>
    <t>Electricity Generation Potential
(MWh/yr)</t>
  </si>
  <si>
    <t>Electricity Generated
(MWh/yr)</t>
  </si>
  <si>
    <t>Electricity Generation Potential (EGP) equation</t>
  </si>
  <si>
    <t>1000000 - conversion from mmscf to scf (multiply)</t>
  </si>
  <si>
    <t>(506/3412) - conversion of the energy content of LFG (assumed to be 506 Btu/scf) to kWh/scf by dividing by 3412 Btu/kWh (multiply)</t>
  </si>
  <si>
    <t>0.5 - fraction of methane in scf of LFG in scf (multiply)</t>
  </si>
  <si>
    <t>2000 - converting lbs to tons (divide)</t>
  </si>
  <si>
    <t>1000000 - converting previous number to kg/mmscf (multiply)</t>
  </si>
  <si>
    <t>2.20462 - converting kg to lbs (multiply)</t>
  </si>
  <si>
    <r>
      <t>MMTCO</t>
    </r>
    <r>
      <rPr>
        <vertAlign val="subscript"/>
        <sz val="9"/>
        <rFont val="Arial"/>
        <family val="2"/>
      </rPr>
      <t>2</t>
    </r>
    <r>
      <rPr>
        <sz val="9"/>
        <rFont val="Arial"/>
        <family val="2"/>
      </rPr>
      <t>E/yr = million standard cubic feet per day (mmscfd) of LFG utilized * 0.90 [gross capacity factor] * (365 days/year) *
(1E+06 standard cubic feet/million standard cubic feet) * (0.5 standard cubic feet methane/standard cubic foot landfill gas) *
(1,012 Btu/standard cubic foot methane) / (1,050 Btu/standard cubic foot natural gas) * (0.12059 pounds carbon dioxide/standard cubic foot natural gas) /
(2,000 pounds/short ton) * (0.9072 metric tons/short ton) / (1E+06 metric tons/million metric tons)</t>
    </r>
  </si>
  <si>
    <r>
      <t>tons CO</t>
    </r>
    <r>
      <rPr>
        <vertAlign val="subscript"/>
        <sz val="9"/>
        <rFont val="Arial"/>
        <family val="2"/>
      </rPr>
      <t>2</t>
    </r>
    <r>
      <rPr>
        <sz val="9"/>
        <rFont val="Arial"/>
        <family val="2"/>
      </rPr>
      <t>/yr = MMTCO</t>
    </r>
    <r>
      <rPr>
        <vertAlign val="subscript"/>
        <sz val="9"/>
        <rFont val="Arial"/>
        <family val="2"/>
      </rPr>
      <t>2</t>
    </r>
    <r>
      <rPr>
        <sz val="9"/>
        <rFont val="Arial"/>
        <family val="2"/>
      </rPr>
      <t>E/yr * (1E+06 metric tons/million metric tons) / (0.9072 metric tons/short ton)</t>
    </r>
  </si>
  <si>
    <t>Assumptions:</t>
  </si>
  <si>
    <t>1. Convert LFG HHV to MMBtu/scf</t>
  </si>
  <si>
    <t>506 Btu/scf * 1 MMBtu/1000000 Btu = 0.000506 MMBtu/scf</t>
  </si>
  <si>
    <t>2. Determine Carbon content</t>
  </si>
  <si>
    <t>0.000506 MMBtu/scf * 14.2 kg C/MMBtu * 1.0 = 0.0071852 kg C/scf</t>
  </si>
  <si>
    <t>Sources:</t>
  </si>
  <si>
    <t>Transportation Fuel Potential
(GGE/yr)</t>
  </si>
  <si>
    <t>Transportation Fuel Potential (TFP) equation</t>
  </si>
  <si>
    <t>CO2CG = D4*(0.00892*1.10231)</t>
  </si>
  <si>
    <t>Landfill Gas to Transportation Fuels</t>
  </si>
  <si>
    <t>1000 - conversion kWh to MWh (divide)</t>
  </si>
  <si>
    <t>CO2EPA = C5*0.9*1000000*0.5*(1012/1050)*0.12059/2000</t>
  </si>
  <si>
    <t>CO2OM = C5*(0.026345733333*1000000)*2.20462/2000</t>
  </si>
  <si>
    <t>506 - Energy Content of LFG (MMBtu/mmscf) (multiply)</t>
  </si>
  <si>
    <t>EGP = C5*1000000*(506/3412)*0.2916239/1000</t>
  </si>
  <si>
    <t>EGP = C4*113*6.25*0.2916239/1000</t>
  </si>
  <si>
    <t>1.10231 - conversion metric tons to short tons (1.10231 short tons/metric ton) (multiply)</t>
  </si>
  <si>
    <t>1000 - converting kWh to MWh (divide)</t>
  </si>
  <si>
    <t>Food Waste to Transportation Fuels</t>
  </si>
  <si>
    <t>TFP = (C4*0.3)*16*4.8</t>
  </si>
  <si>
    <t>Serpil Guran</t>
  </si>
  <si>
    <t>guran@aesop.rutgers.edu</t>
  </si>
  <si>
    <t>NJAES, Assistant Director, Rutgers EcoComplex</t>
  </si>
  <si>
    <t>Chris Sipos</t>
  </si>
  <si>
    <t>Brett Cowan</t>
  </si>
  <si>
    <t>John Barron</t>
  </si>
  <si>
    <t>609-465-9026</t>
  </si>
  <si>
    <t>Gary Conover</t>
  </si>
  <si>
    <t>gconover@acua.com</t>
  </si>
  <si>
    <t>Martin Ryan</t>
  </si>
  <si>
    <t>Burlington County - Solid Waste Coordinator</t>
  </si>
  <si>
    <t>Cape May County MUA - Deputy Director</t>
  </si>
  <si>
    <t>ACUA - Solid Waste Director</t>
  </si>
  <si>
    <t>Ocean County Landfill Corporation - Engineering VP</t>
  </si>
  <si>
    <t>mryan@cjhesse.com</t>
  </si>
  <si>
    <t>John Londres</t>
  </si>
  <si>
    <t>PCFA of Camden County - Deputy Director</t>
  </si>
  <si>
    <t>856-665-8787</t>
  </si>
  <si>
    <t>Eric Peterson</t>
  </si>
  <si>
    <t>SCS Engineers - Vice President</t>
  </si>
  <si>
    <t>609-654-4000</t>
  </si>
  <si>
    <t>Robert Leslie</t>
  </si>
  <si>
    <t>rlesliemcua@comcast.net</t>
  </si>
  <si>
    <t>MCUA - Solid Waste Division</t>
  </si>
  <si>
    <t>COP = C4*113*(1/0.0283168)*603.85/1000000*14.2*(44/12)*2.20462/2000</t>
  </si>
  <si>
    <t>Carbon Dioxide Emissions</t>
  </si>
  <si>
    <t>(1/0.0283168) - converting normal cubic meters to cubic feet (multiply)</t>
  </si>
  <si>
    <t>603.8 Btu/scf * 1 MMBtu/1000000 Btu = 0.0006038 MMBtu/scf</t>
  </si>
  <si>
    <t>0.0006038 MMBtu/scf * 14.2 kg C/MMBtu * 1.0 = 0.0085748 kg C/scf</t>
  </si>
  <si>
    <t>Enos Martin</t>
  </si>
  <si>
    <t>PPL Renewable Energy LLC - Asset Manager</t>
  </si>
  <si>
    <t>610-774-4164</t>
  </si>
  <si>
    <t>OVPED - Senior Program Manager</t>
  </si>
  <si>
    <t>NOTE: If you choose Poplar or Switchgrass, please select the crops you would like to convert</t>
  </si>
  <si>
    <t>Yard waste (collected)</t>
  </si>
  <si>
    <t>bcowan343@gmail.com</t>
  </si>
  <si>
    <t>EcoComplex Student Intern</t>
  </si>
  <si>
    <t>Joe Sziveri</t>
  </si>
  <si>
    <t>Montauk Energy - Facility Manager</t>
  </si>
  <si>
    <t>732-922-3733</t>
  </si>
  <si>
    <t xml:space="preserve"> = previous information that needs to be updated. New LFG used statistic (not listed) exceeds LFG collected statistic, so awaiting realistic estimate for LFG collected in Monmouth</t>
  </si>
  <si>
    <t xml:space="preserve"> = number based on weighted average of other county's LFG amount used and electricity generated, awaiting realistic statistic from respective counties</t>
  </si>
  <si>
    <t>Direct Combustion-ADG/Landfill Gas
(MMBtu/MWh)</t>
  </si>
  <si>
    <t>Transesterification
(Gallon/Ton)</t>
  </si>
  <si>
    <t>Direct Combustion-Stand Alone for Solid Biomass
(MMBtu/MWh)</t>
  </si>
  <si>
    <t>Direct Combustion-Small Scale CHP for Solid Biomass
(MMBtu/MWh)</t>
  </si>
  <si>
    <t>Direct Combustion--Co-Firing
(MMBtu/MWh)</t>
  </si>
  <si>
    <t>Gasification- Stand Alone BIGCC
(MMBtu/MWh)</t>
  </si>
  <si>
    <t>Gasification- Small Scale CHP
(MMBtu/MWh)</t>
  </si>
  <si>
    <t>Pyrolysis
(MMBtu/MWh)</t>
  </si>
  <si>
    <t>Gasification-F-T
(Gallon/Dry Ton)</t>
  </si>
  <si>
    <t>AD/Landfill Gas to Transportation Fuel
(GGE/Dry Ton)</t>
  </si>
  <si>
    <t>Product Yield
(Gallon/Dry Ton)</t>
  </si>
  <si>
    <t>Heat Rate
(MMBtu/MWh)</t>
  </si>
  <si>
    <t>Pineland Park</t>
  </si>
  <si>
    <t>Bergen County Utilities Authority Kingsland</t>
  </si>
  <si>
    <t>HMDC 1-E, Balefill 1C</t>
  </si>
  <si>
    <t>Landfill</t>
  </si>
  <si>
    <t>L &amp; D Mt. Holly</t>
  </si>
  <si>
    <t>SLF Inc.</t>
  </si>
  <si>
    <t>Pennsauken</t>
  </si>
  <si>
    <t>Edgeboro</t>
  </si>
  <si>
    <t>Edison Disposal Area</t>
  </si>
  <si>
    <t>ILR</t>
  </si>
  <si>
    <t>Rec Ctr PH I</t>
  </si>
  <si>
    <t>Rec Ctr PH II</t>
  </si>
  <si>
    <t>Rec Ctr PH III</t>
  </si>
  <si>
    <t>Cape May County SLF</t>
  </si>
  <si>
    <t>Cumberland County SLF</t>
  </si>
  <si>
    <t>Middlesex County SLF</t>
  </si>
  <si>
    <t>Ocean County LF</t>
  </si>
  <si>
    <t>Salem County SLF</t>
  </si>
  <si>
    <t>Kingsley's LF</t>
  </si>
  <si>
    <t>Hamms LF</t>
  </si>
  <si>
    <t>Sussex County LF 1-E</t>
  </si>
  <si>
    <t>Warren County Regional</t>
  </si>
  <si>
    <t>Electricity, Direct</t>
  </si>
  <si>
    <t>Electricity, Flare</t>
  </si>
  <si>
    <t>Gas management</t>
  </si>
  <si>
    <t>Capacity of project
(MW)</t>
  </si>
  <si>
    <t>Gloucester County SLF</t>
  </si>
  <si>
    <t>Estimated LFG collected
(mmscfy)</t>
  </si>
  <si>
    <t>LFG flared
(mmscfy)</t>
  </si>
  <si>
    <t xml:space="preserve"> NJ Total Consumption</t>
  </si>
  <si>
    <r>
      <rPr>
        <b/>
        <sz val="10"/>
        <rFont val="Arial"/>
        <family val="2"/>
      </rPr>
      <t>1</t>
    </r>
    <r>
      <rPr>
        <sz val="10"/>
        <rFont val="Arial"/>
        <family val="2"/>
      </rPr>
      <t xml:space="preserve">  New Jersey State Electricity Profile 2010. EIA. 30 Jan 2012. Accessed 14 Nov 2012. http://www.eia.gov/electricity/state/newjersey/</t>
    </r>
  </si>
  <si>
    <r>
      <rPr>
        <b/>
        <sz val="10"/>
        <rFont val="Arial"/>
        <family val="2"/>
      </rPr>
      <t>2</t>
    </r>
    <r>
      <rPr>
        <sz val="10"/>
        <rFont val="Arial"/>
        <family val="2"/>
      </rPr>
      <t xml:space="preserve"> New Jersey: State Profile and Energy Estimates. EIA. 18 Oct 2012. Accessed 14 Nov 2012. http://www.eia.gov/beta/state/data.cfm?sid=NJ#Consumption</t>
    </r>
  </si>
  <si>
    <t>LFG flow to energy generation
(mmscfy)</t>
  </si>
  <si>
    <t>Fuel Yield Assumptions (same as version 1)</t>
  </si>
  <si>
    <r>
      <t>Avoided Equivalent Emissions Reduced Calculations for Direct-Use Projects</t>
    </r>
    <r>
      <rPr>
        <b/>
        <vertAlign val="superscript"/>
        <sz val="9"/>
        <rFont val="Arial"/>
        <family val="2"/>
      </rPr>
      <t>2</t>
    </r>
    <r>
      <rPr>
        <b/>
        <sz val="9"/>
        <rFont val="Arial"/>
        <family val="2"/>
      </rPr>
      <t>:</t>
    </r>
  </si>
  <si>
    <t>Lynn Schmidt</t>
  </si>
  <si>
    <t>Salem County Landfill - Site Manager</t>
  </si>
  <si>
    <t>lschmidt@scianj.org</t>
  </si>
  <si>
    <t>Transportation Fuel Potential
(DGE/yr)</t>
  </si>
  <si>
    <t>Transportation Fuel Potential Diesel (TFPD) equation</t>
  </si>
  <si>
    <t>TFP = C6*506*7.2</t>
  </si>
  <si>
    <t>CO2EPA = C6*0.9*1000000*0.5*(1012/1050)*0.12059/2000</t>
  </si>
  <si>
    <t>CO2OM = 0.026345733333*1000000*C6*2.20462/2000</t>
  </si>
  <si>
    <t>CO2CG = D6*(0.00892*1.10231)</t>
  </si>
  <si>
    <t>TFPD = D6*(1/1.136)</t>
  </si>
  <si>
    <t>Jack Whitman</t>
  </si>
  <si>
    <t>Edgeboro International, Inc. - Vice President</t>
  </si>
  <si>
    <t>jswhitman@edgeboro.com</t>
  </si>
  <si>
    <t xml:space="preserve">Wood Composition percentage given by Guy Watson, Bureau Chief of the Bureau of Recycling and Planning, on 5/21/13 </t>
  </si>
  <si>
    <t>Guy Watson</t>
  </si>
  <si>
    <t>Guy.Watson@dep.state.nj.us</t>
  </si>
  <si>
    <t>Total Sludge Production</t>
  </si>
  <si>
    <r>
      <t>LFG Estimates</t>
    </r>
    <r>
      <rPr>
        <b/>
        <vertAlign val="superscript"/>
        <sz val="12"/>
        <color indexed="9"/>
        <rFont val="Arial"/>
        <family val="2"/>
      </rPr>
      <t>2</t>
    </r>
    <r>
      <rPr>
        <b/>
        <sz val="12"/>
        <color indexed="9"/>
        <rFont val="Arial"/>
        <family val="2"/>
      </rPr>
      <t xml:space="preserve"> (mmscfy)</t>
    </r>
  </si>
  <si>
    <t>Net Biosolids Available</t>
  </si>
  <si>
    <t>3 Sewage Sludge Production by Management Mode (2011). Bureau of Pretreatment and Residuals. NJDEP. 25 Jan 2013. Accessed 22 May 2013. &lt;http://www.nj.gov/dep/dwq/sludge.htm&gt;.</t>
  </si>
  <si>
    <r>
      <t>Sorghum</t>
    </r>
    <r>
      <rPr>
        <b/>
        <vertAlign val="superscript"/>
        <sz val="10"/>
        <rFont val="Arial"/>
        <family val="2"/>
      </rPr>
      <t>4</t>
    </r>
  </si>
  <si>
    <r>
      <t>Rye</t>
    </r>
    <r>
      <rPr>
        <b/>
        <vertAlign val="superscript"/>
        <sz val="10"/>
        <rFont val="Arial"/>
        <family val="2"/>
      </rPr>
      <t>4</t>
    </r>
  </si>
  <si>
    <t>4 USDA Crop Production Summary. Accessed August 2011. http://usda01.library.cornell.edu/usda/current/CropProdSu/CropProdSu-01-12-2012.pdf</t>
  </si>
  <si>
    <r>
      <t>Food Waste</t>
    </r>
    <r>
      <rPr>
        <vertAlign val="superscript"/>
        <sz val="10"/>
        <rFont val="Arial"/>
        <family val="2"/>
      </rPr>
      <t>5</t>
    </r>
  </si>
  <si>
    <r>
      <t>Paper Waste</t>
    </r>
    <r>
      <rPr>
        <vertAlign val="superscript"/>
        <sz val="10"/>
        <rFont val="Arial"/>
        <family val="2"/>
      </rPr>
      <t>6</t>
    </r>
  </si>
  <si>
    <r>
      <t>Total Biomass</t>
    </r>
    <r>
      <rPr>
        <vertAlign val="superscript"/>
        <sz val="10"/>
        <rFont val="Arial"/>
        <family val="2"/>
      </rPr>
      <t>7</t>
    </r>
  </si>
  <si>
    <t>5 Percentage given by Priscilla Hayes, Materials Management and Educational Consultant</t>
  </si>
  <si>
    <t>6 Percentage given by Ray Worob of NJDEP</t>
  </si>
  <si>
    <t>7 Municipal Solid Waste. EPA. Accessed 1 Feb 2013. http://www.epa.gov/epawaste/nonhaz/municipal/index.htm</t>
  </si>
  <si>
    <t>8 U.S. Census Bureau: Population Estimates. Accessed  Nov 2012. http://www.census.gov/popest/data/historical/2000s/index.html</t>
  </si>
  <si>
    <t>Manure Production (lbs/year/unit)</t>
  </si>
  <si>
    <t>Availablity Factor</t>
  </si>
  <si>
    <t>Bedding/ Animal/Day (lbs)</t>
  </si>
  <si>
    <t>Biosolids to Power - Electricity Production</t>
  </si>
  <si>
    <t>Biosolids Amount
(dry tons/yr)</t>
  </si>
  <si>
    <r>
      <t>0.2916239 - weighted average efficiency for engines, gas turbines, and boiler/steam turbines</t>
    </r>
    <r>
      <rPr>
        <vertAlign val="superscript"/>
        <sz val="9"/>
        <color theme="1"/>
        <rFont val="Arial"/>
        <family val="2"/>
      </rPr>
      <t>1</t>
    </r>
    <r>
      <rPr>
        <sz val="9"/>
        <color theme="1"/>
        <rFont val="Arial"/>
        <family val="2"/>
      </rPr>
      <t xml:space="preserve"> (attained by dividing 3412 Btu/kWh by the given 11,700 Btu/kWh) (multiply)</t>
    </r>
  </si>
  <si>
    <r>
      <t>Potential CO</t>
    </r>
    <r>
      <rPr>
        <u/>
        <vertAlign val="subscript"/>
        <sz val="9"/>
        <color theme="1"/>
        <rFont val="Arial"/>
        <family val="2"/>
      </rPr>
      <t>2</t>
    </r>
    <r>
      <rPr>
        <u/>
        <sz val="9"/>
        <color theme="1"/>
        <rFont val="Arial"/>
        <family val="2"/>
      </rPr>
      <t xml:space="preserve"> Produced: EPA (CO2EPA) equation*</t>
    </r>
  </si>
  <si>
    <t>0.9 - gross capacity factor (multiply)</t>
  </si>
  <si>
    <t>(1012/1050) - energy content ratio between methane (1012 Btu/scf) and natural gas (1050 Btu/scf) (multiply)</t>
  </si>
  <si>
    <t>0.12059 - pounds of carbon dioxide per scf of natural gas (multiply)</t>
  </si>
  <si>
    <r>
      <t>Potential CO</t>
    </r>
    <r>
      <rPr>
        <u/>
        <vertAlign val="subscript"/>
        <sz val="9"/>
        <color theme="1"/>
        <rFont val="Arial"/>
        <family val="2"/>
      </rPr>
      <t>2</t>
    </r>
    <r>
      <rPr>
        <u/>
        <sz val="9"/>
        <color theme="1"/>
        <rFont val="Arial"/>
        <family val="2"/>
      </rPr>
      <t xml:space="preserve"> Produced: Other (CO2OM) equation</t>
    </r>
  </si>
  <si>
    <r>
      <t>0.026345733333 - amount of CO</t>
    </r>
    <r>
      <rPr>
        <vertAlign val="subscript"/>
        <sz val="9"/>
        <color theme="1"/>
        <rFont val="Arial"/>
        <family val="2"/>
      </rPr>
      <t>2</t>
    </r>
    <r>
      <rPr>
        <sz val="9"/>
        <color theme="1"/>
        <rFont val="Arial"/>
        <family val="2"/>
      </rPr>
      <t xml:space="preserve"> in kg in one scf of landfill gas** (multiply)</t>
    </r>
  </si>
  <si>
    <r>
      <t>*Equation used to calculate CO</t>
    </r>
    <r>
      <rPr>
        <vertAlign val="subscript"/>
        <sz val="9"/>
        <color theme="1"/>
        <rFont val="Arial"/>
        <family val="2"/>
      </rPr>
      <t>2</t>
    </r>
    <r>
      <rPr>
        <sz val="9"/>
        <color theme="1"/>
        <rFont val="Arial"/>
        <family val="2"/>
      </rPr>
      <t xml:space="preserve"> produced is that of EPA's (below) for MMTCO2E/yr, but without the last two conversions in order to keep it in tons CO</t>
    </r>
    <r>
      <rPr>
        <vertAlign val="subscript"/>
        <sz val="9"/>
        <color theme="1"/>
        <rFont val="Arial"/>
        <family val="2"/>
      </rPr>
      <t>2</t>
    </r>
    <r>
      <rPr>
        <sz val="9"/>
        <color theme="1"/>
        <rFont val="Arial"/>
        <family val="2"/>
      </rPr>
      <t>/yr</t>
    </r>
  </si>
  <si>
    <r>
      <t>**Process used to determine amount of CO</t>
    </r>
    <r>
      <rPr>
        <vertAlign val="subscript"/>
        <sz val="9"/>
        <color theme="1"/>
        <rFont val="Arial"/>
        <family val="2"/>
      </rPr>
      <t>2</t>
    </r>
    <r>
      <rPr>
        <sz val="9"/>
        <color theme="1"/>
        <rFont val="Arial"/>
        <family val="2"/>
      </rPr>
      <t xml:space="preserve"> (kg) in landfill gas</t>
    </r>
    <r>
      <rPr>
        <vertAlign val="superscript"/>
        <sz val="9"/>
        <color theme="1"/>
        <rFont val="Arial"/>
        <family val="2"/>
      </rPr>
      <t>3</t>
    </r>
    <r>
      <rPr>
        <sz val="9"/>
        <color theme="1"/>
        <rFont val="Arial"/>
        <family val="2"/>
      </rPr>
      <t xml:space="preserve"> (scf) (An example calculation is shown on page 6 of source):</t>
    </r>
  </si>
  <si>
    <r>
      <t xml:space="preserve"> LFG content of 50% CH</t>
    </r>
    <r>
      <rPr>
        <vertAlign val="subscript"/>
        <sz val="9"/>
        <color theme="1"/>
        <rFont val="Arial"/>
        <family val="2"/>
      </rPr>
      <t>4</t>
    </r>
    <r>
      <rPr>
        <sz val="9"/>
        <color theme="1"/>
        <rFont val="Arial"/>
        <family val="2"/>
      </rPr>
      <t xml:space="preserve"> and 50% CO</t>
    </r>
    <r>
      <rPr>
        <vertAlign val="subscript"/>
        <sz val="9"/>
        <color theme="1"/>
        <rFont val="Arial"/>
        <family val="2"/>
      </rPr>
      <t>2</t>
    </r>
    <r>
      <rPr>
        <sz val="9"/>
        <color theme="1"/>
        <rFont val="Arial"/>
        <family val="2"/>
      </rPr>
      <t>, LFG HHV = 506 Btu/scf, Carbon Content Coefficient = 14.2 kg C(carbon)/MMBtu, Fraction Oxidized = 1</t>
    </r>
  </si>
  <si>
    <r>
      <t>3. Determine CO</t>
    </r>
    <r>
      <rPr>
        <vertAlign val="subscript"/>
        <sz val="9"/>
        <color theme="1"/>
        <rFont val="Arial"/>
        <family val="2"/>
      </rPr>
      <t>2</t>
    </r>
    <r>
      <rPr>
        <sz val="9"/>
        <color theme="1"/>
        <rFont val="Arial"/>
        <family val="2"/>
      </rPr>
      <t xml:space="preserve"> emissions by molar fraction</t>
    </r>
  </si>
  <si>
    <r>
      <t>0.0071852 kg C/scf * (44 kg CO</t>
    </r>
    <r>
      <rPr>
        <vertAlign val="subscript"/>
        <sz val="9"/>
        <color theme="1"/>
        <rFont val="Arial"/>
        <family val="2"/>
      </rPr>
      <t>2</t>
    </r>
    <r>
      <rPr>
        <sz val="9"/>
        <color theme="1"/>
        <rFont val="Arial"/>
        <family val="2"/>
      </rPr>
      <t>/12 kg C) = 0.026345733333 kg CO</t>
    </r>
    <r>
      <rPr>
        <vertAlign val="subscript"/>
        <sz val="9"/>
        <color theme="1"/>
        <rFont val="Arial"/>
        <family val="2"/>
      </rPr>
      <t>2</t>
    </r>
    <r>
      <rPr>
        <sz val="9"/>
        <color theme="1"/>
        <rFont val="Arial"/>
        <family val="2"/>
      </rPr>
      <t>/scf</t>
    </r>
  </si>
  <si>
    <r>
      <t>Note: This method, as well as the EPA Calculator, only considers the CO</t>
    </r>
    <r>
      <rPr>
        <vertAlign val="subscript"/>
        <sz val="9"/>
        <color theme="1"/>
        <rFont val="Arial"/>
        <family val="2"/>
      </rPr>
      <t>2</t>
    </r>
    <r>
      <rPr>
        <sz val="9"/>
        <color theme="1"/>
        <rFont val="Arial"/>
        <family val="2"/>
      </rPr>
      <t xml:space="preserve"> produced from the methane portion of the LFG. The CO</t>
    </r>
    <r>
      <rPr>
        <vertAlign val="subscript"/>
        <sz val="9"/>
        <color theme="1"/>
        <rFont val="Arial"/>
        <family val="2"/>
      </rPr>
      <t>2</t>
    </r>
    <r>
      <rPr>
        <sz val="9"/>
        <color theme="1"/>
        <rFont val="Arial"/>
        <family val="2"/>
      </rPr>
      <t xml:space="preserve"> portion of LFG is deemed as naturally occurring and does not add to greenhouse gas emissions</t>
    </r>
  </si>
  <si>
    <r>
      <rPr>
        <vertAlign val="superscript"/>
        <sz val="9"/>
        <color theme="1"/>
        <rFont val="Arial"/>
        <family val="2"/>
      </rPr>
      <t>1</t>
    </r>
    <r>
      <rPr>
        <sz val="9"/>
        <color theme="1"/>
        <rFont val="Arial"/>
        <family val="2"/>
      </rPr>
      <t xml:space="preserve"> CO</t>
    </r>
    <r>
      <rPr>
        <vertAlign val="subscript"/>
        <sz val="9"/>
        <color theme="1"/>
        <rFont val="Arial"/>
        <family val="2"/>
      </rPr>
      <t>2</t>
    </r>
    <r>
      <rPr>
        <sz val="9"/>
        <color theme="1"/>
        <rFont val="Arial"/>
        <family val="2"/>
      </rPr>
      <t xml:space="preserve"> Emissions Rates of Marginal Units and Average CO</t>
    </r>
    <r>
      <rPr>
        <vertAlign val="subscript"/>
        <sz val="9"/>
        <color theme="1"/>
        <rFont val="Arial"/>
        <family val="2"/>
      </rPr>
      <t>2</t>
    </r>
    <r>
      <rPr>
        <sz val="9"/>
        <color theme="1"/>
        <rFont val="Arial"/>
        <family val="2"/>
      </rPr>
      <t xml:space="preserve"> Emissions Rates. PJM. 2009. Accessed 15 May 2013. &lt;http://www.pjm.com/Home/markets-and-operations/~/media/documents/reports/co2-emissions-report.ashx&gt;</t>
    </r>
  </si>
  <si>
    <r>
      <rPr>
        <vertAlign val="superscript"/>
        <sz val="9"/>
        <color theme="1"/>
        <rFont val="Arial"/>
        <family val="2"/>
      </rPr>
      <t>2</t>
    </r>
    <r>
      <rPr>
        <sz val="9"/>
        <color theme="1"/>
        <rFont val="Arial"/>
        <family val="2"/>
      </rPr>
      <t xml:space="preserve"> Emission Reductions and Environmental and Energy Benefits for Landfill Gas Energy Projects. LMOP. Accessed Feb 2013. &lt;http://www.epa.gov/lmop/projects-candidates/lfge-calculator.html&gt;</t>
    </r>
  </si>
  <si>
    <r>
      <rPr>
        <vertAlign val="superscript"/>
        <sz val="9"/>
        <color theme="1"/>
        <rFont val="Arial"/>
        <family val="2"/>
      </rPr>
      <t>3</t>
    </r>
    <r>
      <rPr>
        <sz val="9"/>
        <color theme="1"/>
        <rFont val="Arial"/>
        <family val="2"/>
      </rPr>
      <t xml:space="preserve"> Direct Emissions from Stationary Combustion Sources. EPA. May 2008. Accessed Feb 2013. &lt;http://www.epa.gov/climateleadership/documents/resources/stationarycombustionguidance.pdf&gt;</t>
    </r>
  </si>
  <si>
    <r>
      <t>Potential CO</t>
    </r>
    <r>
      <rPr>
        <b/>
        <vertAlign val="subscript"/>
        <sz val="10"/>
        <color theme="0"/>
        <rFont val="Arial"/>
        <family val="2"/>
      </rPr>
      <t>2</t>
    </r>
    <r>
      <rPr>
        <b/>
        <sz val="10"/>
        <color theme="0"/>
        <rFont val="Arial"/>
        <family val="2"/>
      </rPr>
      <t xml:space="preserve"> Produced: EPA Calculator Method
(tons/yr)</t>
    </r>
  </si>
  <si>
    <r>
      <t>Potential CO</t>
    </r>
    <r>
      <rPr>
        <b/>
        <vertAlign val="subscript"/>
        <sz val="10"/>
        <color theme="0"/>
        <rFont val="Arial"/>
        <family val="2"/>
      </rPr>
      <t>2</t>
    </r>
    <r>
      <rPr>
        <b/>
        <sz val="10"/>
        <color theme="0"/>
        <rFont val="Arial"/>
        <family val="2"/>
      </rPr>
      <t xml:space="preserve"> Produced: Other method 
(tons/yr)</t>
    </r>
  </si>
  <si>
    <r>
      <t>Potential CO</t>
    </r>
    <r>
      <rPr>
        <b/>
        <vertAlign val="subscript"/>
        <sz val="10"/>
        <color theme="0"/>
        <rFont val="Arial"/>
        <family val="2"/>
      </rPr>
      <t>2</t>
    </r>
    <r>
      <rPr>
        <b/>
        <sz val="10"/>
        <color theme="0"/>
        <rFont val="Arial"/>
        <family val="2"/>
      </rPr>
      <t xml:space="preserve"> Displaced</t>
    </r>
    <r>
      <rPr>
        <b/>
        <vertAlign val="superscript"/>
        <sz val="10"/>
        <color theme="0"/>
        <rFont val="Arial"/>
        <family val="2"/>
      </rPr>
      <t>1</t>
    </r>
    <r>
      <rPr>
        <b/>
        <sz val="10"/>
        <color theme="0"/>
        <rFont val="Arial"/>
        <family val="2"/>
      </rPr>
      <t xml:space="preserve">
(tons/yr)</t>
    </r>
  </si>
  <si>
    <r>
      <t>Potential CO</t>
    </r>
    <r>
      <rPr>
        <b/>
        <vertAlign val="subscript"/>
        <sz val="10"/>
        <color theme="0"/>
        <rFont val="Arial"/>
        <family val="2"/>
      </rPr>
      <t>2</t>
    </r>
    <r>
      <rPr>
        <b/>
        <sz val="10"/>
        <color theme="0"/>
        <rFont val="Arial"/>
        <family val="2"/>
      </rPr>
      <t xml:space="preserve"> Produced: Other method
(tons/yr)</t>
    </r>
  </si>
  <si>
    <r>
      <t>Potential CO</t>
    </r>
    <r>
      <rPr>
        <b/>
        <vertAlign val="subscript"/>
        <sz val="10"/>
        <color theme="0"/>
        <rFont val="Arial"/>
        <family val="2"/>
      </rPr>
      <t>2</t>
    </r>
    <r>
      <rPr>
        <b/>
        <sz val="10"/>
        <color theme="0"/>
        <rFont val="Arial"/>
        <family val="2"/>
      </rPr>
      <t xml:space="preserve"> Displaced
(tons/yr)</t>
    </r>
  </si>
  <si>
    <r>
      <t>Potential CO</t>
    </r>
    <r>
      <rPr>
        <b/>
        <vertAlign val="subscript"/>
        <sz val="10"/>
        <color theme="0"/>
        <rFont val="Arial"/>
        <family val="2"/>
      </rPr>
      <t>2</t>
    </r>
    <r>
      <rPr>
        <b/>
        <sz val="10"/>
        <color theme="0"/>
        <rFont val="Arial"/>
        <family val="2"/>
      </rPr>
      <t xml:space="preserve"> Produced: My method
(tons/yr)</t>
    </r>
  </si>
  <si>
    <r>
      <t>Note: the difference between the other method's CO</t>
    </r>
    <r>
      <rPr>
        <vertAlign val="subscript"/>
        <sz val="9"/>
        <color theme="1"/>
        <rFont val="Arial"/>
        <family val="2"/>
      </rPr>
      <t>2</t>
    </r>
    <r>
      <rPr>
        <sz val="9"/>
        <color theme="1"/>
        <rFont val="Arial"/>
        <family val="2"/>
      </rPr>
      <t xml:space="preserve"> production and that of the EPA calculator is 11.05%, which can easily be explained by the calculator's use of a 0.9 gross capacity factor</t>
    </r>
  </si>
  <si>
    <r>
      <t>7.2 - Transportation fuel production (GGE) per MMBtu</t>
    </r>
    <r>
      <rPr>
        <vertAlign val="superscript"/>
        <sz val="9"/>
        <color theme="1"/>
        <rFont val="Arial"/>
        <family val="2"/>
      </rPr>
      <t>1</t>
    </r>
    <r>
      <rPr>
        <sz val="9"/>
        <color theme="1"/>
        <rFont val="Arial"/>
        <family val="2"/>
      </rPr>
      <t xml:space="preserve"> (multiply)</t>
    </r>
  </si>
  <si>
    <r>
      <t>(1/1.136) - converting GGE to DGE, 1 DGE = 1.136 GGE</t>
    </r>
    <r>
      <rPr>
        <vertAlign val="superscript"/>
        <sz val="9"/>
        <color theme="1"/>
        <rFont val="Arial"/>
        <family val="2"/>
      </rPr>
      <t xml:space="preserve">2 </t>
    </r>
    <r>
      <rPr>
        <sz val="9"/>
        <color theme="1"/>
        <rFont val="Arial"/>
        <family val="2"/>
      </rPr>
      <t>(multiply)</t>
    </r>
  </si>
  <si>
    <r>
      <t>Potential CO</t>
    </r>
    <r>
      <rPr>
        <u/>
        <vertAlign val="subscript"/>
        <sz val="9"/>
        <color theme="1"/>
        <rFont val="Arial"/>
        <family val="2"/>
      </rPr>
      <t>2</t>
    </r>
    <r>
      <rPr>
        <u/>
        <sz val="9"/>
        <color theme="1"/>
        <rFont val="Arial"/>
        <family val="2"/>
      </rPr>
      <t xml:space="preserve"> Produced: convential gasoline (CO2CG) equation</t>
    </r>
  </si>
  <si>
    <r>
      <t>0.00892 - metric tons of CO</t>
    </r>
    <r>
      <rPr>
        <vertAlign val="subscript"/>
        <sz val="9"/>
        <color theme="1"/>
        <rFont val="Arial"/>
        <family val="2"/>
      </rPr>
      <t>2</t>
    </r>
    <r>
      <rPr>
        <sz val="9"/>
        <color theme="1"/>
        <rFont val="Arial"/>
        <family val="2"/>
      </rPr>
      <t xml:space="preserve"> per gallon of gasoline</t>
    </r>
    <r>
      <rPr>
        <vertAlign val="superscript"/>
        <sz val="9"/>
        <color theme="1"/>
        <rFont val="Arial"/>
        <family val="2"/>
      </rPr>
      <t>3</t>
    </r>
    <r>
      <rPr>
        <sz val="9"/>
        <color theme="1"/>
        <rFont val="Arial"/>
        <family val="2"/>
      </rPr>
      <t xml:space="preserve"> (multiply)</t>
    </r>
  </si>
  <si>
    <r>
      <t>Avoided Equivalent Emissions Reduced Calculations for Direct-Use Projects</t>
    </r>
    <r>
      <rPr>
        <b/>
        <vertAlign val="superscript"/>
        <sz val="9"/>
        <rFont val="Arial"/>
        <family val="2"/>
      </rPr>
      <t>4</t>
    </r>
    <r>
      <rPr>
        <b/>
        <sz val="9"/>
        <rFont val="Arial"/>
        <family val="2"/>
      </rPr>
      <t>:</t>
    </r>
  </si>
  <si>
    <r>
      <t>**Process used to determine amount of CO</t>
    </r>
    <r>
      <rPr>
        <vertAlign val="subscript"/>
        <sz val="9"/>
        <color theme="1"/>
        <rFont val="Arial"/>
        <family val="2"/>
      </rPr>
      <t>2</t>
    </r>
    <r>
      <rPr>
        <sz val="9"/>
        <color theme="1"/>
        <rFont val="Arial"/>
        <family val="2"/>
      </rPr>
      <t xml:space="preserve"> (kg) in landfill gas</t>
    </r>
    <r>
      <rPr>
        <vertAlign val="superscript"/>
        <sz val="9"/>
        <color theme="1"/>
        <rFont val="Arial"/>
        <family val="2"/>
      </rPr>
      <t>5</t>
    </r>
    <r>
      <rPr>
        <sz val="9"/>
        <color theme="1"/>
        <rFont val="Arial"/>
        <family val="2"/>
      </rPr>
      <t xml:space="preserve"> (scf) (An example calculation is shown on page 6 of source):</t>
    </r>
  </si>
  <si>
    <r>
      <t xml:space="preserve"> LFG content of 50% CH</t>
    </r>
    <r>
      <rPr>
        <vertAlign val="subscript"/>
        <sz val="9"/>
        <color theme="1"/>
        <rFont val="Arial"/>
        <family val="2"/>
      </rPr>
      <t>4</t>
    </r>
    <r>
      <rPr>
        <sz val="9"/>
        <color theme="1"/>
        <rFont val="Arial"/>
        <family val="2"/>
      </rPr>
      <t xml:space="preserve"> and 50% CO</t>
    </r>
    <r>
      <rPr>
        <vertAlign val="subscript"/>
        <sz val="9"/>
        <color theme="1"/>
        <rFont val="Arial"/>
        <family val="2"/>
      </rPr>
      <t>2</t>
    </r>
    <r>
      <rPr>
        <sz val="9"/>
        <color theme="1"/>
        <rFont val="Arial"/>
        <family val="2"/>
      </rPr>
      <t>, LFG HHV = 506 Btu/scf, LFG Carbon Content Coefficient = 14.2 kg C(carbon)/MMBtu, Fraction Oxidized = 1</t>
    </r>
  </si>
  <si>
    <r>
      <rPr>
        <vertAlign val="superscript"/>
        <sz val="9"/>
        <color theme="1"/>
        <rFont val="Arial"/>
        <family val="2"/>
      </rPr>
      <t>1</t>
    </r>
    <r>
      <rPr>
        <sz val="9"/>
        <color theme="1"/>
        <rFont val="Arial"/>
        <family val="2"/>
      </rPr>
      <t xml:space="preserve"> BTUs, CFMs, and GGEs Demystified. Nat-G: CNG Solutions. Accessed 5 May 2013. &lt;http://www.nat-g.com/why-cng/cng-units-explained/&gt;</t>
    </r>
  </si>
  <si>
    <r>
      <rPr>
        <vertAlign val="superscript"/>
        <sz val="9"/>
        <color theme="1"/>
        <rFont val="Arial"/>
        <family val="2"/>
      </rPr>
      <t>2</t>
    </r>
    <r>
      <rPr>
        <sz val="9"/>
        <color theme="1"/>
        <rFont val="Arial"/>
        <family val="2"/>
      </rPr>
      <t xml:space="preserve"> Bioenergy Calculator. Technology Assumptions sheet, cell B29.</t>
    </r>
  </si>
  <si>
    <r>
      <rPr>
        <vertAlign val="superscript"/>
        <sz val="9"/>
        <color theme="1"/>
        <rFont val="Arial"/>
        <family val="2"/>
      </rPr>
      <t>3</t>
    </r>
    <r>
      <rPr>
        <sz val="9"/>
        <color theme="1"/>
        <rFont val="Arial"/>
        <family val="2"/>
      </rPr>
      <t xml:space="preserve"> Clean Energy: Calculations and References. EPA. Accessed 2 Mar 2013. &lt;http://www.epa.gov/cleanenergy/energy-resources/refs.html&gt;</t>
    </r>
  </si>
  <si>
    <r>
      <rPr>
        <vertAlign val="superscript"/>
        <sz val="9"/>
        <color theme="1"/>
        <rFont val="Arial"/>
        <family val="2"/>
      </rPr>
      <t>4</t>
    </r>
    <r>
      <rPr>
        <sz val="9"/>
        <color theme="1"/>
        <rFont val="Arial"/>
        <family val="2"/>
      </rPr>
      <t xml:space="preserve"> Emission Reductions and Environmental and Energy Benefits for Landfill Gas Energy Projects. LMOP. Accessed Feb 2013. &lt;http://www.epa.gov/lmop/projects-candidates/lfge-calculator.html&gt;</t>
    </r>
  </si>
  <si>
    <r>
      <rPr>
        <vertAlign val="superscript"/>
        <sz val="9"/>
        <color theme="1"/>
        <rFont val="Arial"/>
        <family val="2"/>
      </rPr>
      <t>5</t>
    </r>
    <r>
      <rPr>
        <sz val="9"/>
        <color theme="1"/>
        <rFont val="Arial"/>
        <family val="2"/>
      </rPr>
      <t xml:space="preserve"> Direct Emissions from Stationary Combustion Sources. EPA. May 2008. Accessed Feb 2013. &lt;http://www.epa.gov/climateleadership/documents/resources/stationarycombustionguidance.pdf&gt;</t>
    </r>
  </si>
  <si>
    <r>
      <t>CO</t>
    </r>
    <r>
      <rPr>
        <b/>
        <vertAlign val="subscript"/>
        <sz val="10"/>
        <color theme="0"/>
        <rFont val="Arial"/>
        <family val="2"/>
      </rPr>
      <t>2</t>
    </r>
    <r>
      <rPr>
        <b/>
        <sz val="10"/>
        <color theme="0"/>
        <rFont val="Arial"/>
        <family val="2"/>
      </rPr>
      <t xml:space="preserve"> Produced: conventional gasoline (equivalent amount)
(tons/yr)</t>
    </r>
  </si>
  <si>
    <r>
      <t>Potential CO</t>
    </r>
    <r>
      <rPr>
        <b/>
        <vertAlign val="subscript"/>
        <sz val="10"/>
        <color theme="0"/>
        <rFont val="Arial"/>
        <family val="2"/>
      </rPr>
      <t>2</t>
    </r>
    <r>
      <rPr>
        <b/>
        <sz val="10"/>
        <color theme="0"/>
        <rFont val="Arial"/>
        <family val="2"/>
      </rPr>
      <t xml:space="preserve"> savings: EPA
(tons/yr)</t>
    </r>
  </si>
  <si>
    <r>
      <t>Potential CO</t>
    </r>
    <r>
      <rPr>
        <b/>
        <vertAlign val="subscript"/>
        <sz val="10"/>
        <color theme="0"/>
        <rFont val="Arial"/>
        <family val="2"/>
      </rPr>
      <t>2</t>
    </r>
    <r>
      <rPr>
        <b/>
        <sz val="10"/>
        <color theme="0"/>
        <rFont val="Arial"/>
        <family val="2"/>
      </rPr>
      <t xml:space="preserve"> savings: Other
(tons/yr)</t>
    </r>
  </si>
  <si>
    <r>
      <t>Potential CO</t>
    </r>
    <r>
      <rPr>
        <b/>
        <vertAlign val="subscript"/>
        <sz val="10"/>
        <color theme="0"/>
        <rFont val="Arial"/>
        <family val="2"/>
      </rPr>
      <t>2</t>
    </r>
    <r>
      <rPr>
        <b/>
        <sz val="10"/>
        <color theme="0"/>
        <rFont val="Arial"/>
        <family val="2"/>
      </rPr>
      <t xml:space="preserve"> Produced
(tons/yr)</t>
    </r>
  </si>
  <si>
    <r>
      <t>113 - average biogas production (in Nm</t>
    </r>
    <r>
      <rPr>
        <vertAlign val="superscript"/>
        <sz val="9"/>
        <color theme="1"/>
        <rFont val="Arial"/>
        <family val="2"/>
      </rPr>
      <t>3</t>
    </r>
    <r>
      <rPr>
        <sz val="9"/>
        <color theme="1"/>
        <rFont val="Arial"/>
        <family val="2"/>
      </rPr>
      <t xml:space="preserve"> - normal cubic meters) per ton of feed material</t>
    </r>
    <r>
      <rPr>
        <vertAlign val="superscript"/>
        <sz val="9"/>
        <color theme="1"/>
        <rFont val="Arial"/>
        <family val="2"/>
      </rPr>
      <t>2</t>
    </r>
    <r>
      <rPr>
        <sz val="9"/>
        <color theme="1"/>
        <rFont val="Arial"/>
        <family val="2"/>
      </rPr>
      <t xml:space="preserve"> (multiply)</t>
    </r>
  </si>
  <si>
    <r>
      <t>6.25 - energy content of biogas</t>
    </r>
    <r>
      <rPr>
        <vertAlign val="superscript"/>
        <sz val="9"/>
        <color theme="1"/>
        <rFont val="Arial"/>
        <family val="2"/>
      </rPr>
      <t>3</t>
    </r>
    <r>
      <rPr>
        <sz val="9"/>
        <color theme="1"/>
        <rFont val="Arial"/>
        <family val="2"/>
      </rPr>
      <t xml:space="preserve"> (kWh/m</t>
    </r>
    <r>
      <rPr>
        <vertAlign val="superscript"/>
        <sz val="9"/>
        <color theme="1"/>
        <rFont val="Arial"/>
        <family val="2"/>
      </rPr>
      <t>3</t>
    </r>
    <r>
      <rPr>
        <sz val="9"/>
        <color theme="1"/>
        <rFont val="Arial"/>
        <family val="2"/>
      </rPr>
      <t>) (multiply)</t>
    </r>
  </si>
  <si>
    <r>
      <t>0.2916239 - weighted average efficiency for engines, gas turbines, and boiler/steam turbines</t>
    </r>
    <r>
      <rPr>
        <vertAlign val="superscript"/>
        <sz val="9"/>
        <color theme="1"/>
        <rFont val="Arial"/>
        <family val="2"/>
      </rPr>
      <t>4</t>
    </r>
    <r>
      <rPr>
        <sz val="9"/>
        <color theme="1"/>
        <rFont val="Arial"/>
        <family val="2"/>
      </rPr>
      <t xml:space="preserve"> (attained by dividing 3412 Btu/kWh by the given 11,700 Btu/kWh) (multiply)</t>
    </r>
  </si>
  <si>
    <r>
      <t>Potential CO</t>
    </r>
    <r>
      <rPr>
        <u/>
        <vertAlign val="subscript"/>
        <sz val="9"/>
        <color theme="1"/>
        <rFont val="Arial"/>
        <family val="2"/>
      </rPr>
      <t>2</t>
    </r>
    <r>
      <rPr>
        <u/>
        <sz val="9"/>
        <color theme="1"/>
        <rFont val="Arial"/>
        <family val="2"/>
      </rPr>
      <t xml:space="preserve"> Produced (COP) equation</t>
    </r>
  </si>
  <si>
    <r>
      <t>113 - average biogas production (in Nm3 - normal cubic meters) per ton of feed material</t>
    </r>
    <r>
      <rPr>
        <vertAlign val="superscript"/>
        <sz val="9"/>
        <color theme="1"/>
        <rFont val="Arial"/>
        <family val="2"/>
      </rPr>
      <t>2</t>
    </r>
    <r>
      <rPr>
        <sz val="9"/>
        <color theme="1"/>
        <rFont val="Arial"/>
        <family val="2"/>
      </rPr>
      <t xml:space="preserve"> (multiply)</t>
    </r>
  </si>
  <si>
    <r>
      <t>0.03144075657 - amount of CO</t>
    </r>
    <r>
      <rPr>
        <vertAlign val="subscript"/>
        <sz val="9"/>
        <color theme="1"/>
        <rFont val="Arial"/>
        <family val="2"/>
      </rPr>
      <t>2</t>
    </r>
    <r>
      <rPr>
        <sz val="9"/>
        <color theme="1"/>
        <rFont val="Arial"/>
        <family val="2"/>
      </rPr>
      <t xml:space="preserve"> in kg in one scf of biogas* (multiply)</t>
    </r>
  </si>
  <si>
    <r>
      <t>*Process used to determine amount of CO</t>
    </r>
    <r>
      <rPr>
        <vertAlign val="subscript"/>
        <sz val="9"/>
        <color theme="1"/>
        <rFont val="Arial"/>
        <family val="2"/>
      </rPr>
      <t>2</t>
    </r>
    <r>
      <rPr>
        <sz val="9"/>
        <color theme="1"/>
        <rFont val="Arial"/>
        <family val="2"/>
      </rPr>
      <t xml:space="preserve"> (kg) in biogas</t>
    </r>
    <r>
      <rPr>
        <vertAlign val="superscript"/>
        <sz val="9"/>
        <color theme="1"/>
        <rFont val="Arial"/>
        <family val="2"/>
      </rPr>
      <t>5</t>
    </r>
    <r>
      <rPr>
        <sz val="9"/>
        <color theme="1"/>
        <rFont val="Arial"/>
        <family val="2"/>
      </rPr>
      <t xml:space="preserve"> (scf) (An example calculation is shown on page 6 of source):</t>
    </r>
  </si>
  <si>
    <r>
      <t>Biogas content of 65% CH</t>
    </r>
    <r>
      <rPr>
        <vertAlign val="subscript"/>
        <sz val="9"/>
        <color theme="1"/>
        <rFont val="Arial"/>
        <family val="2"/>
      </rPr>
      <t>4</t>
    </r>
    <r>
      <rPr>
        <sz val="9"/>
        <color theme="1"/>
        <rFont val="Arial"/>
        <family val="2"/>
      </rPr>
      <t>, biogas HHV = 603.8 Btu/scf, biogas Carbon Content Coefficient = 14.2 kg C(carbon)/MMBtu, Fraction Oxidized = 1</t>
    </r>
  </si>
  <si>
    <r>
      <t>0.0085748 kg C/scf * (44 kg CO</t>
    </r>
    <r>
      <rPr>
        <vertAlign val="subscript"/>
        <sz val="9"/>
        <color theme="1"/>
        <rFont val="Arial"/>
        <family val="2"/>
      </rPr>
      <t>2</t>
    </r>
    <r>
      <rPr>
        <sz val="9"/>
        <color theme="1"/>
        <rFont val="Arial"/>
        <family val="2"/>
      </rPr>
      <t>/12 kg C) = 0.03144075657 kg CO</t>
    </r>
    <r>
      <rPr>
        <vertAlign val="subscript"/>
        <sz val="9"/>
        <color theme="1"/>
        <rFont val="Arial"/>
        <family val="2"/>
      </rPr>
      <t>2</t>
    </r>
    <r>
      <rPr>
        <sz val="9"/>
        <color theme="1"/>
        <rFont val="Arial"/>
        <family val="2"/>
      </rPr>
      <t>/scf</t>
    </r>
  </si>
  <si>
    <r>
      <rPr>
        <vertAlign val="superscript"/>
        <sz val="9"/>
        <color theme="1"/>
        <rFont val="Arial"/>
        <family val="2"/>
      </rPr>
      <t>1</t>
    </r>
    <r>
      <rPr>
        <sz val="9"/>
        <color theme="1"/>
        <rFont val="Arial"/>
        <family val="2"/>
      </rPr>
      <t xml:space="preserve"> CO2 Emissions Rates of Marginal Units and Average CO2 Emissions Rates. PJM. 2009. Accessed 15 May 2013. &lt;http://www.pjm.com/Home/markets-and-operations/~/media/documents/reports/co2-emissions-report.ashx&gt;</t>
    </r>
  </si>
  <si>
    <r>
      <rPr>
        <vertAlign val="superscript"/>
        <sz val="9"/>
        <color theme="1"/>
        <rFont val="Arial"/>
        <family val="2"/>
      </rPr>
      <t>2</t>
    </r>
    <r>
      <rPr>
        <sz val="9"/>
        <color theme="1"/>
        <rFont val="Arial"/>
        <family val="2"/>
      </rPr>
      <t xml:space="preserve"> Arsova, Ljupka. Anaerobic digestion of food waste: Current status, problems and an alternative product. Columbia University. May 2010. Accessed 27 Mar 2013. &lt;http://www.seas.columbia.edu/earth/wtert/sofos/arsova_thesis.pdf&gt;</t>
    </r>
  </si>
  <si>
    <r>
      <rPr>
        <vertAlign val="superscript"/>
        <sz val="9"/>
        <color theme="1"/>
        <rFont val="Arial"/>
        <family val="2"/>
      </rPr>
      <t>3</t>
    </r>
    <r>
      <rPr>
        <sz val="9"/>
        <color theme="1"/>
        <rFont val="Arial"/>
        <family val="2"/>
      </rPr>
      <t xml:space="preserve"> Curry, Nathan and Pragasen Pillay. Biogas prediction and design of a food waste to energy system for the urban environment. </t>
    </r>
    <r>
      <rPr>
        <i/>
        <sz val="9"/>
        <color theme="1"/>
        <rFont val="Arial"/>
        <family val="2"/>
      </rPr>
      <t>Renewable Energy</t>
    </r>
    <r>
      <rPr>
        <sz val="9"/>
        <color theme="1"/>
        <rFont val="Arial"/>
        <family val="2"/>
      </rPr>
      <t>. Vol. 41. May 2012. Accessed 2 Apr 2013. &lt;http://www.sciencedirect.com/science/article/pii/S0960148111005957&gt;</t>
    </r>
  </si>
  <si>
    <r>
      <t>0.3 - Percent of food waste that is dry matter</t>
    </r>
    <r>
      <rPr>
        <vertAlign val="superscript"/>
        <sz val="9"/>
        <color theme="1"/>
        <rFont val="Arial"/>
        <family val="2"/>
      </rPr>
      <t xml:space="preserve">1 </t>
    </r>
    <r>
      <rPr>
        <sz val="9"/>
        <color theme="1"/>
        <rFont val="Arial"/>
        <family val="2"/>
      </rPr>
      <t>(multiply)</t>
    </r>
  </si>
  <si>
    <r>
      <t>16 - MMBtu per dry ton of food waste</t>
    </r>
    <r>
      <rPr>
        <vertAlign val="superscript"/>
        <sz val="9"/>
        <color theme="1"/>
        <rFont val="Arial"/>
        <family val="2"/>
      </rPr>
      <t xml:space="preserve">2 </t>
    </r>
    <r>
      <rPr>
        <sz val="9"/>
        <color theme="1"/>
        <rFont val="Arial"/>
        <family val="2"/>
      </rPr>
      <t>(multiply)</t>
    </r>
  </si>
  <si>
    <r>
      <t>4.8 - Transportation fuel production (GGE) per MMBtu</t>
    </r>
    <r>
      <rPr>
        <vertAlign val="superscript"/>
        <sz val="9"/>
        <color theme="1"/>
        <rFont val="Arial"/>
        <family val="2"/>
      </rPr>
      <t xml:space="preserve">3 </t>
    </r>
    <r>
      <rPr>
        <sz val="9"/>
        <color theme="1"/>
        <rFont val="Arial"/>
        <family val="2"/>
      </rPr>
      <t>(multiply)</t>
    </r>
  </si>
  <si>
    <r>
      <t>(1/1.136) - converting GGE to DGE, 1 DGE = 1.136 GGE</t>
    </r>
    <r>
      <rPr>
        <vertAlign val="superscript"/>
        <sz val="9"/>
        <color theme="1"/>
        <rFont val="Arial"/>
        <family val="2"/>
      </rPr>
      <t xml:space="preserve">4 </t>
    </r>
    <r>
      <rPr>
        <sz val="9"/>
        <color theme="1"/>
        <rFont val="Arial"/>
        <family val="2"/>
      </rPr>
      <t>(multiply)</t>
    </r>
  </si>
  <si>
    <r>
      <t>113 - average biogas production (in Nm3 - normal cubic meters) per ton of feed material</t>
    </r>
    <r>
      <rPr>
        <vertAlign val="superscript"/>
        <sz val="9"/>
        <color theme="1"/>
        <rFont val="Arial"/>
        <family val="2"/>
      </rPr>
      <t>5</t>
    </r>
    <r>
      <rPr>
        <sz val="9"/>
        <color theme="1"/>
        <rFont val="Arial"/>
        <family val="2"/>
      </rPr>
      <t xml:space="preserve"> (multiply)</t>
    </r>
  </si>
  <si>
    <r>
      <t>0.00892 - metric tons of CO</t>
    </r>
    <r>
      <rPr>
        <vertAlign val="subscript"/>
        <sz val="9"/>
        <color theme="1"/>
        <rFont val="Arial"/>
        <family val="2"/>
      </rPr>
      <t>2</t>
    </r>
    <r>
      <rPr>
        <sz val="9"/>
        <color theme="1"/>
        <rFont val="Arial"/>
        <family val="2"/>
      </rPr>
      <t xml:space="preserve"> per gallon of gasoline</t>
    </r>
    <r>
      <rPr>
        <vertAlign val="superscript"/>
        <sz val="9"/>
        <color theme="1"/>
        <rFont val="Arial"/>
        <family val="2"/>
      </rPr>
      <t>6</t>
    </r>
    <r>
      <rPr>
        <sz val="9"/>
        <color theme="1"/>
        <rFont val="Arial"/>
        <family val="2"/>
      </rPr>
      <t xml:space="preserve"> (multiply)</t>
    </r>
  </si>
  <si>
    <r>
      <t>*Process used to determine amount of CO</t>
    </r>
    <r>
      <rPr>
        <vertAlign val="subscript"/>
        <sz val="9"/>
        <color theme="1"/>
        <rFont val="Arial"/>
        <family val="2"/>
      </rPr>
      <t>2</t>
    </r>
    <r>
      <rPr>
        <sz val="9"/>
        <color theme="1"/>
        <rFont val="Arial"/>
        <family val="2"/>
      </rPr>
      <t xml:space="preserve"> (kg) in biogas</t>
    </r>
    <r>
      <rPr>
        <vertAlign val="superscript"/>
        <sz val="9"/>
        <color theme="1"/>
        <rFont val="Arial"/>
        <family val="2"/>
      </rPr>
      <t>7</t>
    </r>
    <r>
      <rPr>
        <sz val="9"/>
        <color theme="1"/>
        <rFont val="Arial"/>
        <family val="2"/>
      </rPr>
      <t xml:space="preserve"> (scf) (An example calculation is shown on page 6 of source):</t>
    </r>
  </si>
  <si>
    <r>
      <rPr>
        <vertAlign val="superscript"/>
        <sz val="9"/>
        <color theme="1"/>
        <rFont val="Arial"/>
        <family val="2"/>
      </rPr>
      <t>1</t>
    </r>
    <r>
      <rPr>
        <sz val="9"/>
        <color theme="1"/>
        <rFont val="Arial"/>
        <family val="2"/>
      </rPr>
      <t xml:space="preserve"> Bioenergy Calculator. Energy Content Assumptions sheet, cell C26.</t>
    </r>
  </si>
  <si>
    <r>
      <rPr>
        <vertAlign val="superscript"/>
        <sz val="9"/>
        <color theme="1"/>
        <rFont val="Arial"/>
        <family val="2"/>
      </rPr>
      <t>2</t>
    </r>
    <r>
      <rPr>
        <sz val="9"/>
        <color theme="1"/>
        <rFont val="Arial"/>
        <family val="2"/>
      </rPr>
      <t xml:space="preserve"> Bioenergy Calculator. Conversion Tables sheet, cell C31.</t>
    </r>
  </si>
  <si>
    <r>
      <rPr>
        <vertAlign val="superscript"/>
        <sz val="9"/>
        <color theme="1"/>
        <rFont val="Arial"/>
        <family val="2"/>
      </rPr>
      <t>3</t>
    </r>
    <r>
      <rPr>
        <sz val="9"/>
        <color theme="1"/>
        <rFont val="Arial"/>
        <family val="2"/>
      </rPr>
      <t xml:space="preserve"> Bioenergy Calculator. Technology Assumptions sheet, cell B30.</t>
    </r>
  </si>
  <si>
    <r>
      <rPr>
        <vertAlign val="superscript"/>
        <sz val="9"/>
        <color theme="1"/>
        <rFont val="Arial"/>
        <family val="2"/>
      </rPr>
      <t>4</t>
    </r>
    <r>
      <rPr>
        <sz val="9"/>
        <color theme="1"/>
        <rFont val="Arial"/>
        <family val="2"/>
      </rPr>
      <t xml:space="preserve"> BTUs, CFMs, and GGEs Demystified. Nat-G: CNG Solutions. Accessed 5 May 2013. &lt;http://www.nat-g.com/why-cng/cng-units-explained/&gt;</t>
    </r>
  </si>
  <si>
    <r>
      <rPr>
        <vertAlign val="superscript"/>
        <sz val="9"/>
        <color theme="1"/>
        <rFont val="Arial"/>
        <family val="2"/>
      </rPr>
      <t>5</t>
    </r>
    <r>
      <rPr>
        <sz val="9"/>
        <color theme="1"/>
        <rFont val="Arial"/>
        <family val="2"/>
      </rPr>
      <t xml:space="preserve"> Arsova, Ljupka. Anaerobic digestion of food waste: Current status, problems and an alternative product. Columbia University. May 2010. Accessed 27 Mar 2013. &lt;http://www.seas.columbia.edu/earth/wtert/sofos/arsova_thesis.pdf&gt;</t>
    </r>
  </si>
  <si>
    <r>
      <rPr>
        <vertAlign val="superscript"/>
        <sz val="9"/>
        <color theme="1"/>
        <rFont val="Arial"/>
        <family val="2"/>
      </rPr>
      <t>6</t>
    </r>
    <r>
      <rPr>
        <sz val="9"/>
        <color theme="1"/>
        <rFont val="Arial"/>
        <family val="2"/>
      </rPr>
      <t xml:space="preserve"> Clean Energy: Calculations and References. EPA. Accessed 2 Mar 2013. &lt;http://www.epa.gov/cleanenergy/energy-resources/refs.html&gt;</t>
    </r>
  </si>
  <si>
    <r>
      <rPr>
        <vertAlign val="superscript"/>
        <sz val="9"/>
        <color theme="1"/>
        <rFont val="Arial"/>
        <family val="2"/>
      </rPr>
      <t>7</t>
    </r>
    <r>
      <rPr>
        <sz val="9"/>
        <color theme="1"/>
        <rFont val="Arial"/>
        <family val="2"/>
      </rPr>
      <t xml:space="preserve"> Direct Emissions from Stationary Combustion Sources. EPA. May 2008. Accessed Feb 2013. &lt;http://www.epa.gov/climateleadership/documents/resources/stationarycombustionguidance.pdf&gt;</t>
    </r>
  </si>
  <si>
    <t>Food Waste to Power - Electricity Production</t>
  </si>
  <si>
    <t>Landfill Gas to Power - Electricity Production</t>
  </si>
  <si>
    <t>Gary Conover, ACUA Solid Waste Director</t>
  </si>
  <si>
    <t>Robert Simkins</t>
  </si>
  <si>
    <t>Robert Simkins, Burlington County Solid Waste Coordinator</t>
  </si>
  <si>
    <t>John Londres, PCFA of Camden County Deputy Director</t>
  </si>
  <si>
    <t>John Barron, Cape May County MUA Deputy Director</t>
  </si>
  <si>
    <t>Enos Martin, PPL Renewable Energy LLC Asset Manager</t>
  </si>
  <si>
    <t>Eric Peterson, SCS Engineers Vice President</t>
  </si>
  <si>
    <t>Robert Leslie, MCUA Solid Waste Division</t>
  </si>
  <si>
    <t>Jack Whitman, Edgeboro International, Inc. Vice President</t>
  </si>
  <si>
    <t>Martin Ryan, Ocean County Landfill Corporation Engineering VP</t>
  </si>
  <si>
    <t>Lynn Schmidt, Salem County Landfill Site Manager</t>
  </si>
  <si>
    <t>Thomas Varro</t>
  </si>
  <si>
    <t>SCMUA - Chief Engineer</t>
  </si>
  <si>
    <t>tvarro@scmua.org</t>
  </si>
  <si>
    <t>Thomas Varro, SCMUA Chief Engineer</t>
  </si>
  <si>
    <t>James Williams, Warren County District Landfill Director of Operations</t>
  </si>
  <si>
    <t>Michael Aucott, NJDEP Research Scientist</t>
  </si>
  <si>
    <t>NJDEP Bureau of Recycing and Planning - Bureau Chief</t>
  </si>
  <si>
    <t>Percent Collected of Total Generated</t>
  </si>
  <si>
    <t>NJAES - Associate Extension Specialist, Dept.of Animal Sciences</t>
  </si>
  <si>
    <t>Mike Westendorf, NJAES Dept. of Animal Sciences Associate Extension Specialist</t>
  </si>
  <si>
    <t>% available = 100% to estimate maximum potential
Guy Watson, NJDEP Bureau of Recycing and Planning Bureau Chief</t>
  </si>
  <si>
    <t>C&amp;D, Non-recycled wood</t>
  </si>
  <si>
    <t>Agricultural crop residuals</t>
  </si>
  <si>
    <t xml:space="preserve">1 Ton CH4 = 47,478.4 scf CH4:  1 ton CH4 = (2000lb/ton x 453.59g/lb) / (16.043g/mol x 1.191 mol/cubic ft)    </t>
  </si>
  <si>
    <t>Methane is 50% of Landfill Gas by volume</t>
  </si>
  <si>
    <t>Conversion Factors (used for Aucott Information)*:</t>
  </si>
  <si>
    <t>*Aucott's spreadsheet is recorded in tons of CH4/year for each landfill (generated and burned). Only landfills with power generation capabilities and/or flaring were considered. After applying Aucott's assumptions</t>
  </si>
  <si>
    <t>(10% oxidation and 75% collection) to the aforementioned landfills, the tons CH4/yr statistics were converted to scf/yr, multiplied by 2 (LFG assumed 50% methane), and converted to mmscfy to arrive at the shown LFG numbers.</t>
  </si>
  <si>
    <t>Sewage Sludge Production by Management Mode (2011). Bureau of Pretreatment and Residuals. NJDEP. 25 Jan 2013. Accessed 22 May 2013. &lt;http://www.nj.gov/dep/dwq/sludge.htm&gt;.</t>
  </si>
  <si>
    <t>Christopher Dour, NJMC Solid Waste Operations Supervisor</t>
  </si>
  <si>
    <t>Christopher Dour</t>
  </si>
  <si>
    <t>Chris.Dour@njmeadowlands.gov</t>
  </si>
  <si>
    <t>Practically Recoverable Percentage</t>
  </si>
  <si>
    <r>
      <t>WWTP Biosolids</t>
    </r>
    <r>
      <rPr>
        <b/>
        <vertAlign val="superscript"/>
        <sz val="12"/>
        <color theme="0"/>
        <rFont val="Arial"/>
        <family val="2"/>
      </rPr>
      <t>3</t>
    </r>
    <r>
      <rPr>
        <b/>
        <sz val="12"/>
        <color theme="0"/>
        <rFont val="Arial"/>
        <family val="2"/>
      </rPr>
      <t xml:space="preserve"> (dry tons/yr)</t>
    </r>
  </si>
  <si>
    <t>Thomas Marturano</t>
  </si>
  <si>
    <t>NJMC - Solid Waste Operations Supervisor</t>
  </si>
  <si>
    <t>NJMC - Director of Solid Waste and Natural Resources</t>
  </si>
  <si>
    <t>201-460-4613</t>
  </si>
  <si>
    <t>C&amp;D (Non-recycled wood)</t>
  </si>
  <si>
    <t>Electricity Generation Potential (EGP) Equation</t>
  </si>
  <si>
    <t>(1/3412) - converting BTU to kWh (multiply)</t>
  </si>
  <si>
    <r>
      <t>MSW</t>
    </r>
    <r>
      <rPr>
        <vertAlign val="superscript"/>
        <sz val="10"/>
        <rFont val="Arial"/>
        <family val="2"/>
      </rPr>
      <t>8</t>
    </r>
  </si>
  <si>
    <t>Bulky (C&amp;D)</t>
  </si>
  <si>
    <t>Recycling</t>
  </si>
  <si>
    <t>Resource</t>
  </si>
  <si>
    <t>% Growth Between 2000 and 2010</t>
  </si>
  <si>
    <t>1000 - converting kWh to MWh</t>
  </si>
  <si>
    <t>EGP = C6*(6000*2000)*(1/3412)*0.24/1000</t>
  </si>
  <si>
    <r>
      <t>(6000*2000) - converting biosolids energy content</t>
    </r>
    <r>
      <rPr>
        <vertAlign val="superscript"/>
        <sz val="10"/>
        <rFont val="Arial"/>
        <family val="2"/>
      </rPr>
      <t>1</t>
    </r>
    <r>
      <rPr>
        <sz val="10"/>
        <rFont val="Arial"/>
        <family val="2"/>
      </rPr>
      <t xml:space="preserve"> to BTU/Ton (multiply)</t>
    </r>
  </si>
  <si>
    <r>
      <t>0.24 - efficiency of Biomass Direct Combustion: CHP</t>
    </r>
    <r>
      <rPr>
        <vertAlign val="superscript"/>
        <sz val="10"/>
        <rFont val="Arial"/>
        <family val="2"/>
      </rPr>
      <t>2</t>
    </r>
  </si>
  <si>
    <r>
      <rPr>
        <vertAlign val="superscript"/>
        <sz val="10"/>
        <rFont val="Arial"/>
        <family val="2"/>
      </rPr>
      <t>1</t>
    </r>
    <r>
      <rPr>
        <sz val="10"/>
        <rFont val="Arial"/>
        <family val="2"/>
      </rPr>
      <t xml:space="preserve"> Bioenergy Calculator. Energy Content Assumptions Sheet, cell B58.</t>
    </r>
  </si>
  <si>
    <r>
      <rPr>
        <vertAlign val="superscript"/>
        <sz val="10"/>
        <rFont val="Arial"/>
        <family val="2"/>
      </rPr>
      <t>2</t>
    </r>
    <r>
      <rPr>
        <sz val="10"/>
        <rFont val="Arial"/>
        <family val="2"/>
      </rPr>
      <t xml:space="preserve"> Bioenergy Calculator. Technology Assumptions Sheet, cell B5.</t>
    </r>
  </si>
  <si>
    <t>Note: growth applied to their respective feedstocks</t>
  </si>
  <si>
    <t>Current Gross Quantity (dry tons)</t>
  </si>
  <si>
    <t>Sugar/Starch</t>
  </si>
  <si>
    <t>Bio-oils</t>
  </si>
  <si>
    <t>Totals</t>
  </si>
  <si>
    <t>C&amp;D non-recycled wood</t>
  </si>
  <si>
    <t>PAGE 37</t>
  </si>
  <si>
    <t>PAGE 40 (PIE CHART BELOW)</t>
  </si>
  <si>
    <t>Landfill Gas Totals by County in 2012 (mmscf/yr)</t>
  </si>
  <si>
    <t>Total Captured</t>
  </si>
  <si>
    <t>Currently Used</t>
  </si>
  <si>
    <t>Net Available</t>
  </si>
  <si>
    <t>C &amp; D Wood</t>
  </si>
  <si>
    <t>COMMENT: None</t>
  </si>
  <si>
    <t>PAGE 11, 34 (LEFT)</t>
  </si>
  <si>
    <t>PAGE 11, 34 (RIGHT)</t>
  </si>
  <si>
    <t>Lignocellulosic</t>
  </si>
  <si>
    <t>Gross
(Population)</t>
  </si>
  <si>
    <t>PAGE 12, 35 (CHART DATA)</t>
  </si>
  <si>
    <t>MSW Projections (Gross Quantity to Landfills, Tons)</t>
  </si>
  <si>
    <t>PAGE 32, 33 (CHART DATA)</t>
  </si>
  <si>
    <t>PAGE 38 (CHART DATA)</t>
  </si>
  <si>
    <t>dry tons/sq. mi.</t>
  </si>
  <si>
    <t>Agriculture and Forestry Biomass (dry tons/yr)</t>
  </si>
  <si>
    <t>Square Miles</t>
  </si>
  <si>
    <t>Biomass</t>
  </si>
  <si>
    <t>Bio-oils (Soy)</t>
  </si>
  <si>
    <t>Forestry</t>
  </si>
  <si>
    <t>Ag. Residues</t>
  </si>
  <si>
    <t>Livestock waste</t>
  </si>
  <si>
    <t>CO2 Produced: conventional Diesel (equivalent amount)</t>
  </si>
  <si>
    <t>Potential CO2 Produced: convential DieselCO2CG) equation</t>
  </si>
  <si>
    <t>CO2CG = D6*(0.01018*1.10231)</t>
  </si>
  <si>
    <r>
      <t>0.01018- metric tons of CO</t>
    </r>
    <r>
      <rPr>
        <vertAlign val="subscript"/>
        <sz val="9"/>
        <color rgb="FFFF0000"/>
        <rFont val="Arial"/>
        <family val="2"/>
      </rPr>
      <t>2</t>
    </r>
    <r>
      <rPr>
        <sz val="9"/>
        <color rgb="FFFF0000"/>
        <rFont val="Arial"/>
        <family val="2"/>
      </rPr>
      <t xml:space="preserve"> per gallon of diesel</t>
    </r>
    <r>
      <rPr>
        <vertAlign val="superscript"/>
        <sz val="9"/>
        <color rgb="FFFF0000"/>
        <rFont val="Arial"/>
        <family val="2"/>
      </rPr>
      <t>3</t>
    </r>
    <r>
      <rPr>
        <sz val="9"/>
        <color rgb="FFFF0000"/>
        <rFont val="Arial"/>
        <family val="2"/>
      </rPr>
      <t xml:space="preserve"> (multiply)</t>
    </r>
  </si>
  <si>
    <t>Power Gen Potential EPA( MWh/y)</t>
  </si>
  <si>
    <t>Potential Coal fired CO2 displaced (tons/y)</t>
  </si>
  <si>
    <r>
      <t>Potential CO</t>
    </r>
    <r>
      <rPr>
        <b/>
        <vertAlign val="subscript"/>
        <sz val="10"/>
        <color theme="0"/>
        <rFont val="Arial"/>
        <family val="2"/>
      </rPr>
      <t>2</t>
    </r>
    <r>
      <rPr>
        <b/>
        <sz val="10"/>
        <color theme="0"/>
        <rFont val="Arial"/>
        <family val="2"/>
      </rPr>
      <t xml:space="preserve"> savings from GGE
(tons/yr)</t>
    </r>
  </si>
  <si>
    <r>
      <t>CO</t>
    </r>
    <r>
      <rPr>
        <b/>
        <sz val="8"/>
        <color theme="0"/>
        <rFont val="Arial"/>
        <family val="2"/>
      </rPr>
      <t>2:</t>
    </r>
    <r>
      <rPr>
        <b/>
        <sz val="10"/>
        <color theme="0"/>
        <rFont val="Arial"/>
        <family val="2"/>
      </rPr>
      <t xml:space="preserve"> Produced : conventional diesel (equivalent amount) (tons/y)</t>
    </r>
  </si>
  <si>
    <t>Potential CO2 savings from DGE (tons/y)</t>
  </si>
  <si>
    <t>no</t>
  </si>
  <si>
    <t>Electricity Generation Capacity Potential (Direct Combustion) 
(MW)</t>
  </si>
  <si>
    <t>Electricity Generation Potential 
(Direct Combustion)
(MWh/yr)</t>
  </si>
  <si>
    <t>Electricity Generation Potential 
(Gasification)
(MWh/yr)</t>
  </si>
  <si>
    <t>Electricity Generation Capacity Potential (Gasification) 
(MW)</t>
  </si>
  <si>
    <r>
      <t>Potential CO</t>
    </r>
    <r>
      <rPr>
        <u/>
        <vertAlign val="subscript"/>
        <sz val="9"/>
        <color rgb="FFFF0000"/>
        <rFont val="Arial"/>
        <family val="2"/>
      </rPr>
      <t>2</t>
    </r>
    <r>
      <rPr>
        <u/>
        <sz val="9"/>
        <color rgb="FFFF0000"/>
        <rFont val="Arial"/>
        <family val="2"/>
      </rPr>
      <t xml:space="preserve"> Produced (COP) equation</t>
    </r>
  </si>
  <si>
    <r>
      <t>113 - average biogas production (in Nm3 - normal cubic meters) per ton of feed material</t>
    </r>
    <r>
      <rPr>
        <vertAlign val="superscript"/>
        <sz val="9"/>
        <color rgb="FFFF0000"/>
        <rFont val="Arial"/>
        <family val="2"/>
      </rPr>
      <t>2</t>
    </r>
    <r>
      <rPr>
        <sz val="9"/>
        <color rgb="FFFF0000"/>
        <rFont val="Arial"/>
        <family val="2"/>
      </rPr>
      <t xml:space="preserve"> (multiply)</t>
    </r>
  </si>
  <si>
    <r>
      <t>0.03144075657 - amount of CO</t>
    </r>
    <r>
      <rPr>
        <vertAlign val="subscript"/>
        <sz val="9"/>
        <color rgb="FFFF0000"/>
        <rFont val="Arial"/>
        <family val="2"/>
      </rPr>
      <t>2</t>
    </r>
    <r>
      <rPr>
        <sz val="9"/>
        <color rgb="FFFF0000"/>
        <rFont val="Arial"/>
        <family val="2"/>
      </rPr>
      <t xml:space="preserve"> in kg in one scf of biogas* (multiply)</t>
    </r>
  </si>
  <si>
    <r>
      <t>*Process used to determine amount of CO</t>
    </r>
    <r>
      <rPr>
        <vertAlign val="subscript"/>
        <sz val="9"/>
        <color rgb="FFFF0000"/>
        <rFont val="Arial"/>
        <family val="2"/>
      </rPr>
      <t>2</t>
    </r>
    <r>
      <rPr>
        <sz val="9"/>
        <color rgb="FFFF0000"/>
        <rFont val="Arial"/>
        <family val="2"/>
      </rPr>
      <t xml:space="preserve"> (kg) in biogas</t>
    </r>
    <r>
      <rPr>
        <vertAlign val="superscript"/>
        <sz val="9"/>
        <color rgb="FFFF0000"/>
        <rFont val="Arial"/>
        <family val="2"/>
      </rPr>
      <t>5</t>
    </r>
    <r>
      <rPr>
        <sz val="9"/>
        <color rgb="FFFF0000"/>
        <rFont val="Arial"/>
        <family val="2"/>
      </rPr>
      <t xml:space="preserve"> (scf) (An example calculation is shown on page 6 of source):</t>
    </r>
  </si>
  <si>
    <r>
      <t>3. Determine CO</t>
    </r>
    <r>
      <rPr>
        <vertAlign val="subscript"/>
        <sz val="9"/>
        <color rgb="FFFF0000"/>
        <rFont val="Arial"/>
        <family val="2"/>
      </rPr>
      <t>2</t>
    </r>
    <r>
      <rPr>
        <sz val="9"/>
        <color rgb="FFFF0000"/>
        <rFont val="Arial"/>
        <family val="2"/>
      </rPr>
      <t xml:space="preserve"> emissions by molar fraction</t>
    </r>
  </si>
  <si>
    <r>
      <t>Note: This method, as well as the EPA Calculator, only considers the CO</t>
    </r>
    <r>
      <rPr>
        <vertAlign val="subscript"/>
        <sz val="9"/>
        <color rgb="FFFF0000"/>
        <rFont val="Arial"/>
        <family val="2"/>
      </rPr>
      <t>2</t>
    </r>
    <r>
      <rPr>
        <sz val="9"/>
        <color rgb="FFFF0000"/>
        <rFont val="Arial"/>
        <family val="2"/>
      </rPr>
      <t xml:space="preserve"> produced from the methane portion of the LFG. The CO</t>
    </r>
    <r>
      <rPr>
        <vertAlign val="subscript"/>
        <sz val="9"/>
        <color rgb="FFFF0000"/>
        <rFont val="Arial"/>
        <family val="2"/>
      </rPr>
      <t>2</t>
    </r>
    <r>
      <rPr>
        <sz val="9"/>
        <color rgb="FFFF0000"/>
        <rFont val="Arial"/>
        <family val="2"/>
      </rPr>
      <t xml:space="preserve"> portion of LFG is deemed as naturally occurring and does not add to greenhouse gas emissions</t>
    </r>
  </si>
  <si>
    <r>
      <rPr>
        <vertAlign val="superscript"/>
        <sz val="9"/>
        <color rgb="FFFF0000"/>
        <rFont val="Arial"/>
        <family val="2"/>
      </rPr>
      <t>1</t>
    </r>
    <r>
      <rPr>
        <sz val="9"/>
        <color rgb="FFFF0000"/>
        <rFont val="Arial"/>
        <family val="2"/>
      </rPr>
      <t xml:space="preserve"> CO2 Emissions Rates of Marginal Units and Average CO2 Emissions Rates. PJM. 2009. Accessed 15 May 2013. &lt;http://www.pjm.com/Home/markets-and-operations/~/media/documents/reports/co2-emissions-report.ashx&gt;</t>
    </r>
  </si>
  <si>
    <r>
      <rPr>
        <vertAlign val="superscript"/>
        <sz val="9"/>
        <color rgb="FFFF0000"/>
        <rFont val="Arial"/>
        <family val="2"/>
      </rPr>
      <t>2</t>
    </r>
    <r>
      <rPr>
        <sz val="9"/>
        <color rgb="FFFF0000"/>
        <rFont val="Arial"/>
        <family val="2"/>
      </rPr>
      <t xml:space="preserve"> Arsova, Ljupka. Anaerobic digestion of food waste: Current status, problems and an alternative product. Columbia University. May 2010. Accessed 27 Mar 2013. &lt;http://www.seas.columbia.edu/earth/wtert/sofos/arsova_thesis.pdf&gt;</t>
    </r>
  </si>
  <si>
    <r>
      <rPr>
        <vertAlign val="superscript"/>
        <sz val="9"/>
        <color rgb="FFFF0000"/>
        <rFont val="Arial"/>
        <family val="2"/>
      </rPr>
      <t>3</t>
    </r>
    <r>
      <rPr>
        <sz val="9"/>
        <color rgb="FFFF0000"/>
        <rFont val="Arial"/>
        <family val="2"/>
      </rPr>
      <t xml:space="preserve"> Curry, Nathan and Pragasen Pillay. Biogas prediction and design of a food waste to energy system for the urban environment. </t>
    </r>
    <r>
      <rPr>
        <i/>
        <sz val="9"/>
        <color rgb="FFFF0000"/>
        <rFont val="Arial"/>
        <family val="2"/>
      </rPr>
      <t>Renewable Energy</t>
    </r>
    <r>
      <rPr>
        <sz val="9"/>
        <color rgb="FFFF0000"/>
        <rFont val="Arial"/>
        <family val="2"/>
      </rPr>
      <t>. Vol. 41. May 2012. Accessed 2 Apr 2013. &lt;http://www.sciencedirect.com/science/article/pii/S0960148111005957&gt;</t>
    </r>
  </si>
  <si>
    <r>
      <rPr>
        <vertAlign val="superscript"/>
        <sz val="9"/>
        <color rgb="FFFF0000"/>
        <rFont val="Arial"/>
        <family val="2"/>
      </rPr>
      <t>4</t>
    </r>
    <r>
      <rPr>
        <sz val="9"/>
        <color rgb="FFFF0000"/>
        <rFont val="Arial"/>
        <family val="2"/>
      </rPr>
      <t xml:space="preserve"> Emission Reductions and Environmental and Energy Benefits for Landfill Gas Energy Projects. LMOP. Accessed Feb 2013. &lt;http://www.epa.gov/lmop/projects-candidates/lfge-calculator.html&gt;</t>
    </r>
  </si>
  <si>
    <r>
      <rPr>
        <vertAlign val="superscript"/>
        <sz val="9"/>
        <color rgb="FFFF0000"/>
        <rFont val="Arial"/>
        <family val="2"/>
      </rPr>
      <t>5</t>
    </r>
    <r>
      <rPr>
        <sz val="9"/>
        <color rgb="FFFF0000"/>
        <rFont val="Arial"/>
        <family val="2"/>
      </rPr>
      <t xml:space="preserve"> Direct Emissions from Stationary Combustion Sources. EPA. May 2008. Accessed Feb 2013. &lt;http://www.epa.gov/climateleadership/documents/resources/stationarycombustionguidance.pdf&gt;</t>
    </r>
  </si>
  <si>
    <t>Net MSW to Landfills (tons)</t>
  </si>
  <si>
    <t xml:space="preserve">Direct CO2 Emissions (MTCO2e/Ton Waste) mixed average
</t>
  </si>
  <si>
    <t>Direct CO2 Emissions (MTCO2e/Ton Waste)
Biomass 62%</t>
  </si>
  <si>
    <t>Direct CO2 Emissions NonBiomass 38%</t>
  </si>
  <si>
    <t>Current MSW Incinerationtons (tons)</t>
  </si>
  <si>
    <t>Electricity Generation Current
(MSW to Power)
(MW)</t>
  </si>
  <si>
    <t>If Landfilled MSW  is utilized direct to Power  Generation- Electricity Production</t>
  </si>
  <si>
    <t>Dry weight in tons/yr (50% of fresh weight)x1000</t>
  </si>
  <si>
    <t xml:space="preserve">Timberland Biomass </t>
  </si>
  <si>
    <t xml:space="preserve">Net Energy Available (MMBtu) </t>
  </si>
  <si>
    <t xml:space="preserve">Net Energy Available= </t>
  </si>
  <si>
    <t>drytons*15.6(MMBTU/tons)</t>
  </si>
  <si>
    <t xml:space="preserve">MMBTU of Electricity </t>
  </si>
  <si>
    <t>MMBTU of Electricity = MMBTU*0.24</t>
  </si>
  <si>
    <t xml:space="preserve">MWh/year </t>
  </si>
  <si>
    <t>MWh/year = MMBTU*0.2929115*0.85</t>
  </si>
  <si>
    <t>MW=MWh/year/7446 (at 85% capacity)</t>
  </si>
  <si>
    <t xml:space="preserve">MW </t>
  </si>
  <si>
    <t>LFG Energy
(MMBTU)</t>
  </si>
  <si>
    <r>
      <t>LFG-CNG (WTW)
mtons CO</t>
    </r>
    <r>
      <rPr>
        <b/>
        <vertAlign val="subscript"/>
        <sz val="10"/>
        <color theme="0"/>
        <rFont val="Arial"/>
        <family val="2"/>
      </rPr>
      <t>2</t>
    </r>
    <r>
      <rPr>
        <b/>
        <sz val="10"/>
        <color theme="0"/>
        <rFont val="Arial"/>
        <family val="2"/>
      </rPr>
      <t>e</t>
    </r>
  </si>
  <si>
    <r>
      <t>NG-CNG (WTW)
mtons CO</t>
    </r>
    <r>
      <rPr>
        <b/>
        <vertAlign val="subscript"/>
        <sz val="10"/>
        <color theme="0"/>
        <rFont val="Arial"/>
        <family val="2"/>
      </rPr>
      <t>2</t>
    </r>
    <r>
      <rPr>
        <b/>
        <sz val="10"/>
        <color theme="0"/>
        <rFont val="Arial"/>
        <family val="2"/>
      </rPr>
      <t>e</t>
    </r>
  </si>
  <si>
    <r>
      <t>Gasoline 
mtons CO</t>
    </r>
    <r>
      <rPr>
        <b/>
        <vertAlign val="subscript"/>
        <sz val="10"/>
        <color theme="0"/>
        <rFont val="Arial"/>
        <family val="2"/>
      </rPr>
      <t>2</t>
    </r>
    <r>
      <rPr>
        <b/>
        <sz val="10"/>
        <color theme="0"/>
        <rFont val="Arial"/>
        <family val="2"/>
      </rPr>
      <t>e</t>
    </r>
  </si>
  <si>
    <t>Gasoline</t>
  </si>
  <si>
    <t>Diesel</t>
  </si>
  <si>
    <r>
      <t>Diesel
mtons CO</t>
    </r>
    <r>
      <rPr>
        <b/>
        <vertAlign val="subscript"/>
        <sz val="10"/>
        <color theme="0"/>
        <rFont val="Arial"/>
        <family val="2"/>
      </rPr>
      <t>2</t>
    </r>
    <r>
      <rPr>
        <b/>
        <sz val="10"/>
        <color theme="0"/>
        <rFont val="Arial"/>
        <family val="2"/>
      </rPr>
      <t>e</t>
    </r>
  </si>
  <si>
    <r>
      <t>LFG-LNG (WTW)
mtons CO</t>
    </r>
    <r>
      <rPr>
        <b/>
        <vertAlign val="subscript"/>
        <sz val="10"/>
        <color theme="0"/>
        <rFont val="Arial"/>
        <family val="2"/>
      </rPr>
      <t>2</t>
    </r>
    <r>
      <rPr>
        <b/>
        <sz val="10"/>
        <color theme="0"/>
        <rFont val="Arial"/>
        <family val="2"/>
      </rPr>
      <t>e</t>
    </r>
  </si>
  <si>
    <r>
      <t>NG-LNG (WTW)
mtons CO</t>
    </r>
    <r>
      <rPr>
        <b/>
        <vertAlign val="subscript"/>
        <sz val="10"/>
        <color theme="0"/>
        <rFont val="Arial"/>
        <family val="2"/>
      </rPr>
      <t>2</t>
    </r>
    <r>
      <rPr>
        <b/>
        <sz val="10"/>
        <color theme="0"/>
        <rFont val="Arial"/>
        <family val="2"/>
      </rPr>
      <t>e</t>
    </r>
  </si>
  <si>
    <t>mtons:metric tons</t>
  </si>
  <si>
    <t>Timberland Biomass</t>
  </si>
  <si>
    <t>Wood and wood residuels (12% moisture): 93.80kg  CO2/MMBTU</t>
  </si>
  <si>
    <t xml:space="preserve">CO2 emissions tons </t>
  </si>
  <si>
    <t>MMBTU</t>
  </si>
  <si>
    <t>CO2 emission tons/y</t>
  </si>
  <si>
    <t>Etoh Product yield(gal/dry us ton feedstock) :65.3</t>
  </si>
  <si>
    <t>I lb oil= 0.125 gallons of biodiesel</t>
  </si>
  <si>
    <t>*Fortenbery,R., "Biodiesel Feasibility tudy: AnEvaluation of Biodiesel Feasibility in Wisconsin"</t>
  </si>
  <si>
    <t>University of Wisconsin-Madison, Dept of Agand App. Economics, March 2005</t>
  </si>
  <si>
    <t>Biodiesel MMBTU/gallon: 0.128</t>
  </si>
  <si>
    <t>Yellow Grease Biodiesel (gallons)</t>
  </si>
  <si>
    <t>Yellow Grease  Biodiesel (MMBTU)</t>
  </si>
  <si>
    <t xml:space="preserve">kgCO2/gallon: 9.45 or tons Co2/gallon: 0.00945 </t>
  </si>
  <si>
    <t xml:space="preserve">Emission factor for MSW: 902 kgCO2/short ton of MSW or </t>
  </si>
  <si>
    <t xml:space="preserve">Emission Factor for MSW: 0.995ton CO2/ton of MSW </t>
  </si>
  <si>
    <t>CO2 emission tons/y w/emission factor</t>
  </si>
  <si>
    <t>drytons</t>
  </si>
  <si>
    <t>total</t>
  </si>
  <si>
    <t>Displaced fossil diesel gallons</t>
  </si>
  <si>
    <t>Fossil DieselMMBTU</t>
  </si>
  <si>
    <t>Diesel MMBTU/gallon= 0.139</t>
  </si>
  <si>
    <t>Fuel Efficiency for biodiesel is 90% of fossil diesel</t>
  </si>
  <si>
    <t xml:space="preserve">Yellow grease biodiesel CO2 (cooking required) </t>
  </si>
  <si>
    <t xml:space="preserve">Yellow grease biodiesel CO2 (cooking is not  required) </t>
  </si>
  <si>
    <t>Yellow Grease CO2= 15.84 gCO2/MJ = 15.84 gCO2 /0.00094708 MMBTU=: cooking required</t>
  </si>
  <si>
    <t>11.76gCO2/0.00094708 MMBTU= Cooking not Requried</t>
  </si>
  <si>
    <t xml:space="preserve">GREET fossil Based CO2 emissions displaced: tons </t>
  </si>
  <si>
    <t xml:space="preserve"> =0.00001584/0.00094708= tons CO2/MMBTU LCFS LOOKUP table for Biodiesel from Grease cooking requried</t>
  </si>
  <si>
    <t>accessed on 10/10/2013</t>
  </si>
  <si>
    <t>California LCFS Carbon Intensity Lookup Table 6.</t>
  </si>
  <si>
    <t xml:space="preserve"> www.arb.ca/gov/fuels/lcfs/lu_tables_11282012.pdf</t>
  </si>
  <si>
    <t>Fossil Diesel emissions</t>
  </si>
  <si>
    <t>MW = 85% capacityx8660 hours</t>
  </si>
  <si>
    <t>Gasification to mixed alcohol for ethanol  gal/y</t>
  </si>
  <si>
    <t xml:space="preserve">forestry waste to ethanol GHG emission: (WTW) 21.40g/MJ =  </t>
  </si>
  <si>
    <t>MMBTU in EtOh</t>
  </si>
  <si>
    <t xml:space="preserve">CO2e tons in EtOH </t>
  </si>
  <si>
    <t>displaced gasoline amount if used as E10 gallons/y</t>
  </si>
  <si>
    <t>Gasoline MMBTU/y</t>
  </si>
  <si>
    <t>Gasoline GREET WTWCO2etons/y</t>
  </si>
  <si>
    <t>LCFS arb.ca.gov</t>
  </si>
  <si>
    <t xml:space="preserve">Recoverable  in tons/yr (50% of dry tons+ 12%moisture) </t>
  </si>
  <si>
    <t>corn ethanol</t>
  </si>
  <si>
    <t>Corn Ethanol= Wet milled , 100% NG</t>
  </si>
  <si>
    <t>94.52gCO2e/MJ= 0.00009452/00094708 tonsCO2/MMBTU</t>
  </si>
  <si>
    <t>2nd Gen ethanol from Forest Waste</t>
  </si>
  <si>
    <t>21.40 gCO2e/MJ= 0.00002140/0.00094708 tons CO2e/MMBTU</t>
  </si>
  <si>
    <t>GRRET gasoline = 97,400g CO2e/MMBTU</t>
  </si>
  <si>
    <t>Soybean Biodiesel CO2e tons/year</t>
  </si>
  <si>
    <t>soybean Biodiesel CO2= 83.25gCO2/MJ= 0.00008325/0.00094708 tons/MMBTU</t>
  </si>
  <si>
    <t>Materials Currently Recycled</t>
  </si>
  <si>
    <t>Materials Currently Landfilled or Incinerated</t>
  </si>
  <si>
    <t xml:space="preserve"> Recycled Materials</t>
  </si>
  <si>
    <t>2012 
(dry tons)</t>
  </si>
  <si>
    <t xml:space="preserve"> Newspaper</t>
  </si>
  <si>
    <t xml:space="preserve"> Corrugated</t>
  </si>
  <si>
    <t xml:space="preserve"> Mixed Office Paper</t>
  </si>
  <si>
    <t xml:space="preserve"> Other Paper</t>
  </si>
  <si>
    <t xml:space="preserve"> Food Waste</t>
  </si>
  <si>
    <t xml:space="preserve"> Wood Scaps</t>
  </si>
  <si>
    <t xml:space="preserve"> Total</t>
  </si>
  <si>
    <t>Well-to-Wheels Analysis of Landfill Gas-Based Pathways and their Addition to the GREET Model table 10</t>
  </si>
  <si>
    <t>Well-to-Wheels Analysis of Landfill Gas-Based Pathways and their Addition to the GREET Model table 13</t>
  </si>
  <si>
    <t>GREET Comparison*</t>
  </si>
  <si>
    <t>*Argonne ANL/ESD/10-3</t>
  </si>
  <si>
    <t>*GREET Comparison</t>
  </si>
  <si>
    <t xml:space="preserve">Biogas (60% FW+40 Grass and Leaves)= </t>
  </si>
  <si>
    <t xml:space="preserve">Amount GC and Leaves needed to balance the mixture for AD </t>
  </si>
  <si>
    <t>183 - average biogas production (in Nm3 - normal cubic meters) per ton of food waste feed material2 (multiply)</t>
  </si>
  <si>
    <t>90 - average biogas production (in Nm3 - normal cubic meters) per ton of gras and leaveswaste feed material2 (multiply)</t>
  </si>
  <si>
    <t>Annual biomethane Potential  scf/year</t>
  </si>
  <si>
    <t>TotalBiogas From Food Waste &amp; Grass (scf/y)</t>
  </si>
  <si>
    <r>
      <t>Potential CO</t>
    </r>
    <r>
      <rPr>
        <b/>
        <vertAlign val="subscript"/>
        <sz val="10"/>
        <color theme="0"/>
        <rFont val="Arial"/>
        <family val="2"/>
      </rPr>
      <t>2</t>
    </r>
    <r>
      <rPr>
        <b/>
        <sz val="10"/>
        <color theme="0"/>
        <rFont val="Arial"/>
        <family val="2"/>
      </rPr>
      <t xml:space="preserve"> Produced (CO</t>
    </r>
    <r>
      <rPr>
        <b/>
        <vertAlign val="subscript"/>
        <sz val="10"/>
        <color theme="0"/>
        <rFont val="Arial"/>
        <family val="2"/>
      </rPr>
      <t>2</t>
    </r>
    <r>
      <rPr>
        <b/>
        <sz val="10"/>
        <color theme="0"/>
        <rFont val="Arial"/>
        <family val="2"/>
      </rPr>
      <t xml:space="preserve"> tons/y)</t>
    </r>
  </si>
  <si>
    <r>
      <t>Potential CO</t>
    </r>
    <r>
      <rPr>
        <b/>
        <vertAlign val="subscript"/>
        <sz val="10"/>
        <color theme="0"/>
        <rFont val="Arial"/>
        <family val="2"/>
      </rPr>
      <t>2</t>
    </r>
    <r>
      <rPr>
        <b/>
        <sz val="10"/>
        <color theme="0"/>
        <rFont val="Arial"/>
        <family val="2"/>
      </rPr>
      <t xml:space="preserve"> Produced (CO</t>
    </r>
    <r>
      <rPr>
        <b/>
        <vertAlign val="subscript"/>
        <sz val="10"/>
        <color theme="0"/>
        <rFont val="Arial"/>
        <family val="2"/>
      </rPr>
      <t>2</t>
    </r>
    <r>
      <rPr>
        <b/>
        <sz val="10"/>
        <color theme="0"/>
        <rFont val="Arial"/>
        <family val="2"/>
      </rPr>
      <t xml:space="preserve"> tons/y) **</t>
    </r>
  </si>
  <si>
    <t>**U.S.Default Factors for Calculating CO2 emissions from Fossil Fuel and Biomass Combustion.</t>
  </si>
  <si>
    <t>PJM</t>
  </si>
  <si>
    <t>Coal power CO2 tons/y</t>
  </si>
  <si>
    <t>Amount GC and Leaves needed to balance the mixture for AD (tons/y)</t>
  </si>
  <si>
    <t>1MWh=3600MJ</t>
  </si>
  <si>
    <t>MJ/y</t>
  </si>
  <si>
    <t>gCO2e/mj: -15.29</t>
  </si>
  <si>
    <t>tons CO2e /y</t>
  </si>
  <si>
    <t>biogas(captured methane) 52.07 kgCO2/MMBTU</t>
  </si>
  <si>
    <t>0.000841 MMBTU/scf</t>
  </si>
  <si>
    <t xml:space="preserve">I gallon Gasoline= 114,000 BTU/gallon </t>
  </si>
  <si>
    <t>Energy Content  of GGE( MJ)</t>
  </si>
  <si>
    <t>Carbon   of GGE( tons CO2e/year</t>
  </si>
  <si>
    <t>Energy Content  of DGE( MJ)</t>
  </si>
  <si>
    <t>0,114 MMBTU/gallon</t>
  </si>
  <si>
    <t>1 galloon diesel= 0.138 MMBTU/gallon</t>
  </si>
  <si>
    <t>1MMBTU= 1055.05585MJ</t>
  </si>
  <si>
    <t>Carbon   of DGE( tons CO2e/year</t>
  </si>
  <si>
    <t>Carbon Contetn Gasoline= 99.18 gCO@e/MJ</t>
  </si>
  <si>
    <t>Carbon Contetn Diesel=98.03 gCO2/MJ</t>
  </si>
  <si>
    <t>Biogas carbon Content total-= -17,178 tons CO2e/y</t>
  </si>
  <si>
    <t xml:space="preserve">Potential MJ/y
 </t>
  </si>
  <si>
    <t>MWh(AD&amp;Landfill)</t>
  </si>
  <si>
    <t>MWh(combustion)</t>
  </si>
  <si>
    <t>GGE /y</t>
  </si>
  <si>
    <t>Gallons/y(acid Hydrolysis)</t>
  </si>
  <si>
    <t>Gallons/y (Transesterification)</t>
  </si>
  <si>
    <t>Gallons/y (AD &amp; LAndfill Gas)</t>
  </si>
  <si>
    <t>GGE/y</t>
  </si>
  <si>
    <t>Mwhtotal</t>
  </si>
  <si>
    <t>Power (MWh) TOTAL</t>
  </si>
  <si>
    <t xml:space="preserve">FUELS (GGE) </t>
  </si>
  <si>
    <t>Transportation Fuel Potential Gasoline (TFP) equation</t>
  </si>
  <si>
    <t>DGE = D6*(1/1.136)</t>
  </si>
  <si>
    <t>GGE = A*506*7.2</t>
  </si>
  <si>
    <t>A= mmscf</t>
  </si>
  <si>
    <t>CO2EPA = A*0.9*1000000*0.5*(1012/1050)*0.12059/2000</t>
  </si>
  <si>
    <t>A*506*0.01939</t>
  </si>
  <si>
    <t>LFG-CNG(WTW):</t>
  </si>
  <si>
    <r>
      <t>7.2 - Transportation fuel production (GGE) per MMBtu</t>
    </r>
    <r>
      <rPr>
        <b/>
        <vertAlign val="superscript"/>
        <sz val="12"/>
        <color theme="1"/>
        <rFont val="Arial"/>
        <family val="2"/>
      </rPr>
      <t>1</t>
    </r>
    <r>
      <rPr>
        <b/>
        <sz val="12"/>
        <color theme="1"/>
        <rFont val="Arial"/>
        <family val="2"/>
      </rPr>
      <t xml:space="preserve"> (multiply)</t>
    </r>
  </si>
  <si>
    <r>
      <t>(1/1.136) - converting GGE to DGE, 1 DGE = 1.136 GGE</t>
    </r>
    <r>
      <rPr>
        <b/>
        <vertAlign val="superscript"/>
        <sz val="12"/>
        <color theme="1"/>
        <rFont val="Arial"/>
        <family val="2"/>
      </rPr>
      <t xml:space="preserve">2 </t>
    </r>
    <r>
      <rPr>
        <b/>
        <sz val="12"/>
        <color theme="1"/>
        <rFont val="Arial"/>
        <family val="2"/>
      </rPr>
      <t>(multiply)</t>
    </r>
  </si>
  <si>
    <r>
      <t>Potential CO</t>
    </r>
    <r>
      <rPr>
        <b/>
        <u/>
        <vertAlign val="subscript"/>
        <sz val="12"/>
        <color theme="1"/>
        <rFont val="Arial"/>
        <family val="2"/>
      </rPr>
      <t>2</t>
    </r>
    <r>
      <rPr>
        <b/>
        <u/>
        <sz val="12"/>
        <color theme="1"/>
        <rFont val="Arial"/>
        <family val="2"/>
      </rPr>
      <t xml:space="preserve"> Produced: EPA (CO2EPA) equation*</t>
    </r>
  </si>
  <si>
    <t>0.01939 tCO2e/MMBTU (multiply)*</t>
  </si>
  <si>
    <t>Fats &amp; Oils</t>
  </si>
  <si>
    <t>LATEST VERSION AS OF 12/31/2014</t>
  </si>
  <si>
    <r>
      <t>1) Bioenergy Calculator</t>
    </r>
    <r>
      <rPr>
        <sz val="12"/>
        <rFont val="Times New Roman"/>
        <family val="1"/>
      </rPr>
      <t xml:space="preserve"> – This worksheet is a summary of all resource, technology, efficiency and energy potential information.  This worksheet also functions as a bioenergy generation calculator for electricity and fuel generation. To operate the calculator, choose an electricity or fuel technology from one of the drop down cells at the top of the worksheet (B3 or B4). When a technology is selected the database automatically calculates the selected bioenergy output using only those feedstocks that are suitable for use with the particular technology selected. The estimated bioenergy potential for 2010, 2015, 2020 and 2025 will appear in MWh’s for electricity in cells C3, D3, E3 and F3, respectively, and in gallons of gasoline equivalent for fuels in cells C4, D4, E4 and F4, respectively. Energy generation potential (electricity and fuel) for each of the feedstocks can be found in the remaining cells on the worksheet. Only those feedstocks that are suitable for use with the selected technology will have an energy generation figure calculated for them.</t>
    </r>
  </si>
  <si>
    <t>Current gross quantity in dry tons of the state’s biomass can be found in cell C71. Total net usable quantity of biomass (reduced as result of the screening process described below) for 2010, 2015, 2020 and 2025 can be found in cells E71, F71, G71, and H71, respectively.</t>
  </si>
  <si>
    <r>
      <t>2) Bioproduction Estimates</t>
    </r>
    <r>
      <rPr>
        <sz val="12"/>
        <rFont val="Times New Roman"/>
        <family val="1"/>
      </rPr>
      <t xml:space="preserve"> – This worksheet contains five tables that summarize electricity and fuel generation for all New Jersey counties using two biopower technologies (Direct Combustion-Stand Alone for Solid Biomass) and three biofuel technologies ( Transesterification, Dilute cid Hydrolysis and Anaerobic Digestion-Landfill Gas to Transportatin Fuels).  This is a static worksheet and is for informational purposes only. It is not linked to the main Bioenergy Calculator worksheet, thus changes made here will not carry through the program. </t>
    </r>
  </si>
  <si>
    <r>
      <t xml:space="preserve">5)  Technology Assumptions: </t>
    </r>
    <r>
      <rPr>
        <sz val="12"/>
        <rFont val="Times New Roman"/>
        <family val="1"/>
      </rPr>
      <t xml:space="preserve">- This worksheet lists the efficiencies of the electricity generation and fuel production technologies used in this study, including projections for improved efficiencies through 2025.  Changes on this sheet can be made in the yellow highlighted sections to increase or decrease these figures.  This worksheet also includes conversion factors for the various fuels, which can be used to determine the gallons of gasoline equivalent (GGE).   </t>
    </r>
  </si>
  <si>
    <r>
      <t>10) Fuel Yields for Ethanol and Dilute Acid Hydrolysis</t>
    </r>
    <r>
      <rPr>
        <sz val="12"/>
        <rFont val="Times New Roman"/>
        <family val="1"/>
      </rPr>
      <t xml:space="preserve"> – This worksheet contains fuel yield assumptions for ethanol and dilute acid hydrolysis for each feedstock used with these technologies. Projections resulting from increases in technology efficiencies for 2010, 2015 and 2020 are also included. This is a static worksheet and is for informational purposes only. It is not linked to the main Bioenergy Calculator worksheet, thus changes made here will not carry through the program. </t>
    </r>
  </si>
  <si>
    <r>
      <t>11) Contact Information</t>
    </r>
    <r>
      <rPr>
        <sz val="12"/>
        <rFont val="Times New Roman"/>
        <family val="1"/>
      </rPr>
      <t xml:space="preserve"> – This worksheet contains contact information for all members of the project teams  for version 2.0 (2014) and version 1(2007). Questions regarding the use or contents of the database should be directed to Serpil Guran or David Specca.</t>
    </r>
  </si>
  <si>
    <r>
      <rPr>
        <b/>
        <sz val="12"/>
        <rFont val="Times New Roman"/>
        <family val="1"/>
      </rPr>
      <t xml:space="preserve">11- </t>
    </r>
    <r>
      <rPr>
        <b/>
        <u/>
        <sz val="12"/>
        <rFont val="Times New Roman"/>
        <family val="1"/>
      </rPr>
      <t>GHG</t>
    </r>
    <r>
      <rPr>
        <b/>
        <sz val="12"/>
        <rFont val="Times New Roman"/>
        <family val="1"/>
      </rPr>
      <t xml:space="preserve"> </t>
    </r>
    <r>
      <rPr>
        <b/>
        <u/>
        <sz val="12"/>
        <rFont val="Times New Roman"/>
        <family val="1"/>
      </rPr>
      <t>Estimates</t>
    </r>
    <r>
      <rPr>
        <b/>
        <sz val="12"/>
        <rFont val="Times New Roman"/>
        <family val="1"/>
      </rPr>
      <t xml:space="preserve">- </t>
    </r>
  </si>
  <si>
    <t xml:space="preserve">2013 C&amp;D Tonnage by County - provided by Patricia Elias, NJDEP, Division of Solid and Hazardous Waste  </t>
  </si>
  <si>
    <t>Collectibility Reduction (DT)</t>
  </si>
  <si>
    <t>Sortability Reduction (DT)</t>
  </si>
  <si>
    <t>Alt Use Reduction (DT)</t>
  </si>
  <si>
    <t>Practically Recoverable</t>
  </si>
  <si>
    <t>Solid Waste Based Biomass</t>
  </si>
  <si>
    <t>(check)</t>
  </si>
  <si>
    <t>COMMENT: Individual county amounts range from 128,000 to 611,000 dry tons for landfilled biomass.</t>
  </si>
  <si>
    <t xml:space="preserve">Landfilled* </t>
  </si>
  <si>
    <t>Landfilled and Incinerated Biomass Combined*</t>
  </si>
  <si>
    <t>* Values in these columns do not automatically update from changes to data in other parts of the database</t>
  </si>
  <si>
    <t>Current Gross Quantity (dry tons) 2010</t>
  </si>
  <si>
    <t>Wiltsee, G., 1998. Urban Waste Grease Resources Assessment. Prepared for National Renewable Energy Laboratory, US Department of Energy, Subcontract No. ACG-7-17090-01 under Prime Contract No. DE-AC36-83CH10093.</t>
  </si>
  <si>
    <t>2010 estimated population by county multiplied by 13.37 pounds/person/yr, Wiltsee, G., 1998. Urban Waste Grease Resources Assessment. Prepared for National Renewable Energy Laboratory, US Department of Energy, Subcontract No. ACG-7-17090-01 under Prime Contract No. DE-AC36-83CH10093.</t>
  </si>
  <si>
    <t>2010 estimated population by county multiplied by 8.80 pounds/person/yr, Wiltsee, G., 1998. Urban Waste Grease Resources Assessment. Prepared for National Renewable Energy Laboratory, US Department of Energy, Subcontract No. ACG-7-17090-01 under Prime Contract No. DE-AC36-83CH10093.</t>
  </si>
  <si>
    <t>Waste Based Bio-oils</t>
  </si>
  <si>
    <t>2010 estimated population by county multiplied by 8.80 pounds/person/yr, Wiltsee, G., 1998. Urban Waste Grease Resources Assessment. Prepared for National Renewable Energy Laboratory, US Department of Energy</t>
  </si>
  <si>
    <t>2010 estimated population by county multiplied by 13.37 pounds/person/yr, Wiltsee, G., 1998. Urban Waste Grease Resources Assessment. Prepared for National Renewable Energy Laboratory, US Department of Energy</t>
  </si>
  <si>
    <t>Gross Usable (Dry Tons)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</si>
</sst>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3" formatCode="_(* #,##0.00_);_(* \(#,##0.00\);_(* &quot;-&quot;??_);_(@_)"/>
    <numFmt numFmtId="164" formatCode="0.0"/>
    <numFmt numFmtId="165" formatCode="_(* #,##0.0_);_(* \(#,##0.0\);_(* &quot;-&quot;??_);_(@_)"/>
    <numFmt numFmtId="166" formatCode="_(* #,##0_);_(* \(#,##0\);_(* &quot;-&quot;??_);_(@_)"/>
    <numFmt numFmtId="167" formatCode="#,##0.0"/>
    <numFmt numFmtId="168" formatCode="_(* #,##0.000_);_(* \(#,##0.000\);_(* &quot;-&quot;??_);_(@_)"/>
    <numFmt numFmtId="169" formatCode="0.0%"/>
    <numFmt numFmtId="170" formatCode="\ "/>
    <numFmt numFmtId="171" formatCode="_(* #,##0.0000_);_(* \(#,##0.0000\);_(* &quot;-&quot;??_);_(@_)"/>
    <numFmt numFmtId="172" formatCode="0.0000%"/>
    <numFmt numFmtId="173" formatCode="0.000%"/>
    <numFmt numFmtId="174" formatCode="###\ ###\ ###"/>
    <numFmt numFmtId="175" formatCode="0.0000"/>
    <numFmt numFmtId="176" formatCode="#,##0.0000"/>
    <numFmt numFmtId="177" formatCode="#,##0.00000000"/>
    <numFmt numFmtId="178" formatCode="0.00_);[Red]\(0.00\)"/>
    <numFmt numFmtId="179" formatCode="#,##0.0_);[Red]\(#,##0.0\)"/>
  </numFmts>
  <fonts count="13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name val="Arial"/>
      <family val="2"/>
    </font>
    <font>
      <b/>
      <u/>
      <sz val="10"/>
      <name val="Arial"/>
      <family val="2"/>
    </font>
    <font>
      <b/>
      <i/>
      <sz val="10"/>
      <name val="Arial"/>
      <family val="2"/>
    </font>
    <font>
      <b/>
      <vertAlign val="superscript"/>
      <sz val="10"/>
      <name val="Arial"/>
      <family val="2"/>
    </font>
    <font>
      <sz val="10"/>
      <color indexed="8"/>
      <name val="Arial"/>
      <family val="2"/>
    </font>
    <font>
      <b/>
      <u/>
      <sz val="10"/>
      <color indexed="9"/>
      <name val="Arial"/>
      <family val="2"/>
    </font>
    <font>
      <u/>
      <sz val="10"/>
      <name val="Arial"/>
      <family val="2"/>
    </font>
    <font>
      <sz val="10"/>
      <color indexed="10"/>
      <name val="Arial"/>
      <family val="2"/>
    </font>
    <font>
      <u/>
      <sz val="10"/>
      <color indexed="12"/>
      <name val="Arial"/>
      <family val="2"/>
    </font>
    <font>
      <b/>
      <sz val="10"/>
      <color indexed="9"/>
      <name val="Arial"/>
      <family val="2"/>
    </font>
    <font>
      <sz val="10"/>
      <name val="Courier"/>
      <family val="3"/>
    </font>
    <font>
      <b/>
      <sz val="10"/>
      <color indexed="10"/>
      <name val="Arial"/>
      <family val="2"/>
    </font>
    <font>
      <sz val="10"/>
      <color indexed="9"/>
      <name val="Arial"/>
      <family val="2"/>
    </font>
    <font>
      <b/>
      <sz val="12"/>
      <color indexed="9"/>
      <name val="Arial"/>
      <family val="2"/>
    </font>
    <font>
      <b/>
      <sz val="12"/>
      <color indexed="9"/>
      <name val="Arial"/>
      <family val="2"/>
    </font>
    <font>
      <sz val="12"/>
      <color indexed="9"/>
      <name val="Arial"/>
      <family val="2"/>
    </font>
    <font>
      <sz val="12"/>
      <name val="Arial"/>
      <family val="2"/>
    </font>
    <font>
      <sz val="9"/>
      <name val="Arial"/>
      <family val="2"/>
    </font>
    <font>
      <sz val="8"/>
      <color indexed="81"/>
      <name val="Tahoma"/>
      <family val="2"/>
    </font>
    <font>
      <b/>
      <sz val="8"/>
      <color indexed="81"/>
      <name val="Tahoma"/>
      <family val="2"/>
    </font>
    <font>
      <i/>
      <sz val="10"/>
      <name val="Arial"/>
      <family val="2"/>
    </font>
    <font>
      <b/>
      <i/>
      <sz val="12"/>
      <name val="Arial"/>
      <family val="2"/>
    </font>
    <font>
      <sz val="8"/>
      <name val="Arial"/>
      <family val="2"/>
    </font>
    <font>
      <b/>
      <sz val="10"/>
      <name val="Times New Roman"/>
      <family val="1"/>
    </font>
    <font>
      <b/>
      <sz val="12"/>
      <name val="Times New Roman"/>
      <family val="1"/>
    </font>
    <font>
      <sz val="10"/>
      <name val="Times New Roman"/>
      <family val="1"/>
    </font>
    <font>
      <u/>
      <sz val="10"/>
      <name val="Times New Roman"/>
      <family val="1"/>
    </font>
    <font>
      <sz val="11"/>
      <name val="Times New Roman"/>
      <family val="1"/>
    </font>
    <font>
      <b/>
      <i/>
      <sz val="10"/>
      <name val="Times New Roman"/>
      <family val="1"/>
    </font>
    <font>
      <sz val="12"/>
      <name val="Times New Roman"/>
      <family val="1"/>
    </font>
    <font>
      <b/>
      <sz val="8"/>
      <name val="Arial"/>
      <family val="2"/>
    </font>
    <font>
      <u/>
      <sz val="10"/>
      <color indexed="12"/>
      <name val="Arial"/>
      <family val="2"/>
    </font>
    <font>
      <b/>
      <sz val="10"/>
      <name val="Arial"/>
      <family val="2"/>
    </font>
    <font>
      <sz val="10"/>
      <color indexed="8"/>
      <name val="Times New Roman"/>
      <family val="1"/>
    </font>
    <font>
      <b/>
      <sz val="10"/>
      <color indexed="81"/>
      <name val="Tahoma"/>
      <family val="2"/>
    </font>
    <font>
      <sz val="10"/>
      <color indexed="81"/>
      <name val="Tahoma"/>
      <family val="2"/>
    </font>
    <font>
      <b/>
      <sz val="11"/>
      <name val="Arial"/>
      <family val="2"/>
    </font>
    <font>
      <sz val="11"/>
      <name val="Arial"/>
      <family val="2"/>
    </font>
    <font>
      <sz val="11"/>
      <color indexed="9"/>
      <name val="Arial"/>
      <family val="2"/>
    </font>
    <font>
      <b/>
      <u/>
      <sz val="12"/>
      <name val="Arial"/>
      <family val="2"/>
    </font>
    <font>
      <b/>
      <sz val="12"/>
      <name val="Arial"/>
      <family val="2"/>
    </font>
    <font>
      <b/>
      <sz val="14"/>
      <name val="Times New Roman"/>
      <family val="1"/>
    </font>
    <font>
      <vertAlign val="superscript"/>
      <sz val="10"/>
      <name val="Times New Roman"/>
      <family val="1"/>
    </font>
    <font>
      <b/>
      <u/>
      <sz val="12"/>
      <name val="Times New Roman"/>
      <family val="1"/>
    </font>
    <font>
      <vertAlign val="superscript"/>
      <sz val="11"/>
      <name val="Times New Roman"/>
      <family val="1"/>
    </font>
    <font>
      <sz val="12"/>
      <name val="Palatino Linotype"/>
      <family val="1"/>
    </font>
    <font>
      <sz val="7"/>
      <name val="Times New Roman"/>
      <family val="1"/>
    </font>
    <font>
      <i/>
      <sz val="12"/>
      <name val="Times New Roman"/>
      <family val="1"/>
    </font>
    <font>
      <b/>
      <u/>
      <vertAlign val="superscript"/>
      <sz val="11"/>
      <name val="Times New Roman"/>
      <family val="1"/>
    </font>
    <font>
      <sz val="9"/>
      <color indexed="81"/>
      <name val="Tahoma"/>
      <family val="2"/>
    </font>
    <font>
      <b/>
      <sz val="9"/>
      <color indexed="81"/>
      <name val="Tahoma"/>
      <family val="2"/>
    </font>
    <font>
      <sz val="10"/>
      <color theme="0" tint="-0.249977111117893"/>
      <name val="Arial"/>
      <family val="2"/>
    </font>
    <font>
      <b/>
      <sz val="10"/>
      <color theme="0" tint="-0.249977111117893"/>
      <name val="Arial"/>
      <family val="2"/>
    </font>
    <font>
      <b/>
      <sz val="10"/>
      <color theme="0"/>
      <name val="Arial"/>
      <family val="2"/>
    </font>
    <font>
      <sz val="14"/>
      <color theme="0"/>
      <name val="Times New Roman"/>
      <family val="1"/>
    </font>
    <font>
      <b/>
      <vertAlign val="superscript"/>
      <sz val="12"/>
      <color indexed="9"/>
      <name val="Arial"/>
      <family val="2"/>
    </font>
    <font>
      <u/>
      <sz val="10"/>
      <color indexed="12"/>
      <name val="Times New Roman"/>
      <family val="1"/>
    </font>
    <font>
      <vertAlign val="superscript"/>
      <sz val="10"/>
      <name val="Arial"/>
      <family val="2"/>
    </font>
    <font>
      <sz val="9"/>
      <color theme="1"/>
      <name val="Calibri"/>
      <family val="2"/>
      <scheme val="minor"/>
    </font>
    <font>
      <b/>
      <sz val="9"/>
      <name val="Arial"/>
      <family val="2"/>
    </font>
    <font>
      <b/>
      <vertAlign val="superscript"/>
      <sz val="9"/>
      <name val="Arial"/>
      <family val="2"/>
    </font>
    <font>
      <vertAlign val="subscript"/>
      <sz val="9"/>
      <name val="Arial"/>
      <family val="2"/>
    </font>
    <font>
      <sz val="9"/>
      <name val="Calibri"/>
      <family val="2"/>
      <scheme val="minor"/>
    </font>
    <font>
      <b/>
      <sz val="10"/>
      <color indexed="8"/>
      <name val="Times New Roman"/>
      <family val="1"/>
    </font>
    <font>
      <vertAlign val="subscript"/>
      <sz val="9"/>
      <color indexed="81"/>
      <name val="Tahoma"/>
      <family val="2"/>
    </font>
    <font>
      <b/>
      <vertAlign val="superscript"/>
      <sz val="10"/>
      <color theme="0"/>
      <name val="Arial"/>
      <family val="2"/>
    </font>
    <font>
      <sz val="11"/>
      <color theme="1"/>
      <name val="Arial"/>
      <family val="2"/>
    </font>
    <font>
      <sz val="10"/>
      <color theme="1"/>
      <name val="Arial"/>
      <family val="2"/>
    </font>
    <font>
      <u/>
      <sz val="9"/>
      <color theme="1"/>
      <name val="Arial"/>
      <family val="2"/>
    </font>
    <font>
      <sz val="9"/>
      <color theme="1"/>
      <name val="Arial"/>
      <family val="2"/>
    </font>
    <font>
      <vertAlign val="superscript"/>
      <sz val="9"/>
      <color theme="1"/>
      <name val="Arial"/>
      <family val="2"/>
    </font>
    <font>
      <u/>
      <vertAlign val="subscript"/>
      <sz val="9"/>
      <color theme="1"/>
      <name val="Arial"/>
      <family val="2"/>
    </font>
    <font>
      <vertAlign val="subscript"/>
      <sz val="9"/>
      <color theme="1"/>
      <name val="Arial"/>
      <family val="2"/>
    </font>
    <font>
      <b/>
      <u/>
      <sz val="10"/>
      <color theme="1"/>
      <name val="Arial"/>
      <family val="2"/>
    </font>
    <font>
      <b/>
      <sz val="10"/>
      <color theme="1"/>
      <name val="Arial"/>
      <family val="2"/>
    </font>
    <font>
      <b/>
      <vertAlign val="subscript"/>
      <sz val="10"/>
      <color theme="0"/>
      <name val="Arial"/>
      <family val="2"/>
    </font>
    <font>
      <i/>
      <sz val="9"/>
      <color theme="1"/>
      <name val="Arial"/>
      <family val="2"/>
    </font>
    <font>
      <b/>
      <sz val="12"/>
      <color theme="0"/>
      <name val="Arial"/>
      <family val="2"/>
    </font>
    <font>
      <b/>
      <vertAlign val="superscript"/>
      <sz val="12"/>
      <color theme="0"/>
      <name val="Arial"/>
      <family val="2"/>
    </font>
    <font>
      <u/>
      <sz val="10"/>
      <color theme="1"/>
      <name val="Arial"/>
      <family val="2"/>
    </font>
    <font>
      <sz val="24"/>
      <name val="Arial"/>
      <family val="2"/>
    </font>
    <font>
      <b/>
      <sz val="11"/>
      <color theme="0"/>
      <name val="Calibri"/>
      <family val="2"/>
      <scheme val="minor"/>
    </font>
    <font>
      <b/>
      <sz val="11"/>
      <color theme="1"/>
      <name val="Calibri"/>
      <family val="2"/>
      <scheme val="minor"/>
    </font>
    <font>
      <sz val="11"/>
      <color theme="0"/>
      <name val="Calibri"/>
      <family val="2"/>
      <scheme val="minor"/>
    </font>
    <font>
      <sz val="9"/>
      <color rgb="FFFF0000"/>
      <name val="Arial"/>
      <family val="2"/>
    </font>
    <font>
      <vertAlign val="subscript"/>
      <sz val="9"/>
      <color rgb="FFFF0000"/>
      <name val="Arial"/>
      <family val="2"/>
    </font>
    <font>
      <vertAlign val="superscript"/>
      <sz val="9"/>
      <color rgb="FFFF0000"/>
      <name val="Arial"/>
      <family val="2"/>
    </font>
    <font>
      <b/>
      <sz val="8"/>
      <color theme="0"/>
      <name val="Arial"/>
      <family val="2"/>
    </font>
    <font>
      <b/>
      <sz val="11"/>
      <color indexed="9"/>
      <name val="Arial"/>
      <family val="2"/>
    </font>
    <font>
      <b/>
      <sz val="11"/>
      <color theme="0"/>
      <name val="Arial"/>
      <family val="2"/>
    </font>
    <font>
      <sz val="11"/>
      <color rgb="FFFF0000"/>
      <name val="Calibri"/>
      <family val="2"/>
      <scheme val="minor"/>
    </font>
    <font>
      <u/>
      <sz val="9"/>
      <color rgb="FFFF0000"/>
      <name val="Arial"/>
      <family val="2"/>
    </font>
    <font>
      <sz val="10"/>
      <color rgb="FFFF0000"/>
      <name val="Arial"/>
      <family val="2"/>
    </font>
    <font>
      <u/>
      <vertAlign val="subscript"/>
      <sz val="9"/>
      <color rgb="FFFF0000"/>
      <name val="Arial"/>
      <family val="2"/>
    </font>
    <font>
      <i/>
      <sz val="9"/>
      <color rgb="FFFF0000"/>
      <name val="Arial"/>
      <family val="2"/>
    </font>
    <font>
      <sz val="10"/>
      <color theme="5"/>
      <name val="Arial"/>
      <family val="2"/>
    </font>
    <font>
      <b/>
      <sz val="10"/>
      <color theme="5"/>
      <name val="Arial"/>
      <family val="2"/>
    </font>
    <font>
      <sz val="10"/>
      <color rgb="FFFF0000"/>
      <name val="Arial"/>
      <family val="2"/>
    </font>
    <font>
      <b/>
      <sz val="10"/>
      <color rgb="FFFF0000"/>
      <name val="Arial"/>
      <family val="2"/>
    </font>
    <font>
      <b/>
      <sz val="11"/>
      <color rgb="FFFF0000"/>
      <name val="Calibri"/>
      <family val="2"/>
      <scheme val="minor"/>
    </font>
    <font>
      <b/>
      <sz val="11"/>
      <color theme="0"/>
      <name val="Times New Roman"/>
      <family val="1"/>
    </font>
    <font>
      <sz val="11"/>
      <color theme="1"/>
      <name val="Times New Roman"/>
      <family val="1"/>
    </font>
    <font>
      <b/>
      <sz val="11"/>
      <color theme="1"/>
      <name val="Times New Roman"/>
      <family val="1"/>
    </font>
    <font>
      <b/>
      <sz val="9"/>
      <color theme="0"/>
      <name val="Arial"/>
      <family val="2"/>
    </font>
    <font>
      <b/>
      <sz val="12"/>
      <color theme="1"/>
      <name val="Arial"/>
      <family val="2"/>
    </font>
    <font>
      <b/>
      <sz val="12"/>
      <color theme="1"/>
      <name val="Calibri"/>
      <family val="2"/>
      <scheme val="minor"/>
    </font>
    <font>
      <b/>
      <vertAlign val="superscript"/>
      <sz val="12"/>
      <color theme="1"/>
      <name val="Arial"/>
      <family val="2"/>
    </font>
    <font>
      <b/>
      <u/>
      <sz val="12"/>
      <color theme="1"/>
      <name val="Arial"/>
      <family val="2"/>
    </font>
    <font>
      <b/>
      <u/>
      <vertAlign val="subscript"/>
      <sz val="12"/>
      <color theme="1"/>
      <name val="Arial"/>
      <family val="2"/>
    </font>
    <font>
      <b/>
      <sz val="9"/>
      <color theme="1"/>
      <name val="Arial"/>
      <family val="2"/>
    </font>
    <font>
      <b/>
      <sz val="11"/>
      <color theme="1"/>
      <name val="Arial"/>
      <family val="2"/>
    </font>
    <font>
      <b/>
      <sz val="12"/>
      <color theme="1"/>
      <name val="Times New Roman"/>
      <family val="1"/>
    </font>
    <font>
      <sz val="10"/>
      <color theme="0"/>
      <name val="Arial"/>
      <family val="2"/>
    </font>
    <font>
      <b/>
      <sz val="10"/>
      <color theme="0"/>
      <name val="Calibri"/>
      <family val="2"/>
      <scheme val="minor"/>
    </font>
  </fonts>
  <fills count="2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8"/>
        <bgColor indexed="64"/>
      </patternFill>
    </fill>
    <fill>
      <patternFill patternType="solid">
        <fgColor indexed="22"/>
        <bgColor indexed="64"/>
      </patternFill>
    </fill>
    <fill>
      <patternFill patternType="solid">
        <fgColor indexed="8"/>
        <bgColor indexed="64"/>
      </patternFill>
    </fill>
    <fill>
      <patternFill patternType="solid">
        <fgColor indexed="47"/>
        <bgColor indexed="64"/>
      </patternFill>
    </fill>
    <fill>
      <patternFill patternType="solid">
        <fgColor indexed="12"/>
        <bgColor indexed="64"/>
      </patternFill>
    </fill>
    <fill>
      <patternFill patternType="solid">
        <fgColor indexed="10"/>
        <bgColor indexed="64"/>
      </patternFill>
    </fill>
    <fill>
      <patternFill patternType="gray0625">
        <bgColor indexed="22"/>
      </patternFill>
    </fill>
    <fill>
      <patternFill patternType="solid">
        <fgColor rgb="FF00FF00"/>
        <bgColor indexed="64"/>
      </patternFill>
    </fill>
    <fill>
      <patternFill patternType="solid">
        <fgColor theme="0" tint="-0.249977111117893"/>
        <bgColor indexed="64"/>
      </patternFill>
    </fill>
    <fill>
      <patternFill patternType="solid">
        <fgColor rgb="FF0066FF"/>
        <bgColor indexed="64"/>
      </patternFill>
    </fill>
    <fill>
      <patternFill patternType="solid">
        <fgColor theme="4" tint="-0.249977111117893"/>
        <bgColor indexed="64"/>
      </patternFill>
    </fill>
    <fill>
      <patternFill patternType="solid">
        <fgColor rgb="FFFFFF99"/>
        <bgColor indexed="64"/>
      </patternFill>
    </fill>
    <fill>
      <patternFill patternType="solid">
        <fgColor theme="0"/>
        <bgColor indexed="64"/>
      </patternFill>
    </fill>
    <fill>
      <patternFill patternType="solid">
        <fgColor theme="9" tint="0.39997558519241921"/>
        <bgColor indexed="64"/>
      </patternFill>
    </fill>
    <fill>
      <patternFill patternType="solid">
        <fgColor theme="1"/>
        <bgColor indexed="64"/>
      </patternFill>
    </fill>
    <fill>
      <patternFill patternType="solid">
        <fgColor rgb="FFFFCC99"/>
        <bgColor indexed="64"/>
      </patternFill>
    </fill>
    <fill>
      <patternFill patternType="solid">
        <fgColor rgb="FF3366FF"/>
        <bgColor indexed="64"/>
      </patternFill>
    </fill>
    <fill>
      <patternFill patternType="solid">
        <fgColor rgb="FFFFC000"/>
        <bgColor indexed="64"/>
      </patternFill>
    </fill>
    <fill>
      <patternFill patternType="solid">
        <fgColor rgb="FFFF0000"/>
        <bgColor indexed="64"/>
      </patternFill>
    </fill>
    <fill>
      <patternFill patternType="solid">
        <fgColor rgb="FF00CC00"/>
        <bgColor indexed="64"/>
      </patternFill>
    </fill>
    <fill>
      <patternFill patternType="solid">
        <fgColor theme="3"/>
        <bgColor indexed="64"/>
      </patternFill>
    </fill>
    <fill>
      <patternFill patternType="solid">
        <fgColor rgb="FFFFFF66"/>
        <bgColor indexed="64"/>
      </patternFill>
    </fill>
    <fill>
      <patternFill patternType="solid">
        <fgColor rgb="FFFFFFCC"/>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style="medium">
        <color indexed="64"/>
      </left>
      <right/>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right/>
      <top style="thin">
        <color indexed="64"/>
      </top>
      <bottom/>
      <diagonal/>
    </border>
    <border>
      <left/>
      <right/>
      <top/>
      <bottom style="double">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double">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style="medium">
        <color indexed="64"/>
      </top>
      <bottom/>
      <diagonal/>
    </border>
    <border>
      <left style="thin">
        <color indexed="64"/>
      </left>
      <right style="medium">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double">
        <color indexed="64"/>
      </bottom>
      <diagonal/>
    </border>
    <border>
      <left/>
      <right style="thin">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double">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double">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double">
        <color indexed="64"/>
      </bottom>
      <diagonal/>
    </border>
  </borders>
  <cellStyleXfs count="8">
    <xf numFmtId="0" fontId="0" fillId="0" borderId="0"/>
    <xf numFmtId="43" fontId="14" fillId="0" borderId="0" applyFont="0" applyFill="0" applyBorder="0" applyAlignment="0" applyProtection="0"/>
    <xf numFmtId="0" fontId="24" fillId="0" borderId="0" applyNumberFormat="0" applyFill="0" applyBorder="0" applyAlignment="0" applyProtection="0">
      <alignment vertical="top"/>
      <protection locked="0"/>
    </xf>
    <xf numFmtId="0" fontId="20" fillId="0" borderId="0"/>
    <xf numFmtId="9" fontId="14" fillId="0" borderId="0" applyFont="0" applyFill="0" applyBorder="0" applyAlignment="0" applyProtection="0"/>
    <xf numFmtId="0" fontId="13" fillId="0" borderId="0"/>
    <xf numFmtId="0" fontId="12" fillId="0" borderId="0"/>
    <xf numFmtId="0" fontId="14" fillId="0" borderId="0"/>
  </cellStyleXfs>
  <cellXfs count="1241">
    <xf numFmtId="0" fontId="0" fillId="0" borderId="0" xfId="0"/>
    <xf numFmtId="0" fontId="0" fillId="0" borderId="1" xfId="0" applyBorder="1"/>
    <xf numFmtId="0" fontId="0" fillId="0" borderId="1" xfId="0" applyFill="1" applyBorder="1"/>
    <xf numFmtId="0" fontId="0" fillId="0" borderId="0" xfId="0" applyFill="1" applyBorder="1"/>
    <xf numFmtId="0" fontId="15" fillId="0" borderId="1" xfId="0" applyFont="1" applyFill="1" applyBorder="1"/>
    <xf numFmtId="0" fontId="0" fillId="2" borderId="0" xfId="0" applyFill="1" applyBorder="1"/>
    <xf numFmtId="0" fontId="0" fillId="2" borderId="0" xfId="0" applyFill="1" applyBorder="1" applyAlignment="1">
      <alignment wrapText="1"/>
    </xf>
    <xf numFmtId="0" fontId="0" fillId="2" borderId="1" xfId="0" applyFill="1" applyBorder="1"/>
    <xf numFmtId="0" fontId="0" fillId="2" borderId="0" xfId="0" applyFill="1" applyBorder="1" applyAlignment="1"/>
    <xf numFmtId="0" fontId="18" fillId="0" borderId="1" xfId="0" applyFont="1" applyFill="1" applyBorder="1" applyAlignment="1">
      <alignment horizontal="right"/>
    </xf>
    <xf numFmtId="0" fontId="0" fillId="2" borderId="2" xfId="0" applyFill="1" applyBorder="1"/>
    <xf numFmtId="0" fontId="0" fillId="0" borderId="1" xfId="0" applyBorder="1" applyAlignment="1">
      <alignment horizontal="left" indent="1"/>
    </xf>
    <xf numFmtId="0" fontId="0" fillId="0" borderId="1" xfId="0" applyFill="1" applyBorder="1" applyAlignment="1">
      <alignment horizontal="left" indent="1"/>
    </xf>
    <xf numFmtId="3" fontId="0" fillId="2" borderId="1" xfId="0" applyNumberFormat="1" applyFill="1" applyBorder="1"/>
    <xf numFmtId="9" fontId="14" fillId="0" borderId="1" xfId="4" applyFill="1" applyBorder="1"/>
    <xf numFmtId="1" fontId="0" fillId="2" borderId="1" xfId="0" applyNumberFormat="1" applyFill="1" applyBorder="1"/>
    <xf numFmtId="166" fontId="0" fillId="2" borderId="1" xfId="1" applyNumberFormat="1" applyFont="1" applyFill="1" applyBorder="1"/>
    <xf numFmtId="0" fontId="15" fillId="0" borderId="1" xfId="0" applyFont="1" applyFill="1" applyBorder="1" applyAlignment="1">
      <alignment horizontal="left" indent="1"/>
    </xf>
    <xf numFmtId="166" fontId="0" fillId="2" borderId="1" xfId="0" applyNumberFormat="1" applyFill="1" applyBorder="1"/>
    <xf numFmtId="166" fontId="18" fillId="2" borderId="1" xfId="1" applyNumberFormat="1" applyFont="1" applyFill="1" applyBorder="1"/>
    <xf numFmtId="0" fontId="17" fillId="0" borderId="0" xfId="0" applyFont="1"/>
    <xf numFmtId="3" fontId="14" fillId="3" borderId="1" xfId="1" applyNumberFormat="1" applyFont="1" applyFill="1" applyBorder="1"/>
    <xf numFmtId="0" fontId="21" fillId="4" borderId="1" xfId="0" applyFont="1" applyFill="1" applyBorder="1" applyAlignment="1">
      <alignment horizontal="center" wrapText="1"/>
    </xf>
    <xf numFmtId="3" fontId="14" fillId="0" borderId="1" xfId="1" applyNumberFormat="1" applyFont="1" applyFill="1" applyBorder="1"/>
    <xf numFmtId="0" fontId="0" fillId="3" borderId="1" xfId="0" applyFill="1" applyBorder="1"/>
    <xf numFmtId="9" fontId="14" fillId="3" borderId="1" xfId="4" applyFill="1" applyBorder="1"/>
    <xf numFmtId="9" fontId="14" fillId="3" borderId="1" xfId="4" applyFont="1" applyFill="1" applyBorder="1"/>
    <xf numFmtId="166" fontId="14" fillId="2" borderId="1" xfId="1" applyNumberFormat="1" applyFill="1" applyBorder="1"/>
    <xf numFmtId="166" fontId="0" fillId="2" borderId="0" xfId="1" applyNumberFormat="1" applyFont="1" applyFill="1" applyBorder="1"/>
    <xf numFmtId="9" fontId="0" fillId="0" borderId="0" xfId="4" applyFont="1" applyFill="1" applyBorder="1"/>
    <xf numFmtId="167" fontId="14" fillId="0" borderId="0" xfId="1" applyNumberFormat="1" applyFont="1" applyFill="1" applyBorder="1"/>
    <xf numFmtId="166" fontId="0" fillId="0" borderId="0" xfId="1" applyNumberFormat="1" applyFont="1" applyFill="1" applyBorder="1"/>
    <xf numFmtId="43" fontId="0" fillId="0" borderId="0" xfId="1" applyNumberFormat="1" applyFont="1" applyFill="1" applyBorder="1"/>
    <xf numFmtId="168" fontId="0" fillId="0" borderId="0" xfId="1" applyNumberFormat="1" applyFont="1" applyFill="1" applyBorder="1"/>
    <xf numFmtId="165" fontId="0" fillId="0" borderId="0" xfId="1" applyNumberFormat="1" applyFont="1" applyFill="1" applyBorder="1"/>
    <xf numFmtId="0" fontId="17" fillId="5" borderId="0" xfId="0" applyFont="1" applyFill="1" applyBorder="1"/>
    <xf numFmtId="0" fontId="0" fillId="5" borderId="0" xfId="0" applyFill="1" applyBorder="1"/>
    <xf numFmtId="0" fontId="16" fillId="5" borderId="1" xfId="0" applyFont="1" applyFill="1" applyBorder="1" applyAlignment="1">
      <alignment horizontal="center" wrapText="1"/>
    </xf>
    <xf numFmtId="0" fontId="16" fillId="5" borderId="0" xfId="0" applyFont="1" applyFill="1" applyBorder="1" applyAlignment="1">
      <alignment horizontal="center" wrapText="1"/>
    </xf>
    <xf numFmtId="0" fontId="16" fillId="5" borderId="1" xfId="0" applyFont="1" applyFill="1" applyBorder="1"/>
    <xf numFmtId="3" fontId="14" fillId="5" borderId="1" xfId="1" applyNumberFormat="1" applyFont="1" applyFill="1" applyBorder="1"/>
    <xf numFmtId="3" fontId="14" fillId="5" borderId="0" xfId="1" applyNumberFormat="1" applyFont="1" applyFill="1" applyBorder="1"/>
    <xf numFmtId="0" fontId="16" fillId="5" borderId="0" xfId="0" applyFont="1" applyFill="1" applyBorder="1" applyAlignment="1">
      <alignment horizontal="center"/>
    </xf>
    <xf numFmtId="0" fontId="16" fillId="5" borderId="0" xfId="0" applyFont="1" applyFill="1" applyBorder="1"/>
    <xf numFmtId="166" fontId="14" fillId="5" borderId="0" xfId="1" applyNumberFormat="1" applyFill="1" applyBorder="1"/>
    <xf numFmtId="0" fontId="0" fillId="5" borderId="0" xfId="0" applyFill="1" applyBorder="1" applyAlignment="1">
      <alignment horizontal="left" indent="1"/>
    </xf>
    <xf numFmtId="0" fontId="16" fillId="5" borderId="0" xfId="0" applyFont="1" applyFill="1" applyBorder="1" applyAlignment="1">
      <alignment horizontal="left" indent="1"/>
    </xf>
    <xf numFmtId="3" fontId="0" fillId="5" borderId="0" xfId="0" applyNumberFormat="1" applyFill="1" applyBorder="1"/>
    <xf numFmtId="3" fontId="16" fillId="5" borderId="0" xfId="1" applyNumberFormat="1" applyFont="1" applyFill="1" applyBorder="1"/>
    <xf numFmtId="0" fontId="14" fillId="5" borderId="1" xfId="0" applyFont="1" applyFill="1" applyBorder="1"/>
    <xf numFmtId="0" fontId="20" fillId="5" borderId="1" xfId="3" applyFont="1" applyFill="1" applyBorder="1" applyAlignment="1"/>
    <xf numFmtId="0" fontId="0" fillId="0" borderId="0" xfId="0" applyBorder="1"/>
    <xf numFmtId="0" fontId="0" fillId="0" borderId="0" xfId="0" applyBorder="1" applyAlignment="1"/>
    <xf numFmtId="0" fontId="0" fillId="0" borderId="0" xfId="0" applyBorder="1" applyAlignment="1">
      <alignment horizontal="center" wrapText="1"/>
    </xf>
    <xf numFmtId="0" fontId="21" fillId="0" borderId="0" xfId="0" applyFont="1" applyFill="1" applyBorder="1" applyAlignment="1">
      <alignment horizontal="center" wrapText="1"/>
    </xf>
    <xf numFmtId="0" fontId="0" fillId="0" borderId="0" xfId="0" applyFill="1" applyBorder="1" applyAlignment="1"/>
    <xf numFmtId="0" fontId="22" fillId="0" borderId="0" xfId="0" applyFont="1"/>
    <xf numFmtId="0" fontId="15" fillId="0" borderId="0" xfId="0" applyFont="1"/>
    <xf numFmtId="0" fontId="0" fillId="3" borderId="0" xfId="0" applyFill="1"/>
    <xf numFmtId="0" fontId="16" fillId="0" borderId="0" xfId="0" applyFont="1" applyFill="1" applyBorder="1" applyAlignment="1">
      <alignment horizontal="center" wrapText="1"/>
    </xf>
    <xf numFmtId="0" fontId="16" fillId="0" borderId="0" xfId="0" applyFont="1" applyFill="1" applyBorder="1" applyAlignment="1">
      <alignment horizontal="centerContinuous"/>
    </xf>
    <xf numFmtId="0" fontId="0" fillId="5" borderId="1" xfId="0" applyFill="1" applyBorder="1"/>
    <xf numFmtId="0" fontId="0" fillId="0" borderId="3" xfId="0" applyBorder="1" applyAlignment="1"/>
    <xf numFmtId="0" fontId="0" fillId="0" borderId="0" xfId="0" applyBorder="1" applyAlignment="1">
      <alignment horizontal="left" indent="1"/>
    </xf>
    <xf numFmtId="0" fontId="0" fillId="0" borderId="0" xfId="0" applyFill="1" applyBorder="1" applyAlignment="1">
      <alignment horizontal="left" indent="1"/>
    </xf>
    <xf numFmtId="0" fontId="0" fillId="0" borderId="3" xfId="0" applyBorder="1"/>
    <xf numFmtId="2" fontId="0" fillId="0" borderId="0" xfId="0" applyNumberFormat="1" applyBorder="1"/>
    <xf numFmtId="0" fontId="0" fillId="0" borderId="0" xfId="0" applyFill="1" applyAlignment="1"/>
    <xf numFmtId="0" fontId="0" fillId="0" borderId="4" xfId="0" applyBorder="1"/>
    <xf numFmtId="2" fontId="0" fillId="0" borderId="3" xfId="0" applyNumberFormat="1" applyBorder="1"/>
    <xf numFmtId="0" fontId="0" fillId="0" borderId="4" xfId="0" applyBorder="1" applyAlignment="1"/>
    <xf numFmtId="0" fontId="0" fillId="2" borderId="1" xfId="1" applyNumberFormat="1" applyFont="1" applyFill="1" applyBorder="1"/>
    <xf numFmtId="1" fontId="16" fillId="5" borderId="0" xfId="0" applyNumberFormat="1" applyFont="1" applyFill="1" applyBorder="1"/>
    <xf numFmtId="0" fontId="14" fillId="0" borderId="4" xfId="0" applyFont="1" applyBorder="1"/>
    <xf numFmtId="0" fontId="14" fillId="0" borderId="0" xfId="0" applyFont="1" applyBorder="1"/>
    <xf numFmtId="0" fontId="14" fillId="0" borderId="3" xfId="0" applyFont="1" applyBorder="1"/>
    <xf numFmtId="0" fontId="24" fillId="0" borderId="0" xfId="2" applyAlignment="1" applyProtection="1"/>
    <xf numFmtId="164" fontId="14" fillId="0" borderId="4" xfId="0" applyNumberFormat="1" applyFont="1" applyBorder="1"/>
    <xf numFmtId="164" fontId="14" fillId="0" borderId="0" xfId="0" applyNumberFormat="1" applyFont="1" applyBorder="1"/>
    <xf numFmtId="164" fontId="14" fillId="0" borderId="3" xfId="0" applyNumberFormat="1" applyFont="1" applyBorder="1"/>
    <xf numFmtId="0" fontId="16" fillId="0" borderId="0" xfId="0" applyFont="1"/>
    <xf numFmtId="0" fontId="16" fillId="0" borderId="5" xfId="0" applyFont="1" applyBorder="1"/>
    <xf numFmtId="0" fontId="16" fillId="0" borderId="6" xfId="0" applyFont="1" applyBorder="1" applyAlignment="1">
      <alignment horizontal="center"/>
    </xf>
    <xf numFmtId="0" fontId="0" fillId="6" borderId="0" xfId="0" applyFill="1"/>
    <xf numFmtId="0" fontId="0" fillId="6" borderId="0" xfId="0" applyFill="1" applyBorder="1"/>
    <xf numFmtId="3" fontId="14" fillId="3" borderId="0" xfId="1" applyNumberFormat="1" applyFont="1" applyFill="1" applyBorder="1"/>
    <xf numFmtId="3" fontId="16" fillId="3" borderId="0" xfId="1" applyNumberFormat="1" applyFont="1" applyFill="1" applyBorder="1"/>
    <xf numFmtId="4" fontId="20" fillId="3" borderId="1" xfId="3" applyNumberFormat="1" applyFont="1" applyFill="1" applyBorder="1" applyAlignment="1">
      <alignment horizontal="right"/>
    </xf>
    <xf numFmtId="164" fontId="0" fillId="0" borderId="0" xfId="0" applyNumberFormat="1" applyBorder="1"/>
    <xf numFmtId="164" fontId="0" fillId="0" borderId="3" xfId="0" applyNumberFormat="1" applyBorder="1"/>
    <xf numFmtId="9" fontId="0" fillId="3" borderId="1" xfId="4" applyFont="1" applyFill="1" applyBorder="1"/>
    <xf numFmtId="0" fontId="0" fillId="0" borderId="0" xfId="0" applyBorder="1" applyAlignment="1">
      <alignment horizontal="center"/>
    </xf>
    <xf numFmtId="9" fontId="0" fillId="0" borderId="1" xfId="4" applyFont="1" applyFill="1" applyBorder="1"/>
    <xf numFmtId="0" fontId="25" fillId="4" borderId="7" xfId="0" applyFont="1" applyFill="1" applyBorder="1"/>
    <xf numFmtId="0" fontId="25" fillId="4" borderId="8" xfId="0" applyFont="1" applyFill="1" applyBorder="1"/>
    <xf numFmtId="0" fontId="25" fillId="4" borderId="9" xfId="0" applyFont="1" applyFill="1" applyBorder="1"/>
    <xf numFmtId="0" fontId="0" fillId="0" borderId="10" xfId="0" applyBorder="1"/>
    <xf numFmtId="0" fontId="0" fillId="0" borderId="10" xfId="0" applyBorder="1" applyAlignment="1">
      <alignment wrapText="1"/>
    </xf>
    <xf numFmtId="0" fontId="0" fillId="7" borderId="13" xfId="0" applyFill="1" applyBorder="1"/>
    <xf numFmtId="0" fontId="0" fillId="7" borderId="14" xfId="0" applyFill="1" applyBorder="1"/>
    <xf numFmtId="0" fontId="0" fillId="3" borderId="11" xfId="0" applyFill="1" applyBorder="1"/>
    <xf numFmtId="0" fontId="25" fillId="4" borderId="8" xfId="0" applyFont="1" applyFill="1" applyBorder="1" applyAlignment="1">
      <alignment horizontal="center" wrapText="1"/>
    </xf>
    <xf numFmtId="0" fontId="25" fillId="4" borderId="9" xfId="0" applyFont="1" applyFill="1" applyBorder="1" applyAlignment="1">
      <alignment horizontal="center" wrapText="1"/>
    </xf>
    <xf numFmtId="0" fontId="0" fillId="7" borderId="13" xfId="0" applyFill="1" applyBorder="1" applyAlignment="1">
      <alignment horizontal="left" indent="1"/>
    </xf>
    <xf numFmtId="0" fontId="24" fillId="0" borderId="10" xfId="2" applyBorder="1" applyAlignment="1" applyProtection="1"/>
    <xf numFmtId="0" fontId="15" fillId="7" borderId="13" xfId="0" applyFont="1" applyFill="1" applyBorder="1"/>
    <xf numFmtId="0" fontId="15" fillId="7" borderId="13" xfId="0" applyFont="1" applyFill="1" applyBorder="1" applyAlignment="1">
      <alignment horizontal="left" indent="1"/>
    </xf>
    <xf numFmtId="0" fontId="0" fillId="7" borderId="13" xfId="0" applyFill="1" applyBorder="1" applyAlignment="1">
      <alignment horizontal="left" indent="2"/>
    </xf>
    <xf numFmtId="0" fontId="15" fillId="7" borderId="14" xfId="0" applyFont="1" applyFill="1" applyBorder="1"/>
    <xf numFmtId="0" fontId="0" fillId="0" borderId="11" xfId="0" applyBorder="1"/>
    <xf numFmtId="0" fontId="24" fillId="0" borderId="12" xfId="2" applyBorder="1" applyAlignment="1" applyProtection="1"/>
    <xf numFmtId="9" fontId="14" fillId="0" borderId="11" xfId="4" applyFont="1" applyFill="1" applyBorder="1"/>
    <xf numFmtId="0" fontId="25" fillId="4" borderId="15" xfId="0" applyFont="1" applyFill="1" applyBorder="1"/>
    <xf numFmtId="0" fontId="0" fillId="0" borderId="16" xfId="0" applyFill="1" applyBorder="1"/>
    <xf numFmtId="9" fontId="0" fillId="0" borderId="16" xfId="4" applyFont="1" applyFill="1" applyBorder="1"/>
    <xf numFmtId="169" fontId="0" fillId="0" borderId="16" xfId="4" applyNumberFormat="1" applyFont="1" applyFill="1" applyBorder="1"/>
    <xf numFmtId="0" fontId="0" fillId="6" borderId="18" xfId="0" applyFill="1" applyBorder="1"/>
    <xf numFmtId="2" fontId="0" fillId="6" borderId="0" xfId="0" applyNumberFormat="1" applyFill="1" applyBorder="1"/>
    <xf numFmtId="166" fontId="0" fillId="6" borderId="0" xfId="1" applyNumberFormat="1" applyFont="1" applyFill="1" applyBorder="1"/>
    <xf numFmtId="43" fontId="0" fillId="6" borderId="0" xfId="1" applyNumberFormat="1" applyFont="1" applyFill="1" applyBorder="1"/>
    <xf numFmtId="0" fontId="16" fillId="0" borderId="0" xfId="0" applyFont="1" applyFill="1" applyBorder="1" applyAlignment="1">
      <alignment horizontal="left"/>
    </xf>
    <xf numFmtId="0" fontId="0" fillId="0" borderId="0" xfId="0" applyAlignment="1">
      <alignment horizontal="left" indent="1"/>
    </xf>
    <xf numFmtId="3" fontId="16" fillId="5" borderId="0" xfId="1" applyNumberFormat="1" applyFont="1" applyFill="1" applyBorder="1" applyAlignment="1">
      <alignment horizontal="center"/>
    </xf>
    <xf numFmtId="4" fontId="14" fillId="5" borderId="0" xfId="1" applyNumberFormat="1" applyFont="1" applyFill="1" applyBorder="1"/>
    <xf numFmtId="9" fontId="0" fillId="0" borderId="1" xfId="0" applyNumberFormat="1" applyBorder="1"/>
    <xf numFmtId="9" fontId="0" fillId="3" borderId="1" xfId="0" applyNumberFormat="1" applyFill="1" applyBorder="1"/>
    <xf numFmtId="1" fontId="0" fillId="3" borderId="1" xfId="0" applyNumberFormat="1" applyFill="1" applyBorder="1"/>
    <xf numFmtId="9" fontId="0" fillId="0" borderId="11" xfId="0" applyNumberFormat="1" applyBorder="1"/>
    <xf numFmtId="0" fontId="23" fillId="0" borderId="0" xfId="0" applyFont="1"/>
    <xf numFmtId="0" fontId="14" fillId="0" borderId="1" xfId="0" applyFont="1" applyFill="1" applyBorder="1"/>
    <xf numFmtId="0" fontId="14" fillId="0" borderId="1" xfId="0" applyFont="1" applyBorder="1"/>
    <xf numFmtId="0" fontId="0" fillId="0" borderId="0" xfId="0" applyAlignment="1">
      <alignment horizontal="center"/>
    </xf>
    <xf numFmtId="166" fontId="16" fillId="0" borderId="0" xfId="0" applyNumberFormat="1" applyFont="1"/>
    <xf numFmtId="0" fontId="14" fillId="0" borderId="1" xfId="0" applyFont="1" applyFill="1" applyBorder="1" applyAlignment="1">
      <alignment horizontal="left" indent="1"/>
    </xf>
    <xf numFmtId="43" fontId="0" fillId="0" borderId="0" xfId="0" applyNumberFormat="1"/>
    <xf numFmtId="2" fontId="0" fillId="0" borderId="0" xfId="0" applyNumberFormat="1" applyFill="1" applyBorder="1"/>
    <xf numFmtId="2" fontId="0" fillId="0" borderId="3" xfId="0" applyNumberFormat="1" applyFill="1" applyBorder="1"/>
    <xf numFmtId="2" fontId="14" fillId="0" borderId="0" xfId="0" applyNumberFormat="1" applyFont="1" applyBorder="1"/>
    <xf numFmtId="2" fontId="14" fillId="0" borderId="3" xfId="0" applyNumberFormat="1" applyFont="1" applyBorder="1"/>
    <xf numFmtId="0" fontId="16" fillId="0" borderId="19" xfId="0" applyFont="1" applyBorder="1"/>
    <xf numFmtId="0" fontId="0" fillId="0" borderId="20" xfId="0" applyBorder="1"/>
    <xf numFmtId="166" fontId="0" fillId="0" borderId="0" xfId="1" applyNumberFormat="1" applyFont="1" applyBorder="1"/>
    <xf numFmtId="166" fontId="0" fillId="0" borderId="2" xfId="1" applyNumberFormat="1" applyFont="1" applyBorder="1"/>
    <xf numFmtId="166" fontId="18" fillId="0" borderId="1" xfId="0" applyNumberFormat="1" applyFont="1" applyBorder="1"/>
    <xf numFmtId="0" fontId="0" fillId="0" borderId="25" xfId="0" applyBorder="1"/>
    <xf numFmtId="10" fontId="0" fillId="0" borderId="0" xfId="0" applyNumberFormat="1" applyBorder="1" applyAlignment="1">
      <alignment horizontal="center"/>
    </xf>
    <xf numFmtId="164" fontId="0" fillId="0" borderId="0" xfId="0" applyNumberFormat="1" applyBorder="1" applyAlignment="1">
      <alignment horizontal="center"/>
    </xf>
    <xf numFmtId="0" fontId="0" fillId="0" borderId="3" xfId="0" applyBorder="1" applyAlignment="1">
      <alignment horizontal="center"/>
    </xf>
    <xf numFmtId="0" fontId="0" fillId="0" borderId="1" xfId="0" applyBorder="1" applyAlignment="1">
      <alignment horizontal="left"/>
    </xf>
    <xf numFmtId="0" fontId="0" fillId="7" borderId="13" xfId="0" applyFill="1" applyBorder="1" applyAlignment="1">
      <alignment horizontal="left"/>
    </xf>
    <xf numFmtId="0" fontId="14" fillId="5" borderId="0" xfId="0" applyFont="1" applyFill="1" applyBorder="1"/>
    <xf numFmtId="0" fontId="20" fillId="5" borderId="0" xfId="3" applyFont="1" applyFill="1" applyBorder="1" applyAlignment="1"/>
    <xf numFmtId="166" fontId="0" fillId="0" borderId="27" xfId="1" applyNumberFormat="1" applyFont="1" applyBorder="1"/>
    <xf numFmtId="166" fontId="0" fillId="0" borderId="28" xfId="1" applyNumberFormat="1" applyFont="1" applyBorder="1"/>
    <xf numFmtId="0" fontId="25" fillId="8" borderId="14" xfId="0" applyFont="1" applyFill="1" applyBorder="1" applyAlignment="1">
      <alignment horizontal="center"/>
    </xf>
    <xf numFmtId="166" fontId="0" fillId="0" borderId="29" xfId="1" applyNumberFormat="1" applyFont="1" applyBorder="1"/>
    <xf numFmtId="0" fontId="21" fillId="4" borderId="6" xfId="0" applyFont="1" applyFill="1" applyBorder="1" applyAlignment="1">
      <alignment horizontal="center" wrapText="1"/>
    </xf>
    <xf numFmtId="165" fontId="0" fillId="6" borderId="0" xfId="1" applyNumberFormat="1" applyFont="1" applyFill="1" applyBorder="1"/>
    <xf numFmtId="165" fontId="0" fillId="0" borderId="4" xfId="0" applyNumberFormat="1" applyBorder="1"/>
    <xf numFmtId="165" fontId="0" fillId="0" borderId="0" xfId="0" applyNumberFormat="1" applyBorder="1"/>
    <xf numFmtId="165" fontId="0" fillId="0" borderId="3" xfId="0" applyNumberFormat="1" applyBorder="1"/>
    <xf numFmtId="165" fontId="0" fillId="6" borderId="0" xfId="0" applyNumberFormat="1" applyFill="1" applyBorder="1"/>
    <xf numFmtId="0" fontId="16" fillId="3" borderId="30" xfId="0" applyFont="1" applyFill="1" applyBorder="1" applyAlignment="1">
      <alignment horizontal="right"/>
    </xf>
    <xf numFmtId="166" fontId="0" fillId="0" borderId="31" xfId="1" applyNumberFormat="1" applyFont="1" applyBorder="1"/>
    <xf numFmtId="0" fontId="16" fillId="3" borderId="32" xfId="0" applyFont="1" applyFill="1" applyBorder="1" applyAlignment="1">
      <alignment horizontal="left"/>
    </xf>
    <xf numFmtId="0" fontId="16" fillId="3" borderId="19" xfId="0" applyFont="1" applyFill="1" applyBorder="1" applyAlignment="1">
      <alignment horizontal="left"/>
    </xf>
    <xf numFmtId="0" fontId="16" fillId="3" borderId="27" xfId="0" applyFont="1" applyFill="1" applyBorder="1" applyAlignment="1">
      <alignment horizontal="left"/>
    </xf>
    <xf numFmtId="166" fontId="0" fillId="0" borderId="27" xfId="1" applyNumberFormat="1" applyFont="1" applyFill="1" applyBorder="1"/>
    <xf numFmtId="166" fontId="0" fillId="0" borderId="33" xfId="1" applyNumberFormat="1" applyFont="1" applyFill="1" applyBorder="1"/>
    <xf numFmtId="0" fontId="25" fillId="4" borderId="1" xfId="0" applyFont="1" applyFill="1" applyBorder="1" applyAlignment="1">
      <alignment horizontal="center"/>
    </xf>
    <xf numFmtId="0" fontId="25" fillId="4" borderId="1" xfId="0" applyFont="1" applyFill="1" applyBorder="1" applyAlignment="1">
      <alignment wrapText="1"/>
    </xf>
    <xf numFmtId="0" fontId="25" fillId="4" borderId="1" xfId="0" applyFont="1" applyFill="1" applyBorder="1" applyAlignment="1">
      <alignment horizontal="center" vertical="center" wrapText="1"/>
    </xf>
    <xf numFmtId="0" fontId="0" fillId="0" borderId="21" xfId="0" applyBorder="1"/>
    <xf numFmtId="0" fontId="16" fillId="3" borderId="21" xfId="0" applyFont="1" applyFill="1" applyBorder="1"/>
    <xf numFmtId="0" fontId="16" fillId="3" borderId="34" xfId="0" applyFont="1" applyFill="1" applyBorder="1"/>
    <xf numFmtId="0" fontId="16" fillId="3" borderId="22" xfId="0" applyFont="1" applyFill="1" applyBorder="1"/>
    <xf numFmtId="166" fontId="16" fillId="0" borderId="2" xfId="0" applyNumberFormat="1" applyFont="1" applyBorder="1"/>
    <xf numFmtId="0" fontId="25" fillId="4" borderId="13" xfId="0" applyFont="1" applyFill="1" applyBorder="1" applyAlignment="1">
      <alignment wrapText="1"/>
    </xf>
    <xf numFmtId="0" fontId="25" fillId="4" borderId="10" xfId="0" applyFont="1" applyFill="1" applyBorder="1" applyAlignment="1">
      <alignment horizontal="center" vertical="center" wrapText="1"/>
    </xf>
    <xf numFmtId="0" fontId="25" fillId="4" borderId="36" xfId="0" applyFont="1" applyFill="1" applyBorder="1"/>
    <xf numFmtId="0" fontId="29" fillId="4" borderId="19" xfId="0" applyFont="1" applyFill="1" applyBorder="1"/>
    <xf numFmtId="0" fontId="15" fillId="0" borderId="36" xfId="0" applyFont="1" applyBorder="1"/>
    <xf numFmtId="170" fontId="15" fillId="0" borderId="21" xfId="0" applyNumberFormat="1" applyFont="1" applyBorder="1"/>
    <xf numFmtId="0" fontId="16" fillId="0" borderId="37" xfId="0" applyFont="1" applyBorder="1" applyAlignment="1">
      <alignment horizontal="center"/>
    </xf>
    <xf numFmtId="0" fontId="16" fillId="0" borderId="13" xfId="0" applyFont="1" applyBorder="1" applyAlignment="1">
      <alignment horizontal="center" wrapText="1"/>
    </xf>
    <xf numFmtId="0" fontId="16" fillId="0" borderId="14" xfId="0" applyFont="1" applyBorder="1" applyAlignment="1">
      <alignment horizontal="center" wrapText="1"/>
    </xf>
    <xf numFmtId="0" fontId="0" fillId="0" borderId="14" xfId="0" applyBorder="1"/>
    <xf numFmtId="0" fontId="16" fillId="0" borderId="7" xfId="0" applyFont="1" applyFill="1" applyBorder="1" applyAlignment="1">
      <alignment horizontal="center"/>
    </xf>
    <xf numFmtId="0" fontId="16" fillId="0" borderId="8" xfId="0" applyFont="1" applyFill="1" applyBorder="1" applyAlignment="1">
      <alignment horizontal="center" wrapText="1"/>
    </xf>
    <xf numFmtId="0" fontId="16" fillId="0" borderId="9" xfId="0" applyFont="1" applyFill="1" applyBorder="1" applyAlignment="1">
      <alignment horizontal="center" wrapText="1"/>
    </xf>
    <xf numFmtId="0" fontId="16" fillId="0" borderId="13" xfId="0" applyFont="1" applyFill="1" applyBorder="1"/>
    <xf numFmtId="0" fontId="0" fillId="0" borderId="10" xfId="0" applyFill="1" applyBorder="1"/>
    <xf numFmtId="0" fontId="0" fillId="0" borderId="13" xfId="0" applyFill="1" applyBorder="1" applyAlignment="1">
      <alignment horizontal="left" indent="1"/>
    </xf>
    <xf numFmtId="0" fontId="16" fillId="0" borderId="14" xfId="0" applyFont="1" applyFill="1" applyBorder="1"/>
    <xf numFmtId="0" fontId="16" fillId="0" borderId="7" xfId="0" applyFont="1" applyFill="1" applyBorder="1" applyAlignment="1">
      <alignment horizontal="center" wrapText="1"/>
    </xf>
    <xf numFmtId="167" fontId="14" fillId="3" borderId="10" xfId="1" applyNumberFormat="1" applyFont="1" applyFill="1" applyBorder="1"/>
    <xf numFmtId="167" fontId="14" fillId="3" borderId="12" xfId="1" applyNumberFormat="1" applyFont="1" applyFill="1" applyBorder="1"/>
    <xf numFmtId="0" fontId="16" fillId="0" borderId="13" xfId="0" applyFont="1" applyBorder="1"/>
    <xf numFmtId="0" fontId="16" fillId="0" borderId="14" xfId="0" applyFont="1" applyBorder="1"/>
    <xf numFmtId="0" fontId="28" fillId="0" borderId="0" xfId="0" applyFont="1" applyBorder="1"/>
    <xf numFmtId="0" fontId="0" fillId="0" borderId="2" xfId="0" applyBorder="1"/>
    <xf numFmtId="0" fontId="0" fillId="0" borderId="2" xfId="0" applyBorder="1" applyAlignment="1">
      <alignment horizontal="center"/>
    </xf>
    <xf numFmtId="0" fontId="27" fillId="0" borderId="2" xfId="0" applyFont="1" applyBorder="1" applyAlignment="1">
      <alignment horizontal="center"/>
    </xf>
    <xf numFmtId="10" fontId="0" fillId="0" borderId="20" xfId="0" applyNumberFormat="1" applyBorder="1" applyAlignment="1">
      <alignment horizontal="center"/>
    </xf>
    <xf numFmtId="164" fontId="0" fillId="0" borderId="20" xfId="0" applyNumberFormat="1" applyBorder="1" applyAlignment="1">
      <alignment horizontal="center"/>
    </xf>
    <xf numFmtId="0" fontId="27" fillId="0" borderId="23" xfId="0" applyFont="1" applyBorder="1" applyAlignment="1">
      <alignment horizontal="center"/>
    </xf>
    <xf numFmtId="0" fontId="25" fillId="4" borderId="38" xfId="0" applyFont="1" applyFill="1" applyBorder="1" applyAlignment="1">
      <alignment horizontal="center"/>
    </xf>
    <xf numFmtId="0" fontId="25" fillId="4" borderId="39" xfId="0" applyFont="1" applyFill="1" applyBorder="1" applyAlignment="1">
      <alignment horizontal="center"/>
    </xf>
    <xf numFmtId="0" fontId="0" fillId="3" borderId="21" xfId="0" applyFill="1" applyBorder="1"/>
    <xf numFmtId="0" fontId="0" fillId="3" borderId="22" xfId="0" applyFill="1" applyBorder="1"/>
    <xf numFmtId="2" fontId="0" fillId="0" borderId="1" xfId="0" applyNumberFormat="1" applyBorder="1" applyAlignment="1">
      <alignment horizontal="center"/>
    </xf>
    <xf numFmtId="2" fontId="0" fillId="0" borderId="40" xfId="0" applyNumberFormat="1" applyBorder="1" applyAlignment="1">
      <alignment horizontal="center"/>
    </xf>
    <xf numFmtId="10" fontId="0" fillId="0" borderId="13" xfId="0" applyNumberFormat="1" applyBorder="1" applyAlignment="1">
      <alignment horizontal="center"/>
    </xf>
    <xf numFmtId="10" fontId="0" fillId="0" borderId="10" xfId="0" applyNumberFormat="1" applyBorder="1" applyAlignment="1">
      <alignment horizontal="center"/>
    </xf>
    <xf numFmtId="9" fontId="0" fillId="0" borderId="13" xfId="0" applyNumberFormat="1" applyBorder="1" applyAlignment="1">
      <alignment horizontal="center"/>
    </xf>
    <xf numFmtId="9" fontId="0" fillId="0" borderId="10" xfId="0" applyNumberFormat="1" applyBorder="1" applyAlignment="1">
      <alignment horizontal="center"/>
    </xf>
    <xf numFmtId="2" fontId="0" fillId="0" borderId="13" xfId="0" applyNumberFormat="1" applyBorder="1" applyAlignment="1">
      <alignment horizontal="center"/>
    </xf>
    <xf numFmtId="2" fontId="0" fillId="0" borderId="10" xfId="0" applyNumberFormat="1" applyBorder="1" applyAlignment="1">
      <alignment horizontal="center"/>
    </xf>
    <xf numFmtId="0" fontId="23" fillId="0" borderId="11" xfId="0" applyFont="1" applyBorder="1" applyAlignment="1">
      <alignment horizontal="right"/>
    </xf>
    <xf numFmtId="2" fontId="0" fillId="0" borderId="12" xfId="0" applyNumberFormat="1" applyBorder="1"/>
    <xf numFmtId="2" fontId="0" fillId="0" borderId="11" xfId="0" applyNumberFormat="1" applyBorder="1"/>
    <xf numFmtId="0" fontId="0" fillId="0" borderId="41" xfId="0" applyBorder="1"/>
    <xf numFmtId="0" fontId="0" fillId="0" borderId="14" xfId="0" applyBorder="1" applyAlignment="1">
      <alignment horizontal="center"/>
    </xf>
    <xf numFmtId="0" fontId="0" fillId="0" borderId="12" xfId="0" applyBorder="1" applyAlignment="1">
      <alignment horizontal="center"/>
    </xf>
    <xf numFmtId="0" fontId="25" fillId="4" borderId="7" xfId="0" applyFont="1" applyFill="1" applyBorder="1" applyAlignment="1">
      <alignment horizontal="center"/>
    </xf>
    <xf numFmtId="0" fontId="25" fillId="4" borderId="9" xfId="0" applyFont="1" applyFill="1" applyBorder="1" applyAlignment="1">
      <alignment horizontal="center"/>
    </xf>
    <xf numFmtId="0" fontId="25" fillId="4" borderId="13" xfId="0" applyFont="1" applyFill="1" applyBorder="1" applyAlignment="1">
      <alignment horizontal="center"/>
    </xf>
    <xf numFmtId="0" fontId="25" fillId="4" borderId="10" xfId="0" applyFont="1" applyFill="1" applyBorder="1" applyAlignment="1">
      <alignment horizontal="center"/>
    </xf>
    <xf numFmtId="0" fontId="25" fillId="4" borderId="40" xfId="0" applyFont="1" applyFill="1" applyBorder="1" applyAlignment="1">
      <alignment horizontal="center"/>
    </xf>
    <xf numFmtId="0" fontId="0" fillId="7" borderId="1" xfId="0" applyFill="1" applyBorder="1"/>
    <xf numFmtId="164" fontId="0" fillId="7" borderId="1" xfId="0" applyNumberFormat="1" applyFill="1" applyBorder="1"/>
    <xf numFmtId="2" fontId="0" fillId="7" borderId="11" xfId="0" applyNumberFormat="1" applyFill="1" applyBorder="1"/>
    <xf numFmtId="0" fontId="25" fillId="4" borderId="21" xfId="0" applyFont="1" applyFill="1" applyBorder="1"/>
    <xf numFmtId="0" fontId="0" fillId="0" borderId="0" xfId="0" applyBorder="1" applyAlignment="1">
      <alignment horizontal="centerContinuous"/>
    </xf>
    <xf numFmtId="2" fontId="0" fillId="0" borderId="0" xfId="0" applyNumberFormat="1" applyBorder="1" applyAlignment="1">
      <alignment horizontal="centerContinuous"/>
    </xf>
    <xf numFmtId="0" fontId="21" fillId="6" borderId="42" xfId="0" applyFont="1" applyFill="1" applyBorder="1" applyAlignment="1">
      <alignment horizontal="center" wrapText="1"/>
    </xf>
    <xf numFmtId="0" fontId="0" fillId="6" borderId="42" xfId="0" applyFill="1" applyBorder="1" applyAlignment="1">
      <alignment horizontal="center" wrapText="1"/>
    </xf>
    <xf numFmtId="165" fontId="0" fillId="0" borderId="20" xfId="0" applyNumberFormat="1" applyBorder="1"/>
    <xf numFmtId="0" fontId="14" fillId="0" borderId="20" xfId="0" applyFont="1" applyBorder="1"/>
    <xf numFmtId="164" fontId="14" fillId="0" borderId="20" xfId="0" applyNumberFormat="1" applyFont="1" applyBorder="1"/>
    <xf numFmtId="0" fontId="0" fillId="0" borderId="20" xfId="0" applyBorder="1" applyAlignment="1">
      <alignment horizontal="centerContinuous"/>
    </xf>
    <xf numFmtId="0" fontId="15" fillId="0" borderId="11" xfId="0" applyFont="1" applyFill="1" applyBorder="1" applyAlignment="1">
      <alignment horizontal="left" indent="1"/>
    </xf>
    <xf numFmtId="166" fontId="0" fillId="0" borderId="2" xfId="1" applyNumberFormat="1" applyFont="1" applyFill="1" applyBorder="1"/>
    <xf numFmtId="43" fontId="0" fillId="0" borderId="2" xfId="1" applyNumberFormat="1" applyFont="1" applyFill="1" applyBorder="1"/>
    <xf numFmtId="43" fontId="0" fillId="6" borderId="2" xfId="1" applyNumberFormat="1" applyFont="1" applyFill="1" applyBorder="1"/>
    <xf numFmtId="2" fontId="0" fillId="0" borderId="2" xfId="0" applyNumberFormat="1" applyBorder="1"/>
    <xf numFmtId="2" fontId="0" fillId="0" borderId="43" xfId="0" applyNumberFormat="1" applyBorder="1"/>
    <xf numFmtId="0" fontId="0" fillId="6" borderId="2" xfId="0" applyFill="1" applyBorder="1"/>
    <xf numFmtId="164" fontId="14" fillId="0" borderId="44" xfId="0" applyNumberFormat="1" applyFont="1" applyBorder="1"/>
    <xf numFmtId="164" fontId="14" fillId="0" borderId="2" xfId="0" applyNumberFormat="1" applyFont="1" applyBorder="1"/>
    <xf numFmtId="164" fontId="14" fillId="0" borderId="43" xfId="0" applyNumberFormat="1" applyFont="1" applyBorder="1"/>
    <xf numFmtId="0" fontId="0" fillId="0" borderId="43" xfId="0" applyBorder="1"/>
    <xf numFmtId="164" fontId="14" fillId="0" borderId="0" xfId="0" applyNumberFormat="1" applyFont="1" applyBorder="1" applyAlignment="1">
      <alignment horizontal="center"/>
    </xf>
    <xf numFmtId="164" fontId="23" fillId="0" borderId="0" xfId="0" applyNumberFormat="1" applyFont="1" applyBorder="1" applyAlignment="1">
      <alignment horizontal="center"/>
    </xf>
    <xf numFmtId="165" fontId="0" fillId="0" borderId="0" xfId="0" applyNumberFormat="1" applyBorder="1" applyAlignment="1">
      <alignment horizontal="center"/>
    </xf>
    <xf numFmtId="164" fontId="14" fillId="0" borderId="3" xfId="0" applyNumberFormat="1" applyFont="1" applyBorder="1" applyAlignment="1">
      <alignment horizontal="center"/>
    </xf>
    <xf numFmtId="164" fontId="23" fillId="0" borderId="3" xfId="0" applyNumberFormat="1" applyFont="1" applyBorder="1" applyAlignment="1">
      <alignment horizontal="center"/>
    </xf>
    <xf numFmtId="164" fontId="0" fillId="0" borderId="3" xfId="0" applyNumberFormat="1" applyBorder="1" applyAlignment="1">
      <alignment horizontal="center"/>
    </xf>
    <xf numFmtId="165" fontId="0" fillId="0" borderId="3" xfId="0" applyNumberFormat="1" applyBorder="1" applyAlignment="1">
      <alignment horizontal="center"/>
    </xf>
    <xf numFmtId="164" fontId="0" fillId="0" borderId="0" xfId="0" applyNumberFormat="1" applyFill="1" applyBorder="1" applyAlignment="1">
      <alignment horizontal="center"/>
    </xf>
    <xf numFmtId="0" fontId="21" fillId="4" borderId="37" xfId="0" applyFont="1" applyFill="1" applyBorder="1" applyAlignment="1">
      <alignment horizontal="center" wrapText="1"/>
    </xf>
    <xf numFmtId="0" fontId="0" fillId="0" borderId="43" xfId="0" applyBorder="1" applyAlignment="1">
      <alignment horizontal="center"/>
    </xf>
    <xf numFmtId="164" fontId="14" fillId="0" borderId="23" xfId="0" applyNumberFormat="1" applyFont="1" applyBorder="1"/>
    <xf numFmtId="0" fontId="25" fillId="4" borderId="16" xfId="0" applyFont="1" applyFill="1" applyBorder="1" applyAlignment="1">
      <alignment wrapText="1"/>
    </xf>
    <xf numFmtId="166" fontId="0" fillId="0" borderId="0" xfId="0" applyNumberFormat="1"/>
    <xf numFmtId="166" fontId="0" fillId="0" borderId="0" xfId="1" applyNumberFormat="1" applyFont="1"/>
    <xf numFmtId="9" fontId="0" fillId="0" borderId="0" xfId="4" applyFont="1"/>
    <xf numFmtId="164" fontId="0" fillId="0" borderId="0" xfId="0" applyNumberFormat="1"/>
    <xf numFmtId="1" fontId="0" fillId="0" borderId="0" xfId="0" applyNumberFormat="1"/>
    <xf numFmtId="0" fontId="0" fillId="0" borderId="0" xfId="0" applyAlignment="1">
      <alignment horizontal="right"/>
    </xf>
    <xf numFmtId="0" fontId="16" fillId="0" borderId="0" xfId="0" applyFont="1" applyAlignment="1">
      <alignment horizontal="right"/>
    </xf>
    <xf numFmtId="0" fontId="0" fillId="0" borderId="38" xfId="0" applyBorder="1"/>
    <xf numFmtId="0" fontId="33" fillId="0" borderId="36" xfId="0" applyFont="1" applyBorder="1"/>
    <xf numFmtId="0" fontId="0" fillId="0" borderId="0" xfId="0" applyAlignment="1"/>
    <xf numFmtId="0" fontId="25" fillId="8" borderId="12" xfId="0" applyFont="1" applyFill="1" applyBorder="1" applyAlignment="1">
      <alignment horizontal="center" wrapText="1"/>
    </xf>
    <xf numFmtId="0" fontId="25" fillId="8" borderId="17" xfId="0" applyFont="1" applyFill="1" applyBorder="1" applyAlignment="1">
      <alignment horizontal="center" wrapText="1"/>
    </xf>
    <xf numFmtId="166" fontId="0" fillId="0" borderId="1" xfId="1" applyNumberFormat="1" applyFont="1" applyBorder="1"/>
    <xf numFmtId="166" fontId="0" fillId="0" borderId="47" xfId="1" applyNumberFormat="1" applyFont="1" applyBorder="1"/>
    <xf numFmtId="166" fontId="0" fillId="0" borderId="48" xfId="1" applyNumberFormat="1" applyFont="1" applyFill="1" applyBorder="1"/>
    <xf numFmtId="166" fontId="0" fillId="0" borderId="49" xfId="1" applyNumberFormat="1" applyFont="1" applyBorder="1"/>
    <xf numFmtId="166" fontId="0" fillId="0" borderId="50" xfId="1" applyNumberFormat="1" applyFont="1" applyBorder="1"/>
    <xf numFmtId="166" fontId="0" fillId="0" borderId="16" xfId="1" applyNumberFormat="1" applyFont="1" applyBorder="1"/>
    <xf numFmtId="166" fontId="0" fillId="0" borderId="51" xfId="1" applyNumberFormat="1" applyFont="1" applyFill="1" applyBorder="1"/>
    <xf numFmtId="166" fontId="0" fillId="0" borderId="33" xfId="1" applyNumberFormat="1" applyFont="1" applyBorder="1"/>
    <xf numFmtId="166" fontId="0" fillId="0" borderId="52" xfId="1" applyNumberFormat="1" applyFont="1" applyBorder="1"/>
    <xf numFmtId="166" fontId="0" fillId="0" borderId="40" xfId="1" applyNumberFormat="1" applyFont="1" applyBorder="1"/>
    <xf numFmtId="166" fontId="0" fillId="0" borderId="53" xfId="1" applyNumberFormat="1" applyFont="1" applyFill="1" applyBorder="1"/>
    <xf numFmtId="166" fontId="0" fillId="0" borderId="54" xfId="1" applyNumberFormat="1" applyFont="1" applyBorder="1"/>
    <xf numFmtId="166" fontId="0" fillId="0" borderId="43" xfId="1" applyNumberFormat="1" applyFont="1" applyBorder="1"/>
    <xf numFmtId="0" fontId="16" fillId="0" borderId="0" xfId="0" applyFont="1" applyFill="1" applyBorder="1" applyAlignment="1">
      <alignment horizontal="left" indent="1"/>
    </xf>
    <xf numFmtId="0" fontId="0" fillId="0" borderId="0" xfId="0" applyAlignment="1">
      <alignment vertical="top"/>
    </xf>
    <xf numFmtId="171" fontId="0" fillId="0" borderId="0" xfId="0" applyNumberFormat="1"/>
    <xf numFmtId="166" fontId="27" fillId="0" borderId="0" xfId="1" applyNumberFormat="1" applyFont="1" applyFill="1" applyBorder="1" applyAlignment="1">
      <alignment horizontal="right"/>
    </xf>
    <xf numFmtId="0" fontId="27" fillId="0" borderId="0" xfId="0" applyFont="1"/>
    <xf numFmtId="3" fontId="0" fillId="2" borderId="1" xfId="1" applyNumberFormat="1" applyFont="1" applyFill="1" applyBorder="1"/>
    <xf numFmtId="3" fontId="18" fillId="2" borderId="1" xfId="1" applyNumberFormat="1" applyFont="1" applyFill="1" applyBorder="1"/>
    <xf numFmtId="3" fontId="0" fillId="2" borderId="0" xfId="1" applyNumberFormat="1" applyFont="1" applyFill="1" applyBorder="1"/>
    <xf numFmtId="3" fontId="0" fillId="0" borderId="1" xfId="1" applyNumberFormat="1" applyFont="1" applyFill="1" applyBorder="1"/>
    <xf numFmtId="3" fontId="16" fillId="2" borderId="1" xfId="0" applyNumberFormat="1" applyFont="1" applyFill="1" applyBorder="1" applyAlignment="1">
      <alignment horizontal="center"/>
    </xf>
    <xf numFmtId="3" fontId="14" fillId="2" borderId="1" xfId="1" applyNumberFormat="1" applyFill="1" applyBorder="1"/>
    <xf numFmtId="3" fontId="14" fillId="0" borderId="1" xfId="1" applyNumberFormat="1" applyFill="1" applyBorder="1"/>
    <xf numFmtId="0" fontId="0" fillId="0" borderId="0" xfId="0" applyAlignment="1">
      <alignment wrapText="1"/>
    </xf>
    <xf numFmtId="0" fontId="0" fillId="0" borderId="39" xfId="0" applyBorder="1"/>
    <xf numFmtId="166" fontId="16" fillId="0" borderId="0" xfId="1" applyNumberFormat="1" applyFont="1" applyBorder="1"/>
    <xf numFmtId="166" fontId="0" fillId="0" borderId="0" xfId="0" applyNumberFormat="1" applyFill="1" applyBorder="1"/>
    <xf numFmtId="166" fontId="16" fillId="0" borderId="0" xfId="0" applyNumberFormat="1" applyFont="1" applyFill="1" applyBorder="1"/>
    <xf numFmtId="0" fontId="36" fillId="0" borderId="0" xfId="0" applyFont="1" applyFill="1" applyBorder="1"/>
    <xf numFmtId="168" fontId="0" fillId="0" borderId="0" xfId="0" applyNumberFormat="1" applyFill="1" applyBorder="1"/>
    <xf numFmtId="9" fontId="14" fillId="0" borderId="0" xfId="4" applyFill="1" applyBorder="1"/>
    <xf numFmtId="9" fontId="14" fillId="0" borderId="0" xfId="4" applyFont="1" applyFill="1" applyBorder="1"/>
    <xf numFmtId="3" fontId="16" fillId="2" borderId="1" xfId="1" applyNumberFormat="1" applyFont="1" applyFill="1" applyBorder="1" applyAlignment="1">
      <alignment horizontal="center"/>
    </xf>
    <xf numFmtId="3" fontId="18" fillId="2" borderId="1" xfId="1" applyNumberFormat="1" applyFont="1" applyFill="1" applyBorder="1" applyAlignment="1">
      <alignment horizontal="right"/>
    </xf>
    <xf numFmtId="43" fontId="0" fillId="0" borderId="0" xfId="1" applyFont="1" applyFill="1" applyBorder="1"/>
    <xf numFmtId="0" fontId="36" fillId="0" borderId="0" xfId="0" applyFont="1" applyBorder="1"/>
    <xf numFmtId="1" fontId="0" fillId="0" borderId="0" xfId="0" applyNumberFormat="1" applyBorder="1"/>
    <xf numFmtId="0" fontId="0" fillId="0" borderId="3" xfId="0" applyFill="1" applyBorder="1"/>
    <xf numFmtId="164" fontId="14" fillId="0" borderId="0" xfId="0" applyNumberFormat="1" applyFont="1" applyFill="1" applyBorder="1"/>
    <xf numFmtId="0" fontId="25" fillId="9" borderId="16" xfId="0" applyFont="1" applyFill="1" applyBorder="1" applyAlignment="1"/>
    <xf numFmtId="0" fontId="25" fillId="9" borderId="18" xfId="0" applyFont="1" applyFill="1" applyBorder="1"/>
    <xf numFmtId="0" fontId="25" fillId="9" borderId="40" xfId="0" applyFont="1" applyFill="1" applyBorder="1"/>
    <xf numFmtId="0" fontId="16" fillId="3" borderId="0" xfId="0" applyFont="1" applyFill="1"/>
    <xf numFmtId="0" fontId="21" fillId="4" borderId="55" xfId="0" applyFont="1" applyFill="1" applyBorder="1" applyAlignment="1">
      <alignment horizontal="center" wrapText="1"/>
    </xf>
    <xf numFmtId="0" fontId="25" fillId="9" borderId="0" xfId="0" applyFont="1" applyFill="1" applyBorder="1"/>
    <xf numFmtId="0" fontId="16" fillId="0" borderId="0" xfId="0" applyFont="1" applyBorder="1" applyAlignment="1">
      <alignment horizontal="centerContinuous"/>
    </xf>
    <xf numFmtId="0" fontId="21" fillId="4" borderId="40" xfId="0" applyFont="1" applyFill="1" applyBorder="1" applyAlignment="1">
      <alignment horizontal="center" wrapText="1"/>
    </xf>
    <xf numFmtId="164" fontId="0" fillId="0" borderId="3" xfId="0" applyNumberFormat="1" applyFill="1" applyBorder="1" applyAlignment="1">
      <alignment horizontal="center"/>
    </xf>
    <xf numFmtId="164" fontId="14" fillId="0" borderId="3" xfId="0" applyNumberFormat="1" applyFont="1" applyFill="1" applyBorder="1"/>
    <xf numFmtId="0" fontId="21" fillId="4" borderId="10" xfId="0" applyFont="1" applyFill="1" applyBorder="1" applyAlignment="1">
      <alignment horizontal="center" wrapText="1"/>
    </xf>
    <xf numFmtId="0" fontId="0" fillId="0" borderId="20" xfId="0" applyBorder="1" applyAlignment="1"/>
    <xf numFmtId="0" fontId="21" fillId="6" borderId="16" xfId="0" applyFont="1" applyFill="1" applyBorder="1" applyAlignment="1">
      <alignment wrapText="1"/>
    </xf>
    <xf numFmtId="0" fontId="21" fillId="4" borderId="56" xfId="0" applyFont="1" applyFill="1" applyBorder="1" applyAlignment="1">
      <alignment horizontal="center" wrapText="1"/>
    </xf>
    <xf numFmtId="0" fontId="0" fillId="0" borderId="57" xfId="0" applyBorder="1"/>
    <xf numFmtId="0" fontId="0" fillId="0" borderId="58" xfId="0" applyBorder="1"/>
    <xf numFmtId="2" fontId="0" fillId="0" borderId="21" xfId="0" applyNumberFormat="1" applyBorder="1"/>
    <xf numFmtId="2" fontId="0" fillId="0" borderId="20" xfId="0" applyNumberFormat="1" applyBorder="1"/>
    <xf numFmtId="165" fontId="0" fillId="0" borderId="21" xfId="0" applyNumberFormat="1" applyBorder="1"/>
    <xf numFmtId="2" fontId="0" fillId="0" borderId="22" xfId="0" applyNumberFormat="1" applyBorder="1"/>
    <xf numFmtId="2" fontId="0" fillId="0" borderId="23" xfId="0" applyNumberFormat="1" applyBorder="1"/>
    <xf numFmtId="0" fontId="0" fillId="6" borderId="25" xfId="0" applyFill="1" applyBorder="1"/>
    <xf numFmtId="2" fontId="0" fillId="6" borderId="5" xfId="0" applyNumberFormat="1" applyFill="1" applyBorder="1"/>
    <xf numFmtId="0" fontId="21" fillId="6" borderId="25" xfId="0" applyFont="1" applyFill="1" applyBorder="1" applyAlignment="1">
      <alignment horizontal="center" wrapText="1"/>
    </xf>
    <xf numFmtId="0" fontId="21" fillId="6" borderId="18" xfId="0" applyFont="1" applyFill="1" applyBorder="1" applyAlignment="1">
      <alignment horizontal="center" wrapText="1"/>
    </xf>
    <xf numFmtId="2" fontId="16" fillId="0" borderId="21" xfId="0" applyNumberFormat="1" applyFont="1" applyBorder="1" applyAlignment="1">
      <alignment horizontal="centerContinuous"/>
    </xf>
    <xf numFmtId="2" fontId="0" fillId="0" borderId="20" xfId="0" applyNumberFormat="1" applyBorder="1" applyAlignment="1">
      <alignment horizontal="centerContinuous"/>
    </xf>
    <xf numFmtId="0" fontId="0" fillId="0" borderId="0" xfId="0" applyBorder="1" applyAlignment="1">
      <alignment wrapText="1"/>
    </xf>
    <xf numFmtId="0" fontId="16" fillId="3" borderId="16" xfId="0" applyFont="1" applyFill="1" applyBorder="1"/>
    <xf numFmtId="166" fontId="16" fillId="0" borderId="21" xfId="0" applyNumberFormat="1" applyFont="1" applyBorder="1"/>
    <xf numFmtId="166" fontId="16" fillId="0" borderId="0" xfId="0" applyNumberFormat="1" applyFont="1" applyBorder="1"/>
    <xf numFmtId="0" fontId="16" fillId="0" borderId="20" xfId="0" applyFont="1" applyBorder="1"/>
    <xf numFmtId="0" fontId="16" fillId="0" borderId="23" xfId="0" applyFont="1" applyBorder="1"/>
    <xf numFmtId="0" fontId="0" fillId="7" borderId="59" xfId="0" applyFill="1" applyBorder="1"/>
    <xf numFmtId="164" fontId="0" fillId="7" borderId="59" xfId="0" applyNumberFormat="1" applyFill="1" applyBorder="1"/>
    <xf numFmtId="2" fontId="0" fillId="7" borderId="60" xfId="0" applyNumberFormat="1" applyFill="1" applyBorder="1"/>
    <xf numFmtId="0" fontId="0" fillId="0" borderId="0" xfId="0" applyFill="1"/>
    <xf numFmtId="166" fontId="0" fillId="0" borderId="1" xfId="1" applyNumberFormat="1" applyFont="1" applyFill="1" applyBorder="1"/>
    <xf numFmtId="166" fontId="18" fillId="0" borderId="1" xfId="1" applyNumberFormat="1" applyFont="1" applyFill="1" applyBorder="1"/>
    <xf numFmtId="0" fontId="0" fillId="0" borderId="0" xfId="0" applyFill="1" applyBorder="1" applyAlignment="1">
      <alignment wrapText="1"/>
    </xf>
    <xf numFmtId="0" fontId="37" fillId="10" borderId="36" xfId="0" applyFont="1" applyFill="1" applyBorder="1" applyAlignment="1">
      <alignment horizontal="left" indent="1"/>
    </xf>
    <xf numFmtId="0" fontId="0" fillId="10" borderId="38" xfId="0" applyFill="1" applyBorder="1"/>
    <xf numFmtId="0" fontId="18" fillId="10" borderId="38" xfId="0" applyFont="1" applyFill="1" applyBorder="1" applyAlignment="1">
      <alignment horizontal="left" indent="1"/>
    </xf>
    <xf numFmtId="0" fontId="0" fillId="10" borderId="39" xfId="0" applyFill="1" applyBorder="1"/>
    <xf numFmtId="0" fontId="0" fillId="10" borderId="21" xfId="0" applyFill="1" applyBorder="1"/>
    <xf numFmtId="0" fontId="36" fillId="5" borderId="0" xfId="0" applyFont="1" applyFill="1" applyBorder="1" applyAlignment="1">
      <alignment horizontal="left" indent="1"/>
    </xf>
    <xf numFmtId="0" fontId="0" fillId="10" borderId="0" xfId="0" applyFill="1" applyBorder="1"/>
    <xf numFmtId="0" fontId="0" fillId="10" borderId="20" xfId="0" applyFill="1" applyBorder="1"/>
    <xf numFmtId="0" fontId="15" fillId="10" borderId="22" xfId="0" applyFont="1" applyFill="1" applyBorder="1"/>
    <xf numFmtId="166" fontId="0" fillId="10" borderId="2" xfId="0" applyNumberFormat="1" applyFill="1" applyBorder="1"/>
    <xf numFmtId="0" fontId="0" fillId="10" borderId="2" xfId="0" applyFill="1" applyBorder="1"/>
    <xf numFmtId="166" fontId="36" fillId="10" borderId="2" xfId="0" applyNumberFormat="1" applyFont="1" applyFill="1" applyBorder="1"/>
    <xf numFmtId="0" fontId="36" fillId="10" borderId="2" xfId="0" applyFont="1" applyFill="1" applyBorder="1"/>
    <xf numFmtId="0" fontId="0" fillId="10" borderId="2" xfId="0" applyFill="1" applyBorder="1" applyAlignment="1">
      <alignment wrapText="1"/>
    </xf>
    <xf numFmtId="0" fontId="0" fillId="10" borderId="23" xfId="0" applyFill="1" applyBorder="1"/>
    <xf numFmtId="0" fontId="0" fillId="0" borderId="0" xfId="0" applyAlignment="1">
      <alignment horizontal="left" indent="2"/>
    </xf>
    <xf numFmtId="0" fontId="38" fillId="0" borderId="0" xfId="0" applyFont="1"/>
    <xf numFmtId="0" fontId="0" fillId="0" borderId="1" xfId="0" applyBorder="1" applyAlignment="1">
      <alignment wrapText="1"/>
    </xf>
    <xf numFmtId="0" fontId="39" fillId="0" borderId="1" xfId="0" applyFont="1" applyBorder="1" applyAlignment="1">
      <alignment horizontal="center"/>
    </xf>
    <xf numFmtId="0" fontId="40" fillId="0" borderId="1" xfId="0" applyFont="1" applyBorder="1" applyAlignment="1">
      <alignment horizontal="center"/>
    </xf>
    <xf numFmtId="0" fontId="39" fillId="0" borderId="1" xfId="0" applyFont="1" applyBorder="1"/>
    <xf numFmtId="0" fontId="41" fillId="0" borderId="1" xfId="0" applyFont="1" applyBorder="1"/>
    <xf numFmtId="0" fontId="42" fillId="0" borderId="1" xfId="2" applyFont="1" applyBorder="1" applyAlignment="1" applyProtection="1"/>
    <xf numFmtId="0" fontId="43" fillId="0" borderId="1" xfId="0" applyFont="1" applyBorder="1"/>
    <xf numFmtId="0" fontId="44" fillId="0" borderId="1" xfId="0" applyFont="1" applyBorder="1"/>
    <xf numFmtId="0" fontId="45" fillId="0" borderId="1" xfId="0" applyFont="1" applyBorder="1"/>
    <xf numFmtId="0" fontId="41" fillId="0" borderId="1" xfId="0" applyFont="1" applyBorder="1" applyAlignment="1">
      <alignment wrapText="1"/>
    </xf>
    <xf numFmtId="0" fontId="14" fillId="0" borderId="0" xfId="0" applyFont="1"/>
    <xf numFmtId="0" fontId="39" fillId="0" borderId="0" xfId="0" applyFont="1"/>
    <xf numFmtId="0" fontId="41" fillId="0" borderId="0" xfId="0" applyFont="1"/>
    <xf numFmtId="0" fontId="43" fillId="0" borderId="0" xfId="0" applyFont="1"/>
    <xf numFmtId="0" fontId="46" fillId="0" borderId="0" xfId="0" applyFont="1"/>
    <xf numFmtId="0" fontId="0" fillId="7" borderId="13" xfId="0" applyFill="1" applyBorder="1" applyAlignment="1">
      <alignment wrapText="1"/>
    </xf>
    <xf numFmtId="0" fontId="0" fillId="3" borderId="1" xfId="0" applyFill="1" applyBorder="1" applyAlignment="1">
      <alignment wrapText="1"/>
    </xf>
    <xf numFmtId="9" fontId="0" fillId="0" borderId="1" xfId="0" applyNumberFormat="1" applyBorder="1" applyAlignment="1">
      <alignment wrapText="1"/>
    </xf>
    <xf numFmtId="0" fontId="47" fillId="0" borderId="10" xfId="2" applyFont="1" applyBorder="1" applyAlignment="1" applyProtection="1"/>
    <xf numFmtId="0" fontId="49" fillId="0" borderId="1" xfId="0" applyFont="1" applyBorder="1" applyAlignment="1">
      <alignment horizontal="left"/>
    </xf>
    <xf numFmtId="4" fontId="41" fillId="0" borderId="0" xfId="0" applyNumberFormat="1" applyFont="1" applyAlignment="1">
      <alignment wrapText="1"/>
    </xf>
    <xf numFmtId="0" fontId="41" fillId="0" borderId="0" xfId="0" applyFont="1" applyAlignment="1">
      <alignment wrapText="1"/>
    </xf>
    <xf numFmtId="0" fontId="52" fillId="0" borderId="0" xfId="0" applyFont="1"/>
    <xf numFmtId="0" fontId="53" fillId="0" borderId="0" xfId="0" applyFont="1"/>
    <xf numFmtId="0" fontId="53" fillId="0" borderId="0" xfId="0" applyFont="1" applyBorder="1"/>
    <xf numFmtId="0" fontId="52" fillId="0" borderId="0" xfId="0" applyFont="1" applyBorder="1"/>
    <xf numFmtId="0" fontId="52" fillId="0" borderId="0" xfId="0" applyFont="1" applyBorder="1" applyAlignment="1">
      <alignment horizontal="center"/>
    </xf>
    <xf numFmtId="0" fontId="52" fillId="0" borderId="2" xfId="0" applyFont="1" applyBorder="1"/>
    <xf numFmtId="0" fontId="25" fillId="4" borderId="67" xfId="0" applyFont="1" applyFill="1" applyBorder="1" applyAlignment="1">
      <alignment horizontal="center"/>
    </xf>
    <xf numFmtId="0" fontId="25" fillId="4" borderId="47" xfId="0" applyFont="1" applyFill="1" applyBorder="1" applyAlignment="1">
      <alignment horizontal="center"/>
    </xf>
    <xf numFmtId="0" fontId="25" fillId="4" borderId="47" xfId="0" applyFont="1" applyFill="1" applyBorder="1"/>
    <xf numFmtId="0" fontId="25" fillId="4" borderId="24" xfId="0" applyFont="1" applyFill="1" applyBorder="1"/>
    <xf numFmtId="0" fontId="53" fillId="2" borderId="0" xfId="0" applyFont="1" applyFill="1" applyBorder="1"/>
    <xf numFmtId="0" fontId="55" fillId="0" borderId="0" xfId="0" applyFont="1"/>
    <xf numFmtId="0" fontId="56" fillId="0" borderId="0" xfId="0" applyFont="1" applyBorder="1"/>
    <xf numFmtId="0" fontId="32" fillId="0" borderId="0" xfId="0" applyFont="1"/>
    <xf numFmtId="0" fontId="52" fillId="0" borderId="4" xfId="0" applyFont="1" applyBorder="1" applyAlignment="1">
      <alignment horizontal="left"/>
    </xf>
    <xf numFmtId="0" fontId="56" fillId="2" borderId="0" xfId="0" applyFont="1" applyFill="1" applyBorder="1"/>
    <xf numFmtId="0" fontId="52" fillId="2" borderId="0" xfId="0" applyFont="1" applyFill="1" applyBorder="1"/>
    <xf numFmtId="0" fontId="45" fillId="0" borderId="0" xfId="0" applyFont="1" applyAlignment="1">
      <alignment horizontal="justify" wrapText="1"/>
    </xf>
    <xf numFmtId="0" fontId="40" fillId="0" borderId="0" xfId="0" applyFont="1" applyAlignment="1">
      <alignment horizontal="center" wrapText="1"/>
    </xf>
    <xf numFmtId="0" fontId="57" fillId="0" borderId="0" xfId="0" applyFont="1" applyAlignment="1">
      <alignment horizontal="center" wrapText="1"/>
    </xf>
    <xf numFmtId="0" fontId="59" fillId="0" borderId="0" xfId="0" applyFont="1" applyAlignment="1">
      <alignment horizontal="justify" wrapText="1"/>
    </xf>
    <xf numFmtId="0" fontId="40" fillId="0" borderId="0" xfId="0" applyFont="1" applyAlignment="1">
      <alignment horizontal="justify" wrapText="1"/>
    </xf>
    <xf numFmtId="0" fontId="61" fillId="0" borderId="0" xfId="0" applyFont="1" applyAlignment="1">
      <alignment horizontal="justify" wrapText="1"/>
    </xf>
    <xf numFmtId="0" fontId="63" fillId="0" borderId="0" xfId="0" applyFont="1" applyAlignment="1">
      <alignment horizontal="justify" wrapText="1"/>
    </xf>
    <xf numFmtId="0" fontId="45" fillId="0" borderId="0" xfId="0" applyNumberFormat="1" applyFont="1" applyAlignment="1">
      <alignment horizontal="justify" wrapText="1"/>
    </xf>
    <xf numFmtId="0" fontId="48" fillId="0" borderId="0" xfId="0" applyFont="1"/>
    <xf numFmtId="3" fontId="15" fillId="3" borderId="1" xfId="1" applyNumberFormat="1" applyFont="1" applyFill="1" applyBorder="1"/>
    <xf numFmtId="0" fontId="0" fillId="11" borderId="1" xfId="0" applyFill="1" applyBorder="1" applyAlignment="1">
      <alignment horizontal="center"/>
    </xf>
    <xf numFmtId="0" fontId="23" fillId="11" borderId="1" xfId="0" applyFont="1" applyFill="1" applyBorder="1" applyAlignment="1">
      <alignment horizontal="center" wrapText="1"/>
    </xf>
    <xf numFmtId="3" fontId="0" fillId="11" borderId="1" xfId="0" applyNumberFormat="1" applyFill="1" applyBorder="1"/>
    <xf numFmtId="173" fontId="23" fillId="11" borderId="1" xfId="0" applyNumberFormat="1" applyFont="1" applyFill="1" applyBorder="1"/>
    <xf numFmtId="10" fontId="23" fillId="11" borderId="1" xfId="0" applyNumberFormat="1" applyFont="1" applyFill="1" applyBorder="1"/>
    <xf numFmtId="0" fontId="0" fillId="11" borderId="21" xfId="0" applyFill="1" applyBorder="1"/>
    <xf numFmtId="0" fontId="0" fillId="11" borderId="0" xfId="0" applyFill="1" applyBorder="1"/>
    <xf numFmtId="166" fontId="0" fillId="11" borderId="21" xfId="1" applyNumberFormat="1" applyFont="1" applyFill="1" applyBorder="1"/>
    <xf numFmtId="166" fontId="0" fillId="11" borderId="0" xfId="1" applyNumberFormat="1" applyFont="1" applyFill="1" applyBorder="1"/>
    <xf numFmtId="166" fontId="15" fillId="11" borderId="0" xfId="1" applyNumberFormat="1" applyFont="1" applyFill="1" applyBorder="1"/>
    <xf numFmtId="166" fontId="0" fillId="11" borderId="34" xfId="1" applyNumberFormat="1" applyFont="1" applyFill="1" applyBorder="1"/>
    <xf numFmtId="166" fontId="0" fillId="11" borderId="26" xfId="1" applyNumberFormat="1" applyFont="1" applyFill="1" applyBorder="1"/>
    <xf numFmtId="0" fontId="16" fillId="0" borderId="6" xfId="0" applyFont="1" applyBorder="1" applyAlignment="1">
      <alignment horizontal="center" wrapText="1"/>
    </xf>
    <xf numFmtId="0" fontId="0" fillId="11" borderId="10" xfId="0" applyFill="1" applyBorder="1"/>
    <xf numFmtId="0" fontId="0" fillId="11" borderId="12" xfId="0" applyFill="1" applyBorder="1"/>
    <xf numFmtId="171" fontId="0" fillId="0" borderId="0" xfId="0" applyNumberFormat="1" applyFill="1" applyBorder="1"/>
    <xf numFmtId="43" fontId="0" fillId="11" borderId="20" xfId="0" applyNumberFormat="1" applyFill="1" applyBorder="1"/>
    <xf numFmtId="166" fontId="0" fillId="11" borderId="0" xfId="0" applyNumberFormat="1" applyFill="1"/>
    <xf numFmtId="166" fontId="0" fillId="11" borderId="35" xfId="0" applyNumberFormat="1" applyFill="1" applyBorder="1"/>
    <xf numFmtId="166" fontId="16" fillId="11" borderId="74" xfId="0" applyNumberFormat="1" applyFont="1" applyFill="1" applyBorder="1"/>
    <xf numFmtId="166" fontId="16" fillId="11" borderId="2" xfId="0" applyNumberFormat="1" applyFont="1" applyFill="1" applyBorder="1"/>
    <xf numFmtId="166" fontId="0" fillId="11" borderId="0" xfId="0" applyNumberFormat="1" applyFill="1" applyBorder="1"/>
    <xf numFmtId="166" fontId="14" fillId="11" borderId="26" xfId="0" applyNumberFormat="1" applyFont="1" applyFill="1" applyBorder="1"/>
    <xf numFmtId="0" fontId="0" fillId="11" borderId="20" xfId="0" applyFill="1" applyBorder="1"/>
    <xf numFmtId="166" fontId="0" fillId="11" borderId="21" xfId="0" applyNumberFormat="1" applyFill="1" applyBorder="1"/>
    <xf numFmtId="166" fontId="0" fillId="11" borderId="34" xfId="0" applyNumberFormat="1" applyFill="1" applyBorder="1"/>
    <xf numFmtId="0" fontId="0" fillId="11" borderId="26" xfId="0" applyFill="1" applyBorder="1"/>
    <xf numFmtId="0" fontId="0" fillId="11" borderId="35" xfId="0" applyFill="1" applyBorder="1"/>
    <xf numFmtId="166" fontId="16" fillId="11" borderId="22" xfId="0" applyNumberFormat="1" applyFont="1" applyFill="1" applyBorder="1"/>
    <xf numFmtId="0" fontId="16" fillId="11" borderId="2" xfId="0" applyFont="1" applyFill="1" applyBorder="1"/>
    <xf numFmtId="0" fontId="16" fillId="11" borderId="23" xfId="0" applyFont="1" applyFill="1" applyBorder="1"/>
    <xf numFmtId="0" fontId="16" fillId="11" borderId="1" xfId="0" applyFont="1" applyFill="1" applyBorder="1" applyAlignment="1">
      <alignment horizontal="center" wrapText="1"/>
    </xf>
    <xf numFmtId="0" fontId="16" fillId="11" borderId="0" xfId="0" applyFont="1" applyFill="1" applyBorder="1" applyAlignment="1">
      <alignment horizontal="center" wrapText="1"/>
    </xf>
    <xf numFmtId="0" fontId="0" fillId="12" borderId="0" xfId="0" applyFill="1" applyBorder="1" applyAlignment="1">
      <alignment horizontal="left" indent="1"/>
    </xf>
    <xf numFmtId="0" fontId="0" fillId="12" borderId="0" xfId="0" applyFill="1" applyBorder="1"/>
    <xf numFmtId="3" fontId="14" fillId="12" borderId="0" xfId="1" applyNumberFormat="1" applyFont="1" applyFill="1" applyBorder="1"/>
    <xf numFmtId="0" fontId="16" fillId="12" borderId="0" xfId="0" applyFont="1" applyFill="1" applyBorder="1"/>
    <xf numFmtId="0" fontId="14" fillId="5" borderId="0" xfId="0" applyFont="1" applyFill="1" applyBorder="1" applyAlignment="1">
      <alignment horizontal="left" indent="1"/>
    </xf>
    <xf numFmtId="3" fontId="67" fillId="12" borderId="0" xfId="1" applyNumberFormat="1" applyFont="1" applyFill="1" applyBorder="1"/>
    <xf numFmtId="0" fontId="67" fillId="12" borderId="0" xfId="0" applyFont="1" applyFill="1" applyBorder="1"/>
    <xf numFmtId="166" fontId="14" fillId="12" borderId="0" xfId="1" applyNumberFormat="1" applyFill="1" applyBorder="1"/>
    <xf numFmtId="0" fontId="68" fillId="12" borderId="0" xfId="0" applyFont="1" applyFill="1" applyBorder="1"/>
    <xf numFmtId="166" fontId="67" fillId="12" borderId="0" xfId="1" applyNumberFormat="1" applyFont="1" applyFill="1" applyBorder="1"/>
    <xf numFmtId="0" fontId="67" fillId="12" borderId="0" xfId="0" applyFont="1" applyFill="1" applyBorder="1" applyAlignment="1">
      <alignment horizontal="left" indent="1"/>
    </xf>
    <xf numFmtId="0" fontId="16" fillId="5" borderId="0" xfId="0" applyFont="1" applyFill="1" applyBorder="1" applyAlignment="1">
      <alignment horizontal="left"/>
    </xf>
    <xf numFmtId="0" fontId="14" fillId="12" borderId="0" xfId="0" applyFont="1" applyFill="1" applyBorder="1"/>
    <xf numFmtId="0" fontId="14" fillId="0" borderId="21" xfId="0" applyFont="1" applyBorder="1"/>
    <xf numFmtId="167" fontId="14" fillId="11" borderId="1" xfId="1" applyNumberFormat="1" applyFont="1" applyFill="1" applyBorder="1"/>
    <xf numFmtId="167" fontId="14" fillId="11" borderId="11" xfId="1" applyNumberFormat="1" applyFont="1" applyFill="1" applyBorder="1"/>
    <xf numFmtId="166" fontId="15" fillId="11" borderId="20" xfId="1" applyNumberFormat="1" applyFont="1" applyFill="1" applyBorder="1" applyAlignment="1">
      <alignment horizontal="right"/>
    </xf>
    <xf numFmtId="166" fontId="15" fillId="11" borderId="35" xfId="1" applyNumberFormat="1" applyFont="1" applyFill="1" applyBorder="1" applyAlignment="1">
      <alignment horizontal="right"/>
    </xf>
    <xf numFmtId="0" fontId="14" fillId="0" borderId="0" xfId="0" applyFont="1" applyFill="1" applyBorder="1"/>
    <xf numFmtId="10" fontId="0" fillId="0" borderId="0" xfId="4" applyNumberFormat="1" applyFont="1"/>
    <xf numFmtId="166" fontId="0" fillId="11" borderId="26" xfId="0" applyNumberFormat="1" applyFill="1" applyBorder="1"/>
    <xf numFmtId="0" fontId="0" fillId="11" borderId="0" xfId="0" applyFill="1"/>
    <xf numFmtId="174" fontId="15" fillId="0" borderId="0" xfId="1" applyNumberFormat="1" applyFont="1" applyBorder="1" applyAlignment="1">
      <alignment horizontal="right"/>
    </xf>
    <xf numFmtId="174" fontId="15" fillId="0" borderId="0" xfId="0" applyNumberFormat="1" applyFont="1" applyBorder="1" applyAlignment="1">
      <alignment horizontal="right"/>
    </xf>
    <xf numFmtId="0" fontId="15" fillId="0" borderId="0" xfId="0" applyFont="1" applyBorder="1"/>
    <xf numFmtId="3" fontId="14" fillId="11" borderId="1" xfId="1" applyNumberFormat="1" applyFont="1" applyFill="1" applyBorder="1"/>
    <xf numFmtId="3" fontId="14" fillId="11" borderId="11" xfId="1" applyNumberFormat="1" applyFont="1" applyFill="1" applyBorder="1"/>
    <xf numFmtId="175" fontId="0" fillId="0" borderId="0" xfId="0" applyNumberFormat="1"/>
    <xf numFmtId="0" fontId="18" fillId="0" borderId="0" xfId="0" applyFont="1"/>
    <xf numFmtId="175" fontId="18" fillId="0" borderId="0" xfId="0" applyNumberFormat="1" applyFont="1"/>
    <xf numFmtId="0" fontId="69" fillId="14" borderId="0" xfId="0" applyFont="1" applyFill="1" applyAlignment="1">
      <alignment wrapText="1"/>
    </xf>
    <xf numFmtId="0" fontId="69" fillId="14" borderId="0" xfId="0" applyFont="1" applyFill="1" applyAlignment="1">
      <alignment horizontal="center" vertical="center"/>
    </xf>
    <xf numFmtId="0" fontId="69" fillId="14" borderId="0" xfId="0" applyFont="1" applyFill="1" applyAlignment="1">
      <alignment horizontal="center" vertical="center" wrapText="1"/>
    </xf>
    <xf numFmtId="0" fontId="14" fillId="0" borderId="0" xfId="0" applyFont="1" applyAlignment="1">
      <alignment wrapText="1"/>
    </xf>
    <xf numFmtId="175" fontId="14" fillId="0" borderId="0" xfId="0" applyNumberFormat="1" applyFont="1"/>
    <xf numFmtId="175" fontId="16" fillId="0" borderId="0" xfId="0" applyNumberFormat="1" applyFont="1"/>
    <xf numFmtId="176" fontId="0" fillId="0" borderId="0" xfId="0" applyNumberFormat="1"/>
    <xf numFmtId="175" fontId="0" fillId="0" borderId="1" xfId="0" applyNumberFormat="1" applyBorder="1"/>
    <xf numFmtId="0" fontId="69" fillId="14" borderId="7" xfId="0" applyFont="1" applyFill="1" applyBorder="1" applyAlignment="1">
      <alignment horizontal="center" vertical="center"/>
    </xf>
    <xf numFmtId="0" fontId="69" fillId="14" borderId="8" xfId="0" applyFont="1" applyFill="1" applyBorder="1" applyAlignment="1">
      <alignment horizontal="center" vertical="center" wrapText="1"/>
    </xf>
    <xf numFmtId="0" fontId="69" fillId="14" borderId="9" xfId="0" applyFont="1" applyFill="1" applyBorder="1" applyAlignment="1">
      <alignment wrapText="1"/>
    </xf>
    <xf numFmtId="0" fontId="14" fillId="0" borderId="13" xfId="0" applyFont="1" applyBorder="1"/>
    <xf numFmtId="175" fontId="0" fillId="0" borderId="10" xfId="0" applyNumberFormat="1" applyBorder="1"/>
    <xf numFmtId="0" fontId="14" fillId="0" borderId="14" xfId="0" applyFont="1" applyBorder="1"/>
    <xf numFmtId="175" fontId="0" fillId="0" borderId="11" xfId="0" applyNumberFormat="1" applyBorder="1"/>
    <xf numFmtId="175" fontId="0" fillId="0" borderId="12" xfId="0" applyNumberFormat="1" applyBorder="1"/>
    <xf numFmtId="3" fontId="0" fillId="11" borderId="21" xfId="0" applyNumberFormat="1" applyFill="1" applyBorder="1"/>
    <xf numFmtId="3" fontId="0" fillId="11" borderId="0" xfId="0" applyNumberFormat="1" applyFill="1" applyBorder="1" applyAlignment="1">
      <alignment horizontal="center"/>
    </xf>
    <xf numFmtId="3" fontId="0" fillId="11" borderId="0" xfId="0" applyNumberFormat="1" applyFill="1"/>
    <xf numFmtId="3" fontId="0" fillId="11" borderId="0" xfId="0" applyNumberFormat="1" applyFill="1" applyBorder="1"/>
    <xf numFmtId="0" fontId="14" fillId="0" borderId="0" xfId="4" applyNumberFormat="1" applyFont="1" applyFill="1" applyBorder="1"/>
    <xf numFmtId="167" fontId="14" fillId="11" borderId="10" xfId="1" applyNumberFormat="1" applyFont="1" applyFill="1" applyBorder="1"/>
    <xf numFmtId="166" fontId="15" fillId="11" borderId="21" xfId="1" applyNumberFormat="1" applyFont="1" applyFill="1" applyBorder="1" applyAlignment="1">
      <alignment horizontal="right"/>
    </xf>
    <xf numFmtId="166" fontId="15" fillId="11" borderId="0" xfId="0" applyNumberFormat="1" applyFont="1" applyFill="1" applyBorder="1"/>
    <xf numFmtId="166" fontId="15" fillId="11" borderId="34" xfId="1" applyNumberFormat="1" applyFont="1" applyFill="1" applyBorder="1" applyAlignment="1">
      <alignment horizontal="right"/>
    </xf>
    <xf numFmtId="166" fontId="15" fillId="11" borderId="26" xfId="0" applyNumberFormat="1" applyFont="1" applyFill="1" applyBorder="1"/>
    <xf numFmtId="166" fontId="16" fillId="11" borderId="22" xfId="1" applyNumberFormat="1" applyFont="1" applyFill="1" applyBorder="1" applyAlignment="1">
      <alignment horizontal="right"/>
    </xf>
    <xf numFmtId="166" fontId="16" fillId="11" borderId="2" xfId="1" applyNumberFormat="1" applyFont="1" applyFill="1" applyBorder="1" applyAlignment="1">
      <alignment horizontal="right"/>
    </xf>
    <xf numFmtId="169" fontId="0" fillId="15" borderId="1" xfId="4" applyNumberFormat="1" applyFont="1" applyFill="1" applyBorder="1"/>
    <xf numFmtId="0" fontId="0" fillId="0" borderId="0" xfId="0" applyAlignment="1">
      <alignment wrapText="1"/>
    </xf>
    <xf numFmtId="0" fontId="24" fillId="0" borderId="10" xfId="2" applyBorder="1" applyAlignment="1" applyProtection="1">
      <alignment wrapText="1"/>
    </xf>
    <xf numFmtId="0" fontId="0" fillId="0" borderId="12" xfId="0" applyBorder="1" applyAlignment="1">
      <alignment wrapText="1"/>
    </xf>
    <xf numFmtId="0" fontId="25" fillId="4" borderId="9" xfId="0" applyFont="1" applyFill="1" applyBorder="1" applyAlignment="1">
      <alignment wrapText="1"/>
    </xf>
    <xf numFmtId="9" fontId="0" fillId="16" borderId="16" xfId="4" applyFont="1" applyFill="1" applyBorder="1"/>
    <xf numFmtId="0" fontId="0" fillId="16" borderId="10" xfId="0" applyFill="1" applyBorder="1" applyAlignment="1">
      <alignment wrapText="1"/>
    </xf>
    <xf numFmtId="0" fontId="0" fillId="17" borderId="13" xfId="0" applyFill="1" applyBorder="1"/>
    <xf numFmtId="0" fontId="0" fillId="15" borderId="1" xfId="0" applyFill="1" applyBorder="1"/>
    <xf numFmtId="0" fontId="14" fillId="15" borderId="1" xfId="0" applyFont="1" applyFill="1" applyBorder="1"/>
    <xf numFmtId="164" fontId="0" fillId="15" borderId="6" xfId="0" applyNumberFormat="1" applyFill="1" applyBorder="1" applyAlignment="1">
      <alignment wrapText="1"/>
    </xf>
    <xf numFmtId="164" fontId="0" fillId="15" borderId="11" xfId="0" applyNumberFormat="1" applyFill="1" applyBorder="1" applyAlignment="1">
      <alignment wrapText="1"/>
    </xf>
    <xf numFmtId="0" fontId="0" fillId="16" borderId="16" xfId="0" applyFill="1" applyBorder="1"/>
    <xf numFmtId="0" fontId="14" fillId="16" borderId="10" xfId="0" applyFont="1" applyFill="1" applyBorder="1" applyAlignment="1">
      <alignment wrapText="1"/>
    </xf>
    <xf numFmtId="0" fontId="14" fillId="16" borderId="16" xfId="0" applyFont="1" applyFill="1" applyBorder="1"/>
    <xf numFmtId="0" fontId="0" fillId="16" borderId="55" xfId="0" applyFill="1" applyBorder="1" applyAlignment="1">
      <alignment wrapText="1"/>
    </xf>
    <xf numFmtId="0" fontId="0" fillId="16" borderId="37" xfId="0" applyFill="1" applyBorder="1" applyAlignment="1">
      <alignment wrapText="1"/>
    </xf>
    <xf numFmtId="0" fontId="0" fillId="16" borderId="11" xfId="0" applyFill="1" applyBorder="1" applyAlignment="1">
      <alignment wrapText="1"/>
    </xf>
    <xf numFmtId="0" fontId="0" fillId="16" borderId="12" xfId="0" applyFill="1" applyBorder="1" applyAlignment="1">
      <alignment wrapText="1"/>
    </xf>
    <xf numFmtId="169" fontId="0" fillId="16" borderId="16" xfId="4" applyNumberFormat="1" applyFont="1" applyFill="1" applyBorder="1"/>
    <xf numFmtId="169" fontId="0" fillId="16" borderId="17" xfId="4" applyNumberFormat="1" applyFont="1" applyFill="1" applyBorder="1"/>
    <xf numFmtId="169" fontId="0" fillId="15" borderId="11" xfId="4" applyNumberFormat="1" applyFont="1" applyFill="1" applyBorder="1"/>
    <xf numFmtId="9" fontId="0" fillId="15" borderId="1" xfId="4" applyNumberFormat="1" applyFont="1" applyFill="1" applyBorder="1"/>
    <xf numFmtId="9" fontId="14" fillId="11" borderId="1" xfId="4" applyFill="1" applyBorder="1"/>
    <xf numFmtId="3" fontId="14" fillId="11" borderId="10" xfId="1" applyNumberFormat="1" applyFont="1" applyFill="1" applyBorder="1"/>
    <xf numFmtId="9" fontId="14" fillId="11" borderId="1" xfId="4" applyFont="1" applyFill="1" applyBorder="1"/>
    <xf numFmtId="9" fontId="14" fillId="11" borderId="11" xfId="4" applyFont="1" applyFill="1" applyBorder="1"/>
    <xf numFmtId="3" fontId="14" fillId="11" borderId="12" xfId="1" applyNumberFormat="1" applyFont="1" applyFill="1" applyBorder="1"/>
    <xf numFmtId="3" fontId="0" fillId="2" borderId="1" xfId="1" quotePrefix="1" applyNumberFormat="1" applyFont="1" applyFill="1" applyBorder="1"/>
    <xf numFmtId="4" fontId="0" fillId="5" borderId="0" xfId="0" applyNumberFormat="1" applyFill="1" applyBorder="1"/>
    <xf numFmtId="4" fontId="14" fillId="5" borderId="0" xfId="0" applyNumberFormat="1" applyFont="1" applyFill="1" applyBorder="1"/>
    <xf numFmtId="3" fontId="0" fillId="16" borderId="1" xfId="1" applyNumberFormat="1" applyFont="1" applyFill="1" applyBorder="1"/>
    <xf numFmtId="0" fontId="0" fillId="12" borderId="0" xfId="0" applyFill="1"/>
    <xf numFmtId="0" fontId="14" fillId="12" borderId="0" xfId="0" applyFont="1" applyFill="1"/>
    <xf numFmtId="166" fontId="16" fillId="0" borderId="22" xfId="0" applyNumberFormat="1" applyFont="1" applyBorder="1" applyAlignment="1"/>
    <xf numFmtId="4" fontId="20" fillId="15" borderId="1" xfId="3" applyNumberFormat="1" applyFont="1" applyFill="1" applyBorder="1" applyAlignment="1">
      <alignment horizontal="right"/>
    </xf>
    <xf numFmtId="0" fontId="39" fillId="16" borderId="1" xfId="0" applyFont="1" applyFill="1" applyBorder="1" applyAlignment="1">
      <alignment horizontal="center"/>
    </xf>
    <xf numFmtId="0" fontId="52" fillId="0" borderId="0" xfId="0" applyFont="1" applyFill="1" applyBorder="1"/>
    <xf numFmtId="0" fontId="14" fillId="0" borderId="0" xfId="0" applyFont="1" applyFill="1" applyBorder="1" applyAlignment="1">
      <alignment horizontal="left"/>
    </xf>
    <xf numFmtId="0" fontId="14" fillId="0" borderId="0" xfId="0" applyFont="1" applyAlignment="1">
      <alignment horizontal="left"/>
    </xf>
    <xf numFmtId="0" fontId="14" fillId="0" borderId="0" xfId="0" applyFont="1" applyFill="1" applyBorder="1" applyAlignment="1">
      <alignment horizontal="left" wrapText="1"/>
    </xf>
    <xf numFmtId="0" fontId="14" fillId="0" borderId="0" xfId="1" applyNumberFormat="1" applyFont="1" applyFill="1" applyBorder="1" applyAlignment="1">
      <alignment horizontal="left"/>
    </xf>
    <xf numFmtId="4" fontId="14" fillId="0" borderId="0" xfId="0" applyNumberFormat="1" applyFont="1" applyAlignment="1"/>
    <xf numFmtId="4" fontId="14" fillId="0" borderId="0" xfId="0" applyNumberFormat="1" applyFont="1" applyFill="1" applyBorder="1" applyAlignment="1"/>
    <xf numFmtId="4" fontId="14" fillId="0" borderId="0" xfId="0" applyNumberFormat="1" applyFont="1" applyFill="1" applyBorder="1" applyAlignment="1">
      <alignment wrapText="1"/>
    </xf>
    <xf numFmtId="4" fontId="14" fillId="0" borderId="0" xfId="1" applyNumberFormat="1" applyFont="1" applyFill="1" applyBorder="1" applyAlignment="1"/>
    <xf numFmtId="0" fontId="24" fillId="0" borderId="0" xfId="2" applyFill="1" applyAlignment="1" applyProtection="1"/>
    <xf numFmtId="0" fontId="16" fillId="0" borderId="7" xfId="0" applyFont="1" applyBorder="1" applyAlignment="1">
      <alignment wrapText="1"/>
    </xf>
    <xf numFmtId="0" fontId="16" fillId="0" borderId="8" xfId="0" applyFont="1" applyBorder="1" applyAlignment="1">
      <alignment horizontal="center" wrapText="1"/>
    </xf>
    <xf numFmtId="0" fontId="16" fillId="0" borderId="9" xfId="0" applyFont="1" applyBorder="1" applyAlignment="1">
      <alignment horizontal="center" wrapText="1"/>
    </xf>
    <xf numFmtId="0" fontId="38" fillId="0" borderId="71" xfId="0" applyFont="1" applyFill="1" applyBorder="1"/>
    <xf numFmtId="0" fontId="38" fillId="0" borderId="0" xfId="1" applyNumberFormat="1" applyFont="1" applyFill="1" applyBorder="1"/>
    <xf numFmtId="0" fontId="16" fillId="0" borderId="0" xfId="0" applyFont="1" applyFill="1"/>
    <xf numFmtId="0" fontId="0" fillId="17" borderId="13" xfId="0" applyFill="1" applyBorder="1" applyAlignment="1">
      <alignment horizontal="left" indent="1"/>
    </xf>
    <xf numFmtId="0" fontId="15" fillId="17" borderId="13" xfId="0" applyFont="1" applyFill="1" applyBorder="1"/>
    <xf numFmtId="0" fontId="15" fillId="17" borderId="13" xfId="0" applyFont="1" applyFill="1" applyBorder="1" applyAlignment="1">
      <alignment horizontal="left" indent="1"/>
    </xf>
    <xf numFmtId="0" fontId="15" fillId="17" borderId="14" xfId="0" applyFont="1" applyFill="1" applyBorder="1"/>
    <xf numFmtId="9" fontId="14" fillId="15" borderId="1" xfId="4" applyFill="1" applyBorder="1"/>
    <xf numFmtId="9" fontId="14" fillId="15" borderId="1" xfId="4" applyNumberFormat="1" applyFont="1" applyFill="1" applyBorder="1"/>
    <xf numFmtId="164" fontId="0" fillId="15" borderId="1" xfId="0" applyNumberFormat="1" applyFill="1" applyBorder="1"/>
    <xf numFmtId="0" fontId="14" fillId="0" borderId="10" xfId="0" applyFont="1" applyFill="1" applyBorder="1" applyAlignment="1">
      <alignment wrapText="1"/>
    </xf>
    <xf numFmtId="0" fontId="0" fillId="0" borderId="10" xfId="0" applyFill="1" applyBorder="1" applyAlignment="1">
      <alignment wrapText="1"/>
    </xf>
    <xf numFmtId="0" fontId="14" fillId="0" borderId="20" xfId="0" applyFont="1" applyFill="1" applyBorder="1" applyAlignment="1">
      <alignment wrapText="1"/>
    </xf>
    <xf numFmtId="0" fontId="39" fillId="0" borderId="0" xfId="0" applyFont="1" applyBorder="1" applyAlignment="1">
      <alignment horizontal="center"/>
    </xf>
    <xf numFmtId="0" fontId="72" fillId="0" borderId="0" xfId="2" applyFont="1" applyBorder="1" applyAlignment="1" applyProtection="1"/>
    <xf numFmtId="0" fontId="41" fillId="0" borderId="0" xfId="0" applyFont="1" applyBorder="1"/>
    <xf numFmtId="0" fontId="70" fillId="0" borderId="0" xfId="0" applyFont="1" applyFill="1" applyBorder="1" applyAlignment="1"/>
    <xf numFmtId="0" fontId="42" fillId="0" borderId="0" xfId="2" applyFont="1" applyBorder="1" applyAlignment="1" applyProtection="1"/>
    <xf numFmtId="166" fontId="16" fillId="0" borderId="21" xfId="1" applyNumberFormat="1" applyFont="1" applyBorder="1"/>
    <xf numFmtId="166" fontId="16" fillId="0" borderId="22" xfId="1" applyNumberFormat="1" applyFont="1" applyBorder="1"/>
    <xf numFmtId="166" fontId="16" fillId="0" borderId="2" xfId="1" applyNumberFormat="1" applyFont="1" applyBorder="1"/>
    <xf numFmtId="10" fontId="16" fillId="0" borderId="0" xfId="0" applyNumberFormat="1" applyFont="1" applyBorder="1"/>
    <xf numFmtId="10" fontId="16" fillId="0" borderId="2" xfId="0" applyNumberFormat="1" applyFont="1" applyBorder="1"/>
    <xf numFmtId="0" fontId="16" fillId="0" borderId="5" xfId="0" applyFont="1" applyFill="1" applyBorder="1"/>
    <xf numFmtId="0" fontId="14" fillId="0" borderId="0" xfId="0" applyFont="1" applyAlignment="1"/>
    <xf numFmtId="0" fontId="0" fillId="16" borderId="18" xfId="0" applyFill="1" applyBorder="1" applyAlignment="1">
      <alignment horizontal="center" vertical="center"/>
    </xf>
    <xf numFmtId="0" fontId="18" fillId="16" borderId="0" xfId="0" applyFont="1" applyFill="1" applyBorder="1" applyAlignment="1">
      <alignment horizontal="right"/>
    </xf>
    <xf numFmtId="3" fontId="18" fillId="16" borderId="0" xfId="1" applyNumberFormat="1" applyFont="1" applyFill="1" applyBorder="1"/>
    <xf numFmtId="166" fontId="18" fillId="16" borderId="0" xfId="1" applyNumberFormat="1" applyFont="1" applyFill="1" applyBorder="1"/>
    <xf numFmtId="166" fontId="0" fillId="16" borderId="0" xfId="1" applyNumberFormat="1" applyFont="1" applyFill="1" applyBorder="1"/>
    <xf numFmtId="166" fontId="14" fillId="0" borderId="0" xfId="1" applyNumberFormat="1" applyFont="1" applyFill="1" applyBorder="1"/>
    <xf numFmtId="3" fontId="18" fillId="16" borderId="1" xfId="1" applyNumberFormat="1" applyFont="1" applyFill="1" applyBorder="1"/>
    <xf numFmtId="3" fontId="16" fillId="16" borderId="1" xfId="0" applyNumberFormat="1" applyFont="1" applyFill="1" applyBorder="1" applyAlignment="1">
      <alignment horizontal="center"/>
    </xf>
    <xf numFmtId="166" fontId="16" fillId="0" borderId="0" xfId="1" applyNumberFormat="1" applyFont="1" applyFill="1" applyBorder="1"/>
    <xf numFmtId="43" fontId="0" fillId="0" borderId="0" xfId="0" applyNumberFormat="1" applyFill="1" applyBorder="1"/>
    <xf numFmtId="0" fontId="15" fillId="0" borderId="0" xfId="0" applyFont="1" applyFill="1" applyBorder="1"/>
    <xf numFmtId="169" fontId="0" fillId="0" borderId="0" xfId="4" applyNumberFormat="1" applyFont="1" applyFill="1" applyBorder="1"/>
    <xf numFmtId="10" fontId="16" fillId="0" borderId="0" xfId="4" applyNumberFormat="1" applyFont="1" applyFill="1" applyBorder="1"/>
    <xf numFmtId="0" fontId="0" fillId="0" borderId="4" xfId="0" applyBorder="1" applyAlignment="1">
      <alignment wrapText="1"/>
    </xf>
    <xf numFmtId="0" fontId="41" fillId="0" borderId="0" xfId="0" applyFont="1" applyFill="1" applyBorder="1" applyAlignment="1">
      <alignment horizontal="center"/>
    </xf>
    <xf numFmtId="0" fontId="41" fillId="0" borderId="0" xfId="0" applyFont="1" applyFill="1" applyBorder="1" applyAlignment="1">
      <alignment horizontal="center" wrapText="1"/>
    </xf>
    <xf numFmtId="0" fontId="41" fillId="0" borderId="0" xfId="0" applyFont="1" applyFill="1" applyBorder="1"/>
    <xf numFmtId="4" fontId="41" fillId="0" borderId="0" xfId="0" applyNumberFormat="1" applyFont="1" applyFill="1" applyBorder="1"/>
    <xf numFmtId="4" fontId="41" fillId="0" borderId="0" xfId="0" applyNumberFormat="1" applyFont="1" applyFill="1" applyBorder="1" applyAlignment="1">
      <alignment wrapText="1"/>
    </xf>
    <xf numFmtId="0" fontId="41" fillId="0" borderId="0" xfId="0" applyFont="1" applyFill="1" applyBorder="1" applyAlignment="1">
      <alignment wrapText="1"/>
    </xf>
    <xf numFmtId="0" fontId="0" fillId="0" borderId="13" xfId="0" applyBorder="1"/>
    <xf numFmtId="0" fontId="0" fillId="18" borderId="13" xfId="0" applyFill="1" applyBorder="1"/>
    <xf numFmtId="10" fontId="0" fillId="18" borderId="1" xfId="0" applyNumberFormat="1" applyFill="1" applyBorder="1"/>
    <xf numFmtId="3" fontId="0" fillId="18" borderId="1" xfId="0" applyNumberFormat="1" applyFill="1" applyBorder="1"/>
    <xf numFmtId="3" fontId="0" fillId="18" borderId="10" xfId="0" applyNumberFormat="1" applyFill="1" applyBorder="1"/>
    <xf numFmtId="0" fontId="38" fillId="0" borderId="0" xfId="0" applyFont="1" applyFill="1" applyBorder="1" applyAlignment="1"/>
    <xf numFmtId="0" fontId="38" fillId="0" borderId="0" xfId="0" applyFont="1" applyFill="1" applyBorder="1"/>
    <xf numFmtId="0" fontId="0" fillId="18" borderId="1" xfId="0" applyFill="1" applyBorder="1" applyAlignment="1">
      <alignment horizontal="center" wrapText="1"/>
    </xf>
    <xf numFmtId="172" fontId="0" fillId="18" borderId="1" xfId="0" applyNumberFormat="1" applyFill="1" applyBorder="1"/>
    <xf numFmtId="0" fontId="29" fillId="4" borderId="1" xfId="0" applyFont="1" applyFill="1" applyBorder="1" applyAlignment="1">
      <alignment horizontal="left" wrapText="1"/>
    </xf>
    <xf numFmtId="0" fontId="29" fillId="4" borderId="16" xfId="0" applyFont="1" applyFill="1" applyBorder="1" applyAlignment="1">
      <alignment horizontal="left" wrapText="1"/>
    </xf>
    <xf numFmtId="0" fontId="29" fillId="4" borderId="10" xfId="0" applyFont="1" applyFill="1" applyBorder="1" applyAlignment="1">
      <alignment horizontal="left" wrapText="1"/>
    </xf>
    <xf numFmtId="0" fontId="29" fillId="4" borderId="13" xfId="0" applyFont="1" applyFill="1" applyBorder="1" applyAlignment="1">
      <alignment horizontal="right" wrapText="1"/>
    </xf>
    <xf numFmtId="0" fontId="29" fillId="4" borderId="1" xfId="0" applyFont="1" applyFill="1" applyBorder="1" applyAlignment="1">
      <alignment horizontal="right" wrapText="1"/>
    </xf>
    <xf numFmtId="10" fontId="0" fillId="11" borderId="1" xfId="0" applyNumberFormat="1" applyFill="1" applyBorder="1"/>
    <xf numFmtId="3" fontId="0" fillId="11" borderId="10" xfId="0" applyNumberFormat="1" applyFill="1" applyBorder="1"/>
    <xf numFmtId="10" fontId="0" fillId="11" borderId="11" xfId="0" applyNumberFormat="1" applyFill="1" applyBorder="1"/>
    <xf numFmtId="3" fontId="0" fillId="11" borderId="11" xfId="0" applyNumberFormat="1" applyFill="1" applyBorder="1"/>
    <xf numFmtId="3" fontId="0" fillId="11" borderId="12" xfId="0" applyNumberFormat="1" applyFill="1" applyBorder="1"/>
    <xf numFmtId="9" fontId="38" fillId="0" borderId="0" xfId="4" applyFont="1" applyFill="1" applyBorder="1"/>
    <xf numFmtId="0" fontId="56" fillId="0" borderId="0" xfId="0" applyFont="1" applyBorder="1" applyAlignment="1">
      <alignment vertical="center"/>
    </xf>
    <xf numFmtId="3" fontId="16" fillId="0" borderId="0" xfId="0" applyNumberFormat="1" applyFont="1" applyBorder="1"/>
    <xf numFmtId="3" fontId="16" fillId="0" borderId="2" xfId="0" applyNumberFormat="1" applyFont="1" applyBorder="1"/>
    <xf numFmtId="164" fontId="16" fillId="11" borderId="2" xfId="0" applyNumberFormat="1" applyFont="1" applyFill="1" applyBorder="1"/>
    <xf numFmtId="0" fontId="0" fillId="11" borderId="34" xfId="0" applyFill="1" applyBorder="1"/>
    <xf numFmtId="169" fontId="0" fillId="0" borderId="1" xfId="4" applyNumberFormat="1" applyFont="1" applyFill="1" applyBorder="1"/>
    <xf numFmtId="0" fontId="0" fillId="19" borderId="13" xfId="0" applyFill="1" applyBorder="1"/>
    <xf numFmtId="0" fontId="0" fillId="19" borderId="14" xfId="0" applyFill="1" applyBorder="1"/>
    <xf numFmtId="0" fontId="0" fillId="19" borderId="56" xfId="0" applyFill="1" applyBorder="1" applyAlignment="1">
      <alignment wrapText="1"/>
    </xf>
    <xf numFmtId="0" fontId="0" fillId="19" borderId="14" xfId="0" applyFill="1" applyBorder="1" applyAlignment="1">
      <alignment wrapText="1"/>
    </xf>
    <xf numFmtId="0" fontId="14" fillId="7" borderId="13" xfId="0" applyFont="1" applyFill="1" applyBorder="1" applyAlignment="1">
      <alignment horizontal="left" indent="1"/>
    </xf>
    <xf numFmtId="3" fontId="16" fillId="11" borderId="0" xfId="1" applyNumberFormat="1" applyFont="1" applyFill="1" applyBorder="1" applyAlignment="1">
      <alignment horizontal="center"/>
    </xf>
    <xf numFmtId="0" fontId="25" fillId="20" borderId="13" xfId="0" applyFont="1" applyFill="1" applyBorder="1" applyAlignment="1">
      <alignment horizontal="center" wrapText="1"/>
    </xf>
    <xf numFmtId="0" fontId="25" fillId="20" borderId="1" xfId="0" applyFont="1" applyFill="1" applyBorder="1" applyAlignment="1">
      <alignment horizontal="center" wrapText="1"/>
    </xf>
    <xf numFmtId="0" fontId="25" fillId="20" borderId="10" xfId="0" applyFont="1" applyFill="1" applyBorder="1" applyAlignment="1">
      <alignment horizontal="center" wrapText="1"/>
    </xf>
    <xf numFmtId="0" fontId="25" fillId="4" borderId="13" xfId="0" applyFont="1" applyFill="1" applyBorder="1" applyAlignment="1">
      <alignment horizontal="center" wrapText="1"/>
    </xf>
    <xf numFmtId="0" fontId="25" fillId="4" borderId="40" xfId="0" applyFont="1" applyFill="1" applyBorder="1" applyAlignment="1">
      <alignment horizontal="center" wrapText="1"/>
    </xf>
    <xf numFmtId="3" fontId="16" fillId="11" borderId="22" xfId="0" applyNumberFormat="1" applyFont="1" applyFill="1" applyBorder="1"/>
    <xf numFmtId="166" fontId="16" fillId="11" borderId="2" xfId="1" applyNumberFormat="1" applyFont="1" applyFill="1" applyBorder="1" applyAlignment="1">
      <alignment horizontal="center"/>
    </xf>
    <xf numFmtId="166" fontId="16" fillId="11" borderId="2" xfId="1" applyNumberFormat="1" applyFont="1" applyFill="1" applyBorder="1"/>
    <xf numFmtId="3" fontId="16" fillId="11" borderId="23" xfId="0" applyNumberFormat="1" applyFont="1" applyFill="1" applyBorder="1"/>
    <xf numFmtId="0" fontId="13" fillId="0" borderId="0" xfId="5"/>
    <xf numFmtId="0" fontId="74" fillId="0" borderId="0" xfId="5" applyFont="1"/>
    <xf numFmtId="0" fontId="79" fillId="0" borderId="1" xfId="0" applyFont="1" applyBorder="1" applyAlignment="1">
      <alignment horizontal="left"/>
    </xf>
    <xf numFmtId="0" fontId="41" fillId="0" borderId="1" xfId="2" applyFont="1" applyBorder="1" applyAlignment="1" applyProtection="1"/>
    <xf numFmtId="0" fontId="0" fillId="0" borderId="0" xfId="0" applyAlignment="1">
      <alignment wrapText="1"/>
    </xf>
    <xf numFmtId="0" fontId="14" fillId="0" borderId="10" xfId="0" applyFont="1" applyBorder="1"/>
    <xf numFmtId="9" fontId="0" fillId="3" borderId="11" xfId="4" applyFont="1" applyFill="1" applyBorder="1"/>
    <xf numFmtId="0" fontId="0" fillId="0" borderId="17" xfId="0" applyFill="1" applyBorder="1"/>
    <xf numFmtId="0" fontId="13" fillId="0" borderId="0" xfId="5" applyAlignment="1"/>
    <xf numFmtId="0" fontId="14" fillId="5" borderId="61" xfId="0" applyFont="1" applyFill="1" applyBorder="1" applyAlignment="1">
      <alignment horizontal="center"/>
    </xf>
    <xf numFmtId="0" fontId="14" fillId="17" borderId="13" xfId="0" applyFont="1" applyFill="1" applyBorder="1"/>
    <xf numFmtId="0" fontId="0" fillId="0" borderId="2" xfId="0" applyBorder="1" applyAlignment="1"/>
    <xf numFmtId="1" fontId="33" fillId="0" borderId="0" xfId="5" applyNumberFormat="1" applyFont="1" applyFill="1" applyBorder="1" applyAlignment="1">
      <alignment vertical="top" wrapText="1"/>
    </xf>
    <xf numFmtId="0" fontId="33" fillId="0" borderId="0" xfId="5" applyFont="1" applyFill="1" applyBorder="1"/>
    <xf numFmtId="1" fontId="33" fillId="0" borderId="0" xfId="5" applyNumberFormat="1" applyFont="1" applyFill="1" applyBorder="1" applyAlignment="1"/>
    <xf numFmtId="0" fontId="13" fillId="0" borderId="0" xfId="5" applyFill="1" applyBorder="1"/>
    <xf numFmtId="3" fontId="0" fillId="11" borderId="26" xfId="0" applyNumberFormat="1" applyFill="1" applyBorder="1" applyAlignment="1">
      <alignment horizontal="center"/>
    </xf>
    <xf numFmtId="3" fontId="0" fillId="11" borderId="35" xfId="0" applyNumberFormat="1" applyFill="1" applyBorder="1"/>
    <xf numFmtId="2" fontId="0" fillId="0" borderId="4" xfId="0" applyNumberFormat="1" applyBorder="1"/>
    <xf numFmtId="2" fontId="0" fillId="0" borderId="4" xfId="0" applyNumberFormat="1" applyFill="1" applyBorder="1"/>
    <xf numFmtId="2" fontId="0" fillId="0" borderId="44" xfId="0" applyNumberFormat="1" applyBorder="1"/>
    <xf numFmtId="164" fontId="0" fillId="0" borderId="0" xfId="0" applyNumberFormat="1" applyFill="1" applyBorder="1" applyAlignment="1"/>
    <xf numFmtId="164" fontId="0" fillId="0" borderId="3" xfId="0" applyNumberFormat="1" applyFill="1" applyBorder="1" applyAlignment="1"/>
    <xf numFmtId="164" fontId="14" fillId="0" borderId="0" xfId="0" applyNumberFormat="1" applyFont="1" applyBorder="1" applyAlignment="1"/>
    <xf numFmtId="164" fontId="14" fillId="0" borderId="3" xfId="0" applyNumberFormat="1" applyFont="1" applyBorder="1" applyAlignment="1"/>
    <xf numFmtId="164" fontId="0" fillId="0" borderId="0" xfId="0" applyNumberFormat="1" applyBorder="1" applyAlignment="1"/>
    <xf numFmtId="164" fontId="0" fillId="0" borderId="3" xfId="0" applyNumberFormat="1" applyBorder="1" applyAlignment="1"/>
    <xf numFmtId="0" fontId="14" fillId="0" borderId="1" xfId="0" applyFont="1" applyBorder="1" applyAlignment="1">
      <alignment horizontal="left" indent="1"/>
    </xf>
    <xf numFmtId="0" fontId="0" fillId="0" borderId="43" xfId="0" applyBorder="1" applyAlignment="1"/>
    <xf numFmtId="0" fontId="14" fillId="0" borderId="3" xfId="0" applyFont="1" applyFill="1" applyBorder="1"/>
    <xf numFmtId="164" fontId="0" fillId="0" borderId="0" xfId="0" applyNumberFormat="1" applyFill="1" applyBorder="1"/>
    <xf numFmtId="164" fontId="0" fillId="0" borderId="3" xfId="0" applyNumberFormat="1" applyFill="1" applyBorder="1"/>
    <xf numFmtId="4" fontId="0" fillId="0" borderId="0" xfId="0" applyNumberFormat="1"/>
    <xf numFmtId="3" fontId="0" fillId="11" borderId="34" xfId="0" applyNumberFormat="1" applyFill="1" applyBorder="1"/>
    <xf numFmtId="3" fontId="0" fillId="11" borderId="26" xfId="0" applyNumberFormat="1" applyFill="1" applyBorder="1"/>
    <xf numFmtId="0" fontId="74" fillId="0" borderId="4" xfId="5" applyFont="1" applyFill="1" applyBorder="1"/>
    <xf numFmtId="0" fontId="13" fillId="0" borderId="4" xfId="5" applyFill="1" applyBorder="1"/>
    <xf numFmtId="1" fontId="78" fillId="0" borderId="0" xfId="5" applyNumberFormat="1" applyFont="1" applyFill="1" applyBorder="1" applyAlignment="1">
      <alignment vertical="top" wrapText="1"/>
    </xf>
    <xf numFmtId="1" fontId="33" fillId="0" borderId="0" xfId="5" applyNumberFormat="1" applyFont="1" applyFill="1" applyBorder="1" applyAlignment="1">
      <alignment vertical="top"/>
    </xf>
    <xf numFmtId="0" fontId="78" fillId="0" borderId="0" xfId="5" applyFont="1" applyFill="1" applyBorder="1"/>
    <xf numFmtId="1" fontId="78" fillId="0" borderId="0" xfId="5" applyNumberFormat="1" applyFont="1" applyFill="1" applyBorder="1" applyAlignment="1"/>
    <xf numFmtId="0" fontId="14" fillId="0" borderId="13" xfId="0" applyFont="1" applyFill="1" applyBorder="1"/>
    <xf numFmtId="0" fontId="69" fillId="0" borderId="0" xfId="0" applyFont="1" applyFill="1" applyBorder="1" applyAlignment="1"/>
    <xf numFmtId="0" fontId="25" fillId="4" borderId="16" xfId="0" applyFont="1" applyFill="1" applyBorder="1" applyAlignment="1">
      <alignment horizontal="center" wrapText="1"/>
    </xf>
    <xf numFmtId="0" fontId="69" fillId="20" borderId="1" xfId="0" applyFont="1" applyFill="1" applyBorder="1" applyAlignment="1">
      <alignment wrapText="1"/>
    </xf>
    <xf numFmtId="164" fontId="0" fillId="11" borderId="0" xfId="0" applyNumberFormat="1" applyFill="1" applyBorder="1"/>
    <xf numFmtId="164" fontId="0" fillId="11" borderId="26" xfId="0" applyNumberFormat="1" applyFill="1" applyBorder="1"/>
    <xf numFmtId="0" fontId="25" fillId="20" borderId="13" xfId="0" applyFont="1" applyFill="1" applyBorder="1" applyAlignment="1">
      <alignment wrapText="1"/>
    </xf>
    <xf numFmtId="0" fontId="69" fillId="20" borderId="10" xfId="0" applyFont="1" applyFill="1" applyBorder="1" applyAlignment="1">
      <alignment wrapText="1"/>
    </xf>
    <xf numFmtId="0" fontId="0" fillId="0" borderId="0" xfId="0" applyAlignment="1">
      <alignment wrapText="1"/>
    </xf>
    <xf numFmtId="165" fontId="0" fillId="11" borderId="21" xfId="1" applyNumberFormat="1" applyFont="1" applyFill="1" applyBorder="1"/>
    <xf numFmtId="165" fontId="0" fillId="11" borderId="0" xfId="1" applyNumberFormat="1" applyFont="1" applyFill="1" applyBorder="1"/>
    <xf numFmtId="165" fontId="0" fillId="11" borderId="20" xfId="1" applyNumberFormat="1" applyFont="1" applyFill="1" applyBorder="1"/>
    <xf numFmtId="165" fontId="0" fillId="11" borderId="34" xfId="1" applyNumberFormat="1" applyFont="1" applyFill="1" applyBorder="1"/>
    <xf numFmtId="165" fontId="0" fillId="11" borderId="26" xfId="1" applyNumberFormat="1" applyFont="1" applyFill="1" applyBorder="1"/>
    <xf numFmtId="165" fontId="0" fillId="11" borderId="35" xfId="1" applyNumberFormat="1" applyFont="1" applyFill="1" applyBorder="1"/>
    <xf numFmtId="165" fontId="16" fillId="11" borderId="22" xfId="1" applyNumberFormat="1" applyFont="1" applyFill="1" applyBorder="1"/>
    <xf numFmtId="165" fontId="16" fillId="11" borderId="2" xfId="1" applyNumberFormat="1" applyFont="1" applyFill="1" applyBorder="1"/>
    <xf numFmtId="165" fontId="16" fillId="11" borderId="23" xfId="1" applyNumberFormat="1" applyFont="1" applyFill="1" applyBorder="1"/>
    <xf numFmtId="0" fontId="20" fillId="5" borderId="6" xfId="3" applyFont="1" applyFill="1" applyBorder="1" applyAlignment="1">
      <alignment horizontal="left" indent="1"/>
    </xf>
    <xf numFmtId="9" fontId="20" fillId="3" borderId="6" xfId="4" applyFont="1" applyFill="1" applyBorder="1" applyAlignment="1">
      <alignment horizontal="right"/>
    </xf>
    <xf numFmtId="0" fontId="20" fillId="5" borderId="25" xfId="3" applyFont="1" applyFill="1" applyBorder="1" applyAlignment="1"/>
    <xf numFmtId="0" fontId="20" fillId="12" borderId="25" xfId="3" applyFont="1" applyFill="1" applyBorder="1" applyAlignment="1"/>
    <xf numFmtId="4" fontId="20" fillId="12" borderId="25" xfId="3" applyNumberFormat="1" applyFont="1" applyFill="1" applyBorder="1" applyAlignment="1">
      <alignment horizontal="right"/>
    </xf>
    <xf numFmtId="4" fontId="0" fillId="12" borderId="0" xfId="0" applyNumberFormat="1" applyFill="1" applyBorder="1"/>
    <xf numFmtId="9" fontId="20" fillId="3" borderId="55" xfId="4" applyFont="1" applyFill="1" applyBorder="1" applyAlignment="1">
      <alignment horizontal="right"/>
    </xf>
    <xf numFmtId="4" fontId="0" fillId="5" borderId="4" xfId="0" applyNumberFormat="1" applyFill="1" applyBorder="1"/>
    <xf numFmtId="9" fontId="20" fillId="15" borderId="6" xfId="4" applyFont="1" applyFill="1" applyBorder="1" applyAlignment="1">
      <alignment horizontal="right"/>
    </xf>
    <xf numFmtId="0" fontId="14" fillId="0" borderId="10" xfId="0" applyFont="1" applyBorder="1" applyAlignment="1">
      <alignment wrapText="1"/>
    </xf>
    <xf numFmtId="0" fontId="14" fillId="0" borderId="10" xfId="0" applyFont="1" applyFill="1" applyBorder="1"/>
    <xf numFmtId="0" fontId="25" fillId="4" borderId="15" xfId="0" applyFont="1" applyFill="1" applyBorder="1" applyAlignment="1">
      <alignment horizontal="center" wrapText="1"/>
    </xf>
    <xf numFmtId="0" fontId="0" fillId="0" borderId="16" xfId="0" applyBorder="1"/>
    <xf numFmtId="0" fontId="14" fillId="20" borderId="0" xfId="0" applyFont="1" applyFill="1"/>
    <xf numFmtId="0" fontId="82" fillId="0" borderId="0" xfId="5" applyFont="1"/>
    <xf numFmtId="0" fontId="83" fillId="0" borderId="0" xfId="5" applyFont="1"/>
    <xf numFmtId="0" fontId="84" fillId="0" borderId="0" xfId="5" applyFont="1"/>
    <xf numFmtId="0" fontId="85" fillId="0" borderId="0" xfId="5" applyFont="1"/>
    <xf numFmtId="4" fontId="82" fillId="0" borderId="0" xfId="5" applyNumberFormat="1" applyFont="1"/>
    <xf numFmtId="0" fontId="84" fillId="16" borderId="55" xfId="5" applyFont="1" applyFill="1" applyBorder="1"/>
    <xf numFmtId="0" fontId="85" fillId="16" borderId="25" xfId="5" applyFont="1" applyFill="1" applyBorder="1"/>
    <xf numFmtId="0" fontId="85" fillId="16" borderId="66" xfId="5" applyFont="1" applyFill="1" applyBorder="1"/>
    <xf numFmtId="0" fontId="85" fillId="0" borderId="0" xfId="5" applyFont="1" applyFill="1" applyBorder="1"/>
    <xf numFmtId="0" fontId="82" fillId="0" borderId="0" xfId="5" applyFont="1" applyFill="1" applyBorder="1"/>
    <xf numFmtId="0" fontId="82" fillId="16" borderId="4" xfId="5" applyFont="1" applyFill="1" applyBorder="1"/>
    <xf numFmtId="0" fontId="82" fillId="16" borderId="0" xfId="5" applyFont="1" applyFill="1" applyBorder="1"/>
    <xf numFmtId="0" fontId="82" fillId="16" borderId="3" xfId="5" applyFont="1" applyFill="1" applyBorder="1"/>
    <xf numFmtId="0" fontId="85" fillId="16" borderId="4" xfId="5" applyFont="1" applyFill="1" applyBorder="1"/>
    <xf numFmtId="0" fontId="85" fillId="16" borderId="0" xfId="5" applyFont="1" applyFill="1" applyBorder="1"/>
    <xf numFmtId="0" fontId="85" fillId="16" borderId="50" xfId="5" applyFont="1" applyFill="1" applyBorder="1"/>
    <xf numFmtId="0" fontId="82" fillId="16" borderId="5" xfId="5" applyFont="1" applyFill="1" applyBorder="1"/>
    <xf numFmtId="0" fontId="82" fillId="16" borderId="52" xfId="5" applyFont="1" applyFill="1" applyBorder="1"/>
    <xf numFmtId="0" fontId="89" fillId="0" borderId="0" xfId="5" applyFont="1"/>
    <xf numFmtId="0" fontId="83" fillId="0" borderId="5" xfId="5" applyFont="1" applyBorder="1"/>
    <xf numFmtId="0" fontId="69" fillId="20" borderId="16" xfId="5" applyFont="1" applyFill="1" applyBorder="1"/>
    <xf numFmtId="0" fontId="69" fillId="20" borderId="13" xfId="5" applyFont="1" applyFill="1" applyBorder="1" applyAlignment="1">
      <alignment wrapText="1"/>
    </xf>
    <xf numFmtId="0" fontId="69" fillId="20" borderId="1" xfId="5" applyFont="1" applyFill="1" applyBorder="1" applyAlignment="1">
      <alignment wrapText="1"/>
    </xf>
    <xf numFmtId="0" fontId="69" fillId="20" borderId="10" xfId="5" applyFont="1" applyFill="1" applyBorder="1" applyAlignment="1">
      <alignment wrapText="1"/>
    </xf>
    <xf numFmtId="0" fontId="69" fillId="20" borderId="40" xfId="5" applyFont="1" applyFill="1" applyBorder="1" applyAlignment="1">
      <alignment wrapText="1"/>
    </xf>
    <xf numFmtId="0" fontId="69" fillId="20" borderId="16" xfId="5" applyFont="1" applyFill="1" applyBorder="1" applyAlignment="1">
      <alignment wrapText="1"/>
    </xf>
    <xf numFmtId="0" fontId="83" fillId="15" borderId="16" xfId="5" applyFont="1" applyFill="1" applyBorder="1"/>
    <xf numFmtId="4" fontId="83" fillId="0" borderId="13" xfId="5" applyNumberFormat="1" applyFont="1" applyFill="1" applyBorder="1"/>
    <xf numFmtId="4" fontId="83" fillId="0" borderId="1" xfId="5" applyNumberFormat="1" applyFont="1" applyFill="1" applyBorder="1"/>
    <xf numFmtId="4" fontId="83" fillId="0" borderId="10" xfId="5" applyNumberFormat="1" applyFont="1" applyFill="1" applyBorder="1"/>
    <xf numFmtId="4" fontId="83" fillId="0" borderId="40" xfId="5" applyNumberFormat="1" applyFont="1" applyFill="1" applyBorder="1"/>
    <xf numFmtId="4" fontId="83" fillId="0" borderId="16" xfId="5" applyNumberFormat="1" applyFont="1" applyFill="1" applyBorder="1"/>
    <xf numFmtId="4" fontId="83" fillId="22" borderId="13" xfId="5" applyNumberFormat="1" applyFont="1" applyFill="1" applyBorder="1"/>
    <xf numFmtId="4" fontId="83" fillId="22" borderId="40" xfId="5" applyNumberFormat="1" applyFont="1" applyFill="1" applyBorder="1"/>
    <xf numFmtId="4" fontId="83" fillId="21" borderId="1" xfId="5" applyNumberFormat="1" applyFont="1" applyFill="1" applyBorder="1"/>
    <xf numFmtId="4" fontId="83" fillId="0" borderId="1" xfId="5" applyNumberFormat="1" applyFont="1" applyBorder="1"/>
    <xf numFmtId="0" fontId="83" fillId="15" borderId="51" xfId="5" applyFont="1" applyFill="1" applyBorder="1"/>
    <xf numFmtId="4" fontId="83" fillId="0" borderId="53" xfId="5" applyNumberFormat="1" applyFont="1" applyFill="1" applyBorder="1"/>
    <xf numFmtId="4" fontId="83" fillId="0" borderId="48" xfId="5" applyNumberFormat="1" applyFont="1" applyFill="1" applyBorder="1"/>
    <xf numFmtId="4" fontId="83" fillId="0" borderId="77" xfId="5" applyNumberFormat="1" applyFont="1" applyFill="1" applyBorder="1"/>
    <xf numFmtId="4" fontId="83" fillId="0" borderId="80" xfId="5" applyNumberFormat="1" applyFont="1" applyFill="1" applyBorder="1"/>
    <xf numFmtId="4" fontId="83" fillId="21" borderId="48" xfId="5" applyNumberFormat="1" applyFont="1" applyFill="1" applyBorder="1"/>
    <xf numFmtId="4" fontId="83" fillId="0" borderId="51" xfId="5" applyNumberFormat="1" applyFont="1" applyFill="1" applyBorder="1"/>
    <xf numFmtId="0" fontId="90" fillId="15" borderId="50" xfId="5" applyFont="1" applyFill="1" applyBorder="1"/>
    <xf numFmtId="4" fontId="90" fillId="0" borderId="72" xfId="5" applyNumberFormat="1" applyFont="1" applyFill="1" applyBorder="1"/>
    <xf numFmtId="4" fontId="90" fillId="0" borderId="78" xfId="5" applyNumberFormat="1" applyFont="1" applyFill="1" applyBorder="1"/>
    <xf numFmtId="4" fontId="90" fillId="0" borderId="79" xfId="5" applyNumberFormat="1" applyFont="1" applyFill="1" applyBorder="1"/>
    <xf numFmtId="4" fontId="90" fillId="0" borderId="43" xfId="5" applyNumberFormat="1" applyFont="1" applyFill="1" applyBorder="1"/>
    <xf numFmtId="4" fontId="90" fillId="0" borderId="44" xfId="5" applyNumberFormat="1" applyFont="1" applyFill="1" applyBorder="1"/>
    <xf numFmtId="0" fontId="85" fillId="21" borderId="0" xfId="5" applyFont="1" applyFill="1"/>
    <xf numFmtId="0" fontId="85" fillId="22" borderId="0" xfId="5" applyFont="1" applyFill="1"/>
    <xf numFmtId="0" fontId="90" fillId="0" borderId="0" xfId="5" applyFont="1" applyAlignment="1"/>
    <xf numFmtId="1" fontId="75" fillId="0" borderId="55" xfId="5" applyNumberFormat="1" applyFont="1" applyFill="1" applyBorder="1" applyAlignment="1"/>
    <xf numFmtId="0" fontId="33" fillId="0" borderId="25" xfId="5" applyFont="1" applyFill="1" applyBorder="1" applyAlignment="1"/>
    <xf numFmtId="0" fontId="33" fillId="0" borderId="25" xfId="5" applyFont="1" applyFill="1" applyBorder="1"/>
    <xf numFmtId="0" fontId="33" fillId="0" borderId="4" xfId="5" applyFont="1" applyFill="1" applyBorder="1"/>
    <xf numFmtId="1" fontId="33" fillId="0" borderId="4" xfId="5" applyNumberFormat="1" applyFont="1" applyFill="1" applyBorder="1" applyAlignment="1">
      <alignment vertical="top" wrapText="1"/>
    </xf>
    <xf numFmtId="1" fontId="33" fillId="0" borderId="4" xfId="5" applyNumberFormat="1" applyFont="1" applyFill="1" applyBorder="1" applyAlignment="1"/>
    <xf numFmtId="0" fontId="85" fillId="0" borderId="0" xfId="5" applyFont="1" applyFill="1"/>
    <xf numFmtId="0" fontId="90" fillId="0" borderId="0" xfId="5" applyFont="1" applyAlignment="1">
      <alignment horizontal="left"/>
    </xf>
    <xf numFmtId="0" fontId="69" fillId="20" borderId="1" xfId="5" applyFont="1" applyFill="1" applyBorder="1"/>
    <xf numFmtId="0" fontId="83" fillId="15" borderId="1" xfId="5" applyFont="1" applyFill="1" applyBorder="1"/>
    <xf numFmtId="3" fontId="83" fillId="0" borderId="1" xfId="5" applyNumberFormat="1" applyFont="1" applyBorder="1"/>
    <xf numFmtId="0" fontId="83" fillId="15" borderId="48" xfId="5" applyFont="1" applyFill="1" applyBorder="1"/>
    <xf numFmtId="4" fontId="83" fillId="0" borderId="48" xfId="5" applyNumberFormat="1" applyFont="1" applyBorder="1"/>
    <xf numFmtId="3" fontId="83" fillId="0" borderId="48" xfId="5" applyNumberFormat="1" applyFont="1" applyBorder="1"/>
    <xf numFmtId="0" fontId="90" fillId="15" borderId="47" xfId="5" applyFont="1" applyFill="1" applyBorder="1"/>
    <xf numFmtId="4" fontId="90" fillId="0" borderId="47" xfId="5" applyNumberFormat="1" applyFont="1" applyBorder="1"/>
    <xf numFmtId="0" fontId="85" fillId="16" borderId="5" xfId="5" applyFont="1" applyFill="1" applyBorder="1"/>
    <xf numFmtId="0" fontId="85" fillId="0" borderId="4" xfId="5" applyFont="1" applyFill="1" applyBorder="1"/>
    <xf numFmtId="0" fontId="82" fillId="0" borderId="4" xfId="5" applyFont="1" applyFill="1" applyBorder="1"/>
    <xf numFmtId="1" fontId="75" fillId="0" borderId="0" xfId="5" applyNumberFormat="1" applyFont="1" applyFill="1" applyBorder="1" applyAlignment="1"/>
    <xf numFmtId="43" fontId="83" fillId="0" borderId="1" xfId="1" applyFont="1" applyBorder="1"/>
    <xf numFmtId="43" fontId="83" fillId="0" borderId="48" xfId="1" applyFont="1" applyBorder="1"/>
    <xf numFmtId="0" fontId="85" fillId="0" borderId="0" xfId="5" applyFont="1" applyAlignment="1"/>
    <xf numFmtId="0" fontId="85" fillId="16" borderId="3" xfId="5" applyFont="1" applyFill="1" applyBorder="1"/>
    <xf numFmtId="0" fontId="85" fillId="16" borderId="52" xfId="5" applyFont="1" applyFill="1" applyBorder="1"/>
    <xf numFmtId="0" fontId="69" fillId="20" borderId="1" xfId="0" applyFont="1" applyFill="1" applyBorder="1"/>
    <xf numFmtId="0" fontId="14" fillId="0" borderId="47" xfId="0" applyFont="1" applyBorder="1"/>
    <xf numFmtId="0" fontId="14" fillId="0" borderId="48" xfId="0" applyFont="1" applyBorder="1"/>
    <xf numFmtId="43" fontId="14" fillId="0" borderId="1" xfId="1" applyFont="1" applyBorder="1"/>
    <xf numFmtId="43" fontId="14" fillId="0" borderId="48" xfId="1" applyFont="1" applyBorder="1"/>
    <xf numFmtId="43" fontId="14" fillId="0" borderId="47" xfId="1" applyFont="1" applyBorder="1"/>
    <xf numFmtId="4" fontId="14" fillId="0" borderId="1" xfId="0" applyNumberFormat="1" applyFont="1" applyFill="1" applyBorder="1"/>
    <xf numFmtId="4" fontId="0" fillId="0" borderId="1" xfId="0" applyNumberFormat="1" applyFill="1" applyBorder="1"/>
    <xf numFmtId="2" fontId="0" fillId="0" borderId="1" xfId="0" applyNumberFormat="1" applyFill="1" applyBorder="1"/>
    <xf numFmtId="0" fontId="69" fillId="23" borderId="1" xfId="0" applyFont="1" applyFill="1" applyBorder="1"/>
    <xf numFmtId="0" fontId="69" fillId="23" borderId="1" xfId="0" applyFont="1" applyFill="1" applyBorder="1" applyAlignment="1">
      <alignment wrapText="1"/>
    </xf>
    <xf numFmtId="167" fontId="14" fillId="0" borderId="1" xfId="0" applyNumberFormat="1" applyFont="1" applyFill="1" applyBorder="1"/>
    <xf numFmtId="10" fontId="0" fillId="0" borderId="0" xfId="0" applyNumberFormat="1"/>
    <xf numFmtId="0" fontId="0" fillId="11" borderId="16" xfId="0" applyFill="1" applyBorder="1" applyAlignment="1">
      <alignment horizontal="center"/>
    </xf>
    <xf numFmtId="0" fontId="0" fillId="11" borderId="16" xfId="0" applyFill="1" applyBorder="1"/>
    <xf numFmtId="0" fontId="0" fillId="11" borderId="13" xfId="0" applyFill="1" applyBorder="1" applyAlignment="1">
      <alignment horizontal="center"/>
    </xf>
    <xf numFmtId="0" fontId="23" fillId="11" borderId="10" xfId="0" applyFont="1" applyFill="1" applyBorder="1" applyAlignment="1">
      <alignment horizontal="center" wrapText="1"/>
    </xf>
    <xf numFmtId="3" fontId="0" fillId="11" borderId="13" xfId="0" applyNumberFormat="1" applyFill="1" applyBorder="1"/>
    <xf numFmtId="10" fontId="23" fillId="11" borderId="10" xfId="0" applyNumberFormat="1" applyFont="1" applyFill="1" applyBorder="1"/>
    <xf numFmtId="3" fontId="0" fillId="11" borderId="14" xfId="0" applyNumberFormat="1" applyFill="1" applyBorder="1"/>
    <xf numFmtId="172" fontId="0" fillId="18" borderId="11" xfId="0" applyNumberFormat="1" applyFill="1" applyBorder="1"/>
    <xf numFmtId="173" fontId="23" fillId="11" borderId="11" xfId="0" applyNumberFormat="1" applyFont="1" applyFill="1" applyBorder="1"/>
    <xf numFmtId="10" fontId="23" fillId="11" borderId="11" xfId="0" applyNumberFormat="1" applyFont="1" applyFill="1" applyBorder="1"/>
    <xf numFmtId="10" fontId="23" fillId="11" borderId="12" xfId="0" applyNumberFormat="1" applyFont="1" applyFill="1" applyBorder="1"/>
    <xf numFmtId="0" fontId="14" fillId="0" borderId="0" xfId="0" applyFont="1" applyFill="1" applyBorder="1" applyAlignment="1">
      <alignment horizontal="center"/>
    </xf>
    <xf numFmtId="3" fontId="14" fillId="0" borderId="0" xfId="1" applyNumberFormat="1" applyFont="1" applyFill="1" applyBorder="1" applyAlignment="1"/>
    <xf numFmtId="3" fontId="14" fillId="0" borderId="0" xfId="1" applyNumberFormat="1" applyFont="1" applyFill="1" applyBorder="1"/>
    <xf numFmtId="0" fontId="0" fillId="0" borderId="0" xfId="0" applyFill="1" applyBorder="1" applyAlignment="1">
      <alignment horizontal="center"/>
    </xf>
    <xf numFmtId="0" fontId="23" fillId="0" borderId="0" xfId="0" applyFont="1" applyFill="1" applyBorder="1" applyAlignment="1">
      <alignment horizontal="center" wrapText="1"/>
    </xf>
    <xf numFmtId="3" fontId="0" fillId="0" borderId="0" xfId="0" applyNumberFormat="1" applyFill="1" applyBorder="1"/>
    <xf numFmtId="173" fontId="0" fillId="0" borderId="0" xfId="4" applyNumberFormat="1" applyFont="1" applyFill="1" applyBorder="1"/>
    <xf numFmtId="37" fontId="14" fillId="0" borderId="0" xfId="1" applyNumberFormat="1" applyFont="1" applyFill="1" applyBorder="1"/>
    <xf numFmtId="3" fontId="14" fillId="16" borderId="1" xfId="1" applyNumberFormat="1" applyFont="1" applyFill="1" applyBorder="1"/>
    <xf numFmtId="4" fontId="14" fillId="0" borderId="1" xfId="0" applyNumberFormat="1" applyFont="1" applyBorder="1"/>
    <xf numFmtId="4" fontId="14" fillId="0" borderId="48" xfId="0" applyNumberFormat="1" applyFont="1" applyBorder="1"/>
    <xf numFmtId="4" fontId="14" fillId="0" borderId="47" xfId="1" applyNumberFormat="1" applyFont="1" applyBorder="1"/>
    <xf numFmtId="3" fontId="0" fillId="0" borderId="0" xfId="1" applyNumberFormat="1" applyFont="1" applyFill="1" applyBorder="1"/>
    <xf numFmtId="3" fontId="0" fillId="0" borderId="0" xfId="0" applyNumberFormat="1"/>
    <xf numFmtId="177" fontId="0" fillId="0" borderId="0" xfId="0" applyNumberFormat="1"/>
    <xf numFmtId="0" fontId="0" fillId="0" borderId="1" xfId="0" applyBorder="1" applyAlignment="1"/>
    <xf numFmtId="43" fontId="15" fillId="11" borderId="1" xfId="1" applyNumberFormat="1" applyFont="1" applyFill="1" applyBorder="1"/>
    <xf numFmtId="43" fontId="15" fillId="11" borderId="10" xfId="1" applyNumberFormat="1" applyFont="1" applyFill="1" applyBorder="1"/>
    <xf numFmtId="43" fontId="15" fillId="11" borderId="11" xfId="1" applyNumberFormat="1" applyFont="1" applyFill="1" applyBorder="1"/>
    <xf numFmtId="43" fontId="15" fillId="11" borderId="12" xfId="1" applyNumberFormat="1" applyFont="1" applyFill="1" applyBorder="1"/>
    <xf numFmtId="0" fontId="14" fillId="0" borderId="1" xfId="0" applyFont="1" applyBorder="1" applyAlignment="1">
      <alignment horizontal="left"/>
    </xf>
    <xf numFmtId="0" fontId="14" fillId="17" borderId="13" xfId="0" applyFont="1" applyFill="1" applyBorder="1" applyAlignment="1">
      <alignment horizontal="left" indent="1"/>
    </xf>
    <xf numFmtId="0" fontId="0" fillId="17" borderId="13" xfId="0" applyFill="1" applyBorder="1" applyAlignment="1"/>
    <xf numFmtId="10" fontId="0" fillId="0" borderId="1" xfId="4" applyNumberFormat="1" applyFont="1" applyBorder="1"/>
    <xf numFmtId="10" fontId="0" fillId="0" borderId="10" xfId="0" applyNumberFormat="1" applyBorder="1"/>
    <xf numFmtId="9" fontId="0" fillId="0" borderId="1" xfId="4" applyFont="1" applyBorder="1"/>
    <xf numFmtId="0" fontId="14" fillId="0" borderId="0" xfId="0" quotePrefix="1" applyFont="1"/>
    <xf numFmtId="0" fontId="95" fillId="0" borderId="0" xfId="5" applyFont="1" applyFill="1" applyBorder="1"/>
    <xf numFmtId="0" fontId="14" fillId="0" borderId="0" xfId="0" applyFont="1" applyFill="1" applyBorder="1" applyAlignment="1"/>
    <xf numFmtId="9" fontId="0" fillId="0" borderId="11" xfId="4" applyFont="1" applyFill="1" applyBorder="1"/>
    <xf numFmtId="10" fontId="0" fillId="0" borderId="11" xfId="4" applyNumberFormat="1" applyFont="1" applyFill="1" applyBorder="1"/>
    <xf numFmtId="10" fontId="0" fillId="0" borderId="12" xfId="0" applyNumberFormat="1" applyFill="1" applyBorder="1"/>
    <xf numFmtId="0" fontId="96" fillId="0" borderId="0" xfId="0" applyFont="1"/>
    <xf numFmtId="0" fontId="12" fillId="0" borderId="0" xfId="6"/>
    <xf numFmtId="0" fontId="12" fillId="0" borderId="0" xfId="6" applyAlignment="1">
      <alignment wrapText="1"/>
    </xf>
    <xf numFmtId="0" fontId="97" fillId="24" borderId="1" xfId="6" applyFont="1" applyFill="1" applyBorder="1" applyAlignment="1">
      <alignment horizontal="center" vertical="center" wrapText="1"/>
    </xf>
    <xf numFmtId="0" fontId="12" fillId="25" borderId="1" xfId="6" applyFill="1" applyBorder="1" applyAlignment="1"/>
    <xf numFmtId="3" fontId="12" fillId="0" borderId="1" xfId="6" applyNumberFormat="1" applyBorder="1" applyAlignment="1">
      <alignment wrapText="1"/>
    </xf>
    <xf numFmtId="0" fontId="97" fillId="24" borderId="1" xfId="6" applyFont="1" applyFill="1" applyBorder="1" applyAlignment="1">
      <alignment horizontal="center" wrapText="1"/>
    </xf>
    <xf numFmtId="0" fontId="12" fillId="25" borderId="1" xfId="6" applyFill="1" applyBorder="1"/>
    <xf numFmtId="0" fontId="12" fillId="25" borderId="61" xfId="6" applyFill="1" applyBorder="1"/>
    <xf numFmtId="0" fontId="12" fillId="25" borderId="61" xfId="6" applyFill="1" applyBorder="1" applyAlignment="1">
      <alignment horizontal="center"/>
    </xf>
    <xf numFmtId="3" fontId="12" fillId="0" borderId="1" xfId="6" applyNumberFormat="1" applyBorder="1"/>
    <xf numFmtId="0" fontId="12" fillId="25" borderId="28" xfId="6" applyFill="1" applyBorder="1"/>
    <xf numFmtId="4" fontId="12" fillId="25" borderId="28" xfId="6" applyNumberFormat="1" applyFill="1" applyBorder="1" applyAlignment="1">
      <alignment wrapText="1"/>
    </xf>
    <xf numFmtId="0" fontId="12" fillId="25" borderId="27" xfId="6" applyFill="1" applyBorder="1"/>
    <xf numFmtId="4" fontId="12" fillId="25" borderId="27" xfId="6" applyNumberFormat="1" applyFill="1" applyBorder="1" applyAlignment="1">
      <alignment wrapText="1"/>
    </xf>
    <xf numFmtId="3" fontId="12" fillId="0" borderId="0" xfId="6" applyNumberFormat="1"/>
    <xf numFmtId="0" fontId="12" fillId="25" borderId="33" xfId="6" applyFill="1" applyBorder="1"/>
    <xf numFmtId="4" fontId="12" fillId="25" borderId="33" xfId="6" applyNumberFormat="1" applyFill="1" applyBorder="1" applyAlignment="1">
      <alignment wrapText="1"/>
    </xf>
    <xf numFmtId="0" fontId="98" fillId="25" borderId="31" xfId="6" applyFont="1" applyFill="1" applyBorder="1"/>
    <xf numFmtId="4" fontId="98" fillId="25" borderId="31" xfId="6" applyNumberFormat="1" applyFont="1" applyFill="1" applyBorder="1"/>
    <xf numFmtId="0" fontId="12" fillId="0" borderId="0" xfId="6" applyFill="1" applyBorder="1"/>
    <xf numFmtId="0" fontId="12" fillId="25" borderId="48" xfId="6" applyFill="1" applyBorder="1"/>
    <xf numFmtId="3" fontId="12" fillId="0" borderId="48" xfId="6" applyNumberFormat="1" applyBorder="1" applyAlignment="1">
      <alignment wrapText="1"/>
    </xf>
    <xf numFmtId="0" fontId="98" fillId="25" borderId="47" xfId="6" applyFont="1" applyFill="1" applyBorder="1" applyAlignment="1">
      <alignment horizontal="left"/>
    </xf>
    <xf numFmtId="3" fontId="98" fillId="0" borderId="47" xfId="6" applyNumberFormat="1" applyFont="1" applyBorder="1" applyAlignment="1">
      <alignment wrapText="1"/>
    </xf>
    <xf numFmtId="0" fontId="12" fillId="0" borderId="0" xfId="6" applyAlignment="1"/>
    <xf numFmtId="0" fontId="99" fillId="18" borderId="0" xfId="6" applyFont="1" applyFill="1"/>
    <xf numFmtId="0" fontId="99" fillId="18" borderId="0" xfId="6" applyFont="1" applyFill="1" applyAlignment="1">
      <alignment wrapText="1"/>
    </xf>
    <xf numFmtId="3" fontId="12" fillId="0" borderId="0" xfId="6" applyNumberFormat="1" applyAlignment="1">
      <alignment wrapText="1"/>
    </xf>
    <xf numFmtId="0" fontId="97" fillId="24" borderId="1" xfId="6" applyFont="1" applyFill="1" applyBorder="1"/>
    <xf numFmtId="0" fontId="97" fillId="24" borderId="1" xfId="6" applyFont="1" applyFill="1" applyBorder="1" applyAlignment="1">
      <alignment wrapText="1"/>
    </xf>
    <xf numFmtId="0" fontId="12" fillId="11" borderId="16" xfId="6" applyFill="1" applyBorder="1" applyAlignment="1">
      <alignment horizontal="center"/>
    </xf>
    <xf numFmtId="0" fontId="12" fillId="11" borderId="13" xfId="6" applyFill="1" applyBorder="1" applyAlignment="1">
      <alignment horizontal="center"/>
    </xf>
    <xf numFmtId="0" fontId="12" fillId="11" borderId="1" xfId="6" applyFill="1" applyBorder="1" applyAlignment="1">
      <alignment horizontal="center"/>
    </xf>
    <xf numFmtId="0" fontId="12" fillId="18" borderId="1" xfId="6" applyFill="1" applyBorder="1" applyAlignment="1">
      <alignment horizontal="center" wrapText="1"/>
    </xf>
    <xf numFmtId="0" fontId="23" fillId="11" borderId="1" xfId="6" applyFont="1" applyFill="1" applyBorder="1" applyAlignment="1">
      <alignment horizontal="center" wrapText="1"/>
    </xf>
    <xf numFmtId="0" fontId="23" fillId="11" borderId="10" xfId="6" applyFont="1" applyFill="1" applyBorder="1" applyAlignment="1">
      <alignment horizontal="center" wrapText="1"/>
    </xf>
    <xf numFmtId="0" fontId="12" fillId="11" borderId="16" xfId="6" applyFill="1" applyBorder="1"/>
    <xf numFmtId="3" fontId="12" fillId="11" borderId="13" xfId="6" applyNumberFormat="1" applyFill="1" applyBorder="1"/>
    <xf numFmtId="3" fontId="12" fillId="11" borderId="1" xfId="6" applyNumberFormat="1" applyFill="1" applyBorder="1"/>
    <xf numFmtId="172" fontId="12" fillId="18" borderId="1" xfId="6" applyNumberFormat="1" applyFill="1" applyBorder="1"/>
    <xf numFmtId="173" fontId="23" fillId="11" borderId="1" xfId="6" applyNumberFormat="1" applyFont="1" applyFill="1" applyBorder="1"/>
    <xf numFmtId="10" fontId="23" fillId="11" borderId="1" xfId="6" applyNumberFormat="1" applyFont="1" applyFill="1" applyBorder="1"/>
    <xf numFmtId="10" fontId="23" fillId="11" borderId="10" xfId="6" applyNumberFormat="1" applyFont="1" applyFill="1" applyBorder="1"/>
    <xf numFmtId="3" fontId="12" fillId="11" borderId="14" xfId="6" applyNumberFormat="1" applyFill="1" applyBorder="1"/>
    <xf numFmtId="3" fontId="12" fillId="11" borderId="11" xfId="6" applyNumberFormat="1" applyFill="1" applyBorder="1"/>
    <xf numFmtId="172" fontId="12" fillId="18" borderId="11" xfId="6" applyNumberFormat="1" applyFill="1" applyBorder="1"/>
    <xf numFmtId="173" fontId="23" fillId="11" borderId="11" xfId="6" applyNumberFormat="1" applyFont="1" applyFill="1" applyBorder="1"/>
    <xf numFmtId="10" fontId="23" fillId="11" borderId="11" xfId="6" applyNumberFormat="1" applyFont="1" applyFill="1" applyBorder="1"/>
    <xf numFmtId="10" fontId="23" fillId="11" borderId="12" xfId="6" applyNumberFormat="1" applyFont="1" applyFill="1" applyBorder="1"/>
    <xf numFmtId="0" fontId="97" fillId="24" borderId="16" xfId="6" applyFont="1" applyFill="1" applyBorder="1"/>
    <xf numFmtId="4" fontId="12" fillId="0" borderId="1" xfId="6" applyNumberFormat="1" applyBorder="1" applyAlignment="1">
      <alignment wrapText="1"/>
    </xf>
    <xf numFmtId="0" fontId="12" fillId="25" borderId="16" xfId="6" applyFill="1" applyBorder="1" applyAlignment="1"/>
    <xf numFmtId="2" fontId="12" fillId="0" borderId="1" xfId="6" applyNumberFormat="1" applyBorder="1"/>
    <xf numFmtId="0" fontId="12" fillId="25" borderId="16" xfId="6" applyFill="1" applyBorder="1"/>
    <xf numFmtId="4" fontId="12" fillId="0" borderId="48" xfId="6" applyNumberFormat="1" applyBorder="1" applyAlignment="1">
      <alignment wrapText="1"/>
    </xf>
    <xf numFmtId="4" fontId="98" fillId="0" borderId="47" xfId="6" applyNumberFormat="1" applyFont="1" applyBorder="1" applyAlignment="1">
      <alignment wrapText="1"/>
    </xf>
    <xf numFmtId="0" fontId="98" fillId="0" borderId="0" xfId="6" applyFont="1" applyFill="1" applyBorder="1" applyAlignment="1">
      <alignment horizontal="left"/>
    </xf>
    <xf numFmtId="3" fontId="12" fillId="0" borderId="0" xfId="6" applyNumberFormat="1" applyFill="1" applyBorder="1"/>
    <xf numFmtId="4" fontId="83" fillId="0" borderId="0" xfId="5" applyNumberFormat="1" applyFont="1"/>
    <xf numFmtId="0" fontId="100" fillId="0" borderId="0" xfId="5" applyFont="1"/>
    <xf numFmtId="4" fontId="90" fillId="0" borderId="1" xfId="5" applyNumberFormat="1" applyFont="1" applyBorder="1"/>
    <xf numFmtId="0" fontId="69" fillId="20" borderId="0" xfId="5" applyFont="1" applyFill="1" applyBorder="1" applyAlignment="1">
      <alignment wrapText="1"/>
    </xf>
    <xf numFmtId="0" fontId="105" fillId="20" borderId="1" xfId="5" applyFont="1" applyFill="1" applyBorder="1" applyAlignment="1">
      <alignment horizontal="center" vertical="center"/>
    </xf>
    <xf numFmtId="0" fontId="104" fillId="4" borderId="1" xfId="0" applyFont="1" applyFill="1" applyBorder="1" applyAlignment="1">
      <alignment horizontal="center" vertical="center" wrapText="1"/>
    </xf>
    <xf numFmtId="0" fontId="69" fillId="20" borderId="1" xfId="5" applyFont="1" applyFill="1" applyBorder="1" applyAlignment="1">
      <alignment horizontal="center" vertical="center" wrapText="1"/>
    </xf>
    <xf numFmtId="178" fontId="0" fillId="0" borderId="1" xfId="0" applyNumberFormat="1" applyBorder="1"/>
    <xf numFmtId="0" fontId="90" fillId="15" borderId="1" xfId="5" applyFont="1" applyFill="1" applyBorder="1"/>
    <xf numFmtId="40" fontId="0" fillId="0" borderId="1" xfId="0" applyNumberFormat="1" applyBorder="1"/>
    <xf numFmtId="178" fontId="16" fillId="0" borderId="1" xfId="0" applyNumberFormat="1" applyFont="1" applyBorder="1"/>
    <xf numFmtId="0" fontId="107" fillId="0" borderId="0" xfId="5" applyFont="1"/>
    <xf numFmtId="0" fontId="108" fillId="0" borderId="0" xfId="0" applyFont="1"/>
    <xf numFmtId="0" fontId="107" fillId="16" borderId="55" xfId="5" applyFont="1" applyFill="1" applyBorder="1"/>
    <xf numFmtId="0" fontId="100" fillId="16" borderId="4" xfId="5" applyFont="1" applyFill="1" applyBorder="1"/>
    <xf numFmtId="0" fontId="100" fillId="16" borderId="50" xfId="5" applyFont="1" applyFill="1" applyBorder="1"/>
    <xf numFmtId="0" fontId="100" fillId="0" borderId="0" xfId="5" applyFont="1" applyAlignment="1"/>
    <xf numFmtId="0" fontId="106" fillId="0" borderId="0" xfId="5" applyFont="1" applyAlignment="1"/>
    <xf numFmtId="0" fontId="106" fillId="0" borderId="0" xfId="5" applyFont="1"/>
    <xf numFmtId="4" fontId="16" fillId="0" borderId="1" xfId="0" applyNumberFormat="1" applyFont="1" applyFill="1" applyBorder="1"/>
    <xf numFmtId="40" fontId="83" fillId="0" borderId="1" xfId="5" applyNumberFormat="1" applyFont="1" applyBorder="1"/>
    <xf numFmtId="0" fontId="69" fillId="20" borderId="64" xfId="5" applyFont="1" applyFill="1" applyBorder="1" applyAlignment="1">
      <alignment horizontal="center" vertical="center" wrapText="1"/>
    </xf>
    <xf numFmtId="4" fontId="0" fillId="0" borderId="1" xfId="0" applyNumberFormat="1" applyBorder="1"/>
    <xf numFmtId="4" fontId="111" fillId="0" borderId="1" xfId="0" applyNumberFormat="1" applyFont="1" applyBorder="1"/>
    <xf numFmtId="4" fontId="16" fillId="0" borderId="1" xfId="0" applyNumberFormat="1" applyFont="1" applyBorder="1"/>
    <xf numFmtId="4" fontId="112" fillId="0" borderId="1" xfId="0" applyNumberFormat="1" applyFont="1" applyBorder="1"/>
    <xf numFmtId="0" fontId="21" fillId="4" borderId="6" xfId="7" applyFont="1" applyFill="1" applyBorder="1" applyAlignment="1">
      <alignment horizontal="center" wrapText="1"/>
    </xf>
    <xf numFmtId="40" fontId="13" fillId="0" borderId="0" xfId="5" applyNumberFormat="1"/>
    <xf numFmtId="0" fontId="69" fillId="20" borderId="1" xfId="5" applyFont="1" applyFill="1" applyBorder="1" applyAlignment="1">
      <alignment horizontal="center" vertical="center"/>
    </xf>
    <xf numFmtId="40" fontId="13" fillId="0" borderId="1" xfId="5" applyNumberFormat="1" applyBorder="1"/>
    <xf numFmtId="0" fontId="11" fillId="0" borderId="0" xfId="5" applyFont="1"/>
    <xf numFmtId="40" fontId="13" fillId="0" borderId="16" xfId="5" applyNumberFormat="1" applyBorder="1"/>
    <xf numFmtId="0" fontId="10" fillId="0" borderId="0" xfId="5" applyFont="1"/>
    <xf numFmtId="0" fontId="21" fillId="4" borderId="0" xfId="7" applyFont="1" applyFill="1" applyBorder="1" applyAlignment="1">
      <alignment horizontal="center" wrapText="1"/>
    </xf>
    <xf numFmtId="40" fontId="16" fillId="0" borderId="1" xfId="0" applyNumberFormat="1" applyFont="1" applyBorder="1"/>
    <xf numFmtId="0" fontId="25" fillId="20" borderId="0" xfId="0" applyFont="1" applyFill="1" applyBorder="1" applyAlignment="1">
      <alignment horizontal="center" wrapText="1"/>
    </xf>
    <xf numFmtId="0" fontId="113" fillId="0" borderId="0" xfId="0" applyFont="1"/>
    <xf numFmtId="40" fontId="14" fillId="0" borderId="1" xfId="0" applyNumberFormat="1" applyFont="1" applyBorder="1"/>
    <xf numFmtId="0" fontId="25" fillId="20" borderId="56" xfId="0" applyFont="1" applyFill="1" applyBorder="1" applyAlignment="1">
      <alignment horizontal="center" wrapText="1"/>
    </xf>
    <xf numFmtId="3" fontId="0" fillId="0" borderId="1" xfId="0" applyNumberFormat="1" applyBorder="1"/>
    <xf numFmtId="0" fontId="9" fillId="0" borderId="0" xfId="6" applyFont="1"/>
    <xf numFmtId="40" fontId="0" fillId="0" borderId="0" xfId="0" applyNumberFormat="1"/>
    <xf numFmtId="0" fontId="25" fillId="20" borderId="0" xfId="0" applyFont="1" applyFill="1" applyBorder="1" applyAlignment="1">
      <alignment horizontal="center" vertical="center" wrapText="1"/>
    </xf>
    <xf numFmtId="40" fontId="16" fillId="0" borderId="1" xfId="0" applyNumberFormat="1" applyFont="1" applyBorder="1" applyAlignment="1">
      <alignment horizontal="center" vertical="center"/>
    </xf>
    <xf numFmtId="40" fontId="16" fillId="0" borderId="1" xfId="0" applyNumberFormat="1" applyFont="1" applyBorder="1" applyAlignment="1">
      <alignment horizontal="center"/>
    </xf>
    <xf numFmtId="40" fontId="14" fillId="0" borderId="1" xfId="0" applyNumberFormat="1" applyFont="1" applyBorder="1" applyAlignment="1">
      <alignment horizontal="center" vertical="center"/>
    </xf>
    <xf numFmtId="0" fontId="0" fillId="0" borderId="0" xfId="0" applyAlignment="1">
      <alignment vertical="center"/>
    </xf>
    <xf numFmtId="0" fontId="69" fillId="20" borderId="1" xfId="0" applyFont="1" applyFill="1" applyBorder="1" applyAlignment="1">
      <alignment horizontal="center" vertical="center"/>
    </xf>
    <xf numFmtId="40" fontId="16" fillId="0" borderId="1" xfId="1" applyNumberFormat="1" applyFont="1" applyBorder="1"/>
    <xf numFmtId="4" fontId="114" fillId="0" borderId="1" xfId="0" applyNumberFormat="1" applyFont="1" applyFill="1" applyBorder="1"/>
    <xf numFmtId="178" fontId="0" fillId="0" borderId="1" xfId="0" applyNumberFormat="1" applyBorder="1" applyAlignment="1">
      <alignment horizontal="center"/>
    </xf>
    <xf numFmtId="0" fontId="12" fillId="26" borderId="61" xfId="6" applyFill="1" applyBorder="1" applyAlignment="1">
      <alignment vertical="center"/>
    </xf>
    <xf numFmtId="0" fontId="12" fillId="26" borderId="61" xfId="6" applyFill="1" applyBorder="1" applyAlignment="1">
      <alignment horizontal="center" vertical="center"/>
    </xf>
    <xf numFmtId="0" fontId="12" fillId="26" borderId="28" xfId="6" applyFill="1" applyBorder="1" applyAlignment="1">
      <alignment vertical="center"/>
    </xf>
    <xf numFmtId="4" fontId="12" fillId="26" borderId="28" xfId="6" applyNumberFormat="1" applyFill="1" applyBorder="1" applyAlignment="1">
      <alignment vertical="center" wrapText="1"/>
    </xf>
    <xf numFmtId="0" fontId="12" fillId="26" borderId="27" xfId="6" applyFill="1" applyBorder="1" applyAlignment="1">
      <alignment vertical="center"/>
    </xf>
    <xf numFmtId="4" fontId="12" fillId="26" borderId="27" xfId="6" applyNumberFormat="1" applyFill="1" applyBorder="1" applyAlignment="1">
      <alignment vertical="center" wrapText="1"/>
    </xf>
    <xf numFmtId="0" fontId="12" fillId="26" borderId="33" xfId="6" applyFill="1" applyBorder="1" applyAlignment="1">
      <alignment vertical="center"/>
    </xf>
    <xf numFmtId="4" fontId="12" fillId="26" borderId="33" xfId="6" applyNumberFormat="1" applyFill="1" applyBorder="1" applyAlignment="1">
      <alignment vertical="center" wrapText="1"/>
    </xf>
    <xf numFmtId="0" fontId="115" fillId="26" borderId="31" xfId="6" applyFont="1" applyFill="1" applyBorder="1" applyAlignment="1">
      <alignment vertical="center"/>
    </xf>
    <xf numFmtId="4" fontId="115" fillId="26" borderId="31" xfId="6" applyNumberFormat="1" applyFont="1" applyFill="1" applyBorder="1" applyAlignment="1">
      <alignment vertical="center"/>
    </xf>
    <xf numFmtId="0" fontId="8" fillId="0" borderId="0" xfId="6" applyFont="1"/>
    <xf numFmtId="0" fontId="116" fillId="24" borderId="1" xfId="6" applyFont="1" applyFill="1" applyBorder="1" applyAlignment="1">
      <alignment horizontal="center" wrapText="1"/>
    </xf>
    <xf numFmtId="0" fontId="117" fillId="0" borderId="1" xfId="6" applyFont="1" applyBorder="1"/>
    <xf numFmtId="3" fontId="117" fillId="0" borderId="1" xfId="6" applyNumberFormat="1" applyFont="1" applyBorder="1"/>
    <xf numFmtId="0" fontId="118" fillId="0" borderId="1" xfId="6" applyFont="1" applyBorder="1" applyAlignment="1">
      <alignment horizontal="left"/>
    </xf>
    <xf numFmtId="3" fontId="118" fillId="0" borderId="1" xfId="6" applyNumberFormat="1" applyFont="1" applyBorder="1"/>
    <xf numFmtId="0" fontId="116" fillId="24" borderId="1" xfId="6" applyFont="1" applyFill="1" applyBorder="1" applyAlignment="1">
      <alignment horizontal="center" vertical="center" wrapText="1"/>
    </xf>
    <xf numFmtId="0" fontId="7" fillId="0" borderId="0" xfId="5" applyFont="1"/>
    <xf numFmtId="4" fontId="13" fillId="0" borderId="0" xfId="5" applyNumberFormat="1"/>
    <xf numFmtId="40" fontId="106" fillId="0" borderId="1" xfId="5" applyNumberFormat="1" applyFont="1" applyBorder="1"/>
    <xf numFmtId="4" fontId="13" fillId="0" borderId="1" xfId="5" applyNumberFormat="1" applyBorder="1"/>
    <xf numFmtId="4" fontId="13" fillId="0" borderId="1" xfId="5" applyNumberFormat="1" applyBorder="1" applyAlignment="1">
      <alignment vertical="center"/>
    </xf>
    <xf numFmtId="0" fontId="6" fillId="0" borderId="0" xfId="5" applyFont="1"/>
    <xf numFmtId="0" fontId="119" fillId="20" borderId="1" xfId="5" applyFont="1" applyFill="1" applyBorder="1" applyAlignment="1">
      <alignment horizontal="center" vertical="center" wrapText="1"/>
    </xf>
    <xf numFmtId="38" fontId="13" fillId="0" borderId="1" xfId="5" applyNumberFormat="1" applyBorder="1"/>
    <xf numFmtId="38" fontId="13" fillId="0" borderId="1" xfId="5" applyNumberFormat="1" applyBorder="1" applyAlignment="1">
      <alignment vertical="center"/>
    </xf>
    <xf numFmtId="38" fontId="83" fillId="0" borderId="1" xfId="5" applyNumberFormat="1" applyFont="1" applyBorder="1"/>
    <xf numFmtId="40" fontId="13" fillId="0" borderId="47" xfId="5" applyNumberFormat="1" applyBorder="1"/>
    <xf numFmtId="0" fontId="97" fillId="24" borderId="1" xfId="6" applyFont="1" applyFill="1" applyBorder="1" applyAlignment="1">
      <alignment horizontal="center" vertical="center" wrapText="1"/>
    </xf>
    <xf numFmtId="0" fontId="5" fillId="0" borderId="0" xfId="5" applyFont="1"/>
    <xf numFmtId="38" fontId="98" fillId="0" borderId="1" xfId="5" applyNumberFormat="1" applyFont="1" applyBorder="1"/>
    <xf numFmtId="38" fontId="98" fillId="0" borderId="16" xfId="5" applyNumberFormat="1" applyFont="1" applyBorder="1"/>
    <xf numFmtId="38" fontId="13" fillId="0" borderId="1" xfId="5" applyNumberFormat="1" applyBorder="1" applyAlignment="1">
      <alignment horizontal="center" vertical="center"/>
    </xf>
    <xf numFmtId="0" fontId="69" fillId="20" borderId="37" xfId="5" applyFont="1" applyFill="1" applyBorder="1" applyAlignment="1">
      <alignment wrapText="1"/>
    </xf>
    <xf numFmtId="38" fontId="82" fillId="0" borderId="61" xfId="5" applyNumberFormat="1" applyFont="1" applyBorder="1"/>
    <xf numFmtId="0" fontId="97" fillId="24" borderId="1" xfId="6" applyFont="1" applyFill="1" applyBorder="1" applyAlignment="1">
      <alignment horizontal="center" vertical="center" wrapText="1"/>
    </xf>
    <xf numFmtId="38" fontId="12" fillId="0" borderId="0" xfId="6" applyNumberFormat="1" applyAlignment="1">
      <alignment wrapText="1"/>
    </xf>
    <xf numFmtId="38" fontId="0" fillId="2" borderId="2" xfId="0" applyNumberFormat="1" applyFill="1" applyBorder="1"/>
    <xf numFmtId="179" fontId="12" fillId="0" borderId="0" xfId="6" applyNumberFormat="1" applyAlignment="1">
      <alignment wrapText="1"/>
    </xf>
    <xf numFmtId="179" fontId="12" fillId="0" borderId="0" xfId="6" applyNumberFormat="1"/>
    <xf numFmtId="179" fontId="12" fillId="0" borderId="1" xfId="6" applyNumberFormat="1" applyBorder="1" applyAlignment="1">
      <alignment horizontal="center"/>
    </xf>
    <xf numFmtId="38" fontId="12" fillId="0" borderId="1" xfId="6" applyNumberFormat="1" applyBorder="1" applyAlignment="1">
      <alignment horizontal="center" wrapText="1"/>
    </xf>
    <xf numFmtId="0" fontId="97" fillId="24" borderId="1" xfId="6" applyFont="1" applyFill="1" applyBorder="1" applyAlignment="1">
      <alignment horizontal="center" vertical="center" wrapText="1"/>
    </xf>
    <xf numFmtId="4" fontId="12" fillId="0" borderId="1" xfId="6" applyNumberFormat="1" applyBorder="1"/>
    <xf numFmtId="0" fontId="12" fillId="0" borderId="1" xfId="6" applyBorder="1"/>
    <xf numFmtId="179" fontId="12" fillId="0" borderId="1" xfId="6" applyNumberFormat="1" applyBorder="1"/>
    <xf numFmtId="0" fontId="12" fillId="0" borderId="0" xfId="6" applyBorder="1"/>
    <xf numFmtId="0" fontId="97" fillId="24" borderId="16" xfId="6" applyFont="1" applyFill="1" applyBorder="1" applyAlignment="1">
      <alignment horizontal="center" vertical="center" wrapText="1"/>
    </xf>
    <xf numFmtId="0" fontId="12" fillId="16" borderId="0" xfId="6" applyFill="1" applyBorder="1"/>
    <xf numFmtId="0" fontId="12" fillId="16" borderId="0" xfId="6" applyFill="1"/>
    <xf numFmtId="0" fontId="13" fillId="16" borderId="0" xfId="5" applyFill="1"/>
    <xf numFmtId="0" fontId="4" fillId="0" borderId="0" xfId="5" applyFont="1"/>
    <xf numFmtId="0" fontId="120" fillId="16" borderId="0" xfId="5" applyFont="1" applyFill="1"/>
    <xf numFmtId="0" fontId="121" fillId="16" borderId="0" xfId="5" applyFont="1" applyFill="1"/>
    <xf numFmtId="0" fontId="98" fillId="16" borderId="0" xfId="5" applyFont="1" applyFill="1"/>
    <xf numFmtId="0" fontId="123" fillId="16" borderId="0" xfId="5" applyFont="1" applyFill="1"/>
    <xf numFmtId="0" fontId="125" fillId="16" borderId="0" xfId="5" applyFont="1" applyFill="1"/>
    <xf numFmtId="0" fontId="120" fillId="0" borderId="0" xfId="5" applyFont="1"/>
    <xf numFmtId="0" fontId="126" fillId="0" borderId="0" xfId="5" applyFont="1"/>
    <xf numFmtId="0" fontId="126" fillId="16" borderId="0" xfId="5" applyFont="1" applyFill="1"/>
    <xf numFmtId="0" fontId="12" fillId="16" borderId="0" xfId="6" applyFill="1" applyAlignment="1">
      <alignment wrapText="1"/>
    </xf>
    <xf numFmtId="0" fontId="3" fillId="16" borderId="0" xfId="6" applyFont="1" applyFill="1"/>
    <xf numFmtId="17" fontId="127" fillId="0" borderId="0" xfId="0" applyNumberFormat="1" applyFont="1" applyAlignment="1">
      <alignment horizontal="center" wrapText="1"/>
    </xf>
    <xf numFmtId="3" fontId="12" fillId="16" borderId="0" xfId="6" applyNumberFormat="1" applyFill="1" applyAlignment="1">
      <alignment wrapText="1"/>
    </xf>
    <xf numFmtId="3" fontId="12" fillId="16" borderId="0" xfId="6" applyNumberFormat="1" applyFill="1"/>
    <xf numFmtId="0" fontId="12" fillId="16" borderId="0" xfId="6" applyFill="1" applyAlignment="1"/>
    <xf numFmtId="4" fontId="12" fillId="16" borderId="1" xfId="6" applyNumberFormat="1" applyFill="1" applyBorder="1"/>
    <xf numFmtId="179" fontId="12" fillId="16" borderId="1" xfId="6" applyNumberFormat="1" applyFill="1" applyBorder="1"/>
    <xf numFmtId="3" fontId="2" fillId="16" borderId="1" xfId="6" applyNumberFormat="1" applyFont="1" applyFill="1" applyBorder="1" applyAlignment="1">
      <alignment wrapText="1"/>
    </xf>
    <xf numFmtId="0" fontId="2" fillId="25" borderId="1" xfId="6" applyFont="1" applyFill="1" applyBorder="1"/>
    <xf numFmtId="166" fontId="0" fillId="3" borderId="55" xfId="1" applyNumberFormat="1" applyFont="1" applyFill="1" applyBorder="1"/>
    <xf numFmtId="166" fontId="14" fillId="3" borderId="16" xfId="1" applyNumberFormat="1" applyFill="1" applyBorder="1"/>
    <xf numFmtId="43" fontId="14" fillId="3" borderId="16" xfId="1" applyFont="1" applyFill="1" applyBorder="1"/>
    <xf numFmtId="166" fontId="14" fillId="3" borderId="16" xfId="1" applyNumberFormat="1" applyFont="1" applyFill="1" applyBorder="1"/>
    <xf numFmtId="166" fontId="0" fillId="3" borderId="16" xfId="1" applyNumberFormat="1" applyFont="1" applyFill="1" applyBorder="1"/>
    <xf numFmtId="166" fontId="0" fillId="3" borderId="55" xfId="4" applyNumberFormat="1" applyFont="1" applyFill="1" applyBorder="1"/>
    <xf numFmtId="166" fontId="0" fillId="16" borderId="55" xfId="4" applyNumberFormat="1" applyFont="1" applyFill="1" applyBorder="1"/>
    <xf numFmtId="166" fontId="0" fillId="3" borderId="1" xfId="4" applyNumberFormat="1" applyFont="1" applyFill="1" applyBorder="1"/>
    <xf numFmtId="0" fontId="14" fillId="0" borderId="60" xfId="0" applyFont="1" applyBorder="1"/>
    <xf numFmtId="166" fontId="0" fillId="3" borderId="1" xfId="1" applyNumberFormat="1" applyFont="1" applyFill="1" applyBorder="1"/>
    <xf numFmtId="166" fontId="0" fillId="16" borderId="55" xfId="1" applyNumberFormat="1" applyFont="1" applyFill="1" applyBorder="1"/>
    <xf numFmtId="166" fontId="16" fillId="0" borderId="1" xfId="0" applyNumberFormat="1" applyFont="1" applyBorder="1"/>
    <xf numFmtId="0" fontId="16" fillId="0" borderId="1" xfId="0" applyFont="1" applyBorder="1" applyAlignment="1">
      <alignment horizontal="right"/>
    </xf>
    <xf numFmtId="0" fontId="1" fillId="0" borderId="0" xfId="6" applyFont="1" applyFill="1" applyBorder="1"/>
    <xf numFmtId="3" fontId="0" fillId="0" borderId="47" xfId="0" applyNumberFormat="1" applyBorder="1"/>
    <xf numFmtId="3" fontId="0" fillId="0" borderId="48" xfId="0" applyNumberFormat="1" applyBorder="1"/>
    <xf numFmtId="3" fontId="16" fillId="0" borderId="1" xfId="0" applyNumberFormat="1" applyFont="1" applyBorder="1"/>
    <xf numFmtId="3" fontId="16" fillId="0" borderId="48" xfId="0" applyNumberFormat="1" applyFont="1" applyBorder="1"/>
    <xf numFmtId="3" fontId="16" fillId="0" borderId="47" xfId="0" applyNumberFormat="1" applyFont="1" applyBorder="1"/>
    <xf numFmtId="0" fontId="129" fillId="24" borderId="1" xfId="6" applyFont="1" applyFill="1" applyBorder="1" applyAlignment="1">
      <alignment horizontal="center" vertical="center" wrapText="1"/>
    </xf>
    <xf numFmtId="0" fontId="128" fillId="24" borderId="1" xfId="0" applyFont="1" applyFill="1" applyBorder="1" applyAlignment="1">
      <alignment horizontal="center"/>
    </xf>
    <xf numFmtId="0" fontId="69" fillId="24" borderId="1" xfId="0" applyFont="1" applyFill="1" applyBorder="1" applyAlignment="1">
      <alignment horizontal="center"/>
    </xf>
    <xf numFmtId="0" fontId="128" fillId="24" borderId="1" xfId="0" applyFont="1" applyFill="1" applyBorder="1" applyAlignment="1">
      <alignment horizontal="center" wrapText="1"/>
    </xf>
    <xf numFmtId="0" fontId="1" fillId="16" borderId="0" xfId="6" applyFont="1" applyFill="1" applyBorder="1"/>
    <xf numFmtId="0" fontId="21" fillId="4" borderId="6" xfId="0" applyFont="1" applyFill="1" applyBorder="1" applyAlignment="1">
      <alignment wrapText="1"/>
    </xf>
    <xf numFmtId="0" fontId="21" fillId="4" borderId="47" xfId="0" applyFont="1" applyFill="1" applyBorder="1" applyAlignment="1">
      <alignment wrapText="1"/>
    </xf>
    <xf numFmtId="0" fontId="21" fillId="4" borderId="6" xfId="0" applyFont="1" applyFill="1" applyBorder="1" applyAlignment="1">
      <alignment horizontal="center" wrapText="1"/>
    </xf>
    <xf numFmtId="0" fontId="21" fillId="4" borderId="47" xfId="0" applyFont="1" applyFill="1" applyBorder="1" applyAlignment="1">
      <alignment horizontal="center" wrapText="1"/>
    </xf>
    <xf numFmtId="0" fontId="16" fillId="7" borderId="1" xfId="0" applyFont="1" applyFill="1" applyBorder="1" applyAlignment="1">
      <alignment horizontal="center" vertical="center"/>
    </xf>
    <xf numFmtId="0" fontId="0" fillId="7" borderId="1" xfId="0" applyFill="1" applyBorder="1" applyAlignment="1">
      <alignment horizontal="center" vertical="center"/>
    </xf>
    <xf numFmtId="0" fontId="0" fillId="7" borderId="1" xfId="0" applyFill="1" applyBorder="1" applyAlignment="1"/>
    <xf numFmtId="0" fontId="0" fillId="0" borderId="1" xfId="0" applyBorder="1" applyAlignment="1"/>
    <xf numFmtId="0" fontId="16" fillId="0" borderId="36" xfId="0" applyFont="1" applyBorder="1" applyAlignment="1">
      <alignment horizontal="center"/>
    </xf>
    <xf numFmtId="0" fontId="0" fillId="0" borderId="38" xfId="0" applyBorder="1" applyAlignment="1"/>
    <xf numFmtId="0" fontId="0" fillId="0" borderId="39" xfId="0" applyBorder="1" applyAlignment="1"/>
    <xf numFmtId="0" fontId="0" fillId="0" borderId="47" xfId="0" applyBorder="1" applyAlignment="1">
      <alignment horizontal="center" wrapText="1"/>
    </xf>
    <xf numFmtId="0" fontId="21" fillId="4" borderId="16" xfId="0" applyFont="1" applyFill="1" applyBorder="1" applyAlignment="1">
      <alignment horizontal="center" wrapText="1"/>
    </xf>
    <xf numFmtId="0" fontId="21" fillId="4" borderId="18" xfId="0" applyFont="1" applyFill="1" applyBorder="1" applyAlignment="1">
      <alignment horizontal="center" wrapText="1"/>
    </xf>
    <xf numFmtId="0" fontId="0" fillId="2" borderId="18" xfId="0" applyFill="1" applyBorder="1" applyAlignment="1">
      <alignment horizontal="center" wrapText="1"/>
    </xf>
    <xf numFmtId="0" fontId="0" fillId="0" borderId="40" xfId="0" applyBorder="1" applyAlignment="1">
      <alignment horizontal="center" wrapText="1"/>
    </xf>
    <xf numFmtId="0" fontId="16" fillId="0" borderId="38" xfId="0" applyFont="1" applyBorder="1" applyAlignment="1">
      <alignment horizontal="center" wrapText="1"/>
    </xf>
    <xf numFmtId="0" fontId="16" fillId="0" borderId="5" xfId="0" applyFont="1" applyBorder="1" applyAlignment="1">
      <alignment horizontal="center" wrapText="1"/>
    </xf>
    <xf numFmtId="0" fontId="16" fillId="0" borderId="38" xfId="0" applyFont="1" applyBorder="1" applyAlignment="1">
      <alignment horizontal="center"/>
    </xf>
    <xf numFmtId="0" fontId="21" fillId="4" borderId="4" xfId="0" applyFont="1" applyFill="1" applyBorder="1" applyAlignment="1">
      <alignment horizontal="center" wrapText="1"/>
    </xf>
    <xf numFmtId="0" fontId="21" fillId="4" borderId="0" xfId="0" applyFont="1" applyFill="1" applyBorder="1" applyAlignment="1">
      <alignment horizontal="center" wrapText="1"/>
    </xf>
    <xf numFmtId="0" fontId="0" fillId="2" borderId="0" xfId="0" applyFill="1" applyBorder="1" applyAlignment="1">
      <alignment horizontal="center" wrapText="1"/>
    </xf>
    <xf numFmtId="0" fontId="0" fillId="0" borderId="0" xfId="0" applyAlignment="1"/>
    <xf numFmtId="0" fontId="21" fillId="4" borderId="55" xfId="0" applyFont="1" applyFill="1" applyBorder="1" applyAlignment="1">
      <alignment horizontal="center" wrapText="1"/>
    </xf>
    <xf numFmtId="0" fontId="21" fillId="4" borderId="25" xfId="0" applyFont="1" applyFill="1" applyBorder="1" applyAlignment="1">
      <alignment horizontal="center" wrapText="1"/>
    </xf>
    <xf numFmtId="0" fontId="21" fillId="4" borderId="66" xfId="0" applyFont="1" applyFill="1" applyBorder="1" applyAlignment="1">
      <alignment horizontal="center" wrapText="1"/>
    </xf>
    <xf numFmtId="0" fontId="14" fillId="0" borderId="37" xfId="0" applyFont="1" applyBorder="1" applyAlignment="1">
      <alignment horizontal="left" vertical="center" wrapText="1"/>
    </xf>
    <xf numFmtId="0" fontId="14" fillId="0" borderId="75" xfId="0" applyFont="1" applyBorder="1" applyAlignment="1">
      <alignment horizontal="left" vertical="center" wrapText="1"/>
    </xf>
    <xf numFmtId="0" fontId="14" fillId="0" borderId="76" xfId="0" applyFont="1" applyBorder="1" applyAlignment="1">
      <alignment horizontal="left" vertical="center" wrapText="1"/>
    </xf>
    <xf numFmtId="0" fontId="52" fillId="0" borderId="0" xfId="0" applyFont="1" applyBorder="1" applyAlignment="1">
      <alignment horizontal="center"/>
    </xf>
    <xf numFmtId="0" fontId="21" fillId="4" borderId="70" xfId="0" applyFont="1" applyFill="1" applyBorder="1" applyAlignment="1">
      <alignment horizontal="center" wrapText="1"/>
    </xf>
    <xf numFmtId="0" fontId="0" fillId="0" borderId="8" xfId="0" applyBorder="1" applyAlignment="1">
      <alignment horizontal="center" wrapText="1"/>
    </xf>
    <xf numFmtId="0" fontId="16" fillId="7" borderId="56" xfId="0" applyFont="1" applyFill="1" applyBorder="1" applyAlignment="1">
      <alignment horizontal="center" vertical="center"/>
    </xf>
    <xf numFmtId="0" fontId="0" fillId="0" borderId="71" xfId="0" applyBorder="1" applyAlignment="1">
      <alignment horizontal="center" vertical="center"/>
    </xf>
    <xf numFmtId="0" fontId="0" fillId="0" borderId="72" xfId="0" applyBorder="1" applyAlignment="1">
      <alignment horizontal="center" vertical="center"/>
    </xf>
    <xf numFmtId="0" fontId="21" fillId="4" borderId="7" xfId="0" applyFont="1" applyFill="1" applyBorder="1" applyAlignment="1">
      <alignment horizontal="center" wrapText="1"/>
    </xf>
    <xf numFmtId="0" fontId="21" fillId="4" borderId="13" xfId="0" applyFont="1" applyFill="1" applyBorder="1" applyAlignment="1">
      <alignment horizontal="center" wrapText="1"/>
    </xf>
    <xf numFmtId="0" fontId="21" fillId="4" borderId="8" xfId="0" applyFont="1" applyFill="1" applyBorder="1" applyAlignment="1">
      <alignment wrapText="1"/>
    </xf>
    <xf numFmtId="0" fontId="21" fillId="4" borderId="1" xfId="0" applyFont="1" applyFill="1" applyBorder="1" applyAlignment="1">
      <alignment wrapText="1"/>
    </xf>
    <xf numFmtId="0" fontId="21" fillId="4" borderId="15" xfId="0" applyFont="1" applyFill="1" applyBorder="1" applyAlignment="1">
      <alignment horizontal="center" wrapText="1"/>
    </xf>
    <xf numFmtId="0" fontId="16" fillId="7" borderId="71" xfId="0" applyFont="1" applyFill="1" applyBorder="1" applyAlignment="1">
      <alignment horizontal="center" vertical="center"/>
    </xf>
    <xf numFmtId="0" fontId="16" fillId="7" borderId="67" xfId="0" applyFont="1" applyFill="1" applyBorder="1" applyAlignment="1">
      <alignment horizontal="center" vertical="center"/>
    </xf>
    <xf numFmtId="0" fontId="0" fillId="0" borderId="67" xfId="0" applyBorder="1" applyAlignment="1">
      <alignment horizontal="center" vertical="center"/>
    </xf>
    <xf numFmtId="0" fontId="21" fillId="4" borderId="62" xfId="0" applyFont="1" applyFill="1" applyBorder="1" applyAlignment="1">
      <alignment horizontal="center" wrapText="1"/>
    </xf>
    <xf numFmtId="0" fontId="21" fillId="4" borderId="42" xfId="0" applyFont="1" applyFill="1" applyBorder="1" applyAlignment="1">
      <alignment horizontal="center" wrapText="1"/>
    </xf>
    <xf numFmtId="0" fontId="0" fillId="2" borderId="42" xfId="0" applyFill="1" applyBorder="1" applyAlignment="1">
      <alignment horizontal="center" wrapText="1"/>
    </xf>
    <xf numFmtId="0" fontId="0" fillId="0" borderId="73" xfId="0" applyBorder="1" applyAlignment="1">
      <alignment horizontal="center" wrapText="1"/>
    </xf>
    <xf numFmtId="0" fontId="21" fillId="4" borderId="8" xfId="0" applyFont="1" applyFill="1" applyBorder="1" applyAlignment="1">
      <alignment horizontal="center" wrapText="1"/>
    </xf>
    <xf numFmtId="0" fontId="0" fillId="0" borderId="9" xfId="0" applyBorder="1" applyAlignment="1">
      <alignment horizontal="center" wrapText="1"/>
    </xf>
    <xf numFmtId="0" fontId="0" fillId="11" borderId="62" xfId="0" applyFill="1" applyBorder="1" applyAlignment="1">
      <alignment horizontal="center" wrapText="1"/>
    </xf>
    <xf numFmtId="0" fontId="0" fillId="11" borderId="42" xfId="0" applyFill="1" applyBorder="1" applyAlignment="1">
      <alignment horizontal="center" wrapText="1"/>
    </xf>
    <xf numFmtId="0" fontId="0" fillId="11" borderId="73" xfId="0" applyFill="1" applyBorder="1" applyAlignment="1">
      <alignment horizontal="center" wrapText="1"/>
    </xf>
    <xf numFmtId="0" fontId="14" fillId="0" borderId="0" xfId="0" applyFont="1" applyFill="1" applyBorder="1" applyAlignment="1">
      <alignment horizontal="center" wrapText="1"/>
    </xf>
    <xf numFmtId="0" fontId="93" fillId="20" borderId="7" xfId="0" applyFont="1" applyFill="1" applyBorder="1" applyAlignment="1">
      <alignment horizontal="center"/>
    </xf>
    <xf numFmtId="0" fontId="93" fillId="20" borderId="8" xfId="0" applyFont="1" applyFill="1" applyBorder="1" applyAlignment="1">
      <alignment horizontal="center"/>
    </xf>
    <xf numFmtId="0" fontId="93" fillId="20" borderId="9" xfId="0" applyFont="1" applyFill="1" applyBorder="1" applyAlignment="1">
      <alignment horizontal="center"/>
    </xf>
    <xf numFmtId="0" fontId="26" fillId="0" borderId="0" xfId="0" applyFont="1" applyAlignment="1">
      <alignment vertical="top" wrapText="1"/>
    </xf>
    <xf numFmtId="0" fontId="0" fillId="0" borderId="0" xfId="0" applyAlignment="1">
      <alignment wrapText="1"/>
    </xf>
    <xf numFmtId="0" fontId="29" fillId="4" borderId="62" xfId="0" applyFont="1" applyFill="1" applyBorder="1" applyAlignment="1">
      <alignment horizontal="center"/>
    </xf>
    <xf numFmtId="0" fontId="32" fillId="0" borderId="42" xfId="0" applyFont="1" applyBorder="1" applyAlignment="1"/>
    <xf numFmtId="0" fontId="31" fillId="4" borderId="42" xfId="0" applyFont="1" applyFill="1" applyBorder="1" applyAlignment="1">
      <alignment horizontal="center"/>
    </xf>
    <xf numFmtId="0" fontId="31" fillId="4" borderId="73" xfId="0" applyFont="1" applyFill="1" applyBorder="1" applyAlignment="1">
      <alignment horizontal="center"/>
    </xf>
    <xf numFmtId="0" fontId="29" fillId="4" borderId="7" xfId="0" applyFont="1" applyFill="1" applyBorder="1" applyAlignment="1">
      <alignment horizontal="center"/>
    </xf>
    <xf numFmtId="0" fontId="31" fillId="4" borderId="8" xfId="0" applyFont="1" applyFill="1" applyBorder="1" applyAlignment="1"/>
    <xf numFmtId="0" fontId="31" fillId="4" borderId="15" xfId="0" applyFont="1" applyFill="1" applyBorder="1" applyAlignment="1"/>
    <xf numFmtId="0" fontId="32" fillId="0" borderId="73" xfId="0" applyFont="1" applyBorder="1" applyAlignment="1"/>
    <xf numFmtId="0" fontId="29" fillId="4" borderId="62" xfId="0" applyFont="1" applyFill="1" applyBorder="1" applyAlignment="1">
      <alignment horizontal="center" vertical="center" wrapText="1"/>
    </xf>
    <xf numFmtId="0" fontId="30" fillId="4" borderId="42" xfId="0" applyFont="1" applyFill="1" applyBorder="1" applyAlignment="1">
      <alignment horizontal="center" vertical="center" wrapText="1"/>
    </xf>
    <xf numFmtId="0" fontId="30" fillId="4" borderId="73" xfId="0" applyFont="1" applyFill="1" applyBorder="1" applyAlignment="1">
      <alignment horizontal="center" vertical="center" wrapText="1"/>
    </xf>
    <xf numFmtId="0" fontId="0" fillId="0" borderId="0" xfId="0" applyFill="1" applyBorder="1" applyAlignment="1">
      <alignment vertical="top" wrapText="1"/>
    </xf>
    <xf numFmtId="0" fontId="16" fillId="0" borderId="8" xfId="0" applyFont="1" applyBorder="1" applyAlignment="1">
      <alignment horizontal="center"/>
    </xf>
    <xf numFmtId="0" fontId="16" fillId="0" borderId="9" xfId="0" applyFont="1" applyBorder="1" applyAlignment="1">
      <alignment horizontal="center"/>
    </xf>
    <xf numFmtId="0" fontId="56" fillId="0" borderId="62" xfId="0" applyFont="1" applyBorder="1" applyAlignment="1">
      <alignment horizontal="center"/>
    </xf>
    <xf numFmtId="0" fontId="56" fillId="0" borderId="42" xfId="0" applyFont="1" applyBorder="1" applyAlignment="1">
      <alignment horizontal="center"/>
    </xf>
    <xf numFmtId="0" fontId="56" fillId="0" borderId="73" xfId="0" applyFont="1" applyBorder="1" applyAlignment="1">
      <alignment horizontal="center"/>
    </xf>
    <xf numFmtId="4" fontId="41" fillId="0" borderId="0" xfId="0" applyNumberFormat="1" applyFont="1" applyAlignment="1">
      <alignment wrapText="1"/>
    </xf>
    <xf numFmtId="0" fontId="41" fillId="0" borderId="0" xfId="0" applyFont="1" applyAlignment="1">
      <alignment wrapText="1"/>
    </xf>
    <xf numFmtId="0" fontId="15" fillId="0" borderId="55" xfId="0" applyFont="1" applyBorder="1" applyAlignment="1">
      <alignment wrapText="1"/>
    </xf>
    <xf numFmtId="0" fontId="0" fillId="0" borderId="0" xfId="0" applyBorder="1" applyAlignment="1">
      <alignment wrapText="1"/>
    </xf>
    <xf numFmtId="0" fontId="0" fillId="0" borderId="3" xfId="0" applyBorder="1" applyAlignment="1">
      <alignment wrapText="1"/>
    </xf>
    <xf numFmtId="0" fontId="0" fillId="0" borderId="50" xfId="0" applyBorder="1" applyAlignment="1">
      <alignment wrapText="1"/>
    </xf>
    <xf numFmtId="0" fontId="0" fillId="0" borderId="5" xfId="0" applyBorder="1" applyAlignment="1">
      <alignment wrapText="1"/>
    </xf>
    <xf numFmtId="0" fontId="0" fillId="0" borderId="52" xfId="0" applyBorder="1" applyAlignment="1">
      <alignment wrapText="1"/>
    </xf>
    <xf numFmtId="0" fontId="0" fillId="0" borderId="55" xfId="0" applyFill="1" applyBorder="1" applyAlignment="1">
      <alignment wrapText="1"/>
    </xf>
    <xf numFmtId="0" fontId="0" fillId="0" borderId="25" xfId="0" applyBorder="1" applyAlignment="1">
      <alignment wrapText="1"/>
    </xf>
    <xf numFmtId="0" fontId="41" fillId="0" borderId="0" xfId="0" applyFont="1" applyFill="1" applyBorder="1" applyAlignment="1">
      <alignment horizontal="center"/>
    </xf>
    <xf numFmtId="4" fontId="41" fillId="0" borderId="0" xfId="0" applyNumberFormat="1" applyFont="1" applyFill="1" applyBorder="1" applyAlignment="1">
      <alignment horizontal="center" wrapText="1"/>
    </xf>
    <xf numFmtId="10" fontId="41" fillId="0" borderId="0" xfId="4" applyNumberFormat="1" applyFont="1" applyFill="1" applyBorder="1" applyAlignment="1">
      <alignment horizontal="center" wrapText="1"/>
    </xf>
    <xf numFmtId="0" fontId="14" fillId="0" borderId="2" xfId="0" applyFont="1" applyBorder="1" applyAlignment="1">
      <alignment horizontal="center"/>
    </xf>
    <xf numFmtId="0" fontId="0" fillId="0" borderId="2" xfId="0" applyBorder="1" applyAlignment="1"/>
    <xf numFmtId="0" fontId="25" fillId="4" borderId="68" xfId="0" applyFont="1" applyFill="1" applyBorder="1" applyAlignment="1">
      <alignment horizontal="center"/>
    </xf>
    <xf numFmtId="0" fontId="25" fillId="4" borderId="45" xfId="0" applyFont="1" applyFill="1" applyBorder="1" applyAlignment="1">
      <alignment horizontal="center"/>
    </xf>
    <xf numFmtId="0" fontId="25" fillId="4" borderId="45" xfId="0" applyFont="1" applyFill="1" applyBorder="1" applyAlignment="1"/>
    <xf numFmtId="0" fontId="0" fillId="0" borderId="46" xfId="0" applyBorder="1" applyAlignment="1"/>
    <xf numFmtId="0" fontId="25" fillId="4" borderId="13" xfId="0" applyFont="1" applyFill="1" applyBorder="1" applyAlignment="1">
      <alignment horizontal="center"/>
    </xf>
    <xf numFmtId="0" fontId="25" fillId="4" borderId="10" xfId="0" applyFont="1" applyFill="1" applyBorder="1" applyAlignment="1">
      <alignment horizontal="center"/>
    </xf>
    <xf numFmtId="0" fontId="25" fillId="4" borderId="70" xfId="0" applyFont="1" applyFill="1" applyBorder="1" applyAlignment="1">
      <alignment horizontal="center"/>
    </xf>
    <xf numFmtId="0" fontId="25" fillId="4" borderId="8" xfId="0" applyFont="1" applyFill="1" applyBorder="1" applyAlignment="1">
      <alignment horizontal="center"/>
    </xf>
    <xf numFmtId="0" fontId="25" fillId="4" borderId="9" xfId="0" applyFont="1" applyFill="1" applyBorder="1" applyAlignment="1">
      <alignment horizontal="center"/>
    </xf>
    <xf numFmtId="0" fontId="25" fillId="4" borderId="40" xfId="0" applyFont="1" applyFill="1" applyBorder="1" applyAlignment="1">
      <alignment horizontal="center"/>
    </xf>
    <xf numFmtId="0" fontId="25" fillId="4" borderId="1" xfId="0" applyFont="1" applyFill="1" applyBorder="1" applyAlignment="1">
      <alignment horizontal="center"/>
    </xf>
    <xf numFmtId="0" fontId="25" fillId="8" borderId="69" xfId="0" applyFont="1" applyFill="1" applyBorder="1" applyAlignment="1">
      <alignment horizontal="center" vertical="center" wrapText="1"/>
    </xf>
    <xf numFmtId="0" fontId="25" fillId="8" borderId="31" xfId="0" applyFont="1" applyFill="1" applyBorder="1" applyAlignment="1">
      <alignment vertical="center" wrapText="1"/>
    </xf>
    <xf numFmtId="0" fontId="25" fillId="8" borderId="23" xfId="0" applyFont="1" applyFill="1" applyBorder="1" applyAlignment="1">
      <alignment vertical="center" wrapText="1"/>
    </xf>
    <xf numFmtId="0" fontId="25" fillId="8" borderId="62" xfId="0" applyFont="1" applyFill="1" applyBorder="1" applyAlignment="1">
      <alignment horizontal="left" vertical="center"/>
    </xf>
    <xf numFmtId="0" fontId="25" fillId="8" borderId="30" xfId="0" applyFont="1" applyFill="1" applyBorder="1" applyAlignment="1">
      <alignment vertical="center"/>
    </xf>
    <xf numFmtId="0" fontId="25" fillId="8" borderId="42" xfId="0" applyFont="1" applyFill="1" applyBorder="1" applyAlignment="1">
      <alignment horizontal="center" vertical="center"/>
    </xf>
    <xf numFmtId="0" fontId="25" fillId="8" borderId="65" xfId="0" applyFont="1" applyFill="1" applyBorder="1" applyAlignment="1">
      <alignment vertical="center"/>
    </xf>
    <xf numFmtId="0" fontId="25" fillId="0" borderId="0" xfId="0" applyFont="1" applyFill="1" applyBorder="1" applyAlignment="1">
      <alignment horizontal="center" vertical="center" wrapText="1"/>
    </xf>
    <xf numFmtId="0" fontId="25" fillId="0" borderId="0" xfId="0" applyFont="1" applyFill="1" applyBorder="1" applyAlignment="1">
      <alignment vertical="center" wrapText="1"/>
    </xf>
    <xf numFmtId="0" fontId="25" fillId="8" borderId="29" xfId="0" applyFont="1" applyFill="1" applyBorder="1" applyAlignment="1">
      <alignment horizontal="center" vertical="center"/>
    </xf>
    <xf numFmtId="0" fontId="25" fillId="8" borderId="63" xfId="0" applyFont="1" applyFill="1" applyBorder="1" applyAlignment="1">
      <alignment vertical="center"/>
    </xf>
    <xf numFmtId="0" fontId="25" fillId="8" borderId="62" xfId="0" applyFont="1" applyFill="1" applyBorder="1" applyAlignment="1">
      <alignment horizontal="center"/>
    </xf>
    <xf numFmtId="0" fontId="0" fillId="0" borderId="42" xfId="0" applyBorder="1" applyAlignment="1">
      <alignment horizontal="center"/>
    </xf>
    <xf numFmtId="0" fontId="0" fillId="0" borderId="39" xfId="0" applyBorder="1" applyAlignment="1">
      <alignment horizontal="center"/>
    </xf>
    <xf numFmtId="0" fontId="69" fillId="20" borderId="36" xfId="5" applyFont="1" applyFill="1" applyBorder="1" applyAlignment="1">
      <alignment horizontal="center"/>
    </xf>
    <xf numFmtId="0" fontId="69" fillId="20" borderId="38" xfId="5" applyFont="1" applyFill="1" applyBorder="1" applyAlignment="1">
      <alignment horizontal="center"/>
    </xf>
    <xf numFmtId="0" fontId="69" fillId="20" borderId="39" xfId="5" applyFont="1" applyFill="1" applyBorder="1" applyAlignment="1">
      <alignment horizontal="center"/>
    </xf>
    <xf numFmtId="0" fontId="69" fillId="20" borderId="62" xfId="5" applyFont="1" applyFill="1" applyBorder="1" applyAlignment="1">
      <alignment horizontal="center"/>
    </xf>
    <xf numFmtId="0" fontId="69" fillId="20" borderId="42" xfId="5" applyFont="1" applyFill="1" applyBorder="1" applyAlignment="1">
      <alignment horizontal="center"/>
    </xf>
    <xf numFmtId="0" fontId="69" fillId="20" borderId="7" xfId="5" applyFont="1" applyFill="1" applyBorder="1" applyAlignment="1">
      <alignment horizontal="center"/>
    </xf>
    <xf numFmtId="0" fontId="69" fillId="20" borderId="8" xfId="5" applyFont="1" applyFill="1" applyBorder="1" applyAlignment="1">
      <alignment horizontal="center"/>
    </xf>
    <xf numFmtId="0" fontId="69" fillId="20" borderId="9" xfId="5" applyFont="1" applyFill="1" applyBorder="1" applyAlignment="1">
      <alignment horizontal="center"/>
    </xf>
    <xf numFmtId="1" fontId="33" fillId="0" borderId="0" xfId="5" applyNumberFormat="1" applyFont="1" applyFill="1" applyBorder="1" applyAlignment="1">
      <alignment horizontal="left"/>
    </xf>
    <xf numFmtId="1" fontId="75" fillId="0" borderId="0" xfId="5" applyNumberFormat="1" applyFont="1" applyFill="1" applyBorder="1" applyAlignment="1">
      <alignment horizontal="left"/>
    </xf>
    <xf numFmtId="1" fontId="33" fillId="0" borderId="0" xfId="5" applyNumberFormat="1" applyFont="1" applyFill="1" applyBorder="1" applyAlignment="1">
      <alignment horizontal="left" vertical="top" wrapText="1"/>
    </xf>
    <xf numFmtId="0" fontId="69" fillId="20" borderId="1" xfId="5" applyFont="1" applyFill="1" applyBorder="1" applyAlignment="1">
      <alignment horizontal="center"/>
    </xf>
    <xf numFmtId="0" fontId="90" fillId="0" borderId="0" xfId="5" applyFont="1" applyAlignment="1">
      <alignment horizontal="left"/>
    </xf>
    <xf numFmtId="1" fontId="33" fillId="0" borderId="4" xfId="5" applyNumberFormat="1" applyFont="1" applyFill="1" applyBorder="1" applyAlignment="1">
      <alignment horizontal="left" vertical="top" wrapText="1"/>
    </xf>
    <xf numFmtId="1" fontId="33" fillId="0" borderId="50" xfId="5" applyNumberFormat="1" applyFont="1" applyFill="1" applyBorder="1" applyAlignment="1">
      <alignment horizontal="left"/>
    </xf>
    <xf numFmtId="1" fontId="33" fillId="0" borderId="5" xfId="5" applyNumberFormat="1" applyFont="1" applyFill="1" applyBorder="1" applyAlignment="1">
      <alignment horizontal="left"/>
    </xf>
    <xf numFmtId="0" fontId="70" fillId="13" borderId="1" xfId="0" applyFont="1" applyFill="1" applyBorder="1" applyAlignment="1">
      <alignment horizontal="center"/>
    </xf>
    <xf numFmtId="0" fontId="54" fillId="9" borderId="16" xfId="0" applyFont="1" applyFill="1" applyBorder="1" applyAlignment="1">
      <alignment horizontal="center"/>
    </xf>
    <xf numFmtId="0" fontId="54" fillId="9" borderId="18" xfId="0" applyFont="1" applyFill="1" applyBorder="1" applyAlignment="1">
      <alignment horizontal="center"/>
    </xf>
    <xf numFmtId="0" fontId="53" fillId="0" borderId="40" xfId="0" applyFont="1" applyBorder="1" applyAlignment="1">
      <alignment horizontal="center"/>
    </xf>
    <xf numFmtId="0" fontId="54" fillId="9" borderId="1" xfId="0" applyFont="1" applyFill="1" applyBorder="1" applyAlignment="1">
      <alignment horizontal="center"/>
    </xf>
    <xf numFmtId="0" fontId="53" fillId="0" borderId="1" xfId="0" applyFont="1" applyBorder="1" applyAlignment="1">
      <alignment horizontal="center"/>
    </xf>
    <xf numFmtId="0" fontId="0" fillId="2" borderId="25" xfId="0" applyFill="1" applyBorder="1" applyAlignment="1">
      <alignment horizontal="center" wrapText="1"/>
    </xf>
    <xf numFmtId="0" fontId="0" fillId="0" borderId="66" xfId="0" applyBorder="1" applyAlignment="1">
      <alignment horizontal="center" wrapText="1"/>
    </xf>
    <xf numFmtId="0" fontId="0" fillId="0" borderId="66" xfId="0" applyBorder="1" applyAlignment="1">
      <alignment wrapText="1"/>
    </xf>
    <xf numFmtId="0" fontId="16" fillId="7" borderId="6" xfId="0" applyFont="1" applyFill="1" applyBorder="1" applyAlignment="1">
      <alignment horizontal="center" vertical="center"/>
    </xf>
    <xf numFmtId="0" fontId="16" fillId="7" borderId="64" xfId="0" applyFont="1" applyFill="1" applyBorder="1" applyAlignment="1">
      <alignment horizontal="center" vertical="center"/>
    </xf>
    <xf numFmtId="0" fontId="0" fillId="7" borderId="64" xfId="0" applyFill="1" applyBorder="1" applyAlignment="1">
      <alignment horizontal="center" vertical="center"/>
    </xf>
    <xf numFmtId="0" fontId="0" fillId="7" borderId="64" xfId="0" applyFill="1" applyBorder="1" applyAlignment="1"/>
    <xf numFmtId="0" fontId="0" fillId="0" borderId="64" xfId="0" applyBorder="1" applyAlignment="1"/>
    <xf numFmtId="0" fontId="0" fillId="0" borderId="47" xfId="0" applyBorder="1" applyAlignment="1"/>
    <xf numFmtId="0" fontId="16" fillId="7" borderId="6" xfId="0" applyFont="1" applyFill="1" applyBorder="1" applyAlignment="1">
      <alignment horizontal="center" vertical="center" wrapText="1"/>
    </xf>
    <xf numFmtId="0" fontId="0" fillId="7" borderId="64" xfId="0" applyFill="1" applyBorder="1" applyAlignment="1">
      <alignment horizontal="center" vertical="center" wrapText="1"/>
    </xf>
    <xf numFmtId="0" fontId="0" fillId="7" borderId="47" xfId="0" applyFill="1" applyBorder="1" applyAlignment="1">
      <alignment horizontal="center" vertical="center" wrapText="1"/>
    </xf>
    <xf numFmtId="0" fontId="0" fillId="0" borderId="25" xfId="0" applyBorder="1" applyAlignment="1">
      <alignment horizontal="center" wrapText="1"/>
    </xf>
    <xf numFmtId="0" fontId="0" fillId="0" borderId="18" xfId="0" applyBorder="1" applyAlignment="1">
      <alignment horizontal="center" wrapText="1"/>
    </xf>
    <xf numFmtId="0" fontId="12" fillId="25" borderId="68" xfId="6" applyFill="1" applyBorder="1" applyAlignment="1">
      <alignment horizontal="center"/>
    </xf>
    <xf numFmtId="0" fontId="0" fillId="0" borderId="45" xfId="0" applyBorder="1" applyAlignment="1"/>
    <xf numFmtId="0" fontId="97" fillId="24" borderId="1" xfId="6" applyFont="1" applyFill="1" applyBorder="1" applyAlignment="1">
      <alignment horizontal="center" wrapText="1"/>
    </xf>
    <xf numFmtId="0" fontId="97" fillId="24" borderId="16" xfId="6" applyFont="1" applyFill="1" applyBorder="1" applyAlignment="1">
      <alignment horizontal="center" wrapText="1"/>
    </xf>
    <xf numFmtId="0" fontId="97" fillId="24" borderId="18" xfId="6" applyFont="1" applyFill="1" applyBorder="1" applyAlignment="1">
      <alignment horizontal="center" wrapText="1"/>
    </xf>
    <xf numFmtId="0" fontId="97" fillId="24" borderId="40" xfId="6" applyFont="1" applyFill="1" applyBorder="1" applyAlignment="1">
      <alignment horizontal="center" wrapText="1"/>
    </xf>
    <xf numFmtId="0" fontId="12" fillId="26" borderId="68" xfId="6" applyFill="1" applyBorder="1" applyAlignment="1">
      <alignment horizontal="center" vertical="center"/>
    </xf>
    <xf numFmtId="0" fontId="0" fillId="26" borderId="45" xfId="0" applyFill="1" applyBorder="1" applyAlignment="1">
      <alignment vertical="center"/>
    </xf>
    <xf numFmtId="0" fontId="0" fillId="26" borderId="46" xfId="0" applyFill="1" applyBorder="1" applyAlignment="1">
      <alignment vertical="center"/>
    </xf>
    <xf numFmtId="0" fontId="97" fillId="24" borderId="5" xfId="6" applyFont="1" applyFill="1" applyBorder="1" applyAlignment="1">
      <alignment horizontal="center" wrapText="1"/>
    </xf>
    <xf numFmtId="0" fontId="0" fillId="0" borderId="5" xfId="0" applyBorder="1" applyAlignment="1"/>
    <xf numFmtId="0" fontId="0" fillId="0" borderId="52" xfId="0" applyBorder="1" applyAlignment="1"/>
    <xf numFmtId="0" fontId="97" fillId="24" borderId="1" xfId="6" applyFont="1" applyFill="1" applyBorder="1" applyAlignment="1">
      <alignment horizontal="center" vertical="center"/>
    </xf>
    <xf numFmtId="0" fontId="97" fillId="24" borderId="1" xfId="6" applyFont="1" applyFill="1" applyBorder="1" applyAlignment="1">
      <alignment horizontal="center" vertical="center" wrapText="1"/>
    </xf>
    <xf numFmtId="0" fontId="12" fillId="11" borderId="62" xfId="6" applyFill="1" applyBorder="1" applyAlignment="1">
      <alignment horizontal="center" wrapText="1"/>
    </xf>
    <xf numFmtId="0" fontId="12" fillId="11" borderId="42" xfId="6" applyFill="1" applyBorder="1" applyAlignment="1">
      <alignment horizontal="center" wrapText="1"/>
    </xf>
    <xf numFmtId="0" fontId="12" fillId="11" borderId="73" xfId="6" applyFill="1" applyBorder="1" applyAlignment="1">
      <alignment horizontal="center" wrapText="1"/>
    </xf>
    <xf numFmtId="0" fontId="69" fillId="24" borderId="1" xfId="0"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0" fontId="128" fillId="24" borderId="16" xfId="0" applyFont="1" applyFill="1" applyBorder="1" applyAlignment="1">
      <alignment horizontal="center" wrapText="1"/>
    </xf>
    <xf numFmtId="0" fontId="14" fillId="24" borderId="18" xfId="0" applyFont="1" applyFill="1" applyBorder="1" applyAlignment="1">
      <alignment horizontal="center" wrapText="1"/>
    </xf>
    <xf numFmtId="0" fontId="14" fillId="24" borderId="40" xfId="0" applyFont="1" applyFill="1" applyBorder="1" applyAlignment="1">
      <alignment horizontal="center" wrapText="1"/>
    </xf>
    <xf numFmtId="0" fontId="20" fillId="12" borderId="0" xfId="3" applyFont="1" applyFill="1" applyBorder="1" applyAlignment="1"/>
    <xf numFmtId="4" fontId="20" fillId="12" borderId="0" xfId="3" applyNumberFormat="1" applyFont="1" applyFill="1" applyBorder="1" applyAlignment="1">
      <alignment horizontal="right"/>
    </xf>
    <xf numFmtId="0" fontId="0" fillId="12" borderId="1" xfId="0" applyFill="1" applyBorder="1"/>
    <xf numFmtId="4" fontId="0" fillId="12" borderId="0" xfId="1" applyNumberFormat="1" applyFont="1" applyFill="1" applyBorder="1"/>
    <xf numFmtId="0" fontId="20" fillId="12" borderId="1" xfId="3" applyFont="1" applyFill="1" applyBorder="1" applyAlignment="1"/>
    <xf numFmtId="4" fontId="0" fillId="12" borderId="1" xfId="1" applyNumberFormat="1" applyFont="1" applyFill="1" applyBorder="1"/>
    <xf numFmtId="0" fontId="0" fillId="12" borderId="50" xfId="0" applyFill="1" applyBorder="1"/>
  </cellXfs>
  <cellStyles count="8">
    <cellStyle name="Comma" xfId="1" builtinId="3"/>
    <cellStyle name="Hyperlink" xfId="2" builtinId="8"/>
    <cellStyle name="Normal" xfId="0" builtinId="0"/>
    <cellStyle name="Normal 2" xfId="5"/>
    <cellStyle name="Normal 3" xfId="6"/>
    <cellStyle name="Normal 4" xfId="7"/>
    <cellStyle name="Normal_Sheet1" xfId="3"/>
    <cellStyle name="Percent"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FFFF66"/>
      <color rgb="FF00FF00"/>
      <color rgb="FFFFFFCC"/>
      <color rgb="FF00CC00"/>
      <color rgb="FF009900"/>
      <color rgb="FFFFCC99"/>
      <color rgb="FF3366FF"/>
      <color rgb="FF3333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spPr>
            <a:ln w="6350">
              <a:solidFill>
                <a:sysClr val="windowText" lastClr="000000"/>
              </a:solidFill>
            </a:ln>
          </c:spPr>
          <c:dPt>
            <c:idx val="0"/>
            <c:bubble3D val="0"/>
            <c:spPr>
              <a:solidFill>
                <a:srgbClr val="003399"/>
              </a:solidFill>
              <a:ln w="6350">
                <a:solidFill>
                  <a:sysClr val="windowText" lastClr="000000"/>
                </a:solidFill>
              </a:ln>
            </c:spPr>
          </c:dPt>
          <c:dPt>
            <c:idx val="1"/>
            <c:bubble3D val="0"/>
            <c:spPr>
              <a:solidFill>
                <a:srgbClr val="993300"/>
              </a:solidFill>
              <a:ln w="6350">
                <a:solidFill>
                  <a:sysClr val="windowText" lastClr="000000"/>
                </a:solidFill>
              </a:ln>
            </c:spPr>
          </c:dPt>
          <c:dPt>
            <c:idx val="2"/>
            <c:bubble3D val="0"/>
            <c:spPr>
              <a:solidFill>
                <a:srgbClr val="660066"/>
              </a:solidFill>
              <a:ln w="6350">
                <a:solidFill>
                  <a:sysClr val="windowText" lastClr="000000"/>
                </a:solidFill>
              </a:ln>
            </c:spPr>
          </c:dPt>
          <c:dPt>
            <c:idx val="3"/>
            <c:bubble3D val="0"/>
            <c:spPr>
              <a:solidFill>
                <a:srgbClr val="FFFF66"/>
              </a:solidFill>
              <a:ln w="6350">
                <a:solidFill>
                  <a:sysClr val="windowText" lastClr="000000"/>
                </a:solidFill>
              </a:ln>
            </c:spPr>
          </c:dPt>
          <c:dPt>
            <c:idx val="4"/>
            <c:bubble3D val="0"/>
            <c:spPr>
              <a:solidFill>
                <a:srgbClr val="339933"/>
              </a:solidFill>
              <a:ln w="6350">
                <a:solidFill>
                  <a:sysClr val="windowText" lastClr="000000"/>
                </a:solidFill>
              </a:ln>
            </c:spPr>
          </c:dPt>
          <c:dLbls>
            <c:spPr>
              <a:noFill/>
              <a:ln>
                <a:noFill/>
              </a:ln>
              <a:effectLst/>
            </c:spPr>
            <c:dLblPos val="outEnd"/>
            <c:showLegendKey val="0"/>
            <c:showVal val="0"/>
            <c:showCatName val="1"/>
            <c:showSerName val="0"/>
            <c:showPercent val="1"/>
            <c:showBubbleSize val="0"/>
            <c:separator>, </c:separator>
            <c:showLeaderLines val="1"/>
            <c:extLst>
              <c:ext xmlns:c15="http://schemas.microsoft.com/office/drawing/2012/chart" uri="{CE6537A1-D6FC-4f65-9D91-7224C49458BB}">
                <c15:layout/>
              </c:ext>
            </c:extLst>
          </c:dLbls>
          <c:cat>
            <c:strRef>
              <c:f>'Charts &amp; Tables'!$C$31:$G$31</c:f>
              <c:strCache>
                <c:ptCount val="5"/>
                <c:pt idx="0">
                  <c:v>Sugar/Starch</c:v>
                </c:pt>
                <c:pt idx="1">
                  <c:v>Lignocellulosic</c:v>
                </c:pt>
                <c:pt idx="2">
                  <c:v>Bio-oils</c:v>
                </c:pt>
                <c:pt idx="3">
                  <c:v>Solid Waste</c:v>
                </c:pt>
                <c:pt idx="4">
                  <c:v>Other Wastes</c:v>
                </c:pt>
              </c:strCache>
            </c:strRef>
          </c:cat>
          <c:val>
            <c:numRef>
              <c:f>'Charts &amp; Tables'!$C$32:$G$32</c:f>
              <c:numCache>
                <c:formatCode>#,##0</c:formatCode>
                <c:ptCount val="5"/>
                <c:pt idx="0">
                  <c:v>275249.85920000001</c:v>
                </c:pt>
                <c:pt idx="1">
                  <c:v>2124460.7908333335</c:v>
                </c:pt>
                <c:pt idx="2">
                  <c:v>114679.5741295</c:v>
                </c:pt>
                <c:pt idx="3">
                  <c:v>3701663.9746182999</c:v>
                </c:pt>
                <c:pt idx="4">
                  <c:v>852402.89379172691</c:v>
                </c:pt>
              </c:numCache>
            </c:numRef>
          </c:val>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spPr>
            <a:ln w="6350">
              <a:solidFill>
                <a:sysClr val="windowText" lastClr="000000"/>
              </a:solidFill>
            </a:ln>
          </c:spPr>
          <c:dPt>
            <c:idx val="0"/>
            <c:bubble3D val="0"/>
            <c:spPr>
              <a:solidFill>
                <a:srgbClr val="993300"/>
              </a:solidFill>
              <a:ln w="6350">
                <a:solidFill>
                  <a:sysClr val="windowText" lastClr="000000"/>
                </a:solidFill>
              </a:ln>
            </c:spPr>
          </c:dPt>
          <c:dPt>
            <c:idx val="1"/>
            <c:bubble3D val="0"/>
            <c:spPr>
              <a:solidFill>
                <a:srgbClr val="660066"/>
              </a:solidFill>
              <a:ln w="6350">
                <a:solidFill>
                  <a:sysClr val="windowText" lastClr="000000"/>
                </a:solidFill>
              </a:ln>
            </c:spPr>
          </c:dPt>
          <c:dPt>
            <c:idx val="2"/>
            <c:bubble3D val="0"/>
            <c:spPr>
              <a:solidFill>
                <a:srgbClr val="FFFF66"/>
              </a:solidFill>
              <a:ln w="6350">
                <a:solidFill>
                  <a:sysClr val="windowText" lastClr="000000"/>
                </a:solidFill>
              </a:ln>
            </c:spPr>
          </c:dPt>
          <c:dPt>
            <c:idx val="3"/>
            <c:bubble3D val="0"/>
            <c:spPr>
              <a:solidFill>
                <a:srgbClr val="339933"/>
              </a:solidFill>
              <a:ln w="6350">
                <a:solidFill>
                  <a:sysClr val="windowText" lastClr="000000"/>
                </a:solidFill>
              </a:ln>
            </c:spPr>
          </c:dPt>
          <c:dLbls>
            <c:dLbl>
              <c:idx val="0"/>
              <c:layout>
                <c:manualLayout>
                  <c:x val="-6.6641283217944408E-2"/>
                  <c:y val="2.1984915716766286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2.2472178682556705E-2"/>
                  <c:y val="4.8356647262312223E-2"/>
                </c:manualLayout>
              </c:layout>
              <c:tx>
                <c:rich>
                  <a:bodyPr/>
                  <a:lstStyle/>
                  <a:p>
                    <a:r>
                      <a:rPr lang="en-US"/>
                      <a:t>Fats and</a:t>
                    </a:r>
                    <a:r>
                      <a:rPr lang="en-US" baseline="0"/>
                      <a:t> Oils</a:t>
                    </a:r>
                    <a:r>
                      <a:rPr lang="en-US"/>
                      <a:t>
1%</a:t>
                    </a:r>
                  </a:p>
                </c:rich>
              </c:tx>
              <c:dLblPos val="bestFi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0.20504192844562447"/>
                  <c:y val="-4.8347398030942332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4.2059882758076809E-2"/>
                  <c:y val="3.5161744022503522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'Charts &amp; Tables'!$J$31:$M$31</c:f>
              <c:strCache>
                <c:ptCount val="4"/>
                <c:pt idx="0">
                  <c:v>Lignocellulosic</c:v>
                </c:pt>
                <c:pt idx="1">
                  <c:v>Bio-oils</c:v>
                </c:pt>
                <c:pt idx="2">
                  <c:v>Solid Waste</c:v>
                </c:pt>
                <c:pt idx="3">
                  <c:v>Other Wastes</c:v>
                </c:pt>
              </c:strCache>
            </c:strRef>
          </c:cat>
          <c:val>
            <c:numRef>
              <c:f>'Charts &amp; Tables'!$J$32:$M$32</c:f>
              <c:numCache>
                <c:formatCode>#,##0</c:formatCode>
                <c:ptCount val="4"/>
                <c:pt idx="0">
                  <c:v>714553.05833333358</c:v>
                </c:pt>
                <c:pt idx="1">
                  <c:v>35820.374129500007</c:v>
                </c:pt>
                <c:pt idx="2">
                  <c:v>3701663.9746182999</c:v>
                </c:pt>
                <c:pt idx="3">
                  <c:v>644779.75444797694</c:v>
                </c:pt>
              </c:numCache>
            </c:numRef>
          </c:val>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spPr>
            <a:ln w="6350">
              <a:solidFill>
                <a:schemeClr val="tx1"/>
              </a:solidFill>
            </a:ln>
          </c:spPr>
          <c:dPt>
            <c:idx val="0"/>
            <c:bubble3D val="0"/>
            <c:spPr>
              <a:solidFill>
                <a:schemeClr val="tx2">
                  <a:lumMod val="60000"/>
                  <a:lumOff val="40000"/>
                </a:schemeClr>
              </a:solidFill>
              <a:ln w="6350">
                <a:solidFill>
                  <a:schemeClr val="tx1"/>
                </a:solidFill>
              </a:ln>
            </c:spPr>
          </c:dPt>
          <c:dPt>
            <c:idx val="1"/>
            <c:bubble3D val="0"/>
            <c:spPr>
              <a:solidFill>
                <a:schemeClr val="accent6">
                  <a:lumMod val="50000"/>
                </a:schemeClr>
              </a:solidFill>
              <a:ln w="6350">
                <a:solidFill>
                  <a:schemeClr val="tx1"/>
                </a:solidFill>
              </a:ln>
            </c:spPr>
          </c:dPt>
          <c:dLbls>
            <c:dLbl>
              <c:idx val="0"/>
              <c:layout>
                <c:manualLayout>
                  <c:x val="-3.3333333333333333E-2"/>
                  <c:y val="-0.1153406170249480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8.8888888888888892E-2"/>
                  <c:y val="-7.8431372549019523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1.6666666666666666E-2"/>
                  <c:y val="0"/>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'Charts &amp; Tables'!$Q$14:$S$14</c:f>
              <c:strCache>
                <c:ptCount val="3"/>
                <c:pt idx="0">
                  <c:v>Materials Currently Recycled</c:v>
                </c:pt>
                <c:pt idx="1">
                  <c:v>Materials Currently Landfilled or Incinerated</c:v>
                </c:pt>
                <c:pt idx="2">
                  <c:v>C &amp; D Wood</c:v>
                </c:pt>
              </c:strCache>
            </c:strRef>
          </c:cat>
          <c:val>
            <c:numRef>
              <c:f>'Charts &amp; Tables'!$Q$15:$S$15</c:f>
              <c:numCache>
                <c:formatCode>#,##0</c:formatCode>
                <c:ptCount val="3"/>
                <c:pt idx="0">
                  <c:v>1524999.3030000003</c:v>
                </c:pt>
                <c:pt idx="1">
                  <c:v>1593668.8508182997</c:v>
                </c:pt>
                <c:pt idx="2">
                  <c:v>582995.8208000001</c:v>
                </c:pt>
              </c:numCache>
            </c:numRef>
          </c:val>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spPr>
            <a:ln w="6350">
              <a:solidFill>
                <a:sysClr val="windowText" lastClr="000000"/>
              </a:solidFill>
            </a:ln>
          </c:spPr>
          <c:dPt>
            <c:idx val="0"/>
            <c:bubble3D val="0"/>
            <c:spPr>
              <a:solidFill>
                <a:srgbClr val="003399"/>
              </a:solidFill>
              <a:ln w="6350">
                <a:solidFill>
                  <a:sysClr val="windowText" lastClr="000000"/>
                </a:solidFill>
              </a:ln>
            </c:spPr>
          </c:dPt>
          <c:dPt>
            <c:idx val="1"/>
            <c:bubble3D val="0"/>
            <c:spPr>
              <a:solidFill>
                <a:srgbClr val="993300"/>
              </a:solidFill>
              <a:ln w="6350">
                <a:solidFill>
                  <a:sysClr val="windowText" lastClr="000000"/>
                </a:solidFill>
              </a:ln>
            </c:spPr>
          </c:dPt>
          <c:dPt>
            <c:idx val="2"/>
            <c:bubble3D val="0"/>
            <c:spPr>
              <a:solidFill>
                <a:srgbClr val="660066"/>
              </a:solidFill>
              <a:ln w="6350">
                <a:solidFill>
                  <a:sysClr val="windowText" lastClr="000000"/>
                </a:solidFill>
              </a:ln>
            </c:spPr>
          </c:dPt>
          <c:dPt>
            <c:idx val="3"/>
            <c:bubble3D val="0"/>
            <c:spPr>
              <a:solidFill>
                <a:srgbClr val="FFFF66"/>
              </a:solidFill>
              <a:ln w="6350">
                <a:solidFill>
                  <a:sysClr val="windowText" lastClr="000000"/>
                </a:solidFill>
              </a:ln>
            </c:spPr>
          </c:dPt>
          <c:dPt>
            <c:idx val="4"/>
            <c:bubble3D val="0"/>
            <c:spPr>
              <a:solidFill>
                <a:srgbClr val="339933"/>
              </a:solidFill>
              <a:ln w="6350">
                <a:solidFill>
                  <a:sysClr val="windowText" lastClr="000000"/>
                </a:solidFill>
              </a:ln>
            </c:spPr>
          </c:dPt>
          <c:dLbls>
            <c:dLbl>
              <c:idx val="0"/>
              <c:layout>
                <c:manualLayout>
                  <c:x val="3.5210414329230217E-6"/>
                  <c:y val="1.3179573943463432E-2"/>
                </c:manualLayout>
              </c:layout>
              <c:tx>
                <c:rich>
                  <a:bodyPr/>
                  <a:lstStyle/>
                  <a:p>
                    <a:r>
                      <a:rPr lang="en-US"/>
                      <a:t>Sugar/Starch </a:t>
                    </a:r>
                  </a:p>
                  <a:p>
                    <a:r>
                      <a:rPr lang="en-US"/>
                      <a:t>4%</a:t>
                    </a:r>
                  </a:p>
                </c:rich>
              </c:tx>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1"/>
              <c:layout>
                <c:manualLayout>
                  <c:x val="-8.6789528919866687E-2"/>
                  <c:y val="-0.10982978286219526"/>
                </c:manualLayout>
              </c:layout>
              <c:tx>
                <c:rich>
                  <a:bodyPr/>
                  <a:lstStyle/>
                  <a:p>
                    <a:r>
                      <a:rPr lang="en-US"/>
                      <a:t>Lignocellulosic 29%</a:t>
                    </a:r>
                  </a:p>
                </c:rich>
              </c:tx>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2"/>
              <c:layout>
                <c:manualLayout>
                  <c:x val="-2.367382563430008E-2"/>
                  <c:y val="3.5145530515902489E-2"/>
                </c:manualLayout>
              </c:layout>
              <c:tx>
                <c:rich>
                  <a:bodyPr/>
                  <a:lstStyle/>
                  <a:p>
                    <a:r>
                      <a:rPr lang="en-US"/>
                      <a:t>Fats and Oils </a:t>
                    </a:r>
                  </a:p>
                  <a:p>
                    <a:r>
                      <a:rPr lang="en-US"/>
                      <a:t>2%</a:t>
                    </a:r>
                  </a:p>
                </c:rich>
              </c:tx>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3"/>
              <c:layout>
                <c:manualLayout>
                  <c:x val="6.8376068376068383E-2"/>
                  <c:y val="3.2012873780154327E-2"/>
                </c:manualLayout>
              </c:layout>
              <c:tx>
                <c:rich>
                  <a:bodyPr/>
                  <a:lstStyle/>
                  <a:p>
                    <a:r>
                      <a:rPr lang="en-US"/>
                      <a:t>Solid Waste</a:t>
                    </a:r>
                    <a:r>
                      <a:rPr lang="en-US" baseline="0"/>
                      <a:t> </a:t>
                    </a:r>
                  </a:p>
                  <a:p>
                    <a:r>
                      <a:rPr lang="en-US"/>
                      <a:t>54%</a:t>
                    </a:r>
                  </a:p>
                </c:rich>
              </c:tx>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4"/>
              <c:layout>
                <c:manualLayout>
                  <c:x val="5.5226824457593686E-2"/>
                  <c:y val="2.1965956572439056E-2"/>
                </c:manualLayout>
              </c:layout>
              <c:tx>
                <c:rich>
                  <a:bodyPr/>
                  <a:lstStyle/>
                  <a:p>
                    <a:r>
                      <a:rPr lang="en-US"/>
                      <a:t>Other Wastes 11%</a:t>
                    </a:r>
                  </a:p>
                </c:rich>
              </c:tx>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spPr>
              <a:noFill/>
              <a:ln>
                <a:noFill/>
              </a:ln>
              <a:effectLst/>
            </c:spPr>
            <c:dLblPos val="outEnd"/>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'Charts &amp; Tables'!$C$31:$G$31</c:f>
              <c:strCache>
                <c:ptCount val="5"/>
                <c:pt idx="0">
                  <c:v>Sugar/Starch</c:v>
                </c:pt>
                <c:pt idx="1">
                  <c:v>Lignocellulosic</c:v>
                </c:pt>
                <c:pt idx="2">
                  <c:v>Bio-oils</c:v>
                </c:pt>
                <c:pt idx="3">
                  <c:v>Solid Waste</c:v>
                </c:pt>
                <c:pt idx="4">
                  <c:v>Other Wastes</c:v>
                </c:pt>
              </c:strCache>
            </c:strRef>
          </c:cat>
          <c:val>
            <c:numRef>
              <c:f>'Charts &amp; Tables'!$C$32:$G$32</c:f>
              <c:numCache>
                <c:formatCode>#,##0</c:formatCode>
                <c:ptCount val="5"/>
                <c:pt idx="0">
                  <c:v>275249.85920000001</c:v>
                </c:pt>
                <c:pt idx="1">
                  <c:v>2124460.7908333335</c:v>
                </c:pt>
                <c:pt idx="2">
                  <c:v>114679.5741295</c:v>
                </c:pt>
                <c:pt idx="3">
                  <c:v>3701663.9746182999</c:v>
                </c:pt>
                <c:pt idx="4">
                  <c:v>852402.89379172691</c:v>
                </c:pt>
              </c:numCache>
            </c:numRef>
          </c:val>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609599</xdr:colOff>
      <xdr:row>32</xdr:row>
      <xdr:rowOff>161925</xdr:rowOff>
    </xdr:from>
    <xdr:to>
      <xdr:col>6</xdr:col>
      <xdr:colOff>590549</xdr:colOff>
      <xdr:row>48</xdr:row>
      <xdr:rowOff>4762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127000</xdr:colOff>
      <xdr:row>32</xdr:row>
      <xdr:rowOff>74084</xdr:rowOff>
    </xdr:from>
    <xdr:to>
      <xdr:col>13</xdr:col>
      <xdr:colOff>494157</xdr:colOff>
      <xdr:row>47</xdr:row>
      <xdr:rowOff>108203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66675</xdr:colOff>
      <xdr:row>15</xdr:row>
      <xdr:rowOff>80962</xdr:rowOff>
    </xdr:from>
    <xdr:to>
      <xdr:col>21</xdr:col>
      <xdr:colOff>276225</xdr:colOff>
      <xdr:row>29</xdr:row>
      <xdr:rowOff>109537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609599</xdr:colOff>
      <xdr:row>33</xdr:row>
      <xdr:rowOff>0</xdr:rowOff>
    </xdr:from>
    <xdr:to>
      <xdr:col>6</xdr:col>
      <xdr:colOff>677333</xdr:colOff>
      <xdr:row>48</xdr:row>
      <xdr:rowOff>14287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rusecure.rutgers.edu/compliance/copr.php" TargetMode="External"/><Relationship Id="rId1" Type="http://schemas.openxmlformats.org/officeDocument/2006/relationships/hyperlink" Target="http://lcweb.loc.gov/copyrigh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0.bin"/><Relationship Id="rId1" Type="http://schemas.openxmlformats.org/officeDocument/2006/relationships/hyperlink" Target="http://www.state.nj.us/dep/dwq/sludge.htm" TargetMode="External"/><Relationship Id="rId4"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nal.usda.gov/fnic/foodcomp/Data/SR17/wtrank/wt_rank.html"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8" Type="http://schemas.openxmlformats.org/officeDocument/2006/relationships/hyperlink" Target="mailto:hayes@aesop.rutgers.edu" TargetMode="External"/><Relationship Id="rId13" Type="http://schemas.openxmlformats.org/officeDocument/2006/relationships/hyperlink" Target="mailto:fennell@envsci.rutgers.edu" TargetMode="External"/><Relationship Id="rId18" Type="http://schemas.openxmlformats.org/officeDocument/2006/relationships/hyperlink" Target="mailto:specca@aesop.rutgers.edu" TargetMode="External"/><Relationship Id="rId26" Type="http://schemas.openxmlformats.org/officeDocument/2006/relationships/hyperlink" Target="mailto:specca@aesop.rutgers.edu" TargetMode="External"/><Relationship Id="rId39" Type="http://schemas.openxmlformats.org/officeDocument/2006/relationships/hyperlink" Target="mailto:Chris.Dour@njmeadowlands.gov" TargetMode="External"/><Relationship Id="rId3" Type="http://schemas.openxmlformats.org/officeDocument/2006/relationships/hyperlink" Target="mailto:puk@crssa.rutgers.edu" TargetMode="External"/><Relationship Id="rId21" Type="http://schemas.openxmlformats.org/officeDocument/2006/relationships/hyperlink" Target="mailto:brennan@aesop.rutgers.edu" TargetMode="External"/><Relationship Id="rId34" Type="http://schemas.openxmlformats.org/officeDocument/2006/relationships/hyperlink" Target="mailto:bcowan343@gmail.com" TargetMode="External"/><Relationship Id="rId7" Type="http://schemas.openxmlformats.org/officeDocument/2006/relationships/hyperlink" Target="mailto:specca@aesop.rutgers.edu" TargetMode="External"/><Relationship Id="rId12" Type="http://schemas.openxmlformats.org/officeDocument/2006/relationships/hyperlink" Target="mailto:westendorf@aesop.rutgers.edu" TargetMode="External"/><Relationship Id="rId17" Type="http://schemas.openxmlformats.org/officeDocument/2006/relationships/hyperlink" Target="mailto:schilling@aesop.rutgers.edu" TargetMode="External"/><Relationship Id="rId25" Type="http://schemas.openxmlformats.org/officeDocument/2006/relationships/hyperlink" Target="mailto:schilling@aesop.rutgers.edu" TargetMode="External"/><Relationship Id="rId33" Type="http://schemas.openxmlformats.org/officeDocument/2006/relationships/hyperlink" Target="mailto:rlesliemcua@comcast.net" TargetMode="External"/><Relationship Id="rId38" Type="http://schemas.openxmlformats.org/officeDocument/2006/relationships/hyperlink" Target="mailto:tvarro@scmua.org" TargetMode="External"/><Relationship Id="rId2" Type="http://schemas.openxmlformats.org/officeDocument/2006/relationships/hyperlink" Target="mailto:dtulloch@crssa.rutgers.edu" TargetMode="External"/><Relationship Id="rId16" Type="http://schemas.openxmlformats.org/officeDocument/2006/relationships/hyperlink" Target="mailto:brennan@aesop.rutgers.edu" TargetMode="External"/><Relationship Id="rId20" Type="http://schemas.openxmlformats.org/officeDocument/2006/relationships/hyperlink" Target="mailto:rkatofsky@navigantconsulting.com" TargetMode="External"/><Relationship Id="rId29" Type="http://schemas.openxmlformats.org/officeDocument/2006/relationships/hyperlink" Target="mailto:joseph.davis@" TargetMode="External"/><Relationship Id="rId1" Type="http://schemas.openxmlformats.org/officeDocument/2006/relationships/hyperlink" Target="mailto:brennan@aesop.rutgers.edu" TargetMode="External"/><Relationship Id="rId6" Type="http://schemas.openxmlformats.org/officeDocument/2006/relationships/hyperlink" Target="mailto:both@aesop.rutgers.edu" TargetMode="External"/><Relationship Id="rId11" Type="http://schemas.openxmlformats.org/officeDocument/2006/relationships/hyperlink" Target="mailto:spaul@princeton.edu" TargetMode="External"/><Relationship Id="rId24" Type="http://schemas.openxmlformats.org/officeDocument/2006/relationships/hyperlink" Target="mailto:guran@aesop.rutgers.edu" TargetMode="External"/><Relationship Id="rId32" Type="http://schemas.openxmlformats.org/officeDocument/2006/relationships/hyperlink" Target="mailto:mryan@cjhesse.com" TargetMode="External"/><Relationship Id="rId37" Type="http://schemas.openxmlformats.org/officeDocument/2006/relationships/hyperlink" Target="mailto:Guy.Watson@dep.state.nj.us" TargetMode="External"/><Relationship Id="rId40" Type="http://schemas.openxmlformats.org/officeDocument/2006/relationships/printerSettings" Target="../printerSettings/printerSettings21.bin"/><Relationship Id="rId5" Type="http://schemas.openxmlformats.org/officeDocument/2006/relationships/hyperlink" Target="mailto:bonos@aesop.rutgers.edu" TargetMode="External"/><Relationship Id="rId15" Type="http://schemas.openxmlformats.org/officeDocument/2006/relationships/hyperlink" Target="mailto:jmelillo@aesop.rutgers.edu" TargetMode="External"/><Relationship Id="rId23" Type="http://schemas.openxmlformats.org/officeDocument/2006/relationships/hyperlink" Target="mailto:both@aesop.rutgers.edu" TargetMode="External"/><Relationship Id="rId28" Type="http://schemas.openxmlformats.org/officeDocument/2006/relationships/hyperlink" Target="mailto:rsimkins@co.burlington.nj.us" TargetMode="External"/><Relationship Id="rId36" Type="http://schemas.openxmlformats.org/officeDocument/2006/relationships/hyperlink" Target="mailto:jswhitman@edgeboro.com" TargetMode="External"/><Relationship Id="rId10" Type="http://schemas.openxmlformats.org/officeDocument/2006/relationships/hyperlink" Target="mailto:helsel@aesop.rutgers.edu" TargetMode="External"/><Relationship Id="rId19" Type="http://schemas.openxmlformats.org/officeDocument/2006/relationships/hyperlink" Target="mailto:rwbrekke@njcat.org" TargetMode="External"/><Relationship Id="rId31" Type="http://schemas.openxmlformats.org/officeDocument/2006/relationships/hyperlink" Target="mailto:gconover@acua.com" TargetMode="External"/><Relationship Id="rId4" Type="http://schemas.openxmlformats.org/officeDocument/2006/relationships/hyperlink" Target="mailto:sullivan@aesop.rutgers.edu" TargetMode="External"/><Relationship Id="rId9" Type="http://schemas.openxmlformats.org/officeDocument/2006/relationships/hyperlink" Target="mailto:schilling@aesop.rutgers.edu" TargetMode="External"/><Relationship Id="rId14" Type="http://schemas.openxmlformats.org/officeDocument/2006/relationships/hyperlink" Target="mailto:rsimkins@co.burlington.nj.us" TargetMode="External"/><Relationship Id="rId22" Type="http://schemas.openxmlformats.org/officeDocument/2006/relationships/hyperlink" Target="mailto:sullivan@aesop.rutgers.edu" TargetMode="External"/><Relationship Id="rId27" Type="http://schemas.openxmlformats.org/officeDocument/2006/relationships/hyperlink" Target="mailto:fennell@envsci.rutgers.edu" TargetMode="External"/><Relationship Id="rId30" Type="http://schemas.openxmlformats.org/officeDocument/2006/relationships/hyperlink" Target="mailto:jwilliams@pcfawc.com" TargetMode="External"/><Relationship Id="rId35" Type="http://schemas.openxmlformats.org/officeDocument/2006/relationships/hyperlink" Target="mailto:lschmidt@scianj.org"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8" Type="http://schemas.openxmlformats.org/officeDocument/2006/relationships/hyperlink" Target="http://www.vt.tuwien.ac.at/biobib/biobib.html.%20Assumes%20dried%20for%20transport" TargetMode="External"/><Relationship Id="rId13" Type="http://schemas.openxmlformats.org/officeDocument/2006/relationships/hyperlink" Target="http://www.vt.tuwien.ac.at/biobib/biobib.html" TargetMode="External"/><Relationship Id="rId18" Type="http://schemas.openxmlformats.org/officeDocument/2006/relationships/printerSettings" Target="../printerSettings/printerSettings5.bin"/><Relationship Id="rId3" Type="http://schemas.openxmlformats.org/officeDocument/2006/relationships/hyperlink" Target="http://www1.eere.energy.gov/biomass/feedstock_databases.html%20(average%20of%2012%20samples)" TargetMode="External"/><Relationship Id="rId7" Type="http://schemas.openxmlformats.org/officeDocument/2006/relationships/hyperlink" Target="http://www.p2pays.org/ref/05/04547.pdf" TargetMode="External"/><Relationship Id="rId12" Type="http://schemas.openxmlformats.org/officeDocument/2006/relationships/hyperlink" Target="http://www.vt.tuwien.ac.at/biobib/biobib.html" TargetMode="External"/><Relationship Id="rId17" Type="http://schemas.openxmlformats.org/officeDocument/2006/relationships/hyperlink" Target="http://www.vt.tuwien.ac.at/biobib/biobib.html" TargetMode="External"/><Relationship Id="rId2" Type="http://schemas.openxmlformats.org/officeDocument/2006/relationships/hyperlink" Target="http://www1.eere.energy.gov/biomass/feedstock_databases.html%20(average%20of%2012%20samples)" TargetMode="External"/><Relationship Id="rId16" Type="http://schemas.openxmlformats.org/officeDocument/2006/relationships/hyperlink" Target="http://www.vt.tuwien.ac.at/biobib/biobib.html" TargetMode="External"/><Relationship Id="rId20" Type="http://schemas.openxmlformats.org/officeDocument/2006/relationships/comments" Target="../comments3.xml"/><Relationship Id="rId1" Type="http://schemas.openxmlformats.org/officeDocument/2006/relationships/hyperlink" Target="http://www1.eere.energy.gov/biomass/feedstock_databases.html%20%20(average%20of%206%20samples)" TargetMode="External"/><Relationship Id="rId6" Type="http://schemas.openxmlformats.org/officeDocument/2006/relationships/hyperlink" Target="http://www.eia.doe.gov/cneaf/solar.renewables/page/trends/table10.html" TargetMode="External"/><Relationship Id="rId11" Type="http://schemas.openxmlformats.org/officeDocument/2006/relationships/hyperlink" Target="http://www1.eere.energy.gov/biomass/feedstock_databases.html%20(average%20of%2012%20samples)" TargetMode="External"/><Relationship Id="rId5" Type="http://schemas.openxmlformats.org/officeDocument/2006/relationships/hyperlink" Target="http://www.eia.doe.gov/cneaf/solar.renewables/page/trends/table10.html" TargetMode="External"/><Relationship Id="rId15" Type="http://schemas.openxmlformats.org/officeDocument/2006/relationships/hyperlink" Target="http://www.vt.tuwien.ac.at/biobib/biobib.html" TargetMode="External"/><Relationship Id="rId10" Type="http://schemas.openxmlformats.org/officeDocument/2006/relationships/hyperlink" Target="http://www1.eere.energy.gov/biomass/feedstock_databases.html%20(average%20of%2012%20samples)" TargetMode="External"/><Relationship Id="rId19" Type="http://schemas.openxmlformats.org/officeDocument/2006/relationships/vmlDrawing" Target="../drawings/vmlDrawing3.vml"/><Relationship Id="rId4" Type="http://schemas.openxmlformats.org/officeDocument/2006/relationships/hyperlink" Target="http://www1.eere.energy.gov/biomass/feedstock_databases.html%20(1%20sample)" TargetMode="External"/><Relationship Id="rId9" Type="http://schemas.openxmlformats.org/officeDocument/2006/relationships/hyperlink" Target="http://www.vt.tuwien.ac.at/biobib/biobib.html" TargetMode="External"/><Relationship Id="rId14" Type="http://schemas.openxmlformats.org/officeDocument/2006/relationships/hyperlink" Target="http://www.vt.tuwien.ac.at/biobib/biobib.html"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6.bin"/><Relationship Id="rId1" Type="http://schemas.openxmlformats.org/officeDocument/2006/relationships/hyperlink" Target="http://www.worldenergy.net/" TargetMode="Externa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2"/>
  <sheetViews>
    <sheetView topLeftCell="A4" workbookViewId="0">
      <selection activeCell="G24" sqref="G24"/>
    </sheetView>
  </sheetViews>
  <sheetFormatPr defaultRowHeight="13.2" x14ac:dyDescent="0.25"/>
  <cols>
    <col min="1" max="1" width="23.6640625" customWidth="1"/>
    <col min="2" max="2" width="27.6640625" customWidth="1"/>
    <col min="3" max="3" width="18.44140625" customWidth="1"/>
    <col min="4" max="4" width="16" customWidth="1"/>
    <col min="8" max="8" width="9" customWidth="1"/>
  </cols>
  <sheetData>
    <row r="2" spans="1:1" x14ac:dyDescent="0.25">
      <c r="A2" s="421" t="s">
        <v>412</v>
      </c>
    </row>
    <row r="4" spans="1:1" x14ac:dyDescent="0.25">
      <c r="A4" t="s">
        <v>413</v>
      </c>
    </row>
    <row r="6" spans="1:1" x14ac:dyDescent="0.25">
      <c r="A6" t="s">
        <v>414</v>
      </c>
    </row>
    <row r="7" spans="1:1" x14ac:dyDescent="0.25">
      <c r="A7" t="s">
        <v>415</v>
      </c>
    </row>
    <row r="8" spans="1:1" x14ac:dyDescent="0.25">
      <c r="A8" t="s">
        <v>416</v>
      </c>
    </row>
    <row r="9" spans="1:1" x14ac:dyDescent="0.25">
      <c r="A9" t="s">
        <v>417</v>
      </c>
    </row>
    <row r="13" spans="1:1" x14ac:dyDescent="0.25">
      <c r="A13" s="421" t="s">
        <v>418</v>
      </c>
    </row>
    <row r="15" spans="1:1" x14ac:dyDescent="0.25">
      <c r="A15" t="s">
        <v>419</v>
      </c>
    </row>
    <row r="16" spans="1:1" x14ac:dyDescent="0.25">
      <c r="A16" s="76" t="s">
        <v>420</v>
      </c>
    </row>
    <row r="18" spans="1:3" x14ac:dyDescent="0.25">
      <c r="A18" s="76" t="s">
        <v>421</v>
      </c>
    </row>
    <row r="22" spans="1:3" ht="30" x14ac:dyDescent="0.5">
      <c r="C22" s="856" t="s">
        <v>1545</v>
      </c>
    </row>
  </sheetData>
  <phoneticPr fontId="0" type="noConversion"/>
  <hyperlinks>
    <hyperlink ref="A16" r:id="rId1"/>
    <hyperlink ref="A18" r:id="rId2" display="http://rusecure.rutgers.edu/compliance/copr.php"/>
  </hyperlinks>
  <pageMargins left="0.55000000000000004" right="0.2" top="1" bottom="1" header="0.5" footer="0.5"/>
  <pageSetup orientation="landscape" r:id="rId3"/>
  <headerFooter alignWithMargins="0">
    <oddFooter>&amp;L7/02/07&amp;C&amp;A&amp;RNJAES Report 2007-1 ©2007 
  New Jersey Agricultural Experiment Station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AF142"/>
  <sheetViews>
    <sheetView zoomScaleNormal="100" workbookViewId="0">
      <pane xSplit="1" ySplit="5" topLeftCell="N6" activePane="bottomRight" state="frozen"/>
      <selection activeCell="K23" sqref="K23"/>
      <selection pane="topRight" activeCell="K23" sqref="K23"/>
      <selection pane="bottomLeft" activeCell="K23" sqref="K23"/>
      <selection pane="bottomRight" activeCell="F78" sqref="F78"/>
    </sheetView>
  </sheetViews>
  <sheetFormatPr defaultColWidth="8.88671875" defaultRowHeight="13.2" x14ac:dyDescent="0.25"/>
  <cols>
    <col min="1" max="1" width="38.33203125" customWidth="1"/>
    <col min="2" max="13" width="15.33203125" customWidth="1"/>
    <col min="14" max="14" width="12.44140625" customWidth="1"/>
    <col min="15" max="15" width="10.33203125" customWidth="1"/>
    <col min="16" max="16" width="12.44140625" customWidth="1"/>
    <col min="17" max="17" width="12" customWidth="1"/>
    <col min="18" max="18" width="15.44140625" bestFit="1" customWidth="1"/>
    <col min="19" max="19" width="13.33203125" customWidth="1"/>
    <col min="20" max="20" width="14.109375" bestFit="1" customWidth="1"/>
    <col min="21" max="21" width="11.88671875" customWidth="1"/>
    <col min="22" max="22" width="10.6640625" customWidth="1"/>
    <col min="23" max="23" width="11.33203125" customWidth="1"/>
    <col min="24" max="24" width="11.88671875" customWidth="1"/>
    <col min="25" max="25" width="10.33203125" customWidth="1"/>
    <col min="26" max="26" width="11.44140625" customWidth="1"/>
    <col min="27" max="27" width="10.33203125" customWidth="1"/>
    <col min="28" max="28" width="13.6640625" customWidth="1"/>
    <col min="29" max="29" width="12.6640625" customWidth="1"/>
    <col min="30" max="31" width="12.5546875" customWidth="1"/>
  </cols>
  <sheetData>
    <row r="1" spans="1:32" s="409" customFormat="1" ht="15.6" x14ac:dyDescent="0.3">
      <c r="A1" s="408" t="s">
        <v>320</v>
      </c>
    </row>
    <row r="2" spans="1:32" s="397" customFormat="1" ht="12" customHeight="1" x14ac:dyDescent="0.25">
      <c r="A2" s="399"/>
    </row>
    <row r="3" spans="1:32" s="397" customFormat="1" ht="14.4" thickBot="1" x14ac:dyDescent="0.3">
      <c r="A3" s="401" t="s">
        <v>147</v>
      </c>
      <c r="B3" s="398"/>
      <c r="D3" s="399"/>
      <c r="E3" s="398"/>
      <c r="F3" s="398"/>
      <c r="G3" s="398"/>
      <c r="H3" s="398"/>
      <c r="I3" s="398"/>
      <c r="J3" s="398"/>
      <c r="K3" s="398"/>
      <c r="L3" s="398"/>
      <c r="M3" s="398"/>
      <c r="N3" s="398"/>
      <c r="O3" s="398"/>
      <c r="P3" s="398"/>
      <c r="Q3" s="398"/>
      <c r="R3" s="398"/>
      <c r="S3" s="398"/>
      <c r="T3" s="400"/>
      <c r="U3" s="400"/>
      <c r="V3" s="400"/>
      <c r="W3" s="398"/>
      <c r="X3" s="398"/>
      <c r="Y3" s="398"/>
      <c r="Z3" s="398"/>
      <c r="AA3" s="398"/>
      <c r="AB3" s="398"/>
    </row>
    <row r="4" spans="1:32" ht="38.25" customHeight="1" x14ac:dyDescent="0.3">
      <c r="A4" s="179"/>
      <c r="B4" s="1118" t="s">
        <v>1059</v>
      </c>
      <c r="C4" s="1120"/>
      <c r="D4" s="1120"/>
      <c r="E4" s="1120"/>
      <c r="F4" s="1120"/>
      <c r="G4" s="1120"/>
      <c r="H4" s="1120"/>
      <c r="I4" s="1120"/>
      <c r="J4" s="1120"/>
      <c r="K4" s="1120"/>
      <c r="L4" s="1120"/>
      <c r="M4" s="1125"/>
      <c r="N4" s="1126" t="s">
        <v>597</v>
      </c>
      <c r="O4" s="1127"/>
      <c r="P4" s="1127"/>
      <c r="Q4" s="1128"/>
      <c r="R4" s="1118" t="s">
        <v>321</v>
      </c>
      <c r="S4" s="1120"/>
      <c r="T4" s="1121"/>
      <c r="U4" s="1122" t="s">
        <v>1206</v>
      </c>
      <c r="V4" s="1123"/>
      <c r="W4" s="1123"/>
      <c r="X4" s="1124"/>
      <c r="Y4" s="1118" t="s">
        <v>149</v>
      </c>
      <c r="Z4" s="1119"/>
      <c r="AA4" s="1119"/>
      <c r="AB4" s="1119"/>
      <c r="AC4" s="1113" t="s">
        <v>1325</v>
      </c>
      <c r="AD4" s="1114"/>
      <c r="AE4" s="1115"/>
      <c r="AF4" s="692"/>
    </row>
    <row r="5" spans="1:32" ht="69.75" customHeight="1" x14ac:dyDescent="0.3">
      <c r="A5" s="180" t="s">
        <v>322</v>
      </c>
      <c r="B5" s="621">
        <v>2006</v>
      </c>
      <c r="C5" s="622">
        <v>2007</v>
      </c>
      <c r="D5" s="622">
        <v>2008</v>
      </c>
      <c r="E5" s="622">
        <v>2009</v>
      </c>
      <c r="F5" s="622">
        <v>2010</v>
      </c>
      <c r="G5" s="622" t="s">
        <v>596</v>
      </c>
      <c r="H5" s="618" t="s">
        <v>1022</v>
      </c>
      <c r="I5" s="618" t="s">
        <v>145</v>
      </c>
      <c r="J5" s="619" t="s">
        <v>128</v>
      </c>
      <c r="K5" s="619" t="s">
        <v>129</v>
      </c>
      <c r="L5" s="619" t="s">
        <v>1062</v>
      </c>
      <c r="M5" s="620" t="s">
        <v>1015</v>
      </c>
      <c r="N5" s="177" t="s">
        <v>146</v>
      </c>
      <c r="O5" s="171" t="s">
        <v>201</v>
      </c>
      <c r="P5" s="171" t="s">
        <v>202</v>
      </c>
      <c r="Q5" s="178" t="s">
        <v>203</v>
      </c>
      <c r="R5" s="641" t="s">
        <v>323</v>
      </c>
      <c r="S5" s="642" t="s">
        <v>324</v>
      </c>
      <c r="T5" s="643" t="s">
        <v>616</v>
      </c>
      <c r="U5" s="177" t="s">
        <v>242</v>
      </c>
      <c r="V5" s="170" t="s">
        <v>243</v>
      </c>
      <c r="W5" s="170" t="s">
        <v>21</v>
      </c>
      <c r="X5" s="263" t="s">
        <v>244</v>
      </c>
      <c r="Y5" s="644" t="s">
        <v>150</v>
      </c>
      <c r="Z5" s="645" t="s">
        <v>619</v>
      </c>
      <c r="AA5" s="645" t="s">
        <v>151</v>
      </c>
      <c r="AB5" s="693" t="s">
        <v>152</v>
      </c>
      <c r="AC5" s="697" t="s">
        <v>1205</v>
      </c>
      <c r="AD5" s="694" t="s">
        <v>21</v>
      </c>
      <c r="AE5" s="698" t="s">
        <v>1207</v>
      </c>
      <c r="AF5" s="353"/>
    </row>
    <row r="6" spans="1:32" x14ac:dyDescent="0.25">
      <c r="A6" s="172"/>
      <c r="B6" s="428"/>
      <c r="C6" s="429"/>
      <c r="D6" s="429"/>
      <c r="E6" s="429"/>
      <c r="F6" s="429"/>
      <c r="G6" s="429"/>
      <c r="H6" s="429"/>
      <c r="I6" s="429"/>
      <c r="J6" s="477"/>
      <c r="K6" s="429"/>
      <c r="L6" s="429"/>
      <c r="M6" s="439"/>
      <c r="N6" s="428"/>
      <c r="O6" s="429"/>
      <c r="P6" s="429"/>
      <c r="Q6" s="446"/>
      <c r="R6" s="428"/>
      <c r="S6" s="429"/>
      <c r="T6" s="446"/>
      <c r="U6" s="428"/>
      <c r="V6" s="429"/>
      <c r="W6" s="429"/>
      <c r="X6" s="429"/>
      <c r="Y6" s="428"/>
      <c r="Z6" s="429"/>
      <c r="AA6" s="429"/>
      <c r="AB6" s="429"/>
      <c r="AC6" s="428"/>
      <c r="AD6" s="429"/>
      <c r="AE6" s="446"/>
    </row>
    <row r="7" spans="1:32" x14ac:dyDescent="0.25">
      <c r="A7" s="173" t="s">
        <v>403</v>
      </c>
      <c r="B7" s="430">
        <v>321432</v>
      </c>
      <c r="C7" s="431">
        <v>325816.49</v>
      </c>
      <c r="D7" s="431">
        <v>265267.36</v>
      </c>
      <c r="E7" s="431">
        <v>250800</v>
      </c>
      <c r="F7" s="431">
        <v>241823.54</v>
      </c>
      <c r="G7" s="431">
        <f>AVERAGE(B7:F7)</f>
        <v>281027.87800000003</v>
      </c>
      <c r="H7" s="431">
        <v>4265.8999999999996</v>
      </c>
      <c r="I7" s="444">
        <f>F7-H7</f>
        <v>237557.64</v>
      </c>
      <c r="J7" s="431">
        <f t="shared" ref="J7:J27" si="0">I7*$I$41</f>
        <v>37581.618648000003</v>
      </c>
      <c r="K7" s="444">
        <f t="shared" ref="K7:K27" si="1">I7*$I$42</f>
        <v>46204.960980000003</v>
      </c>
      <c r="L7" s="444">
        <f t="shared" ref="L7:L27" si="2">I7*$I$43</f>
        <v>63974.272451999997</v>
      </c>
      <c r="M7" s="440">
        <v>359563.09</v>
      </c>
      <c r="N7" s="447">
        <v>561</v>
      </c>
      <c r="O7" s="429">
        <v>186.29</v>
      </c>
      <c r="P7" s="429">
        <f>O7</f>
        <v>186.29</v>
      </c>
      <c r="Q7" s="446">
        <f>+P7*0.5</f>
        <v>93.144999999999996</v>
      </c>
      <c r="R7" s="508">
        <f t="shared" ref="R7:R27" si="3">T7*$C$79</f>
        <v>2416031.2000000002</v>
      </c>
      <c r="S7" s="509">
        <f t="shared" ref="S7:S27" si="4">T7*$E$79</f>
        <v>3670720.13</v>
      </c>
      <c r="T7" s="472">
        <f>B92</f>
        <v>274549</v>
      </c>
      <c r="U7" s="502">
        <v>1638.0013513686999</v>
      </c>
      <c r="V7" s="503" t="s">
        <v>1007</v>
      </c>
      <c r="W7" s="504">
        <v>737.42353600000001</v>
      </c>
      <c r="X7" s="505">
        <f t="shared" ref="X7:X26" si="5" xml:space="preserve"> U7-W7</f>
        <v>900.57781536869993</v>
      </c>
      <c r="Y7" s="428"/>
      <c r="Z7" s="429">
        <f>WWTP!$K3</f>
        <v>27.791699999999999</v>
      </c>
      <c r="AA7" s="429">
        <v>9700</v>
      </c>
      <c r="AB7" s="695">
        <f>(Z7*AA7*365)/1000000</f>
        <v>98.396513849999991</v>
      </c>
      <c r="AC7" s="700">
        <v>9866.3358859999989</v>
      </c>
      <c r="AD7" s="701">
        <v>238.31942199999997</v>
      </c>
      <c r="AE7" s="702">
        <f>AC7-AD7</f>
        <v>9628.0164639999985</v>
      </c>
    </row>
    <row r="8" spans="1:32" x14ac:dyDescent="0.25">
      <c r="A8" s="173" t="s">
        <v>325</v>
      </c>
      <c r="B8" s="430">
        <v>708354</v>
      </c>
      <c r="C8" s="431">
        <v>685186.5</v>
      </c>
      <c r="D8" s="431">
        <v>628506.17000000004</v>
      </c>
      <c r="E8" s="431">
        <v>627603</v>
      </c>
      <c r="F8" s="431">
        <v>609889.30000000005</v>
      </c>
      <c r="G8" s="431">
        <f t="shared" ref="G8:G27" si="6">AVERAGE(B8:F8)</f>
        <v>651907.79399999999</v>
      </c>
      <c r="H8" s="431">
        <v>63469.9</v>
      </c>
      <c r="I8" s="444">
        <f t="shared" ref="I8:I27" si="7">F8-H8</f>
        <v>546419.4</v>
      </c>
      <c r="J8" s="431">
        <f t="shared" si="0"/>
        <v>86443.549080000012</v>
      </c>
      <c r="K8" s="444">
        <f t="shared" si="1"/>
        <v>106278.5733</v>
      </c>
      <c r="L8" s="444">
        <f t="shared" si="2"/>
        <v>147150.74442</v>
      </c>
      <c r="M8" s="440">
        <v>1092372.81</v>
      </c>
      <c r="N8" s="447">
        <v>234</v>
      </c>
      <c r="O8" s="429">
        <v>23.31</v>
      </c>
      <c r="P8" s="429">
        <f t="shared" ref="P8:P27" si="8">O8</f>
        <v>23.31</v>
      </c>
      <c r="Q8" s="446">
        <f>+P8*0.5</f>
        <v>11.654999999999999</v>
      </c>
      <c r="R8" s="508">
        <f t="shared" si="3"/>
        <v>7965020.8000000007</v>
      </c>
      <c r="S8" s="509">
        <f t="shared" si="4"/>
        <v>12101400.92</v>
      </c>
      <c r="T8" s="472">
        <f t="shared" ref="T8:T27" si="9">B93</f>
        <v>905116</v>
      </c>
      <c r="U8" s="502">
        <v>1194.1632</v>
      </c>
      <c r="V8" s="503" t="s">
        <v>1008</v>
      </c>
      <c r="W8" s="504">
        <v>0</v>
      </c>
      <c r="X8" s="505">
        <f t="shared" si="5"/>
        <v>1194.1632</v>
      </c>
      <c r="Y8" s="428"/>
      <c r="Z8" s="429">
        <f>WWTP!$K4</f>
        <v>90.942399999999992</v>
      </c>
      <c r="AA8" s="429">
        <v>9700</v>
      </c>
      <c r="AB8" s="695">
        <f t="shared" ref="AB8:AB27" si="10">(Z8*AA8*365)/1000000</f>
        <v>321.98156719999997</v>
      </c>
      <c r="AC8" s="700">
        <v>18526.854862999997</v>
      </c>
      <c r="AD8" s="701">
        <v>12467.787485999999</v>
      </c>
      <c r="AE8" s="702">
        <f t="shared" ref="AE8:AE27" si="11">AC8-AD8</f>
        <v>6059.0673769999976</v>
      </c>
    </row>
    <row r="9" spans="1:32" x14ac:dyDescent="0.25">
      <c r="A9" s="173" t="s">
        <v>328</v>
      </c>
      <c r="B9" s="430">
        <v>355890</v>
      </c>
      <c r="C9" s="431">
        <v>357025.03</v>
      </c>
      <c r="D9" s="431">
        <v>342772.79</v>
      </c>
      <c r="E9" s="431">
        <v>344148</v>
      </c>
      <c r="F9" s="431">
        <v>314757.96999999997</v>
      </c>
      <c r="G9" s="431">
        <f t="shared" si="6"/>
        <v>342918.75800000003</v>
      </c>
      <c r="H9" s="431">
        <v>48181.7</v>
      </c>
      <c r="I9" s="444">
        <f t="shared" si="7"/>
        <v>266576.26999999996</v>
      </c>
      <c r="J9" s="431">
        <f t="shared" si="0"/>
        <v>42172.365913999995</v>
      </c>
      <c r="K9" s="444">
        <f t="shared" si="1"/>
        <v>51849.084514999995</v>
      </c>
      <c r="L9" s="444">
        <f t="shared" si="2"/>
        <v>71788.989510999978</v>
      </c>
      <c r="M9" s="440">
        <v>551839.25</v>
      </c>
      <c r="N9" s="447">
        <v>805</v>
      </c>
      <c r="O9" s="429">
        <v>254.446</v>
      </c>
      <c r="P9" s="429">
        <f t="shared" si="8"/>
        <v>254.446</v>
      </c>
      <c r="Q9" s="446">
        <f t="shared" ref="Q9:Q27" si="12">+P9*0.5</f>
        <v>127.223</v>
      </c>
      <c r="R9" s="508">
        <f t="shared" si="3"/>
        <v>3948859.2</v>
      </c>
      <c r="S9" s="509">
        <f t="shared" si="4"/>
        <v>5999573.5800000001</v>
      </c>
      <c r="T9" s="472">
        <f t="shared" si="9"/>
        <v>448734</v>
      </c>
      <c r="U9" s="502">
        <v>2677.5167271646746</v>
      </c>
      <c r="V9" s="503" t="s">
        <v>1007</v>
      </c>
      <c r="W9" s="504">
        <v>1019.152098</v>
      </c>
      <c r="X9" s="505">
        <f t="shared" si="5"/>
        <v>1658.3646291646746</v>
      </c>
      <c r="Y9" s="428"/>
      <c r="Z9" s="429">
        <f>WWTP!$K5</f>
        <v>20.2745</v>
      </c>
      <c r="AA9" s="429">
        <v>9700</v>
      </c>
      <c r="AB9" s="695">
        <f t="shared" si="10"/>
        <v>71.781867250000005</v>
      </c>
      <c r="AC9" s="700">
        <v>9172.7624339999984</v>
      </c>
      <c r="AD9" s="701">
        <v>8078.058372999998</v>
      </c>
      <c r="AE9" s="702">
        <f t="shared" si="11"/>
        <v>1094.7040610000004</v>
      </c>
    </row>
    <row r="10" spans="1:32" x14ac:dyDescent="0.25">
      <c r="A10" s="173" t="s">
        <v>331</v>
      </c>
      <c r="B10" s="430">
        <v>373754</v>
      </c>
      <c r="C10" s="431">
        <v>377586.62</v>
      </c>
      <c r="D10" s="431">
        <v>378341.79</v>
      </c>
      <c r="E10" s="431">
        <v>375518</v>
      </c>
      <c r="F10" s="431">
        <v>363868.19</v>
      </c>
      <c r="G10" s="431">
        <f t="shared" si="6"/>
        <v>373813.72</v>
      </c>
      <c r="H10" s="431">
        <v>279236.40000000002</v>
      </c>
      <c r="I10" s="444">
        <f t="shared" si="7"/>
        <v>84631.789999999979</v>
      </c>
      <c r="J10" s="431">
        <f t="shared" si="0"/>
        <v>13388.749177999998</v>
      </c>
      <c r="K10" s="444">
        <f t="shared" si="1"/>
        <v>16460.883154999996</v>
      </c>
      <c r="L10" s="444">
        <f t="shared" si="2"/>
        <v>22791.341046999994</v>
      </c>
      <c r="M10" s="440">
        <v>590903.79</v>
      </c>
      <c r="N10" s="447">
        <v>222</v>
      </c>
      <c r="O10" s="429">
        <v>46.698999999999998</v>
      </c>
      <c r="P10" s="429">
        <f t="shared" si="8"/>
        <v>46.698999999999998</v>
      </c>
      <c r="Q10" s="446">
        <f t="shared" si="12"/>
        <v>23.349499999999999</v>
      </c>
      <c r="R10" s="508">
        <f t="shared" si="3"/>
        <v>4520181.6000000006</v>
      </c>
      <c r="S10" s="509">
        <f t="shared" si="4"/>
        <v>6867594.0899999999</v>
      </c>
      <c r="T10" s="472">
        <f t="shared" si="9"/>
        <v>513657</v>
      </c>
      <c r="U10" s="502">
        <v>319.86940351947902</v>
      </c>
      <c r="V10" s="503" t="s">
        <v>1007</v>
      </c>
      <c r="W10" s="504">
        <v>297.00299999999999</v>
      </c>
      <c r="X10" s="505">
        <f t="shared" si="5"/>
        <v>22.866403519479036</v>
      </c>
      <c r="Y10" s="428"/>
      <c r="Z10" s="429">
        <f>WWTP!$K6</f>
        <v>54.125</v>
      </c>
      <c r="AA10" s="429">
        <v>9700</v>
      </c>
      <c r="AB10" s="695">
        <f t="shared" si="10"/>
        <v>191.62956249999999</v>
      </c>
      <c r="AC10" s="700">
        <v>15513.029091999999</v>
      </c>
      <c r="AD10" s="701">
        <v>9657.7788340000006</v>
      </c>
      <c r="AE10" s="702">
        <f t="shared" si="11"/>
        <v>5855.2502579999982</v>
      </c>
    </row>
    <row r="11" spans="1:32" x14ac:dyDescent="0.25">
      <c r="A11" s="173" t="s">
        <v>333</v>
      </c>
      <c r="B11" s="430">
        <v>136161</v>
      </c>
      <c r="C11" s="431">
        <v>98150.8</v>
      </c>
      <c r="D11" s="431">
        <v>93965.85</v>
      </c>
      <c r="E11" s="431">
        <v>92650</v>
      </c>
      <c r="F11" s="431">
        <v>91025.02</v>
      </c>
      <c r="G11" s="431">
        <f t="shared" si="6"/>
        <v>102390.53400000001</v>
      </c>
      <c r="H11" s="431">
        <v>15.7</v>
      </c>
      <c r="I11" s="444">
        <f t="shared" si="7"/>
        <v>91009.32</v>
      </c>
      <c r="J11" s="431">
        <f t="shared" si="0"/>
        <v>14397.674424000003</v>
      </c>
      <c r="K11" s="444">
        <f t="shared" si="1"/>
        <v>17701.312740000001</v>
      </c>
      <c r="L11" s="444">
        <f t="shared" si="2"/>
        <v>24508.809875999999</v>
      </c>
      <c r="M11" s="440">
        <v>160142.65</v>
      </c>
      <c r="N11" s="447">
        <v>255</v>
      </c>
      <c r="O11" s="429">
        <v>53.075000000000003</v>
      </c>
      <c r="P11" s="429">
        <f t="shared" si="8"/>
        <v>53.075000000000003</v>
      </c>
      <c r="Q11" s="446">
        <f t="shared" si="12"/>
        <v>26.537500000000001</v>
      </c>
      <c r="R11" s="508">
        <f t="shared" si="3"/>
        <v>855932.00000000012</v>
      </c>
      <c r="S11" s="509">
        <f t="shared" si="4"/>
        <v>1300433.0499999998</v>
      </c>
      <c r="T11" s="472">
        <f t="shared" si="9"/>
        <v>97265</v>
      </c>
      <c r="U11" s="502">
        <v>803.05677939999998</v>
      </c>
      <c r="V11" s="503" t="s">
        <v>1006</v>
      </c>
      <c r="W11" s="504">
        <v>70.643416999999999</v>
      </c>
      <c r="X11" s="505">
        <f t="shared" si="5"/>
        <v>732.41336239999998</v>
      </c>
      <c r="Y11" s="428"/>
      <c r="Z11" s="429">
        <f>WWTP!$K7</f>
        <v>15.204999999999998</v>
      </c>
      <c r="AA11" s="429">
        <v>9700</v>
      </c>
      <c r="AB11" s="695">
        <f t="shared" si="10"/>
        <v>53.833302499999995</v>
      </c>
      <c r="AC11" s="700">
        <v>3586.0348919999997</v>
      </c>
      <c r="AD11" s="701">
        <v>3584.9325819999995</v>
      </c>
      <c r="AE11" s="702">
        <f t="shared" si="11"/>
        <v>1.102310000000216</v>
      </c>
    </row>
    <row r="12" spans="1:32" x14ac:dyDescent="0.25">
      <c r="A12" s="173" t="s">
        <v>335</v>
      </c>
      <c r="B12" s="430">
        <v>174498</v>
      </c>
      <c r="C12" s="431">
        <v>109469.5</v>
      </c>
      <c r="D12" s="431">
        <v>122267.52</v>
      </c>
      <c r="E12" s="431">
        <v>119815</v>
      </c>
      <c r="F12" s="431">
        <v>113950.24</v>
      </c>
      <c r="G12" s="431">
        <f t="shared" si="6"/>
        <v>128000.052</v>
      </c>
      <c r="H12" s="431">
        <v>165.2</v>
      </c>
      <c r="I12" s="444">
        <f t="shared" si="7"/>
        <v>113785.04000000001</v>
      </c>
      <c r="J12" s="431">
        <f t="shared" si="0"/>
        <v>18000.793328000003</v>
      </c>
      <c r="K12" s="444">
        <f t="shared" si="1"/>
        <v>22131.190280000003</v>
      </c>
      <c r="L12" s="444">
        <f t="shared" si="2"/>
        <v>30642.311271999999</v>
      </c>
      <c r="M12" s="440">
        <v>216818.95</v>
      </c>
      <c r="N12" s="447">
        <v>489</v>
      </c>
      <c r="O12" s="429">
        <v>147.511</v>
      </c>
      <c r="P12" s="429">
        <f t="shared" si="8"/>
        <v>147.511</v>
      </c>
      <c r="Q12" s="446">
        <f t="shared" si="12"/>
        <v>73.755499999999998</v>
      </c>
      <c r="R12" s="508">
        <f t="shared" si="3"/>
        <v>1380702.4000000001</v>
      </c>
      <c r="S12" s="509">
        <f t="shared" si="4"/>
        <v>2097726.2599999998</v>
      </c>
      <c r="T12" s="472">
        <f t="shared" si="9"/>
        <v>156898</v>
      </c>
      <c r="U12" s="502">
        <v>890.09893009999996</v>
      </c>
      <c r="V12" s="503" t="s">
        <v>1008</v>
      </c>
      <c r="W12" s="504">
        <v>699.89516800000001</v>
      </c>
      <c r="X12" s="505">
        <f t="shared" si="5"/>
        <v>190.20376209999995</v>
      </c>
      <c r="Y12" s="428"/>
      <c r="Z12" s="429">
        <f>WWTP!$K8</f>
        <v>11.457599999999999</v>
      </c>
      <c r="AA12" s="429">
        <v>9700</v>
      </c>
      <c r="AB12" s="695">
        <f t="shared" si="10"/>
        <v>40.565632799999996</v>
      </c>
      <c r="AC12" s="700">
        <v>2411.8542799999996</v>
      </c>
      <c r="AD12" s="701">
        <v>1393.7607639999999</v>
      </c>
      <c r="AE12" s="702">
        <f t="shared" si="11"/>
        <v>1018.0935159999997</v>
      </c>
    </row>
    <row r="13" spans="1:32" x14ac:dyDescent="0.25">
      <c r="A13" s="173" t="s">
        <v>336</v>
      </c>
      <c r="B13" s="430">
        <v>588419</v>
      </c>
      <c r="C13" s="431">
        <v>571659.32999999996</v>
      </c>
      <c r="D13" s="431">
        <v>526199.56000000006</v>
      </c>
      <c r="E13" s="431">
        <v>490753</v>
      </c>
      <c r="F13" s="431">
        <v>454117.61</v>
      </c>
      <c r="G13" s="431">
        <f t="shared" si="6"/>
        <v>526229.69999999995</v>
      </c>
      <c r="H13" s="431">
        <v>352844.7</v>
      </c>
      <c r="I13" s="444">
        <f t="shared" si="7"/>
        <v>101272.90999999997</v>
      </c>
      <c r="J13" s="431">
        <f t="shared" si="0"/>
        <v>16021.374361999997</v>
      </c>
      <c r="K13" s="444">
        <f t="shared" si="1"/>
        <v>19697.580994999997</v>
      </c>
      <c r="L13" s="444">
        <f t="shared" si="2"/>
        <v>27272.79466299999</v>
      </c>
      <c r="M13" s="440">
        <v>824484.81</v>
      </c>
      <c r="N13" s="447">
        <v>126</v>
      </c>
      <c r="O13" s="429">
        <v>0</v>
      </c>
      <c r="P13" s="429">
        <f t="shared" si="8"/>
        <v>0</v>
      </c>
      <c r="Q13" s="446">
        <v>0</v>
      </c>
      <c r="R13" s="508">
        <f t="shared" si="3"/>
        <v>6898927.2000000002</v>
      </c>
      <c r="S13" s="509">
        <f t="shared" si="4"/>
        <v>10481665.529999999</v>
      </c>
      <c r="T13" s="472">
        <f t="shared" si="9"/>
        <v>783969</v>
      </c>
      <c r="U13" s="502">
        <v>0</v>
      </c>
      <c r="V13" s="503" t="s">
        <v>1009</v>
      </c>
      <c r="W13" s="504">
        <v>0</v>
      </c>
      <c r="X13" s="505">
        <f t="shared" si="5"/>
        <v>0</v>
      </c>
      <c r="Y13" s="428"/>
      <c r="Z13" s="429">
        <f>WWTP!$K9</f>
        <v>248.9288</v>
      </c>
      <c r="AA13" s="429">
        <v>9700</v>
      </c>
      <c r="AB13" s="695">
        <f t="shared" si="10"/>
        <v>881.33241639999994</v>
      </c>
      <c r="AC13" s="700">
        <v>48886.125727999999</v>
      </c>
      <c r="AD13" s="701">
        <v>40115.485981999991</v>
      </c>
      <c r="AE13" s="702">
        <f t="shared" si="11"/>
        <v>8770.639746000008</v>
      </c>
    </row>
    <row r="14" spans="1:32" x14ac:dyDescent="0.25">
      <c r="A14" s="173" t="s">
        <v>337</v>
      </c>
      <c r="B14" s="430">
        <v>226650</v>
      </c>
      <c r="C14" s="431">
        <v>216785.3</v>
      </c>
      <c r="D14" s="431">
        <v>213606.81</v>
      </c>
      <c r="E14" s="431">
        <v>199013</v>
      </c>
      <c r="F14" s="431">
        <v>184038.16</v>
      </c>
      <c r="G14" s="431">
        <f t="shared" si="6"/>
        <v>208018.65400000001</v>
      </c>
      <c r="H14" s="431">
        <v>158659</v>
      </c>
      <c r="I14" s="444">
        <f t="shared" si="7"/>
        <v>25379.160000000003</v>
      </c>
      <c r="J14" s="431">
        <f t="shared" si="0"/>
        <v>4014.9831120000008</v>
      </c>
      <c r="K14" s="444">
        <f t="shared" si="1"/>
        <v>4936.2466200000008</v>
      </c>
      <c r="L14" s="444">
        <f t="shared" si="2"/>
        <v>6834.6077880000003</v>
      </c>
      <c r="M14" s="440">
        <v>398606.17</v>
      </c>
      <c r="N14" s="447">
        <v>325</v>
      </c>
      <c r="O14" s="429">
        <v>29.373000000000001</v>
      </c>
      <c r="P14" s="429">
        <f t="shared" si="8"/>
        <v>29.373000000000001</v>
      </c>
      <c r="Q14" s="446">
        <f t="shared" si="12"/>
        <v>14.686500000000001</v>
      </c>
      <c r="R14" s="508">
        <f t="shared" si="3"/>
        <v>2536934.4000000004</v>
      </c>
      <c r="S14" s="509">
        <f t="shared" si="4"/>
        <v>3854410.5599999996</v>
      </c>
      <c r="T14" s="472">
        <f t="shared" si="9"/>
        <v>288288</v>
      </c>
      <c r="U14" s="502">
        <v>2709.58754</v>
      </c>
      <c r="V14" s="503" t="s">
        <v>1007</v>
      </c>
      <c r="W14" s="504">
        <v>0</v>
      </c>
      <c r="X14" s="505">
        <f t="shared" si="5"/>
        <v>2709.58754</v>
      </c>
      <c r="Y14" s="428"/>
      <c r="Z14" s="429">
        <f>WWTP!$K10</f>
        <v>15.99</v>
      </c>
      <c r="AA14" s="429">
        <v>9700</v>
      </c>
      <c r="AB14" s="695">
        <f t="shared" si="10"/>
        <v>56.612594999999999</v>
      </c>
      <c r="AC14" s="700">
        <v>10454.087577999999</v>
      </c>
      <c r="AD14" s="701">
        <v>186.731314</v>
      </c>
      <c r="AE14" s="702">
        <f t="shared" si="11"/>
        <v>10267.356263999998</v>
      </c>
    </row>
    <row r="15" spans="1:32" x14ac:dyDescent="0.25">
      <c r="A15" s="173" t="s">
        <v>338</v>
      </c>
      <c r="B15" s="430">
        <v>508349</v>
      </c>
      <c r="C15" s="431">
        <v>434825.9</v>
      </c>
      <c r="D15" s="431">
        <v>414617.77</v>
      </c>
      <c r="E15" s="431">
        <v>386146</v>
      </c>
      <c r="F15" s="431">
        <v>369881.84</v>
      </c>
      <c r="G15" s="431">
        <f t="shared" si="6"/>
        <v>422764.10199999996</v>
      </c>
      <c r="H15" s="431">
        <v>935.4</v>
      </c>
      <c r="I15" s="444">
        <f t="shared" si="7"/>
        <v>368946.44</v>
      </c>
      <c r="J15" s="431">
        <f t="shared" si="0"/>
        <v>58367.326808000005</v>
      </c>
      <c r="K15" s="444">
        <f t="shared" si="1"/>
        <v>71760.082580000002</v>
      </c>
      <c r="L15" s="444">
        <f t="shared" si="2"/>
        <v>99357.276291999995</v>
      </c>
      <c r="M15" s="440">
        <v>541234.12</v>
      </c>
      <c r="N15" s="447">
        <v>47</v>
      </c>
      <c r="O15" s="429">
        <v>4.0339999999999998</v>
      </c>
      <c r="P15" s="429">
        <f t="shared" si="8"/>
        <v>4.0339999999999998</v>
      </c>
      <c r="Q15" s="446">
        <f t="shared" si="12"/>
        <v>2.0169999999999999</v>
      </c>
      <c r="R15" s="508">
        <f t="shared" si="3"/>
        <v>5581540.8000000007</v>
      </c>
      <c r="S15" s="509">
        <f t="shared" si="4"/>
        <v>8480136.4199999999</v>
      </c>
      <c r="T15" s="472">
        <f t="shared" si="9"/>
        <v>634266</v>
      </c>
      <c r="U15" s="502">
        <v>0</v>
      </c>
      <c r="V15" s="503" t="s">
        <v>1009</v>
      </c>
      <c r="W15" s="504">
        <v>0</v>
      </c>
      <c r="X15" s="505">
        <f t="shared" si="5"/>
        <v>0</v>
      </c>
      <c r="Y15" s="428"/>
      <c r="Z15" s="429">
        <f>WWTP!$K11</f>
        <v>36.505400000000002</v>
      </c>
      <c r="AA15" s="429">
        <v>9700</v>
      </c>
      <c r="AB15" s="695">
        <f t="shared" si="10"/>
        <v>129.24736870000001</v>
      </c>
      <c r="AC15" s="700">
        <v>5593.4516329999997</v>
      </c>
      <c r="AD15" s="701">
        <v>4583.5152109999999</v>
      </c>
      <c r="AE15" s="702">
        <f t="shared" si="11"/>
        <v>1009.9364219999998</v>
      </c>
    </row>
    <row r="16" spans="1:32" x14ac:dyDescent="0.25">
      <c r="A16" s="173" t="s">
        <v>339</v>
      </c>
      <c r="B16" s="430">
        <v>102725</v>
      </c>
      <c r="C16" s="431">
        <v>79710.399999999994</v>
      </c>
      <c r="D16" s="431">
        <v>80213.649999999994</v>
      </c>
      <c r="E16" s="431">
        <v>78938</v>
      </c>
      <c r="F16" s="431">
        <v>76176.070000000007</v>
      </c>
      <c r="G16" s="431">
        <f t="shared" si="6"/>
        <v>83552.623999999996</v>
      </c>
      <c r="H16" s="431">
        <v>27109.3</v>
      </c>
      <c r="I16" s="444">
        <f t="shared" si="7"/>
        <v>49066.770000000004</v>
      </c>
      <c r="J16" s="431">
        <f t="shared" si="0"/>
        <v>7762.3630140000014</v>
      </c>
      <c r="K16" s="444">
        <f t="shared" si="1"/>
        <v>9543.4867650000015</v>
      </c>
      <c r="L16" s="444">
        <f t="shared" si="2"/>
        <v>13213.681161</v>
      </c>
      <c r="M16" s="440">
        <v>113967.73</v>
      </c>
      <c r="N16" s="447">
        <v>430</v>
      </c>
      <c r="O16" s="429">
        <v>102.52200000000001</v>
      </c>
      <c r="P16" s="429">
        <f t="shared" si="8"/>
        <v>102.52200000000001</v>
      </c>
      <c r="Q16" s="446">
        <f t="shared" si="12"/>
        <v>51.261000000000003</v>
      </c>
      <c r="R16" s="508">
        <f t="shared" si="3"/>
        <v>1129471.2000000002</v>
      </c>
      <c r="S16" s="509">
        <f t="shared" si="4"/>
        <v>1716026.13</v>
      </c>
      <c r="T16" s="472">
        <f t="shared" si="9"/>
        <v>128349</v>
      </c>
      <c r="U16" s="502">
        <v>0</v>
      </c>
      <c r="V16" s="503" t="s">
        <v>1010</v>
      </c>
      <c r="W16" s="504">
        <v>0</v>
      </c>
      <c r="X16" s="505">
        <f t="shared" si="5"/>
        <v>0</v>
      </c>
      <c r="Y16" s="428"/>
      <c r="Z16" s="429">
        <f>WWTP!$K12</f>
        <v>3.0325000000000002</v>
      </c>
      <c r="AA16" s="429">
        <v>9700</v>
      </c>
      <c r="AB16" s="695">
        <f t="shared" si="10"/>
        <v>10.736566250000001</v>
      </c>
      <c r="AC16" s="700">
        <v>1836.4484599999998</v>
      </c>
      <c r="AD16" s="701">
        <v>28.439597999999997</v>
      </c>
      <c r="AE16" s="702">
        <f t="shared" si="11"/>
        <v>1808.0088619999999</v>
      </c>
    </row>
    <row r="17" spans="1:31" x14ac:dyDescent="0.25">
      <c r="A17" s="173" t="s">
        <v>340</v>
      </c>
      <c r="B17" s="430">
        <v>267040</v>
      </c>
      <c r="C17" s="431">
        <v>267210.2</v>
      </c>
      <c r="D17" s="431">
        <v>256975.85</v>
      </c>
      <c r="E17" s="431">
        <v>246758</v>
      </c>
      <c r="F17" s="431">
        <v>235889.53</v>
      </c>
      <c r="G17" s="431">
        <f t="shared" si="6"/>
        <v>254774.71599999996</v>
      </c>
      <c r="H17" s="431">
        <v>120.7</v>
      </c>
      <c r="I17" s="444">
        <f t="shared" si="7"/>
        <v>235768.83</v>
      </c>
      <c r="J17" s="431">
        <f t="shared" si="0"/>
        <v>37298.628905999998</v>
      </c>
      <c r="K17" s="444">
        <f t="shared" si="1"/>
        <v>45857.037434999998</v>
      </c>
      <c r="L17" s="444">
        <f t="shared" si="2"/>
        <v>63492.545918999989</v>
      </c>
      <c r="M17" s="440">
        <v>398031.25</v>
      </c>
      <c r="N17" s="447">
        <v>226</v>
      </c>
      <c r="O17" s="429">
        <v>43.234000000000002</v>
      </c>
      <c r="P17" s="429">
        <f t="shared" si="8"/>
        <v>43.234000000000002</v>
      </c>
      <c r="Q17" s="446">
        <f t="shared" si="12"/>
        <v>21.617000000000001</v>
      </c>
      <c r="R17" s="508">
        <f t="shared" si="3"/>
        <v>3225314.4000000004</v>
      </c>
      <c r="S17" s="509">
        <f t="shared" si="4"/>
        <v>4900278.8099999996</v>
      </c>
      <c r="T17" s="472">
        <f t="shared" si="9"/>
        <v>366513</v>
      </c>
      <c r="U17" s="502">
        <v>0</v>
      </c>
      <c r="V17" s="503" t="s">
        <v>1010</v>
      </c>
      <c r="W17" s="504">
        <v>0</v>
      </c>
      <c r="X17" s="505">
        <f t="shared" si="5"/>
        <v>0</v>
      </c>
      <c r="Y17" s="428"/>
      <c r="Z17" s="429">
        <f>WWTP!$K13</f>
        <v>42.206699999999998</v>
      </c>
      <c r="AA17" s="429">
        <v>9700</v>
      </c>
      <c r="AB17" s="695">
        <f t="shared" si="10"/>
        <v>149.43282134999998</v>
      </c>
      <c r="AC17" s="700">
        <v>15409.963107</v>
      </c>
      <c r="AD17" s="701">
        <v>1982.6147659999997</v>
      </c>
      <c r="AE17" s="702">
        <f t="shared" si="11"/>
        <v>13427.348341000001</v>
      </c>
    </row>
    <row r="18" spans="1:31" x14ac:dyDescent="0.25">
      <c r="A18" s="173" t="s">
        <v>341</v>
      </c>
      <c r="B18" s="430">
        <v>614876</v>
      </c>
      <c r="C18" s="431">
        <v>618890.66</v>
      </c>
      <c r="D18" s="432">
        <v>587890.96</v>
      </c>
      <c r="E18" s="431">
        <v>550571</v>
      </c>
      <c r="F18" s="431">
        <v>553312.05000000005</v>
      </c>
      <c r="G18" s="431">
        <f t="shared" si="6"/>
        <v>585108.13399999996</v>
      </c>
      <c r="H18" s="431">
        <v>18671.900000000001</v>
      </c>
      <c r="I18" s="444">
        <f t="shared" si="7"/>
        <v>534640.15</v>
      </c>
      <c r="J18" s="431">
        <f t="shared" si="0"/>
        <v>84580.071730000011</v>
      </c>
      <c r="K18" s="444">
        <f t="shared" si="1"/>
        <v>103987.50917500001</v>
      </c>
      <c r="L18" s="444">
        <f t="shared" si="2"/>
        <v>143978.59239499999</v>
      </c>
      <c r="M18" s="440">
        <v>926784.99</v>
      </c>
      <c r="N18" s="447">
        <v>311</v>
      </c>
      <c r="O18" s="429">
        <v>50.677999999999997</v>
      </c>
      <c r="P18" s="429">
        <f t="shared" si="8"/>
        <v>50.677999999999997</v>
      </c>
      <c r="Q18" s="446">
        <f t="shared" si="12"/>
        <v>25.338999999999999</v>
      </c>
      <c r="R18" s="508">
        <f t="shared" si="3"/>
        <v>7126750.4000000004</v>
      </c>
      <c r="S18" s="509">
        <f t="shared" si="4"/>
        <v>10827801.459999999</v>
      </c>
      <c r="T18" s="472">
        <f t="shared" si="9"/>
        <v>809858</v>
      </c>
      <c r="U18" s="502">
        <v>4428.5576053097093</v>
      </c>
      <c r="V18" s="503" t="s">
        <v>1007</v>
      </c>
      <c r="W18" s="504">
        <v>3642.692</v>
      </c>
      <c r="X18" s="505">
        <f t="shared" si="5"/>
        <v>785.86560530970928</v>
      </c>
      <c r="Y18" s="428"/>
      <c r="Z18" s="429">
        <f>WWTP!$K14</f>
        <v>122.7991</v>
      </c>
      <c r="AA18" s="429">
        <v>9700</v>
      </c>
      <c r="AB18" s="695">
        <f t="shared" si="10"/>
        <v>434.77021354999999</v>
      </c>
      <c r="AC18" s="700">
        <v>48361.977322999999</v>
      </c>
      <c r="AD18" s="701">
        <v>8058.3270239999993</v>
      </c>
      <c r="AE18" s="702">
        <f t="shared" si="11"/>
        <v>40303.650299000001</v>
      </c>
    </row>
    <row r="19" spans="1:31" x14ac:dyDescent="0.25">
      <c r="A19" s="173" t="s">
        <v>342</v>
      </c>
      <c r="B19" s="430">
        <v>538894</v>
      </c>
      <c r="C19" s="431">
        <v>490083.77</v>
      </c>
      <c r="D19" s="431">
        <v>463912.98</v>
      </c>
      <c r="E19" s="431">
        <v>441780</v>
      </c>
      <c r="F19" s="431">
        <v>430088.67</v>
      </c>
      <c r="G19" s="431">
        <f t="shared" si="6"/>
        <v>472951.88399999996</v>
      </c>
      <c r="H19" s="431">
        <v>344.1</v>
      </c>
      <c r="I19" s="444">
        <f t="shared" si="7"/>
        <v>429744.57</v>
      </c>
      <c r="J19" s="431">
        <f t="shared" si="0"/>
        <v>67985.590974000006</v>
      </c>
      <c r="K19" s="444">
        <f t="shared" si="1"/>
        <v>83585.318865000008</v>
      </c>
      <c r="L19" s="444">
        <f t="shared" si="2"/>
        <v>115730.212701</v>
      </c>
      <c r="M19" s="440">
        <v>746942.83</v>
      </c>
      <c r="N19" s="447">
        <v>472</v>
      </c>
      <c r="O19" s="429">
        <v>78.971000000000004</v>
      </c>
      <c r="P19" s="429">
        <f t="shared" si="8"/>
        <v>78.971000000000004</v>
      </c>
      <c r="Q19" s="446">
        <f t="shared" si="12"/>
        <v>39.485500000000002</v>
      </c>
      <c r="R19" s="508">
        <f t="shared" si="3"/>
        <v>5547344</v>
      </c>
      <c r="S19" s="509">
        <f t="shared" si="4"/>
        <v>8428180.5999999996</v>
      </c>
      <c r="T19" s="472">
        <f t="shared" si="9"/>
        <v>630380</v>
      </c>
      <c r="U19" s="502">
        <v>2010.750597</v>
      </c>
      <c r="V19" s="503" t="s">
        <v>1007</v>
      </c>
      <c r="W19" s="504">
        <v>1788.5</v>
      </c>
      <c r="X19" s="505">
        <f t="shared" si="5"/>
        <v>222.25059699999997</v>
      </c>
      <c r="Y19" s="428"/>
      <c r="Z19" s="429">
        <f>WWTP!$K15</f>
        <v>49.477800000000002</v>
      </c>
      <c r="AA19" s="429">
        <v>9700</v>
      </c>
      <c r="AB19" s="695">
        <f t="shared" si="10"/>
        <v>175.17615090000001</v>
      </c>
      <c r="AC19" s="700">
        <v>9723.4765099999986</v>
      </c>
      <c r="AD19" s="701">
        <v>1983.7170759999997</v>
      </c>
      <c r="AE19" s="702">
        <f t="shared" si="11"/>
        <v>7739.7594339999987</v>
      </c>
    </row>
    <row r="20" spans="1:31" x14ac:dyDescent="0.25">
      <c r="A20" s="173" t="s">
        <v>343</v>
      </c>
      <c r="B20" s="430">
        <v>403988</v>
      </c>
      <c r="C20" s="431">
        <v>358331.1</v>
      </c>
      <c r="D20" s="431">
        <v>329614.53000000003</v>
      </c>
      <c r="E20" s="431">
        <v>306058</v>
      </c>
      <c r="F20" s="431">
        <v>295927.15999999997</v>
      </c>
      <c r="G20" s="431">
        <f t="shared" si="6"/>
        <v>338783.75799999997</v>
      </c>
      <c r="H20" s="431">
        <v>12709.6</v>
      </c>
      <c r="I20" s="444">
        <f t="shared" si="7"/>
        <v>283217.56</v>
      </c>
      <c r="J20" s="431">
        <f t="shared" si="0"/>
        <v>44805.017992000001</v>
      </c>
      <c r="K20" s="444">
        <f t="shared" si="1"/>
        <v>55085.815419999999</v>
      </c>
      <c r="L20" s="444">
        <f t="shared" si="2"/>
        <v>76270.488907999999</v>
      </c>
      <c r="M20" s="440">
        <v>541380.71</v>
      </c>
      <c r="N20" s="447">
        <v>469</v>
      </c>
      <c r="O20" s="429">
        <v>132.13200000000001</v>
      </c>
      <c r="P20" s="429">
        <f t="shared" si="8"/>
        <v>132.13200000000001</v>
      </c>
      <c r="Q20" s="446">
        <f t="shared" si="12"/>
        <v>66.066000000000003</v>
      </c>
      <c r="R20" s="508">
        <f t="shared" si="3"/>
        <v>4332028.8000000007</v>
      </c>
      <c r="S20" s="509">
        <f t="shared" si="4"/>
        <v>6581730.1199999992</v>
      </c>
      <c r="T20" s="472">
        <f t="shared" si="9"/>
        <v>492276</v>
      </c>
      <c r="U20" s="502">
        <v>446.87619649999999</v>
      </c>
      <c r="V20" s="503" t="s">
        <v>1011</v>
      </c>
      <c r="W20" s="504">
        <v>0</v>
      </c>
      <c r="X20" s="505">
        <f t="shared" si="5"/>
        <v>446.87619649999999</v>
      </c>
      <c r="Y20" s="428"/>
      <c r="Z20" s="429">
        <f>WWTP!$K16</f>
        <v>41.436799999999998</v>
      </c>
      <c r="AA20" s="429">
        <v>9700</v>
      </c>
      <c r="AB20" s="695">
        <f t="shared" si="10"/>
        <v>146.70699039999997</v>
      </c>
      <c r="AC20" s="700">
        <v>14645.841814999998</v>
      </c>
      <c r="AD20" s="701">
        <v>3885.0915949999999</v>
      </c>
      <c r="AE20" s="702">
        <f t="shared" si="11"/>
        <v>10760.750219999998</v>
      </c>
    </row>
    <row r="21" spans="1:31" x14ac:dyDescent="0.25">
      <c r="A21" s="173" t="s">
        <v>344</v>
      </c>
      <c r="B21" s="430">
        <v>476221</v>
      </c>
      <c r="C21" s="431">
        <v>424756.21</v>
      </c>
      <c r="D21" s="431">
        <v>413576.12</v>
      </c>
      <c r="E21" s="431">
        <v>401816</v>
      </c>
      <c r="F21" s="431">
        <v>391739.92</v>
      </c>
      <c r="G21" s="431">
        <f t="shared" si="6"/>
        <v>421621.85</v>
      </c>
      <c r="H21" s="431">
        <v>156.9</v>
      </c>
      <c r="I21" s="444">
        <f t="shared" si="7"/>
        <v>391583.01999999996</v>
      </c>
      <c r="J21" s="431">
        <f t="shared" si="0"/>
        <v>61948.433763999994</v>
      </c>
      <c r="K21" s="444">
        <f t="shared" si="1"/>
        <v>76162.897389999998</v>
      </c>
      <c r="L21" s="444">
        <f t="shared" si="2"/>
        <v>105453.30728599998</v>
      </c>
      <c r="M21" s="440">
        <v>630114.88</v>
      </c>
      <c r="N21" s="447">
        <v>636</v>
      </c>
      <c r="O21" s="429">
        <v>223.42</v>
      </c>
      <c r="P21" s="429">
        <f t="shared" si="8"/>
        <v>223.42</v>
      </c>
      <c r="Q21" s="446">
        <f t="shared" si="12"/>
        <v>111.71</v>
      </c>
      <c r="R21" s="508">
        <f t="shared" si="3"/>
        <v>5073789.6000000006</v>
      </c>
      <c r="S21" s="509">
        <f t="shared" si="4"/>
        <v>7708700.7899999991</v>
      </c>
      <c r="T21" s="472">
        <f t="shared" si="9"/>
        <v>576567</v>
      </c>
      <c r="U21" s="502">
        <v>3153.6</v>
      </c>
      <c r="V21" s="503" t="s">
        <v>1008</v>
      </c>
      <c r="W21" s="504">
        <v>2242.7352000000001</v>
      </c>
      <c r="X21" s="505">
        <f t="shared" si="5"/>
        <v>910.86479999999983</v>
      </c>
      <c r="Y21" s="428"/>
      <c r="Z21" s="429">
        <f>WWTP!$K17</f>
        <v>50.423300000000005</v>
      </c>
      <c r="AA21" s="429">
        <v>9700</v>
      </c>
      <c r="AB21" s="695">
        <f t="shared" si="10"/>
        <v>178.52369365000004</v>
      </c>
      <c r="AC21" s="700">
        <v>9555.2640039999987</v>
      </c>
      <c r="AD21" s="701">
        <v>9552.287766999998</v>
      </c>
      <c r="AE21" s="702">
        <f t="shared" si="11"/>
        <v>2.976237000000765</v>
      </c>
    </row>
    <row r="22" spans="1:31" x14ac:dyDescent="0.25">
      <c r="A22" s="173" t="s">
        <v>345</v>
      </c>
      <c r="B22" s="430">
        <v>406334</v>
      </c>
      <c r="C22" s="431">
        <v>418820.2</v>
      </c>
      <c r="D22" s="432">
        <v>402296.89</v>
      </c>
      <c r="E22" s="431">
        <v>386457</v>
      </c>
      <c r="F22" s="431">
        <v>411253.1</v>
      </c>
      <c r="G22" s="431">
        <f t="shared" si="6"/>
        <v>405032.23800000001</v>
      </c>
      <c r="H22" s="431">
        <v>75330.5</v>
      </c>
      <c r="I22" s="444">
        <f t="shared" si="7"/>
        <v>335922.6</v>
      </c>
      <c r="J22" s="431">
        <f t="shared" si="0"/>
        <v>53142.955320000001</v>
      </c>
      <c r="K22" s="444">
        <f t="shared" si="1"/>
        <v>65336.945699999997</v>
      </c>
      <c r="L22" s="444">
        <f t="shared" si="2"/>
        <v>90463.956179999994</v>
      </c>
      <c r="M22" s="440">
        <v>633403.22</v>
      </c>
      <c r="N22" s="447">
        <v>185</v>
      </c>
      <c r="O22" s="429">
        <v>70.396000000000001</v>
      </c>
      <c r="P22" s="429">
        <f t="shared" si="8"/>
        <v>70.396000000000001</v>
      </c>
      <c r="Q22" s="446">
        <f t="shared" si="12"/>
        <v>35.198</v>
      </c>
      <c r="R22" s="508">
        <f t="shared" si="3"/>
        <v>4410788.8000000007</v>
      </c>
      <c r="S22" s="509">
        <f t="shared" si="4"/>
        <v>6701391.6199999992</v>
      </c>
      <c r="T22" s="472">
        <f t="shared" si="9"/>
        <v>501226</v>
      </c>
      <c r="U22" s="502">
        <v>0</v>
      </c>
      <c r="V22" s="503" t="s">
        <v>1010</v>
      </c>
      <c r="W22" s="504">
        <v>0</v>
      </c>
      <c r="X22" s="505">
        <f t="shared" si="5"/>
        <v>0</v>
      </c>
      <c r="Y22" s="428"/>
      <c r="Z22" s="429">
        <f>WWTP!$K18</f>
        <v>7.9916999999999998</v>
      </c>
      <c r="AA22" s="429">
        <v>9700</v>
      </c>
      <c r="AB22" s="695">
        <f t="shared" si="10"/>
        <v>28.294613850000001</v>
      </c>
      <c r="AC22" s="700">
        <v>2707.8245149999998</v>
      </c>
      <c r="AD22" s="701">
        <v>958.67900699999996</v>
      </c>
      <c r="AE22" s="702">
        <f t="shared" si="11"/>
        <v>1749.1455079999998</v>
      </c>
    </row>
    <row r="23" spans="1:31" x14ac:dyDescent="0.25">
      <c r="A23" s="173" t="s">
        <v>346</v>
      </c>
      <c r="B23" s="430">
        <v>34323</v>
      </c>
      <c r="C23" s="431">
        <v>40592.1</v>
      </c>
      <c r="D23" s="431">
        <v>41176.410000000003</v>
      </c>
      <c r="E23" s="431">
        <v>39990</v>
      </c>
      <c r="F23" s="431">
        <v>40153.760000000002</v>
      </c>
      <c r="G23" s="431">
        <f t="shared" si="6"/>
        <v>39247.054000000004</v>
      </c>
      <c r="H23" s="431">
        <v>113.7</v>
      </c>
      <c r="I23" s="444">
        <f t="shared" si="7"/>
        <v>40040.060000000005</v>
      </c>
      <c r="J23" s="431">
        <f t="shared" si="0"/>
        <v>6334.3374920000015</v>
      </c>
      <c r="K23" s="444">
        <f t="shared" si="1"/>
        <v>7787.7916700000014</v>
      </c>
      <c r="L23" s="444">
        <f t="shared" si="2"/>
        <v>10782.788158000001</v>
      </c>
      <c r="M23" s="440">
        <v>66914.11</v>
      </c>
      <c r="N23" s="447">
        <v>338</v>
      </c>
      <c r="O23" s="429">
        <v>64.085999999999999</v>
      </c>
      <c r="P23" s="429">
        <f t="shared" si="8"/>
        <v>64.085999999999999</v>
      </c>
      <c r="Q23" s="446">
        <f t="shared" si="12"/>
        <v>32.042999999999999</v>
      </c>
      <c r="R23" s="508">
        <f t="shared" si="3"/>
        <v>581530.4</v>
      </c>
      <c r="S23" s="509">
        <f t="shared" si="4"/>
        <v>883529.71</v>
      </c>
      <c r="T23" s="472">
        <f t="shared" si="9"/>
        <v>66083</v>
      </c>
      <c r="U23" s="502">
        <v>660.768552</v>
      </c>
      <c r="V23" s="503" t="s">
        <v>1011</v>
      </c>
      <c r="W23" s="504">
        <v>351.62639999999999</v>
      </c>
      <c r="X23" s="505">
        <f t="shared" si="5"/>
        <v>309.14215200000001</v>
      </c>
      <c r="Y23" s="428"/>
      <c r="Z23" s="429">
        <f>WWTP!$K19</f>
        <v>0</v>
      </c>
      <c r="AA23" s="429">
        <v>9700</v>
      </c>
      <c r="AB23" s="695">
        <f t="shared" si="10"/>
        <v>0</v>
      </c>
      <c r="AC23" s="700">
        <v>948.75821699999995</v>
      </c>
      <c r="AD23" s="701">
        <v>655.87444999999991</v>
      </c>
      <c r="AE23" s="702">
        <f t="shared" si="11"/>
        <v>292.88376700000003</v>
      </c>
    </row>
    <row r="24" spans="1:31" x14ac:dyDescent="0.25">
      <c r="A24" s="173" t="s">
        <v>347</v>
      </c>
      <c r="B24" s="430">
        <v>280603</v>
      </c>
      <c r="C24" s="431">
        <v>264848.87</v>
      </c>
      <c r="D24" s="431">
        <v>237009.82</v>
      </c>
      <c r="E24" s="431">
        <v>239451</v>
      </c>
      <c r="F24" s="431">
        <v>246392.77</v>
      </c>
      <c r="G24" s="431">
        <f t="shared" si="6"/>
        <v>253661.092</v>
      </c>
      <c r="H24" s="431">
        <v>46828.9</v>
      </c>
      <c r="I24" s="444">
        <f t="shared" si="7"/>
        <v>199563.87</v>
      </c>
      <c r="J24" s="431">
        <f t="shared" si="0"/>
        <v>31571.004234</v>
      </c>
      <c r="K24" s="444">
        <f t="shared" si="1"/>
        <v>38815.172715000001</v>
      </c>
      <c r="L24" s="444">
        <f t="shared" si="2"/>
        <v>53742.550190999995</v>
      </c>
      <c r="M24" s="440">
        <v>351586.53</v>
      </c>
      <c r="N24" s="447">
        <v>305</v>
      </c>
      <c r="O24" s="429">
        <v>35.904000000000003</v>
      </c>
      <c r="P24" s="429">
        <f t="shared" si="8"/>
        <v>35.904000000000003</v>
      </c>
      <c r="Q24" s="446">
        <f t="shared" si="12"/>
        <v>17.952000000000002</v>
      </c>
      <c r="R24" s="508">
        <f t="shared" si="3"/>
        <v>2846307.2</v>
      </c>
      <c r="S24" s="509">
        <f t="shared" si="4"/>
        <v>4324446.2799999993</v>
      </c>
      <c r="T24" s="472">
        <f t="shared" si="9"/>
        <v>323444</v>
      </c>
      <c r="U24" s="502">
        <v>0</v>
      </c>
      <c r="V24" s="503" t="s">
        <v>1010</v>
      </c>
      <c r="W24" s="504">
        <v>0</v>
      </c>
      <c r="X24" s="505">
        <f t="shared" si="5"/>
        <v>0</v>
      </c>
      <c r="Y24" s="428"/>
      <c r="Z24" s="429">
        <f>WWTP!$K20</f>
        <v>19.635000000000002</v>
      </c>
      <c r="AA24" s="429">
        <v>9700</v>
      </c>
      <c r="AB24" s="695">
        <f t="shared" si="10"/>
        <v>69.517717500000018</v>
      </c>
      <c r="AC24" s="700">
        <v>6535.265296999999</v>
      </c>
      <c r="AD24" s="701">
        <v>604.50680399999987</v>
      </c>
      <c r="AE24" s="702">
        <f t="shared" si="11"/>
        <v>5930.7584929999994</v>
      </c>
    </row>
    <row r="25" spans="1:31" x14ac:dyDescent="0.25">
      <c r="A25" s="173" t="s">
        <v>348</v>
      </c>
      <c r="B25" s="430">
        <v>94967</v>
      </c>
      <c r="C25" s="431">
        <v>85711</v>
      </c>
      <c r="D25" s="431">
        <v>83595.929999999993</v>
      </c>
      <c r="E25" s="431">
        <v>78899</v>
      </c>
      <c r="F25" s="431">
        <v>78280.75</v>
      </c>
      <c r="G25" s="431">
        <f t="shared" si="6"/>
        <v>84290.736000000004</v>
      </c>
      <c r="H25" s="431">
        <v>2975.8</v>
      </c>
      <c r="I25" s="444">
        <f t="shared" si="7"/>
        <v>75304.95</v>
      </c>
      <c r="J25" s="431">
        <f t="shared" si="0"/>
        <v>11913.24309</v>
      </c>
      <c r="K25" s="444">
        <f t="shared" si="1"/>
        <v>14646.812775</v>
      </c>
      <c r="L25" s="444">
        <f t="shared" si="2"/>
        <v>20279.623034999997</v>
      </c>
      <c r="M25" s="440">
        <v>113829.62</v>
      </c>
      <c r="N25" s="447">
        <v>521</v>
      </c>
      <c r="O25" s="429">
        <v>179.09200000000001</v>
      </c>
      <c r="P25" s="429">
        <f t="shared" si="8"/>
        <v>179.09200000000001</v>
      </c>
      <c r="Q25" s="446">
        <f t="shared" si="12"/>
        <v>89.546000000000006</v>
      </c>
      <c r="R25" s="508">
        <f t="shared" si="3"/>
        <v>1313532</v>
      </c>
      <c r="S25" s="509">
        <f t="shared" si="4"/>
        <v>1995673.0499999998</v>
      </c>
      <c r="T25" s="472">
        <f t="shared" si="9"/>
        <v>149265</v>
      </c>
      <c r="U25" s="502">
        <v>306.94063244064165</v>
      </c>
      <c r="V25" s="503" t="s">
        <v>1008</v>
      </c>
      <c r="W25" s="504">
        <v>289.17588932806325</v>
      </c>
      <c r="X25" s="505">
        <f t="shared" si="5"/>
        <v>17.764743112578401</v>
      </c>
      <c r="Y25" s="428"/>
      <c r="Z25" s="429">
        <f>WWTP!$K21</f>
        <v>0</v>
      </c>
      <c r="AA25" s="429">
        <v>9700</v>
      </c>
      <c r="AB25" s="695">
        <f t="shared" si="10"/>
        <v>0</v>
      </c>
      <c r="AC25" s="700">
        <v>1134.8281449999999</v>
      </c>
      <c r="AD25" s="701">
        <v>924.83808999999997</v>
      </c>
      <c r="AE25" s="702">
        <f t="shared" si="11"/>
        <v>209.99005499999998</v>
      </c>
    </row>
    <row r="26" spans="1:31" x14ac:dyDescent="0.25">
      <c r="A26" s="173" t="s">
        <v>349</v>
      </c>
      <c r="B26" s="430">
        <v>415457</v>
      </c>
      <c r="C26" s="431">
        <v>395389.69</v>
      </c>
      <c r="D26" s="431">
        <v>367225.46</v>
      </c>
      <c r="E26" s="431">
        <v>347143</v>
      </c>
      <c r="F26" s="431">
        <v>348418.05</v>
      </c>
      <c r="G26" s="431">
        <f t="shared" si="6"/>
        <v>374726.64</v>
      </c>
      <c r="H26" s="431">
        <v>319855</v>
      </c>
      <c r="I26" s="444">
        <f t="shared" si="7"/>
        <v>28563.049999999988</v>
      </c>
      <c r="J26" s="431">
        <f t="shared" si="0"/>
        <v>4518.674509999998</v>
      </c>
      <c r="K26" s="444">
        <f t="shared" si="1"/>
        <v>5555.5132249999979</v>
      </c>
      <c r="L26" s="444">
        <f t="shared" si="2"/>
        <v>7692.0293649999967</v>
      </c>
      <c r="M26" s="440">
        <v>512500.13</v>
      </c>
      <c r="N26" s="447">
        <v>103</v>
      </c>
      <c r="O26" s="429">
        <v>0</v>
      </c>
      <c r="P26" s="429">
        <f t="shared" si="8"/>
        <v>0</v>
      </c>
      <c r="Q26" s="446">
        <f t="shared" si="12"/>
        <v>0</v>
      </c>
      <c r="R26" s="508">
        <f t="shared" si="3"/>
        <v>4721191.2</v>
      </c>
      <c r="S26" s="509">
        <f t="shared" si="4"/>
        <v>7172991.6299999999</v>
      </c>
      <c r="T26" s="472">
        <f t="shared" si="9"/>
        <v>536499</v>
      </c>
      <c r="U26" s="502">
        <v>0</v>
      </c>
      <c r="V26" s="503" t="s">
        <v>1010</v>
      </c>
      <c r="W26" s="504">
        <v>0</v>
      </c>
      <c r="X26" s="505">
        <f t="shared" si="5"/>
        <v>0</v>
      </c>
      <c r="Y26" s="428"/>
      <c r="Z26" s="429">
        <f>WWTP!$K22</f>
        <v>103.05600000000001</v>
      </c>
      <c r="AA26" s="429">
        <v>9700</v>
      </c>
      <c r="AB26" s="695">
        <f t="shared" si="10"/>
        <v>364.86976800000002</v>
      </c>
      <c r="AC26" s="700">
        <v>13020.816412999999</v>
      </c>
      <c r="AD26" s="701">
        <v>11936.033142</v>
      </c>
      <c r="AE26" s="702">
        <f t="shared" si="11"/>
        <v>1084.7832709999984</v>
      </c>
    </row>
    <row r="27" spans="1:31" ht="13.8" thickBot="1" x14ac:dyDescent="0.3">
      <c r="A27" s="174" t="s">
        <v>350</v>
      </c>
      <c r="B27" s="433">
        <v>77753</v>
      </c>
      <c r="C27" s="434">
        <v>66930.820000000007</v>
      </c>
      <c r="D27" s="434">
        <v>67791.8</v>
      </c>
      <c r="E27" s="434">
        <v>65935</v>
      </c>
      <c r="F27" s="434">
        <v>66483.95</v>
      </c>
      <c r="G27" s="434">
        <f t="shared" si="6"/>
        <v>68978.914000000004</v>
      </c>
      <c r="H27" s="434">
        <v>51546.8</v>
      </c>
      <c r="I27" s="445">
        <f t="shared" si="7"/>
        <v>14937.149999999994</v>
      </c>
      <c r="J27" s="434">
        <f t="shared" si="0"/>
        <v>2363.0571299999992</v>
      </c>
      <c r="K27" s="476">
        <f t="shared" si="1"/>
        <v>2905.275674999999</v>
      </c>
      <c r="L27" s="476">
        <f t="shared" si="2"/>
        <v>4022.574494999998</v>
      </c>
      <c r="M27" s="441">
        <v>97843.9</v>
      </c>
      <c r="N27" s="448">
        <v>358</v>
      </c>
      <c r="O27" s="449">
        <v>107.679</v>
      </c>
      <c r="P27" s="449">
        <f t="shared" si="8"/>
        <v>107.679</v>
      </c>
      <c r="Q27" s="450">
        <f t="shared" si="12"/>
        <v>53.839500000000001</v>
      </c>
      <c r="R27" s="510">
        <f t="shared" si="3"/>
        <v>956489.60000000009</v>
      </c>
      <c r="S27" s="511">
        <f t="shared" si="4"/>
        <v>1453212.0399999998</v>
      </c>
      <c r="T27" s="473">
        <f t="shared" si="9"/>
        <v>108692</v>
      </c>
      <c r="U27" s="683">
        <f>W27+X27</f>
        <v>276.52688999999998</v>
      </c>
      <c r="V27" s="666" t="s">
        <v>1008</v>
      </c>
      <c r="W27" s="684">
        <v>182.89423300000001</v>
      </c>
      <c r="X27" s="667">
        <v>93.632656999999995</v>
      </c>
      <c r="Y27" s="633"/>
      <c r="Z27" s="449">
        <f>WWTP!$K23</f>
        <v>2.2200000000000002</v>
      </c>
      <c r="AA27" s="449">
        <v>9700</v>
      </c>
      <c r="AB27" s="696">
        <f t="shared" si="10"/>
        <v>7.8599100000000011</v>
      </c>
      <c r="AC27" s="703">
        <v>803.14306599999998</v>
      </c>
      <c r="AD27" s="704">
        <v>647.05596999999989</v>
      </c>
      <c r="AE27" s="705">
        <f t="shared" si="11"/>
        <v>156.08709600000009</v>
      </c>
    </row>
    <row r="28" spans="1:31" s="80" customFormat="1" ht="14.4" thickTop="1" thickBot="1" x14ac:dyDescent="0.3">
      <c r="A28" s="175" t="s">
        <v>351</v>
      </c>
      <c r="B28" s="451">
        <f t="shared" ref="B28:F28" si="13">SUM(B7:B27)</f>
        <v>7106688</v>
      </c>
      <c r="C28" s="443">
        <f t="shared" si="13"/>
        <v>6687780.4900000002</v>
      </c>
      <c r="D28" s="443">
        <f t="shared" si="13"/>
        <v>6316826.0200000005</v>
      </c>
      <c r="E28" s="443">
        <f t="shared" si="13"/>
        <v>6070242</v>
      </c>
      <c r="F28" s="443">
        <f t="shared" si="13"/>
        <v>5917467.6499999985</v>
      </c>
      <c r="G28" s="443">
        <f>SUM(G7:G27)</f>
        <v>6419800.8319999985</v>
      </c>
      <c r="H28" s="443">
        <f t="shared" ref="H28:T28" si="14">SUM(H7:H27)</f>
        <v>1463537.1</v>
      </c>
      <c r="I28" s="443">
        <f t="shared" si="14"/>
        <v>4453930.55</v>
      </c>
      <c r="J28" s="443">
        <f>SUM(J7:J27)</f>
        <v>704611.81300999993</v>
      </c>
      <c r="K28" s="443">
        <f>SUM(K7:K27)</f>
        <v>866289.49197500001</v>
      </c>
      <c r="L28" s="443">
        <f>SUM(L7:L27)</f>
        <v>1199443.4971150004</v>
      </c>
      <c r="M28" s="442">
        <f>SUM(M7:M27)</f>
        <v>9869265.540000001</v>
      </c>
      <c r="N28" s="451">
        <f t="shared" si="14"/>
        <v>7418</v>
      </c>
      <c r="O28" s="452">
        <f>SUM(O7:O27)</f>
        <v>1832.8520000000003</v>
      </c>
      <c r="P28" s="452">
        <f>SUM(P7:P27)</f>
        <v>1832.8520000000003</v>
      </c>
      <c r="Q28" s="453">
        <f t="shared" si="14"/>
        <v>916.42600000000016</v>
      </c>
      <c r="R28" s="512">
        <f t="shared" si="14"/>
        <v>77368667.200000003</v>
      </c>
      <c r="S28" s="513">
        <f t="shared" si="14"/>
        <v>117547622.78000002</v>
      </c>
      <c r="T28" s="513">
        <f t="shared" si="14"/>
        <v>8791894</v>
      </c>
      <c r="U28" s="646">
        <f>SUM(U7:U27)</f>
        <v>21516.314404803205</v>
      </c>
      <c r="V28" s="647"/>
      <c r="W28" s="648">
        <f>SUM(W7:W27)</f>
        <v>11321.740941328062</v>
      </c>
      <c r="X28" s="649">
        <f>U28-W28</f>
        <v>10194.573463475142</v>
      </c>
      <c r="Y28" s="632"/>
      <c r="Z28" s="632">
        <f>SUM(Z7:Z27)</f>
        <v>963.49930000000006</v>
      </c>
      <c r="AA28" s="452"/>
      <c r="AB28" s="632">
        <f>SUM(AB7:AB27)</f>
        <v>3411.2692716500001</v>
      </c>
      <c r="AC28" s="706">
        <f>SUM(AC7:AC27)</f>
        <v>248694.14325799994</v>
      </c>
      <c r="AD28" s="707">
        <f>SUM(AD7:AD27)</f>
        <v>121523.83525700001</v>
      </c>
      <c r="AE28" s="708">
        <f>SUM(AE7:AE27)</f>
        <v>127170.30800100001</v>
      </c>
    </row>
    <row r="29" spans="1:31" x14ac:dyDescent="0.25">
      <c r="A29" s="80"/>
      <c r="W29" s="264"/>
      <c r="Y29" t="s">
        <v>154</v>
      </c>
    </row>
    <row r="30" spans="1:31" x14ac:dyDescent="0.25">
      <c r="A30" s="80"/>
      <c r="B30" s="565" t="s">
        <v>1033</v>
      </c>
      <c r="W30" s="264"/>
    </row>
    <row r="31" spans="1:31" x14ac:dyDescent="0.25">
      <c r="A31" s="80"/>
      <c r="B31" s="565" t="s">
        <v>1025</v>
      </c>
      <c r="W31" s="264"/>
    </row>
    <row r="32" spans="1:31" x14ac:dyDescent="0.25">
      <c r="A32" s="80"/>
      <c r="B32" s="373" t="s">
        <v>1032</v>
      </c>
      <c r="W32" s="264"/>
    </row>
    <row r="33" spans="1:27" x14ac:dyDescent="0.25">
      <c r="A33" s="80"/>
      <c r="B33" s="373" t="s">
        <v>1208</v>
      </c>
      <c r="W33" s="264"/>
    </row>
    <row r="34" spans="1:27" x14ac:dyDescent="0.25">
      <c r="A34" s="80"/>
      <c r="B34" s="384"/>
      <c r="W34" s="264"/>
    </row>
    <row r="35" spans="1:27" ht="13.8" thickBot="1" x14ac:dyDescent="0.3">
      <c r="A35" s="80" t="s">
        <v>148</v>
      </c>
      <c r="H35" s="475"/>
    </row>
    <row r="36" spans="1:27" ht="13.5" customHeight="1" thickBot="1" x14ac:dyDescent="0.3">
      <c r="A36" s="80"/>
      <c r="H36" s="51"/>
      <c r="I36" s="629"/>
      <c r="J36" s="629"/>
      <c r="K36" s="629"/>
      <c r="L36" s="629"/>
      <c r="W36" s="272" t="s">
        <v>612</v>
      </c>
      <c r="X36" s="271"/>
      <c r="Y36" s="271"/>
      <c r="Z36" s="271"/>
      <c r="AA36" s="271"/>
    </row>
    <row r="37" spans="1:27" ht="28.5" customHeight="1" x14ac:dyDescent="0.3">
      <c r="A37" s="194" t="s">
        <v>272</v>
      </c>
      <c r="B37" s="188" t="s">
        <v>451</v>
      </c>
      <c r="C37" s="189" t="s">
        <v>450</v>
      </c>
      <c r="D37" t="s">
        <v>105</v>
      </c>
      <c r="H37" s="1132" t="s">
        <v>1058</v>
      </c>
      <c r="I37" s="1133"/>
      <c r="J37" s="1133"/>
      <c r="K37" s="1133"/>
      <c r="L37" s="1134"/>
      <c r="W37" s="469" t="s">
        <v>614</v>
      </c>
      <c r="X37" s="51"/>
      <c r="Y37" s="51"/>
      <c r="AA37" s="51"/>
    </row>
    <row r="38" spans="1:27" ht="14.25" customHeight="1" x14ac:dyDescent="0.25">
      <c r="A38" s="190" t="s">
        <v>1209</v>
      </c>
      <c r="B38" s="470">
        <v>65.3</v>
      </c>
      <c r="C38" s="436">
        <v>56</v>
      </c>
      <c r="D38" s="57" t="s">
        <v>591</v>
      </c>
      <c r="G38" s="3"/>
      <c r="H38" s="609"/>
      <c r="I38" s="130" t="s">
        <v>1057</v>
      </c>
      <c r="J38" s="1" t="s">
        <v>1053</v>
      </c>
      <c r="K38" s="1" t="s">
        <v>1054</v>
      </c>
      <c r="L38" s="96" t="s">
        <v>1055</v>
      </c>
      <c r="N38" s="3"/>
      <c r="O38" s="3"/>
      <c r="Q38" s="3"/>
      <c r="V38" s="51"/>
      <c r="W38" s="76" t="s">
        <v>613</v>
      </c>
      <c r="Y38" s="51"/>
    </row>
    <row r="39" spans="1:27" ht="15.6" x14ac:dyDescent="0.25">
      <c r="A39" s="190" t="s">
        <v>1210</v>
      </c>
      <c r="B39" s="470">
        <v>27.3</v>
      </c>
      <c r="C39" s="436">
        <v>56</v>
      </c>
      <c r="D39" s="384" t="s">
        <v>1023</v>
      </c>
      <c r="E39" s="57"/>
      <c r="G39" s="3"/>
      <c r="H39" s="609" t="s">
        <v>462</v>
      </c>
      <c r="I39" s="623">
        <v>1</v>
      </c>
      <c r="J39" s="425">
        <v>5917467.6499999985</v>
      </c>
      <c r="K39" s="425">
        <v>1463537.1</v>
      </c>
      <c r="L39" s="624">
        <v>4453930.55</v>
      </c>
      <c r="N39" s="3"/>
      <c r="O39" s="3"/>
      <c r="Q39" s="3"/>
    </row>
    <row r="40" spans="1:27" x14ac:dyDescent="0.25">
      <c r="A40" s="190" t="s">
        <v>521</v>
      </c>
      <c r="B40" s="470">
        <v>125</v>
      </c>
      <c r="C40" s="436">
        <v>56</v>
      </c>
      <c r="D40" s="3"/>
      <c r="E40" s="353"/>
      <c r="F40" s="353"/>
      <c r="G40" s="3"/>
      <c r="H40" s="610"/>
      <c r="I40" s="611"/>
      <c r="J40" s="612"/>
      <c r="K40" s="612"/>
      <c r="L40" s="613"/>
      <c r="N40" s="3"/>
      <c r="O40" s="599"/>
      <c r="Q40" s="599"/>
      <c r="R40" s="57"/>
      <c r="S40" s="57"/>
    </row>
    <row r="41" spans="1:27" ht="15.6" x14ac:dyDescent="0.25">
      <c r="A41" s="190" t="s">
        <v>525</v>
      </c>
      <c r="B41" s="470">
        <v>32</v>
      </c>
      <c r="C41" s="436">
        <v>60</v>
      </c>
      <c r="D41" s="474"/>
      <c r="E41" s="353"/>
      <c r="F41" s="353"/>
      <c r="G41" s="3"/>
      <c r="H41" s="497" t="s">
        <v>1212</v>
      </c>
      <c r="I41" s="623">
        <v>0.15820000000000001</v>
      </c>
      <c r="J41" s="425">
        <f>J$39*$I$41</f>
        <v>936143.38222999976</v>
      </c>
      <c r="K41" s="425">
        <f>K$39*$I$41</f>
        <v>231531.56922000003</v>
      </c>
      <c r="L41" s="624">
        <f>L$39*$I$41</f>
        <v>704611.81301000004</v>
      </c>
      <c r="N41" s="356"/>
      <c r="O41" s="356"/>
      <c r="Q41" s="356"/>
      <c r="R41" s="57"/>
      <c r="S41" s="57"/>
    </row>
    <row r="42" spans="1:27" ht="16.2" thickBot="1" x14ac:dyDescent="0.3">
      <c r="A42" s="193" t="s">
        <v>522</v>
      </c>
      <c r="B42" s="471">
        <v>54</v>
      </c>
      <c r="C42" s="437">
        <v>60</v>
      </c>
      <c r="D42" s="474"/>
      <c r="E42" s="353"/>
      <c r="F42" s="353"/>
      <c r="G42" s="3"/>
      <c r="H42" s="497" t="s">
        <v>1213</v>
      </c>
      <c r="I42" s="623">
        <v>0.19450000000000001</v>
      </c>
      <c r="J42" s="425">
        <f>J$39*$I$42</f>
        <v>1150947.4579249998</v>
      </c>
      <c r="K42" s="425">
        <f>K$39*$I$42</f>
        <v>284657.96595000004</v>
      </c>
      <c r="L42" s="624">
        <f>L$39*$I$42</f>
        <v>866289.49197500001</v>
      </c>
      <c r="N42" s="356"/>
      <c r="O42" s="356"/>
      <c r="Q42" s="356"/>
    </row>
    <row r="43" spans="1:27" ht="13.8" thickBot="1" x14ac:dyDescent="0.3">
      <c r="A43" s="564" t="s">
        <v>1211</v>
      </c>
      <c r="D43" s="560"/>
      <c r="E43" s="353"/>
      <c r="F43" s="353"/>
      <c r="G43" s="3"/>
      <c r="H43" s="497" t="s">
        <v>1056</v>
      </c>
      <c r="I43" s="623">
        <v>0.26929999999999998</v>
      </c>
      <c r="J43" s="425">
        <f>J$39*$I$43</f>
        <v>1593574.0381449994</v>
      </c>
      <c r="K43" s="425">
        <f>K$39*$I$43</f>
        <v>394130.54103000002</v>
      </c>
      <c r="L43" s="624">
        <f>L$39*$I$43</f>
        <v>1199443.4971149999</v>
      </c>
      <c r="N43" s="356"/>
      <c r="O43" s="356"/>
      <c r="Q43" s="356"/>
    </row>
    <row r="44" spans="1:27" ht="16.2" thickBot="1" x14ac:dyDescent="0.3">
      <c r="A44" s="194" t="s">
        <v>289</v>
      </c>
      <c r="B44" s="188" t="s">
        <v>290</v>
      </c>
      <c r="C44" s="189" t="s">
        <v>291</v>
      </c>
      <c r="D44" s="3"/>
      <c r="E44" s="353"/>
      <c r="F44" s="353"/>
      <c r="G44" s="3"/>
      <c r="H44" s="499" t="s">
        <v>1214</v>
      </c>
      <c r="I44" s="625">
        <f>SUM(I41:I43)</f>
        <v>0.622</v>
      </c>
      <c r="J44" s="626">
        <f>SUM(J41:J43)</f>
        <v>3680664.8782999991</v>
      </c>
      <c r="K44" s="626">
        <f>SUM(K41:K43)</f>
        <v>910320.07620000001</v>
      </c>
      <c r="L44" s="627">
        <f>SUM(L41:L43)</f>
        <v>2770344.8021</v>
      </c>
      <c r="N44" s="356"/>
      <c r="O44" s="356"/>
      <c r="Q44" s="356"/>
    </row>
    <row r="45" spans="1:27" x14ac:dyDescent="0.25">
      <c r="A45" s="197" t="s">
        <v>411</v>
      </c>
      <c r="B45" s="470">
        <v>4.8</v>
      </c>
      <c r="C45" s="436">
        <v>4.5</v>
      </c>
      <c r="D45" s="474" t="s">
        <v>617</v>
      </c>
      <c r="F45" s="30"/>
      <c r="G45" s="3"/>
      <c r="H45" s="615" t="s">
        <v>1215</v>
      </c>
      <c r="I45" s="31"/>
      <c r="J45" s="31"/>
      <c r="K45" s="31"/>
      <c r="L45" s="600"/>
      <c r="N45" s="356"/>
      <c r="O45" s="356"/>
      <c r="Q45" s="356"/>
    </row>
    <row r="46" spans="1:27" ht="13.8" thickBot="1" x14ac:dyDescent="0.3">
      <c r="A46" s="198" t="s">
        <v>288</v>
      </c>
      <c r="B46" s="471">
        <v>5</v>
      </c>
      <c r="C46" s="437">
        <v>4.46</v>
      </c>
      <c r="D46" s="3"/>
      <c r="E46" s="3"/>
      <c r="F46" s="3"/>
      <c r="G46" s="3"/>
      <c r="H46" s="373" t="s">
        <v>1216</v>
      </c>
      <c r="I46" s="31"/>
      <c r="J46" s="31"/>
      <c r="K46" s="31"/>
      <c r="L46" s="600"/>
      <c r="M46" s="3"/>
      <c r="N46" s="3"/>
      <c r="O46" s="3"/>
      <c r="Q46" s="3"/>
    </row>
    <row r="47" spans="1:27" ht="13.8" thickBot="1" x14ac:dyDescent="0.3">
      <c r="C47" s="3"/>
      <c r="D47" s="29"/>
      <c r="E47" s="29"/>
      <c r="F47" s="29"/>
      <c r="G47" s="29"/>
      <c r="H47" s="614" t="s">
        <v>1217</v>
      </c>
      <c r="I47" s="31"/>
      <c r="J47" s="31"/>
      <c r="K47" s="597"/>
      <c r="L47" s="3"/>
      <c r="M47" s="3"/>
      <c r="N47" s="3"/>
      <c r="O47" s="3"/>
      <c r="Q47" s="3"/>
    </row>
    <row r="48" spans="1:27" ht="28.5" customHeight="1" x14ac:dyDescent="0.25">
      <c r="A48" s="194" t="s">
        <v>526</v>
      </c>
      <c r="B48" s="189" t="s">
        <v>452</v>
      </c>
      <c r="C48" s="121"/>
      <c r="D48" s="3"/>
      <c r="E48" s="3"/>
      <c r="F48" s="3"/>
      <c r="G48" s="3"/>
      <c r="M48" s="3"/>
      <c r="N48" s="3"/>
      <c r="O48" s="3"/>
      <c r="Q48" s="3"/>
    </row>
    <row r="49" spans="1:17" x14ac:dyDescent="0.25">
      <c r="A49" s="190" t="s">
        <v>527</v>
      </c>
      <c r="B49" s="195">
        <v>1</v>
      </c>
      <c r="D49" s="59"/>
      <c r="E49" s="59"/>
      <c r="F49" s="59"/>
      <c r="G49" s="59"/>
      <c r="H49" s="356"/>
      <c r="I49" s="3"/>
      <c r="J49" s="3"/>
      <c r="K49" s="3"/>
      <c r="L49" s="3"/>
      <c r="M49" s="3"/>
      <c r="N49" s="3"/>
      <c r="O49" s="3"/>
      <c r="Q49" s="3"/>
    </row>
    <row r="50" spans="1:17" x14ac:dyDescent="0.25">
      <c r="A50" s="190" t="s">
        <v>520</v>
      </c>
      <c r="B50" s="195">
        <v>2.25</v>
      </c>
      <c r="D50" s="3"/>
      <c r="E50" s="3"/>
      <c r="F50" s="3"/>
      <c r="G50" s="3"/>
      <c r="H50" s="356"/>
      <c r="I50" s="31"/>
      <c r="J50" s="3"/>
      <c r="K50" s="31"/>
      <c r="L50" s="3"/>
      <c r="M50" s="3"/>
      <c r="N50" s="3"/>
      <c r="O50" s="3"/>
      <c r="Q50" s="3"/>
    </row>
    <row r="51" spans="1:17" x14ac:dyDescent="0.25">
      <c r="A51" s="190" t="s">
        <v>521</v>
      </c>
      <c r="B51" s="195">
        <v>2.5</v>
      </c>
      <c r="C51" s="372"/>
      <c r="D51" s="3"/>
      <c r="E51" s="3"/>
      <c r="F51" s="3"/>
      <c r="G51" s="438"/>
      <c r="H51" s="356"/>
      <c r="I51" s="304"/>
      <c r="J51" s="3"/>
      <c r="K51" s="598"/>
      <c r="L51" s="3"/>
      <c r="M51" s="3"/>
      <c r="N51" s="3"/>
      <c r="O51" s="3"/>
      <c r="Q51" s="3"/>
    </row>
    <row r="52" spans="1:17" x14ac:dyDescent="0.25">
      <c r="A52" s="190" t="s">
        <v>528</v>
      </c>
      <c r="B52" s="507">
        <v>16.399999999999999</v>
      </c>
      <c r="C52" s="372"/>
      <c r="D52" s="3"/>
      <c r="E52" s="3"/>
      <c r="F52" s="3"/>
      <c r="G52" s="3"/>
      <c r="H52" s="356"/>
      <c r="I52" s="304"/>
      <c r="J52" s="3"/>
      <c r="K52" s="3"/>
      <c r="L52" s="3"/>
      <c r="M52" s="3"/>
      <c r="N52" s="3"/>
      <c r="O52" s="3"/>
      <c r="Q52" s="3"/>
    </row>
    <row r="53" spans="1:17" x14ac:dyDescent="0.25">
      <c r="A53" s="190" t="s">
        <v>529</v>
      </c>
      <c r="B53" s="195">
        <v>3.2</v>
      </c>
      <c r="D53" s="3"/>
      <c r="E53" s="3"/>
      <c r="F53" s="3"/>
      <c r="G53" s="3"/>
      <c r="H53" s="356"/>
      <c r="I53" s="305"/>
      <c r="J53" s="304"/>
      <c r="K53" s="3"/>
      <c r="L53" s="3"/>
      <c r="M53" s="3"/>
      <c r="N53" s="3"/>
      <c r="O53" s="3"/>
      <c r="Q53" s="3"/>
    </row>
    <row r="54" spans="1:17" x14ac:dyDescent="0.25">
      <c r="A54" s="190" t="s">
        <v>530</v>
      </c>
      <c r="B54" s="195">
        <v>1.7</v>
      </c>
      <c r="D54" s="3"/>
      <c r="E54" s="3"/>
      <c r="F54" s="3"/>
      <c r="G54" s="3"/>
      <c r="H54" s="356"/>
      <c r="I54" s="3"/>
      <c r="J54" s="3"/>
      <c r="K54" s="3"/>
      <c r="L54" s="3"/>
      <c r="M54" s="3"/>
      <c r="N54" s="3"/>
      <c r="O54" s="3"/>
      <c r="Q54" s="3"/>
    </row>
    <row r="55" spans="1:17" ht="13.8" thickBot="1" x14ac:dyDescent="0.3">
      <c r="A55" s="193" t="s">
        <v>522</v>
      </c>
      <c r="B55" s="196">
        <v>1.75</v>
      </c>
      <c r="D55" s="3"/>
      <c r="E55" s="3"/>
      <c r="F55" s="3"/>
      <c r="G55" s="3"/>
      <c r="H55" s="356"/>
      <c r="I55" s="304"/>
      <c r="J55" s="3"/>
      <c r="K55" s="3"/>
      <c r="L55" s="3"/>
      <c r="M55" s="3"/>
      <c r="N55" s="3"/>
      <c r="O55" s="3"/>
      <c r="Q55" s="3"/>
    </row>
    <row r="56" spans="1:17" ht="13.8" thickBot="1" x14ac:dyDescent="0.3">
      <c r="D56" s="3"/>
      <c r="E56" s="3"/>
      <c r="F56" s="3"/>
      <c r="G56" s="3"/>
      <c r="H56" s="356"/>
      <c r="I56" s="304"/>
      <c r="J56" s="3"/>
      <c r="K56" s="3"/>
      <c r="L56" s="3"/>
      <c r="M56" s="3"/>
      <c r="N56" s="3"/>
      <c r="O56" s="3"/>
      <c r="Q56" s="3"/>
    </row>
    <row r="57" spans="1:17" ht="42.75" customHeight="1" x14ac:dyDescent="0.25">
      <c r="A57" s="187" t="s">
        <v>531</v>
      </c>
      <c r="B57" s="188" t="s">
        <v>532</v>
      </c>
      <c r="C57" s="188" t="s">
        <v>1219</v>
      </c>
      <c r="D57" s="188" t="s">
        <v>1220</v>
      </c>
      <c r="E57" s="189" t="s">
        <v>1221</v>
      </c>
      <c r="F57" s="59"/>
      <c r="G57" s="3"/>
      <c r="H57" s="356"/>
      <c r="I57" s="305"/>
      <c r="J57" s="3"/>
      <c r="K57" s="3"/>
      <c r="L57" s="3"/>
      <c r="M57" s="3"/>
      <c r="N57" s="3"/>
      <c r="O57" s="3"/>
      <c r="Q57" s="3"/>
    </row>
    <row r="58" spans="1:17" x14ac:dyDescent="0.25">
      <c r="A58" s="190" t="s">
        <v>535</v>
      </c>
      <c r="B58" s="23"/>
      <c r="C58" s="23"/>
      <c r="D58" s="14"/>
      <c r="E58" s="191"/>
      <c r="F58" s="3"/>
      <c r="G58" s="3"/>
      <c r="H58" s="356"/>
      <c r="I58" s="601"/>
      <c r="J58" s="1129"/>
      <c r="K58" s="1129"/>
      <c r="L58" s="1129"/>
      <c r="M58" s="3"/>
      <c r="N58" s="3"/>
      <c r="O58" s="3"/>
      <c r="Q58" s="3"/>
    </row>
    <row r="59" spans="1:17" x14ac:dyDescent="0.25">
      <c r="A59" s="192" t="s">
        <v>536</v>
      </c>
      <c r="B59" s="481">
        <v>650</v>
      </c>
      <c r="C59" s="481">
        <f>AVERAGE(106.2,49.1)*365</f>
        <v>28342.250000000004</v>
      </c>
      <c r="D59" s="537">
        <v>0.2</v>
      </c>
      <c r="E59" s="538">
        <v>4</v>
      </c>
      <c r="F59" s="29"/>
      <c r="G59" s="3"/>
      <c r="H59" s="33"/>
      <c r="I59" s="33"/>
      <c r="J59" s="1129"/>
      <c r="K59" s="1129"/>
      <c r="L59" s="1129"/>
      <c r="M59" s="3"/>
      <c r="N59" s="3"/>
      <c r="O59" s="3"/>
      <c r="Q59" s="3"/>
    </row>
    <row r="60" spans="1:17" x14ac:dyDescent="0.25">
      <c r="A60" s="192" t="s">
        <v>537</v>
      </c>
      <c r="B60" s="481">
        <v>1000</v>
      </c>
      <c r="C60" s="481">
        <f>92*365</f>
        <v>33580</v>
      </c>
      <c r="D60" s="537">
        <v>0.2</v>
      </c>
      <c r="E60" s="538">
        <v>4</v>
      </c>
      <c r="F60" s="29"/>
      <c r="G60" s="3"/>
      <c r="H60" s="33"/>
      <c r="I60" s="31"/>
      <c r="J60" s="31"/>
      <c r="K60" s="34"/>
      <c r="L60" s="3"/>
      <c r="M60" s="3"/>
      <c r="N60" s="3"/>
      <c r="O60" s="3"/>
      <c r="P60" s="3"/>
      <c r="Q60" s="3"/>
    </row>
    <row r="61" spans="1:17" x14ac:dyDescent="0.25">
      <c r="A61" s="190" t="s">
        <v>539</v>
      </c>
      <c r="B61" s="481"/>
      <c r="C61" s="481"/>
      <c r="D61" s="537"/>
      <c r="E61" s="538"/>
      <c r="F61" s="3"/>
      <c r="G61" s="3"/>
      <c r="H61" s="33"/>
      <c r="I61" s="33"/>
      <c r="J61" s="33"/>
      <c r="K61" s="34"/>
      <c r="L61" s="51"/>
    </row>
    <row r="62" spans="1:17" x14ac:dyDescent="0.25">
      <c r="A62" s="192" t="s">
        <v>540</v>
      </c>
      <c r="B62" s="481">
        <v>350</v>
      </c>
      <c r="C62" s="481">
        <f>80*365</f>
        <v>29200</v>
      </c>
      <c r="D62" s="537">
        <v>0.75</v>
      </c>
      <c r="E62" s="538">
        <v>5</v>
      </c>
      <c r="F62" s="29" t="s">
        <v>106</v>
      </c>
      <c r="G62" s="3"/>
      <c r="H62" s="33"/>
      <c r="I62" s="33"/>
      <c r="J62" s="33"/>
      <c r="K62" s="34"/>
      <c r="L62" s="51"/>
      <c r="M62" s="553"/>
      <c r="N62" s="556"/>
    </row>
    <row r="63" spans="1:17" x14ac:dyDescent="0.25">
      <c r="A63" s="192" t="s">
        <v>541</v>
      </c>
      <c r="B63" s="481">
        <v>950</v>
      </c>
      <c r="C63" s="481">
        <f>80*365</f>
        <v>29200</v>
      </c>
      <c r="D63" s="537">
        <v>0.5</v>
      </c>
      <c r="E63" s="538">
        <v>5</v>
      </c>
      <c r="F63" s="29" t="s">
        <v>107</v>
      </c>
      <c r="G63" s="3"/>
      <c r="H63" s="33"/>
      <c r="I63" s="33"/>
      <c r="J63" s="33"/>
      <c r="K63" s="34"/>
      <c r="L63" s="51"/>
      <c r="M63" s="553"/>
      <c r="N63" s="556"/>
    </row>
    <row r="64" spans="1:17" x14ac:dyDescent="0.25">
      <c r="A64" s="192" t="s">
        <v>542</v>
      </c>
      <c r="B64" s="481">
        <v>1400</v>
      </c>
      <c r="C64" s="481">
        <f>111*365</f>
        <v>40515</v>
      </c>
      <c r="D64" s="537">
        <v>0.75</v>
      </c>
      <c r="E64" s="538">
        <v>10</v>
      </c>
      <c r="F64" s="29" t="s">
        <v>108</v>
      </c>
      <c r="G64" s="32"/>
      <c r="H64" s="33"/>
      <c r="I64" s="33"/>
      <c r="J64" s="33"/>
      <c r="K64" s="34"/>
      <c r="L64" s="3"/>
      <c r="M64" s="553"/>
      <c r="N64" s="556"/>
    </row>
    <row r="65" spans="1:16" x14ac:dyDescent="0.25">
      <c r="A65" s="192" t="s">
        <v>543</v>
      </c>
      <c r="B65" s="481">
        <v>1450</v>
      </c>
      <c r="C65" s="481">
        <f>51*365</f>
        <v>18615</v>
      </c>
      <c r="D65" s="537">
        <v>0.5</v>
      </c>
      <c r="E65" s="538">
        <v>5</v>
      </c>
      <c r="F65" s="29"/>
      <c r="G65" s="3"/>
      <c r="H65" s="3"/>
      <c r="I65" s="3"/>
      <c r="J65" s="3"/>
      <c r="K65" s="60"/>
      <c r="L65" s="60"/>
      <c r="M65" s="552"/>
      <c r="N65" s="557"/>
      <c r="O65" s="3"/>
    </row>
    <row r="66" spans="1:16" x14ac:dyDescent="0.25">
      <c r="A66" s="190" t="s">
        <v>545</v>
      </c>
      <c r="B66" s="481">
        <v>1000</v>
      </c>
      <c r="C66" s="481">
        <f>55.5*365</f>
        <v>20257.5</v>
      </c>
      <c r="D66" s="537">
        <v>0.5</v>
      </c>
      <c r="E66" s="538">
        <v>15</v>
      </c>
      <c r="F66" s="3"/>
      <c r="G66" s="59"/>
      <c r="H66" s="59"/>
      <c r="I66" s="59"/>
      <c r="J66" s="59"/>
      <c r="K66" s="59"/>
      <c r="L66" s="59"/>
      <c r="M66" s="554"/>
      <c r="N66" s="558"/>
      <c r="O66" s="3"/>
    </row>
    <row r="67" spans="1:16" x14ac:dyDescent="0.25">
      <c r="A67" s="190" t="s">
        <v>546</v>
      </c>
      <c r="B67" s="481">
        <v>100</v>
      </c>
      <c r="C67" s="481">
        <f>41*365</f>
        <v>14965</v>
      </c>
      <c r="D67" s="537">
        <v>0.2</v>
      </c>
      <c r="E67" s="538">
        <v>1</v>
      </c>
      <c r="F67" s="628" t="s">
        <v>1004</v>
      </c>
      <c r="G67" s="3"/>
      <c r="H67" s="3"/>
      <c r="I67" s="3"/>
      <c r="J67" s="3"/>
      <c r="K67" s="31"/>
      <c r="L67" s="31"/>
      <c r="M67" s="555"/>
      <c r="N67" s="559"/>
      <c r="O67" s="3"/>
    </row>
    <row r="68" spans="1:16" x14ac:dyDescent="0.25">
      <c r="A68" s="190" t="s">
        <v>547</v>
      </c>
      <c r="B68" s="481">
        <v>100</v>
      </c>
      <c r="C68" s="481">
        <f>41*365</f>
        <v>14965</v>
      </c>
      <c r="D68" s="537">
        <v>0.2</v>
      </c>
      <c r="E68" s="538">
        <v>1</v>
      </c>
      <c r="F68" s="3"/>
      <c r="G68" s="29"/>
      <c r="H68" s="29"/>
      <c r="I68" s="29"/>
      <c r="J68" s="29"/>
      <c r="K68" s="3"/>
      <c r="L68" s="3"/>
      <c r="M68" s="474"/>
      <c r="N68" s="3"/>
      <c r="O68" s="3"/>
    </row>
    <row r="69" spans="1:16" x14ac:dyDescent="0.25">
      <c r="A69" s="190" t="s">
        <v>548</v>
      </c>
      <c r="B69" s="481"/>
      <c r="C69" s="481"/>
      <c r="D69" s="537"/>
      <c r="E69" s="538"/>
      <c r="F69" s="3"/>
      <c r="G69" s="29"/>
      <c r="H69" s="29"/>
      <c r="I69" s="29"/>
      <c r="J69" s="29"/>
      <c r="K69" s="3"/>
      <c r="L69" s="3"/>
      <c r="M69" s="3"/>
      <c r="N69" s="3"/>
      <c r="O69" s="3"/>
    </row>
    <row r="70" spans="1:16" x14ac:dyDescent="0.25">
      <c r="A70" s="192" t="s">
        <v>549</v>
      </c>
      <c r="B70" s="481">
        <v>150</v>
      </c>
      <c r="C70" s="481">
        <f>49*365</f>
        <v>17885</v>
      </c>
      <c r="D70" s="537">
        <v>0.5</v>
      </c>
      <c r="E70" s="538">
        <v>0</v>
      </c>
      <c r="F70" s="29"/>
      <c r="G70" s="3"/>
      <c r="H70" s="3"/>
      <c r="I70" s="3"/>
      <c r="J70" s="3"/>
      <c r="K70" s="31"/>
      <c r="L70" s="31"/>
      <c r="M70" s="31"/>
      <c r="N70" s="31"/>
      <c r="O70" s="3"/>
    </row>
    <row r="71" spans="1:16" x14ac:dyDescent="0.25">
      <c r="A71" s="192" t="s">
        <v>550</v>
      </c>
      <c r="B71" s="481">
        <v>400</v>
      </c>
      <c r="C71" s="481">
        <f>47*365</f>
        <v>17155</v>
      </c>
      <c r="D71" s="537">
        <v>0.5</v>
      </c>
      <c r="E71" s="538">
        <v>0</v>
      </c>
      <c r="F71" s="29"/>
      <c r="G71" s="29"/>
      <c r="H71" s="29"/>
      <c r="I71" s="29"/>
      <c r="J71" s="29"/>
      <c r="K71" s="3"/>
      <c r="L71" s="3"/>
      <c r="M71" s="3"/>
      <c r="N71" s="3"/>
      <c r="O71" s="3"/>
    </row>
    <row r="72" spans="1:16" x14ac:dyDescent="0.25">
      <c r="A72" s="190" t="s">
        <v>551</v>
      </c>
      <c r="B72" s="481">
        <v>5</v>
      </c>
      <c r="C72" s="481">
        <f>50*365</f>
        <v>18250</v>
      </c>
      <c r="D72" s="539">
        <v>0.75</v>
      </c>
      <c r="E72" s="538">
        <v>0</v>
      </c>
      <c r="F72" s="3"/>
      <c r="G72" s="29"/>
      <c r="H72" s="29"/>
      <c r="I72" s="29"/>
      <c r="J72" s="29"/>
      <c r="K72" s="3"/>
      <c r="L72" s="3"/>
      <c r="M72" s="3"/>
      <c r="N72" s="3"/>
      <c r="O72" s="3"/>
    </row>
    <row r="73" spans="1:16" ht="13.8" thickBot="1" x14ac:dyDescent="0.3">
      <c r="A73" s="193" t="s">
        <v>552</v>
      </c>
      <c r="B73" s="482">
        <v>20</v>
      </c>
      <c r="C73" s="482">
        <f>37*365</f>
        <v>13505</v>
      </c>
      <c r="D73" s="540">
        <v>0.75</v>
      </c>
      <c r="E73" s="541">
        <v>0.1</v>
      </c>
      <c r="F73" s="3"/>
      <c r="G73" s="29"/>
      <c r="H73" s="29"/>
      <c r="I73" s="29"/>
      <c r="J73" s="29"/>
      <c r="K73" s="3"/>
      <c r="L73" s="3"/>
      <c r="M73" s="3"/>
      <c r="N73" s="3"/>
      <c r="O73" s="3"/>
    </row>
    <row r="74" spans="1:16" x14ac:dyDescent="0.25">
      <c r="G74" s="29"/>
      <c r="H74" s="29"/>
      <c r="I74" s="29"/>
      <c r="J74" s="29"/>
      <c r="K74" s="3"/>
      <c r="L74" s="3"/>
      <c r="M74" s="3"/>
      <c r="N74" s="3"/>
      <c r="O74" s="3"/>
    </row>
    <row r="75" spans="1:16" ht="13.8" thickBot="1" x14ac:dyDescent="0.3">
      <c r="G75" s="29"/>
      <c r="H75" s="29"/>
      <c r="I75" s="29"/>
      <c r="J75" s="29"/>
      <c r="K75" s="3"/>
      <c r="L75" s="3"/>
      <c r="M75" s="3"/>
      <c r="N75" s="3"/>
      <c r="O75" s="3"/>
    </row>
    <row r="76" spans="1:16" x14ac:dyDescent="0.25">
      <c r="A76" s="181"/>
      <c r="B76" s="1130" t="s">
        <v>326</v>
      </c>
      <c r="C76" s="1130"/>
      <c r="D76" s="1130" t="s">
        <v>327</v>
      </c>
      <c r="E76" s="1131"/>
      <c r="G76" s="29"/>
      <c r="H76" s="29"/>
      <c r="I76" s="29"/>
      <c r="J76" s="29"/>
      <c r="K76" s="29"/>
      <c r="L76" s="3"/>
      <c r="M76" s="3"/>
      <c r="N76" s="3"/>
      <c r="O76" s="3"/>
      <c r="P76" s="3"/>
    </row>
    <row r="77" spans="1:16" ht="27" customHeight="1" x14ac:dyDescent="0.25">
      <c r="A77" s="182">
        <v>2.2000000000000002</v>
      </c>
      <c r="B77" s="82" t="s">
        <v>329</v>
      </c>
      <c r="C77" s="82" t="s">
        <v>330</v>
      </c>
      <c r="D77" s="435" t="s">
        <v>329</v>
      </c>
      <c r="E77" s="183" t="s">
        <v>330</v>
      </c>
      <c r="G77" s="29"/>
      <c r="H77" s="29"/>
      <c r="I77" s="29"/>
      <c r="J77" s="29"/>
      <c r="K77" s="29"/>
      <c r="L77" s="3"/>
      <c r="M77" s="3"/>
      <c r="N77" s="3"/>
      <c r="O77" s="3"/>
      <c r="P77" s="3"/>
    </row>
    <row r="78" spans="1:16" x14ac:dyDescent="0.25">
      <c r="A78" s="184" t="s">
        <v>332</v>
      </c>
      <c r="B78" s="840">
        <v>2843</v>
      </c>
      <c r="C78" s="840">
        <v>4.0199999999999996</v>
      </c>
      <c r="D78" s="840">
        <v>5750</v>
      </c>
      <c r="E78" s="841">
        <v>6.07</v>
      </c>
      <c r="F78" s="384" t="s">
        <v>1565</v>
      </c>
      <c r="G78" s="29"/>
      <c r="H78" s="29"/>
      <c r="I78" s="29"/>
      <c r="J78" s="29"/>
      <c r="K78" s="29"/>
      <c r="L78" s="3"/>
      <c r="M78" s="3"/>
      <c r="N78" s="3"/>
      <c r="O78" s="3"/>
      <c r="P78" s="3"/>
    </row>
    <row r="79" spans="1:16" ht="13.8" thickBot="1" x14ac:dyDescent="0.3">
      <c r="A79" s="185" t="s">
        <v>334</v>
      </c>
      <c r="B79" s="842">
        <f>ROUND(B78*$A$77,1)</f>
        <v>6254.6</v>
      </c>
      <c r="C79" s="842">
        <f>ROUND(C78*$A$77,1)</f>
        <v>8.8000000000000007</v>
      </c>
      <c r="D79" s="842">
        <f>ROUND(D78*$A$77,1)</f>
        <v>12650</v>
      </c>
      <c r="E79" s="843">
        <v>13.37</v>
      </c>
      <c r="G79" s="29"/>
      <c r="H79" s="29"/>
      <c r="I79" s="29"/>
      <c r="J79" s="29"/>
      <c r="K79" s="29"/>
      <c r="L79" s="3"/>
      <c r="M79" s="3"/>
      <c r="N79" s="3"/>
      <c r="O79" s="3"/>
      <c r="P79" s="3"/>
    </row>
    <row r="80" spans="1:16" ht="13.8" thickBot="1" x14ac:dyDescent="0.3">
      <c r="G80" s="29"/>
      <c r="H80" s="29"/>
      <c r="I80" s="29"/>
      <c r="J80" s="29"/>
      <c r="K80" s="29"/>
      <c r="L80" s="3"/>
      <c r="M80" s="3"/>
      <c r="N80" s="3"/>
      <c r="O80" s="3"/>
      <c r="P80" s="3"/>
    </row>
    <row r="81" spans="1:17" ht="42" customHeight="1" x14ac:dyDescent="0.25">
      <c r="A81" s="561" t="s">
        <v>1336</v>
      </c>
      <c r="B81" s="562" t="s">
        <v>1337</v>
      </c>
      <c r="C81" s="562" t="s">
        <v>592</v>
      </c>
      <c r="D81" s="562" t="s">
        <v>593</v>
      </c>
      <c r="E81" s="563" t="s">
        <v>594</v>
      </c>
      <c r="F81" s="852" t="s">
        <v>1344</v>
      </c>
      <c r="G81" s="29"/>
      <c r="H81" s="29"/>
      <c r="I81" s="29"/>
      <c r="J81" s="29"/>
      <c r="K81" s="29"/>
      <c r="L81" s="3"/>
      <c r="M81" s="3"/>
      <c r="N81" s="3"/>
      <c r="O81" s="3"/>
      <c r="P81" s="3"/>
    </row>
    <row r="82" spans="1:17" ht="15.6" x14ac:dyDescent="0.25">
      <c r="A82" s="497" t="s">
        <v>1333</v>
      </c>
      <c r="B82" s="847">
        <v>-1.3583279735530641E-4</v>
      </c>
      <c r="C82" s="847">
        <f>(1+B82)^5 - 1</f>
        <v>-6.7897950634820958E-4</v>
      </c>
      <c r="D82" s="847">
        <f>(1+B82)^10-1</f>
        <v>-1.3574979995264469E-3</v>
      </c>
      <c r="E82" s="848">
        <f>(1+B82)^15-1</f>
        <v>-2.0355557925529899E-3</v>
      </c>
      <c r="F82" s="373" t="s">
        <v>1218</v>
      </c>
      <c r="G82" s="29"/>
      <c r="H82" s="29"/>
      <c r="I82" s="29"/>
      <c r="J82" s="29"/>
      <c r="K82" s="29"/>
      <c r="L82" s="3"/>
      <c r="M82" s="3"/>
      <c r="N82" s="3"/>
      <c r="O82" s="3"/>
      <c r="P82" s="3"/>
    </row>
    <row r="83" spans="1:17" x14ac:dyDescent="0.25">
      <c r="A83" s="609" t="s">
        <v>1334</v>
      </c>
      <c r="B83" s="849">
        <v>9.8463969116557859E-3</v>
      </c>
      <c r="C83" s="847">
        <f t="shared" ref="C83:C84" si="15">(1+B83)^5 - 1</f>
        <v>5.0211093202914281E-2</v>
      </c>
      <c r="D83" s="847">
        <f t="shared" ref="D83:D84" si="16">(1+B83)^10-1</f>
        <v>0.10294334028646035</v>
      </c>
      <c r="E83" s="848">
        <f t="shared" ref="E83:E84" si="17">(1+B83)^15-1</f>
        <v>0.15832333114311758</v>
      </c>
      <c r="F83" s="615" t="s">
        <v>1024</v>
      </c>
      <c r="G83" s="29"/>
      <c r="H83" s="29"/>
      <c r="I83" s="29"/>
      <c r="J83" s="29"/>
      <c r="K83" s="29"/>
      <c r="L83" s="3"/>
      <c r="M83" s="3"/>
      <c r="N83" s="3"/>
      <c r="O83" s="3"/>
      <c r="P83" s="3"/>
    </row>
    <row r="84" spans="1:17" ht="13.8" thickBot="1" x14ac:dyDescent="0.3">
      <c r="A84" s="186" t="s">
        <v>1335</v>
      </c>
      <c r="B84" s="853">
        <v>1.8033022772617462E-2</v>
      </c>
      <c r="C84" s="854">
        <f t="shared" si="15"/>
        <v>9.3476185186200711E-2</v>
      </c>
      <c r="D84" s="854">
        <f t="shared" si="16"/>
        <v>0.1956901675693663</v>
      </c>
      <c r="E84" s="855">
        <f t="shared" si="17"/>
        <v>0.30745872309839961</v>
      </c>
      <c r="F84" s="615"/>
      <c r="G84" s="29"/>
      <c r="H84" s="29"/>
      <c r="I84" s="29"/>
      <c r="J84" s="29"/>
      <c r="K84" s="29"/>
      <c r="L84" s="3"/>
      <c r="M84" s="3"/>
      <c r="N84" s="3"/>
      <c r="O84" s="3"/>
      <c r="P84" s="3"/>
    </row>
    <row r="85" spans="1:17" x14ac:dyDescent="0.25">
      <c r="H85" s="3"/>
      <c r="I85" s="3"/>
      <c r="J85" s="3"/>
      <c r="K85" s="3"/>
      <c r="L85" s="3"/>
      <c r="M85" s="31"/>
      <c r="N85" s="31"/>
      <c r="O85" s="31"/>
      <c r="P85" s="31"/>
      <c r="Q85" s="3"/>
    </row>
    <row r="86" spans="1:17" x14ac:dyDescent="0.25">
      <c r="A86" s="1116" t="s">
        <v>204</v>
      </c>
      <c r="B86" s="1117"/>
      <c r="C86" s="1117"/>
      <c r="D86" s="1117"/>
      <c r="E86" s="1117"/>
      <c r="F86" s="1117"/>
      <c r="G86" s="1117"/>
    </row>
    <row r="87" spans="1:17" x14ac:dyDescent="0.25">
      <c r="A87" s="1117"/>
      <c r="B87" s="1117"/>
      <c r="C87" s="1117"/>
      <c r="D87" s="1117"/>
      <c r="E87" s="1117"/>
      <c r="F87" s="1117"/>
      <c r="G87" s="1117"/>
    </row>
    <row r="88" spans="1:17" x14ac:dyDescent="0.25">
      <c r="A88" s="1117"/>
      <c r="B88" s="1117"/>
      <c r="C88" s="1117"/>
      <c r="D88" s="1117"/>
      <c r="E88" s="1117"/>
      <c r="F88" s="1117"/>
      <c r="G88" s="1117"/>
    </row>
    <row r="89" spans="1:17" ht="13.8" thickBot="1" x14ac:dyDescent="0.3">
      <c r="A89" s="290"/>
      <c r="B89" s="290"/>
      <c r="C89" s="290"/>
      <c r="D89" s="290"/>
      <c r="E89" s="273"/>
      <c r="F89" s="273"/>
      <c r="L89" s="812"/>
    </row>
    <row r="90" spans="1:17" ht="12.75" customHeight="1" x14ac:dyDescent="0.25">
      <c r="B90" s="1109" t="s">
        <v>618</v>
      </c>
      <c r="C90" s="1110"/>
      <c r="D90" s="1110"/>
      <c r="E90" s="1110"/>
      <c r="F90" s="1110"/>
      <c r="G90" s="1110"/>
      <c r="H90" s="1110"/>
      <c r="I90" s="1111"/>
      <c r="J90" s="1112"/>
      <c r="K90" s="1112"/>
      <c r="L90" s="1112"/>
      <c r="M90" s="1112"/>
      <c r="N90" s="1112"/>
      <c r="O90" s="1112"/>
      <c r="P90" s="1112"/>
      <c r="Q90" s="1112"/>
    </row>
    <row r="91" spans="1:17" ht="57.75" customHeight="1" x14ac:dyDescent="0.25">
      <c r="A91" s="813" t="s">
        <v>322</v>
      </c>
      <c r="B91" s="815">
        <v>2010</v>
      </c>
      <c r="C91" s="423">
        <v>2015</v>
      </c>
      <c r="D91" s="423">
        <v>2020</v>
      </c>
      <c r="E91" s="423">
        <v>2025</v>
      </c>
      <c r="F91" s="616"/>
      <c r="G91" s="424" t="s">
        <v>592</v>
      </c>
      <c r="H91" s="424" t="s">
        <v>593</v>
      </c>
      <c r="I91" s="816" t="s">
        <v>594</v>
      </c>
      <c r="J91" s="824"/>
      <c r="K91" s="827"/>
      <c r="L91" s="827"/>
      <c r="M91" s="827"/>
      <c r="N91" s="3"/>
      <c r="O91" s="828"/>
      <c r="P91" s="828"/>
      <c r="Q91" s="828"/>
    </row>
    <row r="92" spans="1:17" x14ac:dyDescent="0.25">
      <c r="A92" s="814" t="s">
        <v>403</v>
      </c>
      <c r="B92" s="817">
        <v>274549</v>
      </c>
      <c r="C92" s="425">
        <f>G92*B92+B92</f>
        <v>283173.04471544718</v>
      </c>
      <c r="D92" s="425">
        <f>B92*H92+B92</f>
        <v>292000.00813008129</v>
      </c>
      <c r="E92" s="425">
        <f>I92*B92+B92</f>
        <v>301841.56504065043</v>
      </c>
      <c r="F92" s="617"/>
      <c r="G92" s="426">
        <v>3.1411677753141166E-2</v>
      </c>
      <c r="H92" s="427">
        <v>6.3562453806356251E-2</v>
      </c>
      <c r="I92" s="818">
        <v>9.9408721359940874E-2</v>
      </c>
      <c r="J92" s="825"/>
      <c r="K92" s="829"/>
      <c r="L92" s="829"/>
      <c r="M92" s="829"/>
      <c r="N92" s="3"/>
      <c r="O92" s="830"/>
      <c r="P92" s="3"/>
      <c r="Q92" s="3"/>
    </row>
    <row r="93" spans="1:17" x14ac:dyDescent="0.25">
      <c r="A93" s="814" t="s">
        <v>325</v>
      </c>
      <c r="B93" s="817">
        <v>905116</v>
      </c>
      <c r="C93" s="425">
        <f t="shared" ref="C93:C112" si="18">G93*B93+B93</f>
        <v>907455.32666591753</v>
      </c>
      <c r="D93" s="425">
        <f t="shared" ref="D93:D112" si="19">B93*H93+B93</f>
        <v>910608.33217215422</v>
      </c>
      <c r="E93" s="425">
        <f t="shared" ref="E93:E112" si="20">I93*B93+B93</f>
        <v>913456.20811327116</v>
      </c>
      <c r="F93" s="617"/>
      <c r="G93" s="426">
        <v>2.5845600629284191E-3</v>
      </c>
      <c r="H93" s="427">
        <v>6.0680975390493318E-3</v>
      </c>
      <c r="I93" s="818">
        <v>9.2145184852230593E-3</v>
      </c>
      <c r="J93" s="826"/>
      <c r="K93" s="829"/>
      <c r="L93" s="829"/>
      <c r="M93" s="829"/>
      <c r="N93" s="3"/>
      <c r="O93" s="830"/>
      <c r="P93" s="3"/>
      <c r="Q93" s="3"/>
    </row>
    <row r="94" spans="1:17" x14ac:dyDescent="0.25">
      <c r="A94" s="814" t="s">
        <v>328</v>
      </c>
      <c r="B94" s="817">
        <v>448734</v>
      </c>
      <c r="C94" s="425">
        <f t="shared" si="18"/>
        <v>461224.01481481479</v>
      </c>
      <c r="D94" s="425">
        <f t="shared" si="19"/>
        <v>476937.25925925927</v>
      </c>
      <c r="E94" s="425">
        <f t="shared" si="20"/>
        <v>487815.65925925924</v>
      </c>
      <c r="F94" s="617"/>
      <c r="G94" s="426">
        <v>2.7833894500561167E-2</v>
      </c>
      <c r="H94" s="427">
        <v>6.2850729517396189E-2</v>
      </c>
      <c r="I94" s="818">
        <v>8.7093153759820421E-2</v>
      </c>
      <c r="J94" s="826"/>
      <c r="K94" s="829"/>
      <c r="L94" s="829"/>
      <c r="M94" s="829"/>
      <c r="N94" s="3"/>
      <c r="O94" s="830"/>
      <c r="P94" s="3"/>
      <c r="Q94" s="3"/>
    </row>
    <row r="95" spans="1:17" x14ac:dyDescent="0.25">
      <c r="A95" s="814" t="s">
        <v>331</v>
      </c>
      <c r="B95" s="817">
        <v>513657</v>
      </c>
      <c r="C95" s="425">
        <f t="shared" si="18"/>
        <v>516236.69519026461</v>
      </c>
      <c r="D95" s="425">
        <f t="shared" si="19"/>
        <v>525464.06644774962</v>
      </c>
      <c r="E95" s="425">
        <f t="shared" si="20"/>
        <v>532111.74251497001</v>
      </c>
      <c r="F95" s="617"/>
      <c r="G95" s="426">
        <v>5.0222136372416459E-3</v>
      </c>
      <c r="H95" s="427">
        <v>2.298628549352907E-2</v>
      </c>
      <c r="I95" s="818">
        <v>3.5928143712574849E-2</v>
      </c>
      <c r="J95" s="826"/>
      <c r="K95" s="829"/>
      <c r="L95" s="829"/>
      <c r="M95" s="829"/>
      <c r="N95" s="3"/>
      <c r="O95" s="830"/>
      <c r="P95" s="3"/>
      <c r="Q95" s="3"/>
    </row>
    <row r="96" spans="1:17" x14ac:dyDescent="0.25">
      <c r="A96" s="814" t="s">
        <v>333</v>
      </c>
      <c r="B96" s="817">
        <v>97265</v>
      </c>
      <c r="C96" s="425">
        <f t="shared" si="18"/>
        <v>94644.388601036277</v>
      </c>
      <c r="D96" s="425">
        <f t="shared" si="19"/>
        <v>94745.181347150254</v>
      </c>
      <c r="E96" s="425">
        <f t="shared" si="20"/>
        <v>94543.595854922285</v>
      </c>
      <c r="F96" s="617"/>
      <c r="G96" s="426">
        <v>-2.6943005181347152E-2</v>
      </c>
      <c r="H96" s="427">
        <v>-2.5906735751295335E-2</v>
      </c>
      <c r="I96" s="818">
        <v>-2.7979274611398965E-2</v>
      </c>
      <c r="J96" s="826"/>
      <c r="K96" s="829"/>
      <c r="L96" s="829"/>
      <c r="M96" s="829"/>
      <c r="N96" s="3"/>
      <c r="O96" s="830"/>
      <c r="P96" s="3"/>
      <c r="Q96" s="3"/>
    </row>
    <row r="97" spans="1:17" x14ac:dyDescent="0.25">
      <c r="A97" s="814" t="s">
        <v>335</v>
      </c>
      <c r="B97" s="817">
        <v>156898</v>
      </c>
      <c r="C97" s="425">
        <f t="shared" si="18"/>
        <v>161400.8125</v>
      </c>
      <c r="D97" s="425">
        <f t="shared" si="19"/>
        <v>166303.875</v>
      </c>
      <c r="E97" s="425">
        <f t="shared" si="20"/>
        <v>171006.8125</v>
      </c>
      <c r="F97" s="617"/>
      <c r="G97" s="426">
        <v>2.8698979591836735E-2</v>
      </c>
      <c r="H97" s="427">
        <v>5.9948979591836732E-2</v>
      </c>
      <c r="I97" s="818">
        <v>8.9923469387755098E-2</v>
      </c>
      <c r="J97" s="826"/>
      <c r="K97" s="829"/>
      <c r="L97" s="829"/>
      <c r="M97" s="829"/>
      <c r="N97" s="3"/>
      <c r="O97" s="830"/>
      <c r="P97" s="3"/>
      <c r="Q97" s="3"/>
    </row>
    <row r="98" spans="1:17" x14ac:dyDescent="0.25">
      <c r="A98" s="814" t="s">
        <v>336</v>
      </c>
      <c r="B98" s="817">
        <v>783969</v>
      </c>
      <c r="C98" s="425">
        <f t="shared" si="18"/>
        <v>783253.60657019948</v>
      </c>
      <c r="D98" s="425">
        <f t="shared" si="19"/>
        <v>783969</v>
      </c>
      <c r="E98" s="425">
        <f t="shared" si="20"/>
        <v>784582.19436840049</v>
      </c>
      <c r="F98" s="617"/>
      <c r="G98" s="426">
        <v>-9.1252770173380268E-4</v>
      </c>
      <c r="H98" s="427">
        <v>0</v>
      </c>
      <c r="I98" s="818">
        <v>7.8216660148611649E-4</v>
      </c>
      <c r="J98" s="826"/>
      <c r="K98" s="829"/>
      <c r="L98" s="829"/>
      <c r="M98" s="829"/>
      <c r="N98" s="3"/>
      <c r="O98" s="830"/>
      <c r="P98" s="3"/>
      <c r="Q98" s="3"/>
    </row>
    <row r="99" spans="1:17" x14ac:dyDescent="0.25">
      <c r="A99" s="814" t="s">
        <v>337</v>
      </c>
      <c r="B99" s="817">
        <v>288288</v>
      </c>
      <c r="C99" s="425">
        <f t="shared" si="18"/>
        <v>301892.1526717557</v>
      </c>
      <c r="D99" s="425">
        <f t="shared" si="19"/>
        <v>316596.64122137404</v>
      </c>
      <c r="E99" s="425">
        <f t="shared" si="20"/>
        <v>331801.28244274808</v>
      </c>
      <c r="F99" s="617"/>
      <c r="G99" s="426">
        <v>4.7189451769604443E-2</v>
      </c>
      <c r="H99" s="427">
        <v>9.8195697432338649E-2</v>
      </c>
      <c r="I99" s="818">
        <v>0.15093684941013186</v>
      </c>
      <c r="J99" s="826"/>
      <c r="K99" s="829"/>
      <c r="L99" s="829"/>
      <c r="M99" s="829"/>
      <c r="N99" s="3"/>
      <c r="O99" s="830"/>
      <c r="P99" s="3"/>
      <c r="Q99" s="3"/>
    </row>
    <row r="100" spans="1:17" x14ac:dyDescent="0.25">
      <c r="A100" s="814" t="s">
        <v>338</v>
      </c>
      <c r="B100" s="817">
        <v>634266</v>
      </c>
      <c r="C100" s="425">
        <f t="shared" si="18"/>
        <v>635015.85002533358</v>
      </c>
      <c r="D100" s="425">
        <f t="shared" si="19"/>
        <v>636301.30721161969</v>
      </c>
      <c r="E100" s="425">
        <f t="shared" si="20"/>
        <v>638229.49299104884</v>
      </c>
      <c r="F100" s="617"/>
      <c r="G100" s="426">
        <v>1.1822327309576085E-3</v>
      </c>
      <c r="H100" s="427">
        <v>3.2089174125992229E-3</v>
      </c>
      <c r="I100" s="818">
        <v>6.2489444350616449E-3</v>
      </c>
      <c r="J100" s="826"/>
      <c r="K100" s="829"/>
      <c r="L100" s="829"/>
      <c r="M100" s="829"/>
      <c r="N100" s="3"/>
      <c r="O100" s="830"/>
      <c r="P100" s="3"/>
      <c r="Q100" s="3"/>
    </row>
    <row r="101" spans="1:17" x14ac:dyDescent="0.25">
      <c r="A101" s="814" t="s">
        <v>339</v>
      </c>
      <c r="B101" s="817">
        <v>128349</v>
      </c>
      <c r="C101" s="425">
        <f t="shared" si="18"/>
        <v>132007.63867488445</v>
      </c>
      <c r="D101" s="425">
        <f t="shared" si="19"/>
        <v>137841.68412942989</v>
      </c>
      <c r="E101" s="425">
        <f t="shared" si="20"/>
        <v>142983.55469953775</v>
      </c>
      <c r="F101" s="617"/>
      <c r="G101" s="426">
        <v>2.8505392912172575E-2</v>
      </c>
      <c r="H101" s="427">
        <v>7.3959938366718034E-2</v>
      </c>
      <c r="I101" s="818">
        <v>0.1140215716486903</v>
      </c>
      <c r="J101" s="826"/>
      <c r="K101" s="829"/>
      <c r="L101" s="829"/>
      <c r="M101" s="829"/>
      <c r="N101" s="3"/>
      <c r="O101" s="830"/>
      <c r="P101" s="3"/>
      <c r="Q101" s="3"/>
    </row>
    <row r="102" spans="1:17" x14ac:dyDescent="0.25">
      <c r="A102" s="814" t="s">
        <v>340</v>
      </c>
      <c r="B102" s="817">
        <v>366513</v>
      </c>
      <c r="C102" s="425">
        <f t="shared" si="18"/>
        <v>374856.54882062535</v>
      </c>
      <c r="D102" s="425">
        <f t="shared" si="19"/>
        <v>383803.24574876577</v>
      </c>
      <c r="E102" s="425">
        <f t="shared" si="20"/>
        <v>394458.86231486558</v>
      </c>
      <c r="F102" s="617"/>
      <c r="G102" s="426">
        <v>2.2764673614920461E-2</v>
      </c>
      <c r="H102" s="427">
        <v>4.7174986286341196E-2</v>
      </c>
      <c r="I102" s="818">
        <v>7.624794295117937E-2</v>
      </c>
      <c r="J102" s="826"/>
      <c r="K102" s="829"/>
      <c r="L102" s="829"/>
      <c r="M102" s="829"/>
      <c r="N102" s="3"/>
      <c r="O102" s="830"/>
      <c r="P102" s="3"/>
      <c r="Q102" s="3"/>
    </row>
    <row r="103" spans="1:17" x14ac:dyDescent="0.25">
      <c r="A103" s="814" t="s">
        <v>341</v>
      </c>
      <c r="B103" s="817">
        <v>809858</v>
      </c>
      <c r="C103" s="425">
        <f t="shared" si="18"/>
        <v>829967.80644339742</v>
      </c>
      <c r="D103" s="425">
        <f t="shared" si="19"/>
        <v>856677.75448873045</v>
      </c>
      <c r="E103" s="425">
        <f t="shared" si="20"/>
        <v>874931.27110658342</v>
      </c>
      <c r="F103" s="617"/>
      <c r="G103" s="426">
        <v>2.4831274672099835E-2</v>
      </c>
      <c r="H103" s="427">
        <v>5.7812301031452948E-2</v>
      </c>
      <c r="I103" s="818">
        <v>8.0351458041512794E-2</v>
      </c>
      <c r="J103" s="826"/>
      <c r="K103" s="829"/>
      <c r="L103" s="829"/>
      <c r="M103" s="829"/>
      <c r="N103" s="3"/>
      <c r="O103" s="830"/>
      <c r="P103" s="3"/>
      <c r="Q103" s="3"/>
    </row>
    <row r="104" spans="1:17" x14ac:dyDescent="0.25">
      <c r="A104" s="814" t="s">
        <v>125</v>
      </c>
      <c r="B104" s="817">
        <v>630380</v>
      </c>
      <c r="C104" s="425">
        <f t="shared" si="18"/>
        <v>643048.48730331822</v>
      </c>
      <c r="D104" s="425">
        <f t="shared" si="19"/>
        <v>658859.545100483</v>
      </c>
      <c r="E104" s="425">
        <f t="shared" si="20"/>
        <v>672902.90699485899</v>
      </c>
      <c r="F104" s="617"/>
      <c r="G104" s="426">
        <v>2.0096588253622059E-2</v>
      </c>
      <c r="H104" s="427">
        <v>4.5178376694189129E-2</v>
      </c>
      <c r="I104" s="818">
        <v>6.7455990029599622E-2</v>
      </c>
      <c r="J104" s="826"/>
      <c r="K104" s="829"/>
      <c r="L104" s="829"/>
      <c r="M104" s="829"/>
      <c r="N104" s="3"/>
      <c r="O104" s="830"/>
      <c r="P104" s="3"/>
      <c r="Q104" s="3"/>
    </row>
    <row r="105" spans="1:17" x14ac:dyDescent="0.25">
      <c r="A105" s="814" t="s">
        <v>343</v>
      </c>
      <c r="B105" s="817">
        <v>492276</v>
      </c>
      <c r="C105" s="425">
        <f t="shared" si="18"/>
        <v>501779.78804682684</v>
      </c>
      <c r="D105" s="425">
        <f t="shared" si="19"/>
        <v>514013.38755391253</v>
      </c>
      <c r="E105" s="425">
        <f t="shared" si="20"/>
        <v>525539.25816389406</v>
      </c>
      <c r="F105" s="617"/>
      <c r="G105" s="426">
        <v>1.9305812281782707E-2</v>
      </c>
      <c r="H105" s="427">
        <v>4.4156911070034915E-2</v>
      </c>
      <c r="I105" s="818">
        <v>6.7570342986239471E-2</v>
      </c>
      <c r="J105" s="826"/>
      <c r="K105" s="829"/>
      <c r="L105" s="829"/>
      <c r="M105" s="829"/>
      <c r="N105" s="3"/>
      <c r="O105" s="830"/>
      <c r="P105" s="3"/>
      <c r="Q105" s="3"/>
    </row>
    <row r="106" spans="1:17" x14ac:dyDescent="0.25">
      <c r="A106" s="814" t="s">
        <v>344</v>
      </c>
      <c r="B106" s="817">
        <v>576567</v>
      </c>
      <c r="C106" s="425">
        <f t="shared" si="18"/>
        <v>599034.59241706156</v>
      </c>
      <c r="D106" s="425">
        <f t="shared" si="19"/>
        <v>637189.01737756713</v>
      </c>
      <c r="E106" s="425">
        <f t="shared" si="20"/>
        <v>669777.14691943128</v>
      </c>
      <c r="F106" s="617"/>
      <c r="G106" s="426">
        <v>3.8967877830437071E-2</v>
      </c>
      <c r="H106" s="427">
        <v>0.10514305774969282</v>
      </c>
      <c r="I106" s="818">
        <v>0.1616640337019484</v>
      </c>
      <c r="J106" s="826"/>
      <c r="K106" s="829"/>
      <c r="L106" s="829"/>
      <c r="M106" s="829"/>
      <c r="N106" s="3"/>
      <c r="O106" s="830"/>
      <c r="P106" s="3"/>
      <c r="Q106" s="3"/>
    </row>
    <row r="107" spans="1:17" x14ac:dyDescent="0.25">
      <c r="A107" s="814" t="s">
        <v>345</v>
      </c>
      <c r="B107" s="817">
        <v>501226</v>
      </c>
      <c r="C107" s="425">
        <f t="shared" si="18"/>
        <v>502354.8873873874</v>
      </c>
      <c r="D107" s="425">
        <f t="shared" si="19"/>
        <v>503586.40090090089</v>
      </c>
      <c r="E107" s="425">
        <f t="shared" si="20"/>
        <v>505536.29729729728</v>
      </c>
      <c r="F107" s="617"/>
      <c r="G107" s="426">
        <v>2.2522522522522522E-3</v>
      </c>
      <c r="H107" s="427">
        <v>4.7092547092547092E-3</v>
      </c>
      <c r="I107" s="818">
        <v>8.5995085995085995E-3</v>
      </c>
      <c r="J107" s="826"/>
      <c r="K107" s="829"/>
      <c r="L107" s="829"/>
      <c r="M107" s="829"/>
      <c r="N107" s="3"/>
      <c r="O107" s="830"/>
      <c r="P107" s="3"/>
      <c r="Q107" s="3"/>
    </row>
    <row r="108" spans="1:17" x14ac:dyDescent="0.25">
      <c r="A108" s="814" t="s">
        <v>126</v>
      </c>
      <c r="B108" s="817">
        <v>66083</v>
      </c>
      <c r="C108" s="425">
        <f t="shared" si="18"/>
        <v>66582.116314199389</v>
      </c>
      <c r="D108" s="425">
        <f t="shared" si="19"/>
        <v>67081.232628398793</v>
      </c>
      <c r="E108" s="425">
        <f t="shared" si="20"/>
        <v>67680.172205438066</v>
      </c>
      <c r="F108" s="617"/>
      <c r="G108" s="426">
        <v>7.5528700906344415E-3</v>
      </c>
      <c r="H108" s="427">
        <v>1.5105740181268883E-2</v>
      </c>
      <c r="I108" s="818">
        <v>2.4169184290030211E-2</v>
      </c>
      <c r="J108" s="826"/>
      <c r="K108" s="829"/>
      <c r="L108" s="829"/>
      <c r="M108" s="829"/>
      <c r="N108" s="3"/>
      <c r="O108" s="830"/>
      <c r="P108" s="3"/>
      <c r="Q108" s="3"/>
    </row>
    <row r="109" spans="1:17" x14ac:dyDescent="0.25">
      <c r="A109" s="814" t="s">
        <v>347</v>
      </c>
      <c r="B109" s="817">
        <v>323444</v>
      </c>
      <c r="C109" s="425">
        <f t="shared" si="18"/>
        <v>335753.28589108912</v>
      </c>
      <c r="D109" s="425">
        <f t="shared" si="19"/>
        <v>352065.59158415842</v>
      </c>
      <c r="E109" s="425">
        <f t="shared" si="20"/>
        <v>364274.80198019801</v>
      </c>
      <c r="F109" s="617"/>
      <c r="G109" s="426">
        <v>3.8056930693069306E-2</v>
      </c>
      <c r="H109" s="427">
        <v>8.8490099009900985E-2</v>
      </c>
      <c r="I109" s="818">
        <v>0.12623762376237624</v>
      </c>
      <c r="J109" s="826"/>
      <c r="K109" s="829"/>
      <c r="L109" s="829"/>
      <c r="M109" s="829"/>
      <c r="N109" s="3"/>
      <c r="O109" s="830"/>
      <c r="P109" s="3"/>
      <c r="Q109" s="3"/>
    </row>
    <row r="110" spans="1:17" x14ac:dyDescent="0.25">
      <c r="A110" s="814" t="s">
        <v>348</v>
      </c>
      <c r="B110" s="817">
        <v>149265</v>
      </c>
      <c r="C110" s="425">
        <f t="shared" si="18"/>
        <v>153701.54227212683</v>
      </c>
      <c r="D110" s="425">
        <f t="shared" si="19"/>
        <v>159715.52179656539</v>
      </c>
      <c r="E110" s="425">
        <f t="shared" si="20"/>
        <v>162673.21664464995</v>
      </c>
      <c r="F110" s="617"/>
      <c r="G110" s="426">
        <v>2.9722589167767502E-2</v>
      </c>
      <c r="H110" s="427">
        <v>7.0013210039630125E-2</v>
      </c>
      <c r="I110" s="818">
        <v>8.982826948480846E-2</v>
      </c>
      <c r="J110" s="826"/>
      <c r="K110" s="829"/>
      <c r="L110" s="829"/>
      <c r="M110" s="829"/>
      <c r="N110" s="3"/>
      <c r="O110" s="830"/>
      <c r="P110" s="3"/>
      <c r="Q110" s="3"/>
    </row>
    <row r="111" spans="1:17" x14ac:dyDescent="0.25">
      <c r="A111" s="814" t="s">
        <v>349</v>
      </c>
      <c r="B111" s="817">
        <v>536499</v>
      </c>
      <c r="C111" s="425">
        <f t="shared" si="18"/>
        <v>537321.53583748557</v>
      </c>
      <c r="D111" s="425">
        <f t="shared" si="19"/>
        <v>538863.79053277115</v>
      </c>
      <c r="E111" s="425">
        <f t="shared" si="20"/>
        <v>541125.76408585662</v>
      </c>
      <c r="F111" s="617"/>
      <c r="G111" s="426">
        <v>1.5331544653123803E-3</v>
      </c>
      <c r="H111" s="427">
        <v>4.4078190877730929E-3</v>
      </c>
      <c r="I111" s="818">
        <v>8.6239938673821383E-3</v>
      </c>
      <c r="J111" s="826"/>
      <c r="K111" s="829"/>
      <c r="L111" s="829"/>
      <c r="M111" s="829"/>
      <c r="N111" s="3"/>
      <c r="O111" s="830"/>
      <c r="P111" s="3"/>
      <c r="Q111" s="3"/>
    </row>
    <row r="112" spans="1:17" x14ac:dyDescent="0.25">
      <c r="A112" s="814" t="s">
        <v>350</v>
      </c>
      <c r="B112" s="817">
        <v>108692</v>
      </c>
      <c r="C112" s="425">
        <f t="shared" si="18"/>
        <v>113142.53685168336</v>
      </c>
      <c r="D112" s="425">
        <f t="shared" si="19"/>
        <v>117988.67697907188</v>
      </c>
      <c r="E112" s="425">
        <f t="shared" si="20"/>
        <v>121549.10646041857</v>
      </c>
      <c r="F112" s="617"/>
      <c r="G112" s="426">
        <v>4.0946314831665151E-2</v>
      </c>
      <c r="H112" s="427">
        <v>8.5532302092811652E-2</v>
      </c>
      <c r="I112" s="818">
        <v>0.11828935395814377</v>
      </c>
      <c r="J112" s="826"/>
      <c r="K112" s="829"/>
      <c r="L112" s="829"/>
      <c r="M112" s="829"/>
      <c r="N112" s="3"/>
      <c r="O112" s="830"/>
      <c r="P112" s="3"/>
      <c r="Q112" s="3"/>
    </row>
    <row r="113" spans="1:17" ht="13.8" thickBot="1" x14ac:dyDescent="0.3">
      <c r="A113" s="814" t="s">
        <v>351</v>
      </c>
      <c r="B113" s="819">
        <f>SUM(B92:B112)</f>
        <v>8791894</v>
      </c>
      <c r="C113" s="626">
        <f>SUM(C92:C112)</f>
        <v>8933846.6580148563</v>
      </c>
      <c r="D113" s="626">
        <f>SUM(D92:D112)</f>
        <v>9130611.5196101461</v>
      </c>
      <c r="E113" s="626">
        <f>SUM(E92:E112)</f>
        <v>9298820.9119583014</v>
      </c>
      <c r="F113" s="820"/>
      <c r="G113" s="821">
        <f t="shared" ref="G113" si="21">(C113-B113)/B113</f>
        <v>1.6145856400777384E-2</v>
      </c>
      <c r="H113" s="822">
        <f t="shared" ref="H113" si="22">(D113-B113)/B113</f>
        <v>3.8526115033933085E-2</v>
      </c>
      <c r="I113" s="823">
        <f t="shared" ref="I113" si="23">(E113-B113)/B113</f>
        <v>5.7658442192126229E-2</v>
      </c>
      <c r="J113" s="831"/>
      <c r="K113" s="831"/>
      <c r="L113" s="831"/>
      <c r="M113" s="831"/>
      <c r="N113" s="3"/>
      <c r="O113" s="830"/>
      <c r="P113" s="3"/>
      <c r="Q113" s="3"/>
    </row>
    <row r="114" spans="1:17" x14ac:dyDescent="0.25">
      <c r="A114" s="1137" t="s">
        <v>595</v>
      </c>
      <c r="B114" s="1138"/>
      <c r="C114" s="1138"/>
      <c r="D114" s="1138"/>
      <c r="E114" s="1138"/>
      <c r="F114" s="1138"/>
      <c r="G114" s="1138"/>
      <c r="H114" s="1138"/>
      <c r="I114" s="1139"/>
      <c r="J114" s="344"/>
      <c r="K114" s="480"/>
      <c r="L114" s="478"/>
      <c r="M114" s="479"/>
    </row>
    <row r="115" spans="1:17" x14ac:dyDescent="0.25">
      <c r="A115" s="1140"/>
      <c r="B115" s="1141"/>
      <c r="C115" s="1141"/>
      <c r="D115" s="1141"/>
      <c r="E115" s="1141"/>
      <c r="F115" s="1141"/>
      <c r="G115" s="1141"/>
      <c r="H115" s="1141"/>
      <c r="I115" s="1142"/>
      <c r="J115" s="344"/>
      <c r="K115" s="480"/>
      <c r="L115" s="478"/>
      <c r="M115" s="479"/>
    </row>
    <row r="116" spans="1:17" x14ac:dyDescent="0.25">
      <c r="A116" s="1143" t="s">
        <v>127</v>
      </c>
      <c r="B116" s="1144"/>
      <c r="C116" s="1144"/>
      <c r="D116" s="1144"/>
      <c r="E116" s="1144"/>
      <c r="F116" s="1144"/>
      <c r="G116" s="1144"/>
      <c r="H116" s="1144"/>
      <c r="I116" s="1144"/>
      <c r="J116" s="344"/>
      <c r="K116" s="480"/>
      <c r="L116" s="478"/>
      <c r="M116" s="479"/>
    </row>
    <row r="117" spans="1:17" x14ac:dyDescent="0.25">
      <c r="A117" s="602"/>
      <c r="B117" s="344"/>
      <c r="C117" s="344"/>
      <c r="D117" s="344"/>
      <c r="E117" s="344"/>
      <c r="F117" s="344"/>
      <c r="G117" s="344"/>
      <c r="H117" s="344"/>
      <c r="I117" s="344"/>
      <c r="J117" s="344"/>
      <c r="K117" s="480"/>
      <c r="L117" s="478"/>
      <c r="M117" s="479"/>
    </row>
    <row r="118" spans="1:17" x14ac:dyDescent="0.25">
      <c r="A118" s="1145"/>
      <c r="B118" s="1145"/>
      <c r="C118" s="1145"/>
      <c r="D118" s="1145"/>
      <c r="E118" s="1145"/>
      <c r="F118" s="3"/>
      <c r="G118" s="3"/>
      <c r="H118" s="3"/>
      <c r="I118" s="3"/>
    </row>
    <row r="119" spans="1:17" x14ac:dyDescent="0.25">
      <c r="A119" s="603"/>
      <c r="B119" s="604"/>
      <c r="C119" s="604"/>
      <c r="D119" s="603"/>
      <c r="E119" s="604"/>
      <c r="F119" s="3"/>
      <c r="G119" s="3"/>
      <c r="H119" s="3"/>
      <c r="I119" s="3"/>
    </row>
    <row r="120" spans="1:17" x14ac:dyDescent="0.25">
      <c r="A120" s="605"/>
      <c r="B120" s="606"/>
      <c r="C120" s="606"/>
      <c r="D120" s="606"/>
      <c r="E120" s="606"/>
      <c r="F120" s="3"/>
      <c r="G120" s="3"/>
      <c r="H120" s="3"/>
      <c r="I120" s="3"/>
    </row>
    <row r="121" spans="1:17" x14ac:dyDescent="0.25">
      <c r="A121" s="605"/>
      <c r="B121" s="606"/>
      <c r="C121" s="606"/>
      <c r="D121" s="606"/>
      <c r="E121" s="606"/>
      <c r="F121" s="3"/>
      <c r="G121" s="3"/>
      <c r="H121" s="3"/>
      <c r="I121" s="3"/>
    </row>
    <row r="122" spans="1:17" x14ac:dyDescent="0.25">
      <c r="A122" s="605"/>
      <c r="B122" s="606"/>
      <c r="C122" s="606"/>
      <c r="D122" s="606"/>
      <c r="E122" s="606"/>
      <c r="F122" s="3"/>
      <c r="G122" s="3"/>
      <c r="H122" s="3"/>
      <c r="I122" s="3"/>
    </row>
    <row r="123" spans="1:17" x14ac:dyDescent="0.25">
      <c r="A123" s="605"/>
      <c r="B123" s="606"/>
      <c r="C123" s="606"/>
      <c r="D123" s="606"/>
      <c r="E123" s="606"/>
      <c r="F123" s="3"/>
      <c r="G123" s="3"/>
      <c r="H123" s="3"/>
      <c r="I123" s="3"/>
    </row>
    <row r="124" spans="1:17" x14ac:dyDescent="0.25">
      <c r="A124" s="605"/>
      <c r="B124" s="606"/>
      <c r="C124" s="606"/>
      <c r="D124" s="606"/>
      <c r="E124" s="606"/>
      <c r="F124" s="3"/>
      <c r="G124" s="3"/>
      <c r="H124" s="3"/>
      <c r="I124" s="3"/>
    </row>
    <row r="125" spans="1:17" x14ac:dyDescent="0.25">
      <c r="A125" s="605"/>
      <c r="B125" s="605"/>
      <c r="C125" s="605"/>
      <c r="D125" s="605"/>
      <c r="E125" s="606"/>
      <c r="F125" s="3"/>
      <c r="G125" s="3"/>
      <c r="H125" s="3"/>
      <c r="I125" s="3"/>
    </row>
    <row r="126" spans="1:17" x14ac:dyDescent="0.25">
      <c r="A126" s="606"/>
      <c r="B126" s="606"/>
      <c r="C126" s="606"/>
      <c r="D126" s="606"/>
      <c r="E126" s="605"/>
      <c r="F126" s="3"/>
      <c r="G126" s="3"/>
      <c r="H126" s="3"/>
      <c r="I126" s="3"/>
    </row>
    <row r="127" spans="1:17" x14ac:dyDescent="0.25">
      <c r="A127" s="606"/>
      <c r="B127" s="606"/>
      <c r="C127" s="606"/>
      <c r="D127" s="606"/>
      <c r="E127" s="605"/>
      <c r="F127" s="3"/>
      <c r="G127" s="3"/>
      <c r="H127" s="3"/>
      <c r="I127" s="3"/>
    </row>
    <row r="128" spans="1:17" x14ac:dyDescent="0.25">
      <c r="A128" s="607"/>
      <c r="B128" s="606"/>
      <c r="C128" s="606"/>
      <c r="D128" s="606"/>
      <c r="E128" s="605"/>
      <c r="F128" s="3"/>
      <c r="G128" s="3"/>
      <c r="H128" s="3"/>
      <c r="I128" s="3"/>
    </row>
    <row r="129" spans="1:9" ht="12.75" customHeight="1" x14ac:dyDescent="0.25">
      <c r="A129" s="1146"/>
      <c r="B129" s="1147"/>
      <c r="C129" s="608"/>
      <c r="D129" s="608"/>
      <c r="E129" s="608"/>
      <c r="F129" s="3"/>
      <c r="G129" s="3"/>
      <c r="H129" s="3"/>
      <c r="I129" s="3"/>
    </row>
    <row r="130" spans="1:9" s="301" customFormat="1" x14ac:dyDescent="0.25">
      <c r="A130" s="1146"/>
      <c r="B130" s="1147"/>
      <c r="C130" s="608"/>
      <c r="D130" s="608"/>
      <c r="E130" s="608"/>
      <c r="F130" s="356"/>
      <c r="G130" s="356"/>
      <c r="H130" s="356"/>
      <c r="I130" s="356"/>
    </row>
    <row r="131" spans="1:9" s="301" customFormat="1" x14ac:dyDescent="0.25">
      <c r="A131" s="1146"/>
      <c r="B131" s="1147"/>
      <c r="C131" s="608"/>
      <c r="D131" s="608"/>
      <c r="E131" s="608"/>
      <c r="F131" s="356"/>
      <c r="G131" s="356"/>
      <c r="H131" s="356"/>
      <c r="I131" s="356"/>
    </row>
    <row r="132" spans="1:9" s="301" customFormat="1" ht="15.75" customHeight="1" x14ac:dyDescent="0.25">
      <c r="A132" s="394"/>
      <c r="B132" s="395"/>
      <c r="C132" s="395"/>
      <c r="D132" s="395"/>
      <c r="E132" s="395"/>
    </row>
    <row r="133" spans="1:9" s="301" customFormat="1" x14ac:dyDescent="0.25">
      <c r="A133" s="1136"/>
      <c r="B133" s="1136"/>
      <c r="C133" s="1136"/>
      <c r="D133" s="1136"/>
      <c r="E133" s="1136"/>
    </row>
    <row r="134" spans="1:9" s="301" customFormat="1" ht="18" customHeight="1" x14ac:dyDescent="0.25">
      <c r="A134" s="1136"/>
      <c r="B134" s="1136"/>
      <c r="C134" s="1136"/>
      <c r="D134" s="1136"/>
      <c r="E134" s="1136"/>
    </row>
    <row r="135" spans="1:9" s="301" customFormat="1" ht="43.5" customHeight="1" x14ac:dyDescent="0.25">
      <c r="A135" s="1136"/>
      <c r="B135" s="1136"/>
      <c r="C135" s="1136"/>
      <c r="D135" s="1136"/>
      <c r="E135" s="1136"/>
    </row>
    <row r="136" spans="1:9" s="301" customFormat="1" x14ac:dyDescent="0.25">
      <c r="A136" s="1135"/>
      <c r="B136" s="1136"/>
      <c r="C136" s="1136"/>
      <c r="D136" s="1136"/>
      <c r="E136" s="1136"/>
    </row>
    <row r="137" spans="1:9" s="301" customFormat="1" ht="31.5" customHeight="1" x14ac:dyDescent="0.25">
      <c r="A137" s="1136"/>
      <c r="B137" s="1136"/>
      <c r="C137" s="1136"/>
      <c r="D137" s="1136"/>
      <c r="E137" s="1136"/>
    </row>
    <row r="138" spans="1:9" s="301" customFormat="1" x14ac:dyDescent="0.25">
      <c r="A138" s="1135"/>
      <c r="B138" s="1136"/>
      <c r="C138" s="1136"/>
      <c r="D138" s="1136"/>
      <c r="E138" s="1136"/>
    </row>
    <row r="139" spans="1:9" s="301" customFormat="1" ht="29.25" customHeight="1" x14ac:dyDescent="0.25">
      <c r="A139" s="1136"/>
      <c r="B139" s="1136"/>
      <c r="C139" s="1136"/>
      <c r="D139" s="1136"/>
      <c r="E139" s="1136"/>
    </row>
    <row r="140" spans="1:9" s="301" customFormat="1" x14ac:dyDescent="0.25">
      <c r="A140" s="1135"/>
      <c r="B140" s="1136"/>
      <c r="C140" s="1136"/>
      <c r="D140" s="1136"/>
      <c r="E140" s="1136"/>
    </row>
    <row r="141" spans="1:9" s="301" customFormat="1" ht="31.5" customHeight="1" x14ac:dyDescent="0.25">
      <c r="A141" s="1136"/>
      <c r="B141" s="1136"/>
      <c r="C141" s="1136"/>
      <c r="D141" s="1136"/>
      <c r="E141" s="1136"/>
    </row>
    <row r="142" spans="1:9" x14ac:dyDescent="0.25">
      <c r="A142" s="386"/>
      <c r="B142" s="386"/>
      <c r="C142" s="386"/>
      <c r="D142" s="386"/>
      <c r="E142" s="386"/>
    </row>
  </sheetData>
  <mergeCells count="23">
    <mergeCell ref="A140:E141"/>
    <mergeCell ref="A133:E134"/>
    <mergeCell ref="A135:E135"/>
    <mergeCell ref="A136:E137"/>
    <mergeCell ref="A114:I115"/>
    <mergeCell ref="A116:I116"/>
    <mergeCell ref="A118:E118"/>
    <mergeCell ref="A138:E139"/>
    <mergeCell ref="A129:A131"/>
    <mergeCell ref="B129:B131"/>
    <mergeCell ref="B90:I90"/>
    <mergeCell ref="J90:Q90"/>
    <mergeCell ref="AC4:AE4"/>
    <mergeCell ref="A86:G88"/>
    <mergeCell ref="Y4:AB4"/>
    <mergeCell ref="R4:T4"/>
    <mergeCell ref="U4:X4"/>
    <mergeCell ref="B4:M4"/>
    <mergeCell ref="N4:Q4"/>
    <mergeCell ref="J58:L59"/>
    <mergeCell ref="D76:E76"/>
    <mergeCell ref="B76:C76"/>
    <mergeCell ref="H37:L37"/>
  </mergeCells>
  <phoneticPr fontId="0" type="noConversion"/>
  <hyperlinks>
    <hyperlink ref="W38" r:id="rId1"/>
  </hyperlinks>
  <pageMargins left="0.75" right="0.75" top="1" bottom="1" header="0.5" footer="0.5"/>
  <pageSetup paperSize="5" scale="50" fitToHeight="2" orientation="landscape" r:id="rId2"/>
  <headerFooter alignWithMargins="0">
    <oddFooter>&amp;L&amp;"Arial,Italic" 7/02/07&amp;C&amp;"Arial,Italic"&amp;A&amp;R&amp;"Arial,Italic"NJAES Report 2007-1 ©2007
New Jersey Agricultural Experiment Station</oddFooter>
  </headerFooter>
  <ignoredErrors>
    <ignoredError sqref="B113" formulaRange="1"/>
  </ignoredErrors>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51"/>
  <sheetViews>
    <sheetView topLeftCell="A4" workbookViewId="0">
      <selection activeCell="J14" sqref="J14"/>
    </sheetView>
  </sheetViews>
  <sheetFormatPr defaultColWidth="8.88671875" defaultRowHeight="13.2" x14ac:dyDescent="0.25"/>
  <cols>
    <col min="1" max="1" width="18" bestFit="1" customWidth="1"/>
    <col min="2" max="2" width="13.109375" style="131" customWidth="1"/>
    <col min="3" max="3" width="20.44140625" style="131" bestFit="1" customWidth="1"/>
    <col min="4" max="4" width="22.33203125" customWidth="1"/>
    <col min="5" max="5" width="15" customWidth="1"/>
    <col min="6" max="6" width="13.44140625" bestFit="1" customWidth="1"/>
    <col min="7" max="7" width="9.44140625" bestFit="1" customWidth="1"/>
    <col min="8" max="8" width="14.6640625" bestFit="1" customWidth="1"/>
    <col min="9" max="9" width="6.88671875" customWidth="1"/>
    <col min="10" max="10" width="7.6640625" bestFit="1" customWidth="1"/>
    <col min="11" max="12" width="9.33203125" bestFit="1" customWidth="1"/>
  </cols>
  <sheetData>
    <row r="1" spans="1:12" x14ac:dyDescent="0.25">
      <c r="A1" s="566" t="s">
        <v>1187</v>
      </c>
    </row>
    <row r="2" spans="1:12" x14ac:dyDescent="0.25">
      <c r="A2" s="80" t="s">
        <v>18</v>
      </c>
    </row>
    <row r="3" spans="1:12" ht="13.8" thickBot="1" x14ac:dyDescent="0.3">
      <c r="A3" s="80"/>
      <c r="C3" s="1148" t="s">
        <v>461</v>
      </c>
      <c r="D3" s="1149"/>
    </row>
    <row r="4" spans="1:12" x14ac:dyDescent="0.25">
      <c r="A4" s="179"/>
      <c r="B4" s="206" t="s">
        <v>425</v>
      </c>
      <c r="C4" s="206" t="s">
        <v>993</v>
      </c>
      <c r="D4" s="207" t="s">
        <v>994</v>
      </c>
      <c r="E4" s="51"/>
      <c r="F4" s="51"/>
    </row>
    <row r="5" spans="1:12" x14ac:dyDescent="0.25">
      <c r="A5" s="208" t="s">
        <v>180</v>
      </c>
      <c r="B5" s="91" t="s">
        <v>181</v>
      </c>
      <c r="C5" s="145">
        <v>0.44800000000000001</v>
      </c>
      <c r="D5" s="203">
        <v>0.23200000000000001</v>
      </c>
      <c r="E5" s="51"/>
      <c r="F5" s="51"/>
    </row>
    <row r="6" spans="1:12" x14ac:dyDescent="0.25">
      <c r="A6" s="208" t="s">
        <v>182</v>
      </c>
      <c r="B6" s="91" t="s">
        <v>181</v>
      </c>
      <c r="C6" s="145">
        <v>0.248</v>
      </c>
      <c r="D6" s="203">
        <v>0.29099999999999998</v>
      </c>
      <c r="E6" s="51"/>
      <c r="F6" s="51"/>
    </row>
    <row r="7" spans="1:12" x14ac:dyDescent="0.25">
      <c r="A7" s="208" t="s">
        <v>183</v>
      </c>
      <c r="B7" s="91" t="s">
        <v>184</v>
      </c>
      <c r="C7" s="146">
        <f>C5/C9*2000</f>
        <v>125.52535724292518</v>
      </c>
      <c r="D7" s="204">
        <f>D5/D9*2000</f>
        <v>70.839694656488547</v>
      </c>
      <c r="E7" s="51"/>
      <c r="F7" s="51"/>
    </row>
    <row r="8" spans="1:12" x14ac:dyDescent="0.25">
      <c r="A8" s="208" t="s">
        <v>185</v>
      </c>
      <c r="B8" s="91" t="s">
        <v>186</v>
      </c>
      <c r="C8" s="146">
        <f>C6/C9*2000</f>
        <v>69.487251330905011</v>
      </c>
      <c r="D8" s="204">
        <f>D6/D9*2000</f>
        <v>88.854961832061065</v>
      </c>
      <c r="E8" s="51"/>
      <c r="F8" s="51"/>
    </row>
    <row r="9" spans="1:12" ht="13.8" thickBot="1" x14ac:dyDescent="0.3">
      <c r="A9" s="209" t="s">
        <v>187</v>
      </c>
      <c r="B9" s="201" t="s">
        <v>188</v>
      </c>
      <c r="C9" s="202">
        <v>7.1379999999999999</v>
      </c>
      <c r="D9" s="205">
        <v>6.55</v>
      </c>
      <c r="E9" s="51"/>
      <c r="F9" s="199">
        <v>8.33</v>
      </c>
    </row>
    <row r="10" spans="1:12" ht="13.8" thickBot="1" x14ac:dyDescent="0.3">
      <c r="A10" s="51"/>
      <c r="B10" s="51"/>
      <c r="C10" s="91"/>
      <c r="D10" s="91"/>
      <c r="E10" s="51"/>
      <c r="F10" s="51"/>
      <c r="G10" s="51"/>
      <c r="H10" s="51"/>
      <c r="I10" s="51"/>
      <c r="J10" s="51"/>
      <c r="K10" s="51"/>
      <c r="L10" s="51"/>
    </row>
    <row r="11" spans="1:12" ht="13.8" thickBot="1" x14ac:dyDescent="0.3">
      <c r="A11" s="179"/>
      <c r="B11" s="224"/>
      <c r="C11" s="225"/>
      <c r="D11" s="1156" t="s">
        <v>993</v>
      </c>
      <c r="E11" s="1157"/>
      <c r="F11" s="1158"/>
      <c r="G11" s="1150" t="s">
        <v>994</v>
      </c>
      <c r="H11" s="1151"/>
      <c r="I11" s="1151"/>
      <c r="J11" s="1152"/>
      <c r="K11" s="1152"/>
      <c r="L11" s="1153"/>
    </row>
    <row r="12" spans="1:12" ht="13.8" thickBot="1" x14ac:dyDescent="0.3">
      <c r="A12" s="232"/>
      <c r="B12" s="1154" t="s">
        <v>189</v>
      </c>
      <c r="C12" s="1155"/>
      <c r="D12" s="1159" t="s">
        <v>190</v>
      </c>
      <c r="E12" s="1160"/>
      <c r="F12" s="1155"/>
      <c r="G12" s="1150" t="s">
        <v>190</v>
      </c>
      <c r="H12" s="1151"/>
      <c r="I12" s="1151"/>
      <c r="J12" s="1152"/>
      <c r="K12" s="1152"/>
      <c r="L12" s="1153"/>
    </row>
    <row r="13" spans="1:12" x14ac:dyDescent="0.25">
      <c r="A13" s="232"/>
      <c r="B13" s="226" t="s">
        <v>191</v>
      </c>
      <c r="C13" s="227" t="s">
        <v>997</v>
      </c>
      <c r="D13" s="228" t="s">
        <v>191</v>
      </c>
      <c r="E13" s="169" t="s">
        <v>998</v>
      </c>
      <c r="F13" s="227" t="s">
        <v>409</v>
      </c>
      <c r="G13" s="402" t="s">
        <v>191</v>
      </c>
      <c r="H13" s="403" t="s">
        <v>998</v>
      </c>
      <c r="I13" s="403">
        <v>2012</v>
      </c>
      <c r="J13" s="404">
        <v>2015</v>
      </c>
      <c r="K13" s="404">
        <v>2020</v>
      </c>
      <c r="L13" s="405">
        <v>2025</v>
      </c>
    </row>
    <row r="14" spans="1:12" x14ac:dyDescent="0.25">
      <c r="A14" s="208" t="s">
        <v>192</v>
      </c>
      <c r="B14" s="212">
        <v>0.38400000000000001</v>
      </c>
      <c r="C14" s="213">
        <v>0.34200000000000003</v>
      </c>
      <c r="D14" s="211">
        <f t="shared" ref="D14:D25" si="0">B14*$C$8</f>
        <v>26.683104511067526</v>
      </c>
      <c r="E14" s="210">
        <f t="shared" ref="E14:E25" si="1">C14*$C$7</f>
        <v>42.929672177080413</v>
      </c>
      <c r="F14" s="217">
        <f t="shared" ref="F14:F25" si="2">SUM(D14:E14)</f>
        <v>69.612776688147932</v>
      </c>
      <c r="G14" s="216">
        <f t="shared" ref="G14:G25" si="3">B14*$D$8</f>
        <v>34.120305343511447</v>
      </c>
      <c r="H14" s="210">
        <f t="shared" ref="H14:H25" si="4">C14*$D$7</f>
        <v>24.227175572519084</v>
      </c>
      <c r="I14" s="210">
        <f t="shared" ref="I14:I25" si="5">SUM(G14:H14)</f>
        <v>58.347480916030534</v>
      </c>
      <c r="J14" s="229">
        <v>70</v>
      </c>
      <c r="K14" s="229">
        <v>80</v>
      </c>
      <c r="L14" s="350">
        <v>90</v>
      </c>
    </row>
    <row r="15" spans="1:12" x14ac:dyDescent="0.25">
      <c r="A15" s="208" t="s">
        <v>193</v>
      </c>
      <c r="B15" s="212">
        <v>0.58699999999999997</v>
      </c>
      <c r="C15" s="213">
        <v>0.24399999999999999</v>
      </c>
      <c r="D15" s="211">
        <f t="shared" si="0"/>
        <v>40.789016531241238</v>
      </c>
      <c r="E15" s="210">
        <f t="shared" si="1"/>
        <v>30.628187167273744</v>
      </c>
      <c r="F15" s="217">
        <f t="shared" si="2"/>
        <v>71.417203698514982</v>
      </c>
      <c r="G15" s="216">
        <f t="shared" si="3"/>
        <v>52.157862595419843</v>
      </c>
      <c r="H15" s="210">
        <f t="shared" si="4"/>
        <v>17.284885496183204</v>
      </c>
      <c r="I15" s="210">
        <f t="shared" si="5"/>
        <v>69.44274809160305</v>
      </c>
      <c r="J15" s="230">
        <f t="shared" ref="J15:J25" si="6">I15*$J$28</f>
        <v>83.311092271623536</v>
      </c>
      <c r="K15" s="230">
        <f t="shared" ref="K15:K25" si="7">I15*$K$28</f>
        <v>95.212676881855472</v>
      </c>
      <c r="L15" s="351">
        <f t="shared" ref="L15:L26" si="8">I15*$L$28</f>
        <v>107.11426149208741</v>
      </c>
    </row>
    <row r="16" spans="1:12" x14ac:dyDescent="0.25">
      <c r="A16" s="208" t="s">
        <v>194</v>
      </c>
      <c r="B16" s="214">
        <v>0.5</v>
      </c>
      <c r="C16" s="215">
        <v>0.3</v>
      </c>
      <c r="D16" s="211">
        <f t="shared" si="0"/>
        <v>34.743625665452505</v>
      </c>
      <c r="E16" s="210">
        <f t="shared" si="1"/>
        <v>37.657607172877555</v>
      </c>
      <c r="F16" s="217">
        <f t="shared" si="2"/>
        <v>72.40123283833006</v>
      </c>
      <c r="G16" s="216">
        <f t="shared" si="3"/>
        <v>44.427480916030532</v>
      </c>
      <c r="H16" s="210">
        <f t="shared" si="4"/>
        <v>21.251908396946565</v>
      </c>
      <c r="I16" s="210">
        <f t="shared" si="5"/>
        <v>65.679389312977094</v>
      </c>
      <c r="J16" s="230">
        <f t="shared" si="6"/>
        <v>78.796156744536546</v>
      </c>
      <c r="K16" s="230">
        <f t="shared" si="7"/>
        <v>90.05275056518461</v>
      </c>
      <c r="L16" s="351">
        <f t="shared" si="8"/>
        <v>101.30934438583269</v>
      </c>
    </row>
    <row r="17" spans="1:12" x14ac:dyDescent="0.25">
      <c r="A17" s="208" t="s">
        <v>195</v>
      </c>
      <c r="B17" s="214">
        <v>0.74</v>
      </c>
      <c r="C17" s="213">
        <v>0.105</v>
      </c>
      <c r="D17" s="211">
        <f t="shared" si="0"/>
        <v>51.420565984869704</v>
      </c>
      <c r="E17" s="210">
        <f t="shared" si="1"/>
        <v>13.180162510507143</v>
      </c>
      <c r="F17" s="217">
        <f t="shared" si="2"/>
        <v>64.600728495376842</v>
      </c>
      <c r="G17" s="216">
        <f t="shared" si="3"/>
        <v>65.752671755725189</v>
      </c>
      <c r="H17" s="210">
        <f t="shared" si="4"/>
        <v>7.4381679389312971</v>
      </c>
      <c r="I17" s="210">
        <f t="shared" si="5"/>
        <v>73.190839694656489</v>
      </c>
      <c r="J17" s="230">
        <f t="shared" si="6"/>
        <v>87.807711630243659</v>
      </c>
      <c r="K17" s="230">
        <f t="shared" si="7"/>
        <v>100.35167043456417</v>
      </c>
      <c r="L17" s="351">
        <f t="shared" si="8"/>
        <v>112.89562923888469</v>
      </c>
    </row>
    <row r="18" spans="1:12" x14ac:dyDescent="0.25">
      <c r="A18" s="208" t="s">
        <v>196</v>
      </c>
      <c r="B18" s="214">
        <v>0.45</v>
      </c>
      <c r="C18" s="215">
        <v>0.32</v>
      </c>
      <c r="D18" s="211">
        <f t="shared" si="0"/>
        <v>31.269263098907256</v>
      </c>
      <c r="E18" s="210">
        <f t="shared" si="1"/>
        <v>40.168114317736062</v>
      </c>
      <c r="F18" s="217">
        <f t="shared" si="2"/>
        <v>71.437377416643315</v>
      </c>
      <c r="G18" s="216">
        <f t="shared" si="3"/>
        <v>39.984732824427482</v>
      </c>
      <c r="H18" s="210">
        <f t="shared" si="4"/>
        <v>22.668702290076336</v>
      </c>
      <c r="I18" s="210">
        <f t="shared" si="5"/>
        <v>62.653435114503822</v>
      </c>
      <c r="J18" s="230">
        <f t="shared" si="6"/>
        <v>75.165892154400069</v>
      </c>
      <c r="K18" s="230">
        <f t="shared" si="7"/>
        <v>85.903876747885789</v>
      </c>
      <c r="L18" s="351">
        <f t="shared" si="8"/>
        <v>96.641861341371509</v>
      </c>
    </row>
    <row r="19" spans="1:12" x14ac:dyDescent="0.25">
      <c r="A19" s="208" t="s">
        <v>518</v>
      </c>
      <c r="B19" s="212">
        <v>0.26500000000000001</v>
      </c>
      <c r="C19" s="213">
        <v>0.10199999999999999</v>
      </c>
      <c r="D19" s="211">
        <f t="shared" si="0"/>
        <v>18.414121602689828</v>
      </c>
      <c r="E19" s="210">
        <f t="shared" si="1"/>
        <v>12.803586438778368</v>
      </c>
      <c r="F19" s="217">
        <f t="shared" si="2"/>
        <v>31.217708041468196</v>
      </c>
      <c r="G19" s="216">
        <f t="shared" si="3"/>
        <v>23.546564885496185</v>
      </c>
      <c r="H19" s="210">
        <f t="shared" si="4"/>
        <v>7.2256488549618316</v>
      </c>
      <c r="I19" s="210">
        <f t="shared" si="5"/>
        <v>30.772213740458017</v>
      </c>
      <c r="J19" s="230">
        <f t="shared" si="6"/>
        <v>36.917702838482796</v>
      </c>
      <c r="K19" s="230">
        <f t="shared" si="7"/>
        <v>42.191660386837476</v>
      </c>
      <c r="L19" s="351">
        <f t="shared" si="8"/>
        <v>47.465617935192164</v>
      </c>
    </row>
    <row r="20" spans="1:12" x14ac:dyDescent="0.25">
      <c r="A20" s="208" t="s">
        <v>197</v>
      </c>
      <c r="B20" s="212">
        <v>0.76400000000000001</v>
      </c>
      <c r="C20" s="215">
        <v>0</v>
      </c>
      <c r="D20" s="211">
        <f t="shared" si="0"/>
        <v>53.088260016811432</v>
      </c>
      <c r="E20" s="210">
        <f t="shared" si="1"/>
        <v>0</v>
      </c>
      <c r="F20" s="217">
        <f t="shared" si="2"/>
        <v>53.088260016811432</v>
      </c>
      <c r="G20" s="216">
        <f t="shared" si="3"/>
        <v>67.885190839694658</v>
      </c>
      <c r="H20" s="210">
        <f t="shared" si="4"/>
        <v>0</v>
      </c>
      <c r="I20" s="210">
        <f t="shared" si="5"/>
        <v>67.885190839694658</v>
      </c>
      <c r="J20" s="230">
        <f t="shared" si="6"/>
        <v>81.442476764632005</v>
      </c>
      <c r="K20" s="230">
        <f t="shared" si="7"/>
        <v>93.077116302436565</v>
      </c>
      <c r="L20" s="351">
        <f t="shared" si="8"/>
        <v>104.71175584024114</v>
      </c>
    </row>
    <row r="21" spans="1:12" x14ac:dyDescent="0.25">
      <c r="A21" s="208" t="s">
        <v>565</v>
      </c>
      <c r="B21" s="214">
        <v>0.45</v>
      </c>
      <c r="C21" s="213">
        <v>0.27500000000000002</v>
      </c>
      <c r="D21" s="211">
        <f t="shared" si="0"/>
        <v>31.269263098907256</v>
      </c>
      <c r="E21" s="210">
        <f t="shared" si="1"/>
        <v>34.519473241804427</v>
      </c>
      <c r="F21" s="217">
        <f t="shared" si="2"/>
        <v>65.788736340711679</v>
      </c>
      <c r="G21" s="216">
        <f t="shared" si="3"/>
        <v>39.984732824427482</v>
      </c>
      <c r="H21" s="210">
        <f t="shared" si="4"/>
        <v>19.480916030534353</v>
      </c>
      <c r="I21" s="210">
        <f t="shared" si="5"/>
        <v>59.465648854961835</v>
      </c>
      <c r="J21" s="230">
        <f t="shared" si="6"/>
        <v>71.341476178514611</v>
      </c>
      <c r="K21" s="230">
        <f t="shared" si="7"/>
        <v>81.533115632588121</v>
      </c>
      <c r="L21" s="351">
        <f t="shared" si="8"/>
        <v>91.724755086661645</v>
      </c>
    </row>
    <row r="22" spans="1:12" x14ac:dyDescent="0.25">
      <c r="A22" s="208" t="s">
        <v>555</v>
      </c>
      <c r="B22" s="212">
        <v>0.57299999999999995</v>
      </c>
      <c r="C22" s="213">
        <v>9.9000000000000005E-2</v>
      </c>
      <c r="D22" s="211">
        <f t="shared" si="0"/>
        <v>39.816195012608567</v>
      </c>
      <c r="E22" s="210">
        <f t="shared" si="1"/>
        <v>12.427010367049593</v>
      </c>
      <c r="F22" s="217">
        <f t="shared" si="2"/>
        <v>52.243205379658164</v>
      </c>
      <c r="G22" s="216">
        <f t="shared" si="3"/>
        <v>50.913893129770983</v>
      </c>
      <c r="H22" s="210">
        <f t="shared" si="4"/>
        <v>7.0131297709923661</v>
      </c>
      <c r="I22" s="210">
        <f t="shared" si="5"/>
        <v>57.927022900763347</v>
      </c>
      <c r="J22" s="230">
        <f t="shared" si="6"/>
        <v>69.49557272042199</v>
      </c>
      <c r="K22" s="230">
        <f t="shared" si="7"/>
        <v>79.423511680482278</v>
      </c>
      <c r="L22" s="351">
        <f t="shared" si="8"/>
        <v>89.351450640542552</v>
      </c>
    </row>
    <row r="23" spans="1:12" x14ac:dyDescent="0.25">
      <c r="A23" s="208" t="s">
        <v>198</v>
      </c>
      <c r="B23" s="212">
        <v>0.48499999999999999</v>
      </c>
      <c r="C23" s="215">
        <v>0.09</v>
      </c>
      <c r="D23" s="211">
        <f t="shared" si="0"/>
        <v>33.70131689548893</v>
      </c>
      <c r="E23" s="210">
        <f t="shared" si="1"/>
        <v>11.297282151863266</v>
      </c>
      <c r="F23" s="217">
        <f t="shared" si="2"/>
        <v>44.998599047352194</v>
      </c>
      <c r="G23" s="216">
        <f t="shared" si="3"/>
        <v>43.094656488549617</v>
      </c>
      <c r="H23" s="210">
        <f t="shared" si="4"/>
        <v>6.3755725190839687</v>
      </c>
      <c r="I23" s="210">
        <f t="shared" si="5"/>
        <v>49.470229007633584</v>
      </c>
      <c r="J23" s="230">
        <f t="shared" si="6"/>
        <v>59.349880683245409</v>
      </c>
      <c r="K23" s="230">
        <f t="shared" si="7"/>
        <v>67.828435066566186</v>
      </c>
      <c r="L23" s="351">
        <f t="shared" si="8"/>
        <v>76.306989449886956</v>
      </c>
    </row>
    <row r="24" spans="1:12" x14ac:dyDescent="0.25">
      <c r="A24" s="208" t="s">
        <v>199</v>
      </c>
      <c r="B24" s="212">
        <v>0.874</v>
      </c>
      <c r="C24" s="213">
        <v>8.4000000000000005E-2</v>
      </c>
      <c r="D24" s="211">
        <f t="shared" si="0"/>
        <v>60.731857663210981</v>
      </c>
      <c r="E24" s="210">
        <f t="shared" si="1"/>
        <v>10.544130008405716</v>
      </c>
      <c r="F24" s="217">
        <f t="shared" si="2"/>
        <v>71.27598767161669</v>
      </c>
      <c r="G24" s="216">
        <f t="shared" si="3"/>
        <v>77.659236641221369</v>
      </c>
      <c r="H24" s="210">
        <f t="shared" si="4"/>
        <v>5.9505343511450386</v>
      </c>
      <c r="I24" s="210">
        <f t="shared" si="5"/>
        <v>83.609770992366407</v>
      </c>
      <c r="J24" s="230">
        <f t="shared" si="6"/>
        <v>100.30739763878421</v>
      </c>
      <c r="K24" s="230">
        <f t="shared" si="7"/>
        <v>114.63702587289625</v>
      </c>
      <c r="L24" s="351">
        <f t="shared" si="8"/>
        <v>128.96665410700828</v>
      </c>
    </row>
    <row r="25" spans="1:12" x14ac:dyDescent="0.25">
      <c r="A25" s="208" t="s">
        <v>200</v>
      </c>
      <c r="B25" s="212">
        <v>0.42299999999999999</v>
      </c>
      <c r="C25" s="213">
        <v>9.4E-2</v>
      </c>
      <c r="D25" s="211">
        <f t="shared" si="0"/>
        <v>29.39310731297282</v>
      </c>
      <c r="E25" s="210">
        <f t="shared" si="1"/>
        <v>11.799383580834967</v>
      </c>
      <c r="F25" s="217">
        <f t="shared" si="2"/>
        <v>41.192490893807786</v>
      </c>
      <c r="G25" s="216">
        <f t="shared" si="3"/>
        <v>37.585648854961832</v>
      </c>
      <c r="H25" s="210">
        <f t="shared" si="4"/>
        <v>6.6589312977099233</v>
      </c>
      <c r="I25" s="210">
        <f t="shared" si="5"/>
        <v>44.244580152671759</v>
      </c>
      <c r="J25" s="230">
        <f t="shared" si="6"/>
        <v>53.080622540400235</v>
      </c>
      <c r="K25" s="230">
        <f t="shared" si="7"/>
        <v>60.663568617600269</v>
      </c>
      <c r="L25" s="351">
        <f t="shared" si="8"/>
        <v>68.246514694800297</v>
      </c>
    </row>
    <row r="26" spans="1:12" ht="13.8" thickBot="1" x14ac:dyDescent="0.3">
      <c r="A26" s="209"/>
      <c r="B26" s="222"/>
      <c r="C26" s="223"/>
      <c r="D26" s="221"/>
      <c r="E26" s="218" t="s">
        <v>218</v>
      </c>
      <c r="F26" s="219">
        <f>SUM(F22:F25)/4</f>
        <v>52.427570748108707</v>
      </c>
      <c r="G26" s="186"/>
      <c r="H26" s="109"/>
      <c r="I26" s="220">
        <f>SUM(I22:I25)/4</f>
        <v>58.812900763358769</v>
      </c>
      <c r="J26" s="231">
        <f>SUM(J22:J25)/4</f>
        <v>70.558368395712961</v>
      </c>
      <c r="K26" s="231">
        <f>SUM(K22:K25)/4</f>
        <v>80.638135309386243</v>
      </c>
      <c r="L26" s="352">
        <f t="shared" si="8"/>
        <v>90.717902223059511</v>
      </c>
    </row>
    <row r="28" spans="1:12" x14ac:dyDescent="0.25">
      <c r="J28" s="74">
        <f>J14/I14</f>
        <v>1.199709034580926</v>
      </c>
      <c r="K28" s="74">
        <f>K14/I14</f>
        <v>1.3710960395210583</v>
      </c>
      <c r="L28">
        <f>L14/I14</f>
        <v>1.5424830444611906</v>
      </c>
    </row>
    <row r="29" spans="1:12" x14ac:dyDescent="0.25">
      <c r="A29" s="81" t="s">
        <v>130</v>
      </c>
    </row>
    <row r="30" spans="1:12" x14ac:dyDescent="0.25">
      <c r="A30" s="388" t="s">
        <v>38</v>
      </c>
    </row>
    <row r="31" spans="1:12" x14ac:dyDescent="0.25">
      <c r="A31" s="373"/>
    </row>
    <row r="32" spans="1:12" x14ac:dyDescent="0.25">
      <c r="A32" s="388" t="s">
        <v>19</v>
      </c>
    </row>
    <row r="33" spans="1:1" x14ac:dyDescent="0.25">
      <c r="A33" s="373" t="s">
        <v>109</v>
      </c>
    </row>
    <row r="34" spans="1:1" x14ac:dyDescent="0.25">
      <c r="A34" s="373"/>
    </row>
    <row r="35" spans="1:1" x14ac:dyDescent="0.25">
      <c r="A35" s="373" t="s">
        <v>110</v>
      </c>
    </row>
    <row r="36" spans="1:1" x14ac:dyDescent="0.25">
      <c r="A36" s="373"/>
    </row>
    <row r="37" spans="1:1" x14ac:dyDescent="0.25">
      <c r="A37" s="373" t="s">
        <v>111</v>
      </c>
    </row>
    <row r="38" spans="1:1" x14ac:dyDescent="0.25">
      <c r="A38" s="373"/>
    </row>
    <row r="39" spans="1:1" x14ac:dyDescent="0.25">
      <c r="A39" s="373" t="s">
        <v>112</v>
      </c>
    </row>
    <row r="40" spans="1:1" x14ac:dyDescent="0.25">
      <c r="A40" s="373"/>
    </row>
    <row r="41" spans="1:1" x14ac:dyDescent="0.25">
      <c r="A41" s="373" t="s">
        <v>113</v>
      </c>
    </row>
    <row r="42" spans="1:1" x14ac:dyDescent="0.25">
      <c r="A42" s="373"/>
    </row>
    <row r="43" spans="1:1" x14ac:dyDescent="0.25">
      <c r="A43" s="373" t="s">
        <v>114</v>
      </c>
    </row>
    <row r="44" spans="1:1" x14ac:dyDescent="0.25">
      <c r="A44" s="373"/>
    </row>
    <row r="45" spans="1:1" x14ac:dyDescent="0.25">
      <c r="A45" s="373" t="s">
        <v>115</v>
      </c>
    </row>
    <row r="46" spans="1:1" x14ac:dyDescent="0.25">
      <c r="A46" s="373" t="s">
        <v>116</v>
      </c>
    </row>
    <row r="47" spans="1:1" x14ac:dyDescent="0.25">
      <c r="A47" s="373"/>
    </row>
    <row r="48" spans="1:1" x14ac:dyDescent="0.25">
      <c r="A48" s="373" t="s">
        <v>117</v>
      </c>
    </row>
    <row r="49" spans="1:1" x14ac:dyDescent="0.25">
      <c r="A49" s="373" t="s">
        <v>118</v>
      </c>
    </row>
    <row r="50" spans="1:1" x14ac:dyDescent="0.25">
      <c r="A50" s="373"/>
    </row>
    <row r="51" spans="1:1" x14ac:dyDescent="0.25">
      <c r="A51" s="373" t="s">
        <v>88</v>
      </c>
    </row>
  </sheetData>
  <mergeCells count="6">
    <mergeCell ref="C3:D3"/>
    <mergeCell ref="G11:L11"/>
    <mergeCell ref="G12:L12"/>
    <mergeCell ref="B12:C12"/>
    <mergeCell ref="D11:F11"/>
    <mergeCell ref="D12:F12"/>
  </mergeCells>
  <phoneticPr fontId="0" type="noConversion"/>
  <hyperlinks>
    <hyperlink ref="A49" r:id="rId1" display="http://www.nal.usda.gov/fnic/foodcomp/Data/SR17/wtrank/wt_rank.html"/>
  </hyperlinks>
  <pageMargins left="0.75" right="0.75" top="1" bottom="1" header="0.5" footer="0.5"/>
  <pageSetup paperSize="5" scale="50" orientation="landscape" r:id="rId2"/>
  <headerFooter alignWithMargins="0">
    <oddFooter>&amp;L&amp;"Arial,Italic" 7/02/07&amp;C&amp;"Arial,Italic"&amp;A&amp;R&amp;"Arial,Italic"NJAES Report 2007-1 ©2007
New Jersey Agricultural Experiment Station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52"/>
  <sheetViews>
    <sheetView workbookViewId="0">
      <selection activeCell="L42" sqref="L42"/>
    </sheetView>
  </sheetViews>
  <sheetFormatPr defaultColWidth="8.88671875" defaultRowHeight="13.2" x14ac:dyDescent="0.25"/>
  <cols>
    <col min="1" max="1" width="17.33203125" customWidth="1"/>
    <col min="2" max="2" width="10.33203125" customWidth="1"/>
    <col min="3" max="3" width="11.88671875" bestFit="1" customWidth="1"/>
    <col min="4" max="4" width="10.44140625" bestFit="1" customWidth="1"/>
    <col min="5" max="5" width="10" customWidth="1"/>
    <col min="6" max="6" width="11.33203125" customWidth="1"/>
    <col min="7" max="7" width="9.33203125" customWidth="1"/>
    <col min="8" max="8" width="11.44140625" customWidth="1"/>
    <col min="9" max="9" width="11.33203125" customWidth="1"/>
    <col min="10" max="10" width="9.44140625" bestFit="1" customWidth="1"/>
    <col min="11" max="15" width="8.88671875" customWidth="1"/>
    <col min="16" max="16" width="12.88671875" bestFit="1" customWidth="1"/>
  </cols>
  <sheetData>
    <row r="1" spans="1:12" ht="13.8" thickBot="1" x14ac:dyDescent="0.3">
      <c r="A1" s="80" t="s">
        <v>165</v>
      </c>
    </row>
    <row r="2" spans="1:12" ht="12.75" customHeight="1" x14ac:dyDescent="0.25">
      <c r="A2" s="1164" t="s">
        <v>322</v>
      </c>
      <c r="B2" s="1161" t="s">
        <v>166</v>
      </c>
      <c r="C2" s="1170" t="s">
        <v>216</v>
      </c>
      <c r="D2" s="1166" t="s">
        <v>215</v>
      </c>
      <c r="E2" s="1172" t="s">
        <v>212</v>
      </c>
      <c r="F2" s="1173"/>
      <c r="G2" s="1174"/>
      <c r="H2" s="1161" t="s">
        <v>163</v>
      </c>
      <c r="I2" s="1161" t="s">
        <v>221</v>
      </c>
      <c r="J2" s="1161" t="s">
        <v>222</v>
      </c>
    </row>
    <row r="3" spans="1:12" ht="26.25" customHeight="1" thickBot="1" x14ac:dyDescent="0.3">
      <c r="A3" s="1165"/>
      <c r="B3" s="1162"/>
      <c r="C3" s="1171"/>
      <c r="D3" s="1167"/>
      <c r="E3" s="154" t="s">
        <v>213</v>
      </c>
      <c r="F3" s="275" t="s">
        <v>124</v>
      </c>
      <c r="G3" s="274" t="s">
        <v>214</v>
      </c>
      <c r="H3" s="1163" t="s">
        <v>217</v>
      </c>
      <c r="I3" s="1162" t="s">
        <v>217</v>
      </c>
      <c r="J3" s="1162" t="s">
        <v>217</v>
      </c>
    </row>
    <row r="4" spans="1:12" x14ac:dyDescent="0.25">
      <c r="A4" s="164" t="s">
        <v>403</v>
      </c>
      <c r="B4" s="153">
        <f>Atlantic!$C$11</f>
        <v>2548.5675999999999</v>
      </c>
      <c r="C4" s="153">
        <f>Atlantic!$C$29</f>
        <v>118397.15833333334</v>
      </c>
      <c r="D4" s="155">
        <f>Atlantic!$C$49</f>
        <v>1234.7412632500002</v>
      </c>
      <c r="E4" s="284">
        <f>SUM(Atlantic!$C$37:$C$42)</f>
        <v>37946.602499999994</v>
      </c>
      <c r="F4" s="277">
        <f>SUM(Atlantic!$C$32:$C$33)</f>
        <v>52858.950476400008</v>
      </c>
      <c r="G4" s="280">
        <f>Atlantic!$C$35</f>
        <v>20944.182400000005</v>
      </c>
      <c r="H4" s="155">
        <f>Atlantic!$C$61+Atlantic!$C$63*'Energy Content Assumptions'!$B$66+Atlantic!$C$64*'Energy Content Assumptions'!$B$67</f>
        <v>44008.839134607006</v>
      </c>
      <c r="I4" s="167">
        <f>SUM(B4:H4)</f>
        <v>277939.04170759034</v>
      </c>
      <c r="J4" s="167">
        <f>I4/'Biomass Data Assumptions'!N7</f>
        <v>495.43501195648901</v>
      </c>
      <c r="L4" t="s">
        <v>154</v>
      </c>
    </row>
    <row r="5" spans="1:12" x14ac:dyDescent="0.25">
      <c r="A5" s="164" t="s">
        <v>325</v>
      </c>
      <c r="B5" s="152">
        <f>Bergen!$C$11</f>
        <v>4.2644000000000002</v>
      </c>
      <c r="C5" s="152">
        <f>Bergen!$C$29</f>
        <v>93737.097499999989</v>
      </c>
      <c r="D5" s="152">
        <f>Bergen!$C$49</f>
        <v>3687.6688630000003</v>
      </c>
      <c r="E5" s="285">
        <f>SUM(Bergen!$C$37:$C$42)</f>
        <v>166837.16649999999</v>
      </c>
      <c r="F5" s="276">
        <f>SUM(Bergen!$C$32:$C$33)</f>
        <v>121583.78069400002</v>
      </c>
      <c r="G5" s="281">
        <f>Bergen!$C$35</f>
        <v>86592.899200000014</v>
      </c>
      <c r="H5" s="153">
        <f>Bergen!$C$61+Bergen!$C$63*'Energy Content Assumptions'!$B$66+Bergen!$C$64*'Energy Content Assumptions'!$B$67</f>
        <v>57511.755660549999</v>
      </c>
      <c r="I5" s="167">
        <f t="shared" ref="I5:I24" si="0">SUM(B5:H5)</f>
        <v>529954.63281754998</v>
      </c>
      <c r="J5" s="167">
        <f>I5/'Biomass Data Assumptions'!N8</f>
        <v>2264.7633881091879</v>
      </c>
    </row>
    <row r="6" spans="1:12" x14ac:dyDescent="0.25">
      <c r="A6" s="164" t="s">
        <v>328</v>
      </c>
      <c r="B6" s="152">
        <f>Burlington!$C$11</f>
        <v>32089.921600000001</v>
      </c>
      <c r="C6" s="152">
        <f>Burlington!$C$29</f>
        <v>214810.09</v>
      </c>
      <c r="D6" s="152">
        <f>Burlington!$C$49</f>
        <v>21042.6544995</v>
      </c>
      <c r="E6" s="285">
        <f>SUM(Burlington!$C$37:$C$42)</f>
        <v>77961.870500000005</v>
      </c>
      <c r="F6" s="276">
        <f>SUM(Burlington!$C$32:$C$33)</f>
        <v>62218.901417999994</v>
      </c>
      <c r="G6" s="281">
        <f>Burlington!$C$35</f>
        <v>23711.446400000004</v>
      </c>
      <c r="H6" s="153">
        <f>Burlington!$C$61+Burlington!$C$63*'Energy Content Assumptions'!$B$66+Burlington!$C$64*'Energy Content Assumptions'!$B$67</f>
        <v>73816.393693817212</v>
      </c>
      <c r="I6" s="167">
        <f t="shared" si="0"/>
        <v>505651.27811131725</v>
      </c>
      <c r="J6" s="167">
        <f>I6/'Biomass Data Assumptions'!N9</f>
        <v>628.13823367865496</v>
      </c>
    </row>
    <row r="7" spans="1:12" x14ac:dyDescent="0.25">
      <c r="A7" s="164" t="s">
        <v>331</v>
      </c>
      <c r="B7" s="152">
        <f>Camden!$C$11</f>
        <v>2443.7939999999999</v>
      </c>
      <c r="C7" s="152">
        <f>Camden!$C$29</f>
        <v>73270.317500000005</v>
      </c>
      <c r="D7" s="152">
        <f>Camden!$C$49</f>
        <v>2279.0070322500001</v>
      </c>
      <c r="E7" s="285">
        <f>SUM(Camden!$C$37:$C$42)</f>
        <v>75827.284499999994</v>
      </c>
      <c r="F7" s="276">
        <f>SUM(Camden!$C$32:$C$33)</f>
        <v>18831.419592899998</v>
      </c>
      <c r="G7" s="281">
        <f>Camden!$C$35</f>
        <v>20582.972800000003</v>
      </c>
      <c r="H7" s="153">
        <f>Camden!$C$61+Camden!$C$63*'Energy Content Assumptions'!$B$66+Camden!$C$64*'Energy Content Assumptions'!$B$67</f>
        <v>15961.969223522272</v>
      </c>
      <c r="I7" s="167">
        <f t="shared" si="0"/>
        <v>209196.76464867228</v>
      </c>
      <c r="J7" s="167">
        <f>I7/'Biomass Data Assumptions'!N10</f>
        <v>942.32776868771293</v>
      </c>
    </row>
    <row r="8" spans="1:12" x14ac:dyDescent="0.25">
      <c r="A8" s="164" t="s">
        <v>333</v>
      </c>
      <c r="B8" s="152">
        <f>'Cape May'!C11</f>
        <v>772.41560000000004</v>
      </c>
      <c r="C8" s="152">
        <f>'Cape May'!$C$29</f>
        <v>90166.833333333343</v>
      </c>
      <c r="D8" s="152">
        <f>'Cape May'!$C$49</f>
        <v>396.28192625000003</v>
      </c>
      <c r="E8" s="285">
        <f>SUM('Cape May'!$C$37:$C$42)</f>
        <v>22539.174000000003</v>
      </c>
      <c r="F8" s="276">
        <f>SUM('Cape May'!$C$32:$C$33)</f>
        <v>20250.483793200001</v>
      </c>
      <c r="G8" s="281">
        <f>'Cape May'!$C$35</f>
        <v>21896.950400000002</v>
      </c>
      <c r="H8" s="153">
        <f>'Cape May'!$C$61+'Cape May'!$C$63*'Energy Content Assumptions'!$B$66+'Cape May'!$C$64*'Energy Content Assumptions'!$B$67</f>
        <v>26437.219770118747</v>
      </c>
      <c r="I8" s="167">
        <f t="shared" si="0"/>
        <v>182459.35882290208</v>
      </c>
      <c r="J8" s="167">
        <f>I8/'Biomass Data Assumptions'!N11</f>
        <v>715.52689734471403</v>
      </c>
    </row>
    <row r="9" spans="1:12" x14ac:dyDescent="0.25">
      <c r="A9" s="164" t="s">
        <v>335</v>
      </c>
      <c r="B9" s="152">
        <f>Cumberland!$C$11</f>
        <v>27282.040399999998</v>
      </c>
      <c r="C9" s="152">
        <f>Cumberland!$C$29</f>
        <v>128487.38666666666</v>
      </c>
      <c r="D9" s="152">
        <f>Cumberland!$C$49</f>
        <v>8858.7616765000002</v>
      </c>
      <c r="E9" s="285">
        <f>SUM(Cumberland!$C$37:$C$42)</f>
        <v>34772.178</v>
      </c>
      <c r="F9" s="276">
        <f>SUM(Cumberland!$C$32:$C$33)</f>
        <v>25318.309250400001</v>
      </c>
      <c r="G9" s="281">
        <f>Cumberland!$C$35</f>
        <v>6815.2128000000012</v>
      </c>
      <c r="H9" s="153">
        <f>Cumberland!$C$61+Cumberland!$C$63*'Energy Content Assumptions'!$B$66+Cumberland!$C$64*'Energy Content Assumptions'!$B$67</f>
        <v>14478.095030112499</v>
      </c>
      <c r="I9" s="167">
        <f t="shared" si="0"/>
        <v>246011.98382367915</v>
      </c>
      <c r="J9" s="167">
        <f>I9/'Biomass Data Assumptions'!N12</f>
        <v>503.09199145946656</v>
      </c>
    </row>
    <row r="10" spans="1:12" x14ac:dyDescent="0.25">
      <c r="A10" s="164" t="s">
        <v>336</v>
      </c>
      <c r="B10" s="152">
        <f>Essex!$C$11</f>
        <v>0</v>
      </c>
      <c r="C10" s="152">
        <f>Essex!$C$29</f>
        <v>40659.395000000004</v>
      </c>
      <c r="D10" s="152">
        <f>Essex!$C$49</f>
        <v>3194.08569825</v>
      </c>
      <c r="E10" s="285">
        <f>SUM(Essex!$C$37:$C$42)</f>
        <v>112229.36249999999</v>
      </c>
      <c r="F10" s="276">
        <f>SUM(Essex!$C$33:$C$34)</f>
        <v>31364.220226999991</v>
      </c>
      <c r="G10" s="281">
        <f>Essex!$C$35</f>
        <v>19283.440000000002</v>
      </c>
      <c r="H10" s="153">
        <f>Essex!$C$61+Essex!$C$63*'Energy Content Assumptions'!$B$66+Essex!$C$64*'Energy Content Assumptions'!$B$67</f>
        <v>42979.802880475007</v>
      </c>
      <c r="I10" s="167">
        <f t="shared" si="0"/>
        <v>249710.30630572498</v>
      </c>
      <c r="J10" s="167">
        <f>I10/'Biomass Data Assumptions'!N13</f>
        <v>1981.8278278232142</v>
      </c>
    </row>
    <row r="11" spans="1:12" x14ac:dyDescent="0.25">
      <c r="A11" s="164" t="s">
        <v>337</v>
      </c>
      <c r="B11" s="152">
        <f>Gloucester!$C$11</f>
        <v>18272.194800000001</v>
      </c>
      <c r="C11" s="152">
        <f>Gloucester!$C$29</f>
        <v>81806.846666666665</v>
      </c>
      <c r="D11" s="152">
        <f>Gloucester!$C$49</f>
        <v>9405.5973840000024</v>
      </c>
      <c r="E11" s="285">
        <f>SUM(Gloucester!$C$37:$C$42)</f>
        <v>76845.582500000004</v>
      </c>
      <c r="F11" s="276">
        <f>SUM(Gloucester!$C$32:$C$33)</f>
        <v>5647.1168916000006</v>
      </c>
      <c r="G11" s="281">
        <f>Gloucester!$C$35</f>
        <v>10686.140800000001</v>
      </c>
      <c r="H11" s="153">
        <f>Gloucester!$C$61+Gloucester!$C$63*'Energy Content Assumptions'!$B$66+Gloucester!$C$64*'Energy Content Assumptions'!$B$67</f>
        <v>110725.16042556248</v>
      </c>
      <c r="I11" s="167">
        <f t="shared" si="0"/>
        <v>313388.63946782914</v>
      </c>
      <c r="J11" s="167">
        <f>I11/'Biomass Data Assumptions'!N14</f>
        <v>964.27273682408963</v>
      </c>
    </row>
    <row r="12" spans="1:12" x14ac:dyDescent="0.25">
      <c r="A12" s="164" t="s">
        <v>338</v>
      </c>
      <c r="B12" s="152">
        <f>Hudson!$C$11</f>
        <v>0</v>
      </c>
      <c r="C12" s="152">
        <f>Hudson!$C$29</f>
        <v>4128.5766666666659</v>
      </c>
      <c r="D12" s="152">
        <f>Hudson!$C$49</f>
        <v>2584.1582505000001</v>
      </c>
      <c r="E12" s="285">
        <f>SUM(Hudson!$C$37:$C$42)</f>
        <v>114940.1395</v>
      </c>
      <c r="F12" s="276">
        <f>SUM(Hudson!$C$32:$C$33)</f>
        <v>82094.272364400007</v>
      </c>
      <c r="G12" s="281">
        <f>Hudson!$C$35</f>
        <v>25802.438399999999</v>
      </c>
      <c r="H12" s="153">
        <f>Hudson!$C$61+Hudson!$C$63*'Energy Content Assumptions'!$B$66+Hudson!$C$64*'Energy Content Assumptions'!$B$67</f>
        <v>6010.1939985812505</v>
      </c>
      <c r="I12" s="167">
        <f t="shared" si="0"/>
        <v>235559.77918014792</v>
      </c>
      <c r="J12" s="167">
        <f>I12/'Biomass Data Assumptions'!N15</f>
        <v>5011.9101953222962</v>
      </c>
    </row>
    <row r="13" spans="1:12" x14ac:dyDescent="0.25">
      <c r="A13" s="164" t="s">
        <v>339</v>
      </c>
      <c r="B13" s="152">
        <f>Hunterdon!$C$11</f>
        <v>27925.648400000002</v>
      </c>
      <c r="C13" s="152">
        <f>Hunterdon!$C$29</f>
        <v>134938.16250000001</v>
      </c>
      <c r="D13" s="152">
        <f>Hunterdon!$C$49</f>
        <v>4712.3659132499997</v>
      </c>
      <c r="E13" s="285">
        <f>SUM(Hunterdon!$C$37:$C$42)</f>
        <v>16168.502500000002</v>
      </c>
      <c r="F13" s="276">
        <f>SUM(Hunterdon!$C$32:$C$33)</f>
        <v>10917.846992700002</v>
      </c>
      <c r="G13" s="281">
        <f>Hunterdon!$C$35</f>
        <v>8298.1792000000023</v>
      </c>
      <c r="H13" s="153">
        <f>Hunterdon!$C$61+Hunterdon!$C$63*'Energy Content Assumptions'!$B$66+Hunterdon!$C$64*'Energy Content Assumptions'!$B$67</f>
        <v>26955.970025046878</v>
      </c>
      <c r="I13" s="167">
        <f t="shared" si="0"/>
        <v>229916.6755309969</v>
      </c>
      <c r="J13" s="167">
        <f>I13/'Biomass Data Assumptions'!N16</f>
        <v>534.68994309534162</v>
      </c>
    </row>
    <row r="14" spans="1:12" x14ac:dyDescent="0.25">
      <c r="A14" s="164" t="s">
        <v>340</v>
      </c>
      <c r="B14" s="152">
        <f>Mercer!$C$11</f>
        <v>8511.2288000000008</v>
      </c>
      <c r="C14" s="152">
        <f>Mercer!$C$29</f>
        <v>119708.63166666668</v>
      </c>
      <c r="D14" s="152">
        <f>Mercer!$C$49</f>
        <v>5335.185590250001</v>
      </c>
      <c r="E14" s="285">
        <f>SUM(Mercer!$C$37:$C$42)</f>
        <v>70080.870999999999</v>
      </c>
      <c r="F14" s="276">
        <f>SUM(Mercer!$C$32:$C$33)</f>
        <v>52460.922363299993</v>
      </c>
      <c r="G14" s="281">
        <f>Mercer!$C$35</f>
        <v>20757.116800000003</v>
      </c>
      <c r="H14" s="153">
        <f>Mercer!$C$61+Mercer!$C$63*'Energy Content Assumptions'!$B$66+Mercer!$C$64*'Energy Content Assumptions'!$B$67</f>
        <v>23183.314734478125</v>
      </c>
      <c r="I14" s="167">
        <f t="shared" si="0"/>
        <v>300037.27095469483</v>
      </c>
      <c r="J14" s="167">
        <f>I14/'Biomass Data Assumptions'!N17</f>
        <v>1327.5985440473223</v>
      </c>
    </row>
    <row r="15" spans="1:12" x14ac:dyDescent="0.25">
      <c r="A15" s="164" t="s">
        <v>341</v>
      </c>
      <c r="B15" s="152">
        <f>Middlesex!$C$11</f>
        <v>9512.9772000000012</v>
      </c>
      <c r="C15" s="152">
        <f>Middlesex!$C$29</f>
        <v>73388.464999999982</v>
      </c>
      <c r="D15" s="152">
        <f>Middlesex!$C$49</f>
        <v>6790.1239565000005</v>
      </c>
      <c r="E15" s="285">
        <f>SUM(Middlesex!$C$37:$C$42)</f>
        <v>197132.77750000003</v>
      </c>
      <c r="F15" s="276">
        <f>SUM(Middlesex!$C$32:$C$33)</f>
        <v>118962.77977650001</v>
      </c>
      <c r="G15" s="281">
        <f>Middlesex!$C$35</f>
        <v>31407.497599999999</v>
      </c>
      <c r="H15" s="153">
        <f>Middlesex!$C$61+Middlesex!$C$63*'Energy Content Assumptions'!$B$66+Middlesex!$C$64*'Energy Content Assumptions'!$B$67</f>
        <v>84324.668687385172</v>
      </c>
      <c r="I15" s="167">
        <f t="shared" si="0"/>
        <v>521519.28972038516</v>
      </c>
      <c r="J15" s="167">
        <f>I15/'Biomass Data Assumptions'!N18</f>
        <v>1676.9108994224603</v>
      </c>
    </row>
    <row r="16" spans="1:12" x14ac:dyDescent="0.25">
      <c r="A16" s="164" t="s">
        <v>342</v>
      </c>
      <c r="B16" s="152">
        <f>Monmouth!$C$11</f>
        <v>9428.0999999999985</v>
      </c>
      <c r="C16" s="152">
        <f>Monmouth!$C$29</f>
        <v>125283.12666666666</v>
      </c>
      <c r="D16" s="152">
        <f>Monmouth!$C$49</f>
        <v>7489.2857150000009</v>
      </c>
      <c r="E16" s="285">
        <f>SUM(Monmouth!$C$37:$C$42)</f>
        <v>99977.147000000026</v>
      </c>
      <c r="F16" s="276">
        <f>SUM(Monmouth!$C$32:$C$33)</f>
        <v>95622.464270700002</v>
      </c>
      <c r="G16" s="281">
        <f>Monmouth!$C$35</f>
        <v>64421.347200000011</v>
      </c>
      <c r="H16" s="153">
        <f>Monmouth!$C$61+Monmouth!$C$63*'Energy Content Assumptions'!$B$66+Monmouth!$C$64*'Energy Content Assumptions'!$B$67</f>
        <v>50291.713145818743</v>
      </c>
      <c r="I16" s="167">
        <f t="shared" si="0"/>
        <v>452513.18399818544</v>
      </c>
      <c r="J16" s="167">
        <f>I16/'Biomass Data Assumptions'!N19</f>
        <v>958.71437287751155</v>
      </c>
    </row>
    <row r="17" spans="1:16" x14ac:dyDescent="0.25">
      <c r="A17" s="165" t="s">
        <v>343</v>
      </c>
      <c r="B17" s="152">
        <f>Morris!$C$11</f>
        <v>3296.5652</v>
      </c>
      <c r="C17" s="152">
        <f>Morris!$C$29</f>
        <v>113251.15083333332</v>
      </c>
      <c r="D17" s="152">
        <f>Morris!$C$49</f>
        <v>2238.9354930000004</v>
      </c>
      <c r="E17" s="285">
        <f>SUM(Morris!$C$37:$C$42)</f>
        <v>101477.8955</v>
      </c>
      <c r="F17" s="276">
        <f>SUM(Morris!$C$32:$C$33)</f>
        <v>63018.739275599997</v>
      </c>
      <c r="G17" s="281">
        <f>Morris!$C$35</f>
        <v>19766.307200000003</v>
      </c>
      <c r="H17" s="153">
        <f>Morris!$C$61+Morris!$C$63*'Energy Content Assumptions'!$B$66+Morris!$C$64*'Energy Content Assumptions'!$B$67</f>
        <v>37238.827452912497</v>
      </c>
      <c r="I17" s="167">
        <f t="shared" si="0"/>
        <v>340288.42095484579</v>
      </c>
      <c r="J17" s="167">
        <f>I17/'Biomass Data Assumptions'!N20</f>
        <v>725.56166514892493</v>
      </c>
    </row>
    <row r="18" spans="1:16" x14ac:dyDescent="0.25">
      <c r="A18" s="164" t="s">
        <v>344</v>
      </c>
      <c r="B18" s="152">
        <f>Ocean!$C$11</f>
        <v>1006.876</v>
      </c>
      <c r="C18" s="152">
        <f>Ocean!$C$29</f>
        <v>158073.35416666666</v>
      </c>
      <c r="D18" s="152">
        <f>Ocean!$C$49</f>
        <v>2609.2380997500004</v>
      </c>
      <c r="E18" s="285">
        <f>SUM(Ocean!$C$37:$C$42)</f>
        <v>91930.809500000018</v>
      </c>
      <c r="F18" s="276">
        <f>SUM(Ocean!$C$32:$C$33)</f>
        <v>87131.137780199992</v>
      </c>
      <c r="G18" s="281">
        <f>Ocean!$C$35</f>
        <v>88560.502400000012</v>
      </c>
      <c r="H18" s="153">
        <f>Ocean!$C$61+Ocean!$C$63*'Energy Content Assumptions'!$B$66+Ocean!$C$64*'Energy Content Assumptions'!$B$67</f>
        <v>40517.471993834377</v>
      </c>
      <c r="I18" s="167">
        <f t="shared" si="0"/>
        <v>469829.38994045102</v>
      </c>
      <c r="J18" s="167">
        <f>I18/'Biomass Data Assumptions'!N21</f>
        <v>738.72545588121227</v>
      </c>
    </row>
    <row r="19" spans="1:16" x14ac:dyDescent="0.25">
      <c r="A19" s="164" t="s">
        <v>345</v>
      </c>
      <c r="B19" s="152">
        <f>Passaic!$C$11</f>
        <v>3.5</v>
      </c>
      <c r="C19" s="152">
        <f>Passaic!$C$29</f>
        <v>57969.090833333328</v>
      </c>
      <c r="D19" s="152">
        <f>Passaic!$C$49</f>
        <v>2042.1200305000002</v>
      </c>
      <c r="E19" s="285">
        <f>SUM(Passaic!$C$37:$C$42)</f>
        <v>104048.74100000001</v>
      </c>
      <c r="F19" s="276">
        <f>SUM(Passaic!$C$32:$C$33)</f>
        <v>74746.137726000001</v>
      </c>
      <c r="G19" s="281">
        <f>Passaic!$C$35</f>
        <v>50443.353600000009</v>
      </c>
      <c r="H19" s="153">
        <f>Passaic!$C$61+Passaic!$C$63*'Energy Content Assumptions'!$B$66+Passaic!$C$64*'Energy Content Assumptions'!$B$67</f>
        <v>4439.0325425718747</v>
      </c>
      <c r="I19" s="167">
        <f t="shared" si="0"/>
        <v>293691.97573240526</v>
      </c>
      <c r="J19" s="167">
        <f>I19/'Biomass Data Assumptions'!N22</f>
        <v>1587.5241931481366</v>
      </c>
    </row>
    <row r="20" spans="1:16" x14ac:dyDescent="0.25">
      <c r="A20" s="164" t="s">
        <v>346</v>
      </c>
      <c r="B20" s="152">
        <f>Salem!$C$11</f>
        <v>63270.227200000001</v>
      </c>
      <c r="C20" s="152">
        <f>Salem!$C$29</f>
        <v>118525.39250000002</v>
      </c>
      <c r="D20" s="152">
        <f>Salem!$C$49</f>
        <v>20589.558662750002</v>
      </c>
      <c r="E20" s="285">
        <f>SUM(Salem!$C$37:$C$42)</f>
        <v>7506.5125000000007</v>
      </c>
      <c r="F20" s="276">
        <f>SUM(Salem!$C$32:$C$33)</f>
        <v>8909.3137506000021</v>
      </c>
      <c r="G20" s="281">
        <f>Salem!$C$35</f>
        <v>2479.5776000000005</v>
      </c>
      <c r="H20" s="153">
        <f>Salem!$C$61+Salem!$C$63*'Energy Content Assumptions'!$B$66+Salem!$C$64*'Energy Content Assumptions'!$B$67</f>
        <v>33074.95217525</v>
      </c>
      <c r="I20" s="167">
        <f t="shared" si="0"/>
        <v>254355.53438860003</v>
      </c>
      <c r="J20" s="167">
        <f>I20/'Biomass Data Assumptions'!N23</f>
        <v>752.53116683017765</v>
      </c>
    </row>
    <row r="21" spans="1:16" x14ac:dyDescent="0.25">
      <c r="A21" s="164" t="s">
        <v>347</v>
      </c>
      <c r="B21" s="152">
        <f>Somerset!$C$11</f>
        <v>8088.4135999999999</v>
      </c>
      <c r="C21" s="152">
        <f>Somerset!$C$29</f>
        <v>50999.234999999993</v>
      </c>
      <c r="D21" s="152">
        <f>Somerset!$C$49</f>
        <v>2410.2717170000001</v>
      </c>
      <c r="E21" s="285">
        <f>SUM(Somerset!$C$37:$C$42)</f>
        <v>46273.167000000001</v>
      </c>
      <c r="F21" s="276">
        <f>SUM(Somerset!$C$32:$C$33)</f>
        <v>44404.956713699998</v>
      </c>
      <c r="G21" s="281">
        <f>Somerset!$C$35</f>
        <v>33212.150400000006</v>
      </c>
      <c r="H21" s="153">
        <f>Somerset!$C$61+Somerset!$C$63*'Energy Content Assumptions'!$B$66+Somerset!$C$64*'Energy Content Assumptions'!$B$67</f>
        <v>17305.876605031252</v>
      </c>
      <c r="I21" s="167">
        <f t="shared" si="0"/>
        <v>202694.07103573126</v>
      </c>
      <c r="J21" s="167">
        <f>I21/'Biomass Data Assumptions'!N24</f>
        <v>664.57072470731566</v>
      </c>
    </row>
    <row r="22" spans="1:16" x14ac:dyDescent="0.25">
      <c r="A22" s="164" t="s">
        <v>348</v>
      </c>
      <c r="B22" s="152">
        <f>Sussex!$C$11</f>
        <v>9413.5999999999985</v>
      </c>
      <c r="C22" s="152">
        <f>Sussex!$C$29</f>
        <v>151080.80583333332</v>
      </c>
      <c r="D22" s="152">
        <f>Sussex!$C$49</f>
        <v>642.7029262499999</v>
      </c>
      <c r="E22" s="285">
        <f>SUM(Sussex!$C$37:$C$42)</f>
        <v>15610.903</v>
      </c>
      <c r="F22" s="276">
        <f>SUM(Sussex!$C$32:$C$33)</f>
        <v>16756.104424500001</v>
      </c>
      <c r="G22" s="281">
        <f>Sussex!$C$35</f>
        <v>3522.5440000000003</v>
      </c>
      <c r="H22" s="153">
        <f>Sussex!$C$61+Sussex!$C$63*'Energy Content Assumptions'!$B$66+Sussex!$C$64*'Energy Content Assumptions'!$B$67</f>
        <v>27972.415374685294</v>
      </c>
      <c r="I22" s="167">
        <f t="shared" si="0"/>
        <v>224999.07555876859</v>
      </c>
      <c r="J22" s="167">
        <f>I22/'Biomass Data Assumptions'!N25</f>
        <v>431.86002986327941</v>
      </c>
    </row>
    <row r="23" spans="1:16" x14ac:dyDescent="0.25">
      <c r="A23" s="164" t="s">
        <v>349</v>
      </c>
      <c r="B23" s="152">
        <f>Union!$C$11</f>
        <v>0</v>
      </c>
      <c r="C23" s="152">
        <f>Union!$C$29</f>
        <v>36022.504999999997</v>
      </c>
      <c r="D23" s="152">
        <f>Union!$C$49</f>
        <v>2185.83105075</v>
      </c>
      <c r="E23" s="285">
        <f>SUM(Union!$C$37:$C$42)</f>
        <v>43599.707999999999</v>
      </c>
      <c r="F23" s="276">
        <f>SUM(Union!$C$32:$C$33)</f>
        <v>6355.5642554999977</v>
      </c>
      <c r="G23" s="281">
        <f>Union!$C$35</f>
        <v>22937.728000000003</v>
      </c>
      <c r="H23" s="153">
        <f>Union!$C$61+Union!$C$63*'Energy Content Assumptions'!$B$66+Union!$C$64*'Energy Content Assumptions'!$B$67</f>
        <v>15207.575445499999</v>
      </c>
      <c r="I23" s="167">
        <f t="shared" si="0"/>
        <v>126308.91175175</v>
      </c>
      <c r="J23" s="167">
        <f>I23/'Biomass Data Assumptions'!N26</f>
        <v>1226.3001140946601</v>
      </c>
    </row>
    <row r="24" spans="1:16" ht="13.8" thickBot="1" x14ac:dyDescent="0.3">
      <c r="A24" s="166" t="s">
        <v>350</v>
      </c>
      <c r="B24" s="168">
        <f>Warren!$C$11</f>
        <v>51379.524400000002</v>
      </c>
      <c r="C24" s="168">
        <f>Warren!$C$29</f>
        <v>139757.16916666663</v>
      </c>
      <c r="D24" s="168">
        <f>Warren!$C$49</f>
        <v>4950.9983809999994</v>
      </c>
      <c r="E24" s="286">
        <f>SUM(Warren!$C$37:$C$42)</f>
        <v>11292.907999999999</v>
      </c>
      <c r="F24" s="278">
        <f>SUM(Warren!$C$32:$C$33)</f>
        <v>3323.6652464999988</v>
      </c>
      <c r="G24" s="282">
        <f>Warren!$C$35</f>
        <v>873.83360000000016</v>
      </c>
      <c r="H24" s="283">
        <f>Warren!$C$61+Warren!$C$63*'Energy Content Assumptions'!$B$66+Warren!$C$64*'Energy Content Assumptions'!$B$67</f>
        <v>36729.06507425</v>
      </c>
      <c r="I24" s="168">
        <f t="shared" si="0"/>
        <v>248307.16386841662</v>
      </c>
      <c r="J24" s="168">
        <f>I24/'Biomass Data Assumptions'!N27</f>
        <v>693.59542980004642</v>
      </c>
    </row>
    <row r="25" spans="1:16" ht="14.4" thickTop="1" thickBot="1" x14ac:dyDescent="0.3">
      <c r="A25" s="162" t="s">
        <v>220</v>
      </c>
      <c r="B25" s="163">
        <f t="shared" ref="B25:I25" si="1">SUM(B4:B24)</f>
        <v>275249.85920000001</v>
      </c>
      <c r="C25" s="163">
        <f t="shared" si="1"/>
        <v>2124460.7908333335</v>
      </c>
      <c r="D25" s="163">
        <f t="shared" si="1"/>
        <v>114679.5741295</v>
      </c>
      <c r="E25" s="142">
        <f t="shared" si="1"/>
        <v>1524999.3030000003</v>
      </c>
      <c r="F25" s="142">
        <f t="shared" si="1"/>
        <v>1002777.0872837001</v>
      </c>
      <c r="G25" s="279">
        <f t="shared" si="1"/>
        <v>582995.8208000001</v>
      </c>
      <c r="H25" s="163">
        <f t="shared" si="1"/>
        <v>789170.31307411066</v>
      </c>
      <c r="I25" s="163">
        <f t="shared" si="1"/>
        <v>6414332.7483206447</v>
      </c>
      <c r="J25" s="163">
        <f>I25/'Biomass Data Assumptions'!N28</f>
        <v>864.69840230798661</v>
      </c>
      <c r="K25" s="292" t="str">
        <f>'Bioenergy Calculator'!H75</f>
        <v>no</v>
      </c>
      <c r="L25" s="293" t="s">
        <v>170</v>
      </c>
      <c r="M25" s="293"/>
    </row>
    <row r="28" spans="1:16" ht="13.8" thickBot="1" x14ac:dyDescent="0.3">
      <c r="A28" s="80" t="s">
        <v>153</v>
      </c>
      <c r="B28" s="264" t="s">
        <v>154</v>
      </c>
    </row>
    <row r="29" spans="1:16" ht="12.75" customHeight="1" x14ac:dyDescent="0.25">
      <c r="A29" s="1164" t="s">
        <v>322</v>
      </c>
      <c r="B29" s="1161" t="s">
        <v>166</v>
      </c>
      <c r="C29" s="1170" t="s">
        <v>216</v>
      </c>
      <c r="D29" s="1166" t="s">
        <v>215</v>
      </c>
      <c r="E29" s="1172" t="s">
        <v>212</v>
      </c>
      <c r="F29" s="1173"/>
      <c r="G29" s="1173"/>
      <c r="H29" s="1161" t="s">
        <v>163</v>
      </c>
      <c r="I29" s="1161" t="s">
        <v>221</v>
      </c>
      <c r="J29" s="1168"/>
    </row>
    <row r="30" spans="1:16" ht="27" customHeight="1" thickBot="1" x14ac:dyDescent="0.3">
      <c r="A30" s="1165"/>
      <c r="B30" s="1162"/>
      <c r="C30" s="1171"/>
      <c r="D30" s="1167"/>
      <c r="E30" s="154" t="s">
        <v>213</v>
      </c>
      <c r="F30" s="275" t="s">
        <v>124</v>
      </c>
      <c r="G30" s="274" t="s">
        <v>214</v>
      </c>
      <c r="H30" s="1162" t="s">
        <v>217</v>
      </c>
      <c r="I30" s="1162" t="s">
        <v>217</v>
      </c>
      <c r="J30" s="1169"/>
      <c r="P30" s="265"/>
    </row>
    <row r="31" spans="1:16" x14ac:dyDescent="0.25">
      <c r="A31" s="164" t="s">
        <v>403</v>
      </c>
      <c r="B31" s="153">
        <f>Atlantic!$E$11</f>
        <v>0</v>
      </c>
      <c r="C31" s="153">
        <f>Atlantic!$E$29</f>
        <v>68986.92333333334</v>
      </c>
      <c r="D31" s="155">
        <f>Atlantic!$E$49</f>
        <v>721.33463325000002</v>
      </c>
      <c r="E31" s="284">
        <f>SUM(Atlantic!$E$37:$E$42)</f>
        <v>8698.9415000000008</v>
      </c>
      <c r="F31" s="277">
        <f>SUM(Atlantic!$E$32:$E$33)</f>
        <v>40032.263262240012</v>
      </c>
      <c r="G31" s="280">
        <f>Atlantic!$E$35</f>
        <v>13404.276736000005</v>
      </c>
      <c r="H31" s="155">
        <f>Atlantic!$E$61+Atlantic!$E$63*'Energy Content Assumptions'!$B$66+Atlantic!$E$64*'Energy Content Assumptions'!$B$67</f>
        <v>42364.062045607003</v>
      </c>
      <c r="I31" s="167">
        <f t="shared" ref="I31:I51" si="2">SUM(B31:H31)</f>
        <v>174207.80151043035</v>
      </c>
      <c r="J31" s="31"/>
    </row>
    <row r="32" spans="1:16" x14ac:dyDescent="0.25">
      <c r="A32" s="164" t="s">
        <v>325</v>
      </c>
      <c r="B32" s="152">
        <f>Bergen!$E$11</f>
        <v>0</v>
      </c>
      <c r="C32" s="152">
        <f>Bergen!$E$29</f>
        <v>87855.133749999994</v>
      </c>
      <c r="D32" s="152">
        <f>Bergen!$E$49</f>
        <v>1995.1019430000001</v>
      </c>
      <c r="E32" s="285">
        <f>SUM(Bergen!$E$37:$E$42)</f>
        <v>26375.605500000001</v>
      </c>
      <c r="F32" s="276">
        <f>SUM(Bergen!$E$32:$E$33)</f>
        <v>92080.411610400013</v>
      </c>
      <c r="G32" s="281">
        <f>Bergen!$E$35</f>
        <v>55419.455488000021</v>
      </c>
      <c r="H32" s="153">
        <f>Bergen!$E$61+Bergen!$E$63*'Energy Content Assumptions'!$B$66+Bergen!$E$64*'Energy Content Assumptions'!$B$67</f>
        <v>56952.557118550001</v>
      </c>
      <c r="I32" s="167">
        <f t="shared" si="2"/>
        <v>320678.26540995005</v>
      </c>
      <c r="J32" s="31"/>
    </row>
    <row r="33" spans="1:11" x14ac:dyDescent="0.25">
      <c r="A33" s="164" t="s">
        <v>328</v>
      </c>
      <c r="B33" s="152">
        <f>Burlington!$E$11</f>
        <v>0</v>
      </c>
      <c r="C33" s="152">
        <f>Burlington!$E$29</f>
        <v>129358.56625000002</v>
      </c>
      <c r="D33" s="152">
        <f>Burlington!$E$49</f>
        <v>20203.521919500003</v>
      </c>
      <c r="E33" s="285">
        <f>SUM(Burlington!$E$37:$E$42)</f>
        <v>8155.8085000000001</v>
      </c>
      <c r="F33" s="276">
        <f>SUM(Burlington!$E$32:$E$33)</f>
        <v>46664.176063499996</v>
      </c>
      <c r="G33" s="281">
        <f>Burlington!$E$35</f>
        <v>15175.325696000005</v>
      </c>
      <c r="H33" s="153">
        <f>Burlington!$E$61+Burlington!$E$63*'Energy Content Assumptions'!$B$66+Burlington!$E$64*'Energy Content Assumptions'!$B$67</f>
        <v>66138.267636817211</v>
      </c>
      <c r="I33" s="167">
        <f t="shared" si="2"/>
        <v>285695.66606581723</v>
      </c>
      <c r="J33" s="31"/>
    </row>
    <row r="34" spans="1:11" x14ac:dyDescent="0.25">
      <c r="A34" s="164" t="s">
        <v>331</v>
      </c>
      <c r="B34" s="152">
        <f>Camden!$E$11</f>
        <v>0</v>
      </c>
      <c r="C34" s="152">
        <f>Camden!$E$29</f>
        <v>57705.553749999992</v>
      </c>
      <c r="D34" s="152">
        <f>Camden!$E$49</f>
        <v>1318.4684422500002</v>
      </c>
      <c r="E34" s="285">
        <f>SUM(Camden!$E$37:$E$42)</f>
        <v>12147.5885</v>
      </c>
      <c r="F34" s="276">
        <f>SUM(Camden!$E$32:$E$33)</f>
        <v>14261.810723639999</v>
      </c>
      <c r="G34" s="281">
        <f>Camden!$E$35</f>
        <v>13173.102592000005</v>
      </c>
      <c r="H34" s="153">
        <f>Camden!$E$61+Camden!$E$63*'Energy Content Assumptions'!$B$66+Camden!$E$64*'Energy Content Assumptions'!$B$67</f>
        <v>15093.513189522273</v>
      </c>
      <c r="I34" s="167">
        <f t="shared" si="2"/>
        <v>113700.03719741227</v>
      </c>
      <c r="J34" s="31"/>
    </row>
    <row r="35" spans="1:11" x14ac:dyDescent="0.25">
      <c r="A35" s="164" t="s">
        <v>333</v>
      </c>
      <c r="B35" s="152">
        <f>'Cape May'!E39</f>
        <v>0</v>
      </c>
      <c r="C35" s="152">
        <f>'Cape May'!$E$29</f>
        <v>75155.249583333338</v>
      </c>
      <c r="D35" s="152">
        <f>'Cape May'!$E$49</f>
        <v>214.39637625000003</v>
      </c>
      <c r="E35" s="285">
        <f>SUM('Cape May'!$E$37:$E$42)</f>
        <v>2197.0050000000006</v>
      </c>
      <c r="F35" s="276">
        <f>SUM('Cape May'!$E$32:$E$33)</f>
        <v>15336.526569120004</v>
      </c>
      <c r="G35" s="281">
        <f>'Cape May'!$E$35</f>
        <v>14014.048256000004</v>
      </c>
      <c r="H35" s="153">
        <f>'Cape May'!$E$61+'Cape May'!$E$63*'Energy Content Assumptions'!$B$66+'Cape May'!$E$64*'Energy Content Assumptions'!$B$67</f>
        <v>25892.631448118747</v>
      </c>
      <c r="I35" s="167">
        <f t="shared" si="2"/>
        <v>132809.85723282211</v>
      </c>
      <c r="J35" s="31"/>
      <c r="K35" t="s">
        <v>154</v>
      </c>
    </row>
    <row r="36" spans="1:11" x14ac:dyDescent="0.25">
      <c r="A36" s="164" t="s">
        <v>335</v>
      </c>
      <c r="B36" s="152">
        <f>Cumberland!$E$11</f>
        <v>0</v>
      </c>
      <c r="C36" s="152">
        <f>Cumberland!$E$29</f>
        <v>72344.506666666668</v>
      </c>
      <c r="D36" s="152">
        <f>Cumberland!$E$49</f>
        <v>8565.3624165000001</v>
      </c>
      <c r="E36" s="285">
        <f>SUM(Cumberland!$E$37:$E$42)</f>
        <v>9937.4760000000006</v>
      </c>
      <c r="F36" s="276">
        <f>SUM(Cumberland!$E$32:$E$33)</f>
        <v>19174.599800640004</v>
      </c>
      <c r="G36" s="281">
        <f>Cumberland!$E$35</f>
        <v>4361.7361920000012</v>
      </c>
      <c r="H36" s="153">
        <f>Cumberland!$E$61+Cumberland!$E$63*'Energy Content Assumptions'!$B$66+Cumberland!$E$64*'Energy Content Assumptions'!$B$67</f>
        <v>11944.403000112497</v>
      </c>
      <c r="I36" s="167">
        <f t="shared" si="2"/>
        <v>126328.08407591916</v>
      </c>
      <c r="J36" s="31"/>
    </row>
    <row r="37" spans="1:11" x14ac:dyDescent="0.25">
      <c r="A37" s="164" t="s">
        <v>336</v>
      </c>
      <c r="B37" s="152">
        <f>Essex!$E$11</f>
        <v>0</v>
      </c>
      <c r="C37" s="152">
        <f>Essex!$E$29</f>
        <v>40657.695000000007</v>
      </c>
      <c r="D37" s="152">
        <f>Essex!$E$49</f>
        <v>1728.0636682500001</v>
      </c>
      <c r="E37" s="285">
        <f>SUM(Essex!$E$37:$E$42)</f>
        <v>40414.608500000002</v>
      </c>
      <c r="F37" s="276">
        <f>SUM(Essex!$E$33:$E$34)</f>
        <v>24000.464395079995</v>
      </c>
      <c r="G37" s="281">
        <f>Essex!$E$35</f>
        <v>12341.401600000005</v>
      </c>
      <c r="H37" s="153">
        <f>Essex!$E$61+Essex!$E$63*'Energy Content Assumptions'!$B$66+Essex!$E$64*'Energy Content Assumptions'!$B$67</f>
        <v>42935.249520475001</v>
      </c>
      <c r="I37" s="167">
        <f t="shared" si="2"/>
        <v>162077.48268380499</v>
      </c>
      <c r="J37" s="31"/>
    </row>
    <row r="38" spans="1:11" x14ac:dyDescent="0.25">
      <c r="A38" s="164" t="s">
        <v>337</v>
      </c>
      <c r="B38" s="152">
        <f>Gloucester!$E$11</f>
        <v>0</v>
      </c>
      <c r="C38" s="152">
        <f>Gloucester!$E$29</f>
        <v>57092.389166666653</v>
      </c>
      <c r="D38" s="152">
        <f>Gloucester!$E$49</f>
        <v>8866.4988240000021</v>
      </c>
      <c r="E38" s="285">
        <f>SUM(Gloucester!$E$37:$E$42)</f>
        <v>17197.514499999997</v>
      </c>
      <c r="F38" s="276">
        <f>SUM(Gloucester!$E$32:$E$33)</f>
        <v>4276.794526560001</v>
      </c>
      <c r="G38" s="281">
        <f>Gloucester!$E$35</f>
        <v>6839.1301120000016</v>
      </c>
      <c r="H38" s="153">
        <f>Gloucester!$E$61+Gloucester!$E$63*'Energy Content Assumptions'!$B$66+Gloucester!$E$64*'Energy Content Assumptions'!$B$67</f>
        <v>105119.22788106248</v>
      </c>
      <c r="I38" s="167">
        <f t="shared" si="2"/>
        <v>199391.55501028913</v>
      </c>
      <c r="J38" s="31"/>
    </row>
    <row r="39" spans="1:11" x14ac:dyDescent="0.25">
      <c r="A39" s="164" t="s">
        <v>338</v>
      </c>
      <c r="B39" s="152">
        <f>Hudson!$E$11</f>
        <v>0</v>
      </c>
      <c r="C39" s="152">
        <f>Hudson!$E$29</f>
        <v>3120.0766666666664</v>
      </c>
      <c r="D39" s="152">
        <f>Hudson!$E$49</f>
        <v>1398.0808305</v>
      </c>
      <c r="E39" s="285">
        <f>SUM(Hudson!$E$37:$E$42)</f>
        <v>36443.1325</v>
      </c>
      <c r="F39" s="276">
        <f>SUM(Hudson!$E$32:$E$33)</f>
        <v>62173.378283040001</v>
      </c>
      <c r="G39" s="281">
        <f>Hudson!$E$35</f>
        <v>16513.560576000003</v>
      </c>
      <c r="H39" s="153">
        <f>Hudson!$E$61+Hudson!$E$63*'Energy Content Assumptions'!$B$66+Hudson!$E$64*'Energy Content Assumptions'!$B$67</f>
        <v>6010.1939985812505</v>
      </c>
      <c r="I39" s="167">
        <f t="shared" si="2"/>
        <v>125658.42285478792</v>
      </c>
      <c r="J39" s="31"/>
    </row>
    <row r="40" spans="1:11" x14ac:dyDescent="0.25">
      <c r="A40" s="164" t="s">
        <v>339</v>
      </c>
      <c r="B40" s="152">
        <f>Hunterdon!$E$11</f>
        <v>0</v>
      </c>
      <c r="C40" s="152">
        <f>Hunterdon!$E$29</f>
        <v>67724.137499999997</v>
      </c>
      <c r="D40" s="152">
        <f>Hunterdon!$E$49</f>
        <v>4472.3532832499995</v>
      </c>
      <c r="E40" s="285">
        <f>SUM(Hunterdon!$E$37:$E$42)</f>
        <v>1926.0794999999998</v>
      </c>
      <c r="F40" s="276">
        <f>SUM(Hunterdon!$E$32:$E$33)</f>
        <v>8268.5358133200025</v>
      </c>
      <c r="G40" s="281">
        <f>Hunterdon!$E$35</f>
        <v>5310.8346880000026</v>
      </c>
      <c r="H40" s="153">
        <f>Hunterdon!$E$61+Hunterdon!$E$63*'Energy Content Assumptions'!$B$66+Hunterdon!$E$64*'Energy Content Assumptions'!$B$67</f>
        <v>14985.53186004688</v>
      </c>
      <c r="I40" s="167">
        <f t="shared" si="2"/>
        <v>102687.47264461689</v>
      </c>
      <c r="J40" s="31"/>
    </row>
    <row r="41" spans="1:11" x14ac:dyDescent="0.25">
      <c r="A41" s="164" t="s">
        <v>340</v>
      </c>
      <c r="B41" s="152">
        <f>Mercer!$E$11</f>
        <v>0</v>
      </c>
      <c r="C41" s="152">
        <f>Mercer!$E$29</f>
        <v>102264.79791666668</v>
      </c>
      <c r="D41" s="152">
        <f>Mercer!$E$49</f>
        <v>4649.8062802500008</v>
      </c>
      <c r="E41" s="285">
        <f>SUM(Mercer!$E$37:$E$42)</f>
        <v>15207.602999999999</v>
      </c>
      <c r="F41" s="276">
        <f>SUM(Mercer!$E$32:$E$33)</f>
        <v>39730.820156279995</v>
      </c>
      <c r="G41" s="281">
        <f>Mercer!$E$35</f>
        <v>13284.554752000005</v>
      </c>
      <c r="H41" s="153">
        <f>Mercer!$E$61+Mercer!$E$63*'Energy Content Assumptions'!$B$66+Mercer!$E$64*'Energy Content Assumptions'!$B$67</f>
        <v>21334.021210478124</v>
      </c>
      <c r="I41" s="167">
        <f t="shared" si="2"/>
        <v>196471.60331567482</v>
      </c>
      <c r="J41" s="31"/>
    </row>
    <row r="42" spans="1:11" x14ac:dyDescent="0.25">
      <c r="A42" s="164" t="s">
        <v>341</v>
      </c>
      <c r="B42" s="152">
        <f>Middlesex!$E$11</f>
        <v>0</v>
      </c>
      <c r="C42" s="152">
        <f>Middlesex!$E$29</f>
        <v>57015.695000000007</v>
      </c>
      <c r="D42" s="152">
        <f>Middlesex!$E$49</f>
        <v>5275.6894965000001</v>
      </c>
      <c r="E42" s="285">
        <f>SUM(Middlesex!$E$37:$E$42)</f>
        <v>25810.4215</v>
      </c>
      <c r="F42" s="276">
        <f>SUM(Middlesex!$E$32:$E$33)</f>
        <v>90095.419517400005</v>
      </c>
      <c r="G42" s="281">
        <f>Middlesex!$E$35</f>
        <v>20100.798464000003</v>
      </c>
      <c r="H42" s="153">
        <f>Middlesex!$E$61+Middlesex!$E$63*'Energy Content Assumptions'!$B$66+Middlesex!$E$64*'Energy Content Assumptions'!$B$67</f>
        <v>83266.970482885183</v>
      </c>
      <c r="I42" s="167">
        <f t="shared" si="2"/>
        <v>281564.99446078518</v>
      </c>
      <c r="J42" s="31"/>
    </row>
    <row r="43" spans="1:11" x14ac:dyDescent="0.25">
      <c r="A43" s="164" t="s">
        <v>342</v>
      </c>
      <c r="B43" s="152">
        <f>Monmouth!$E$11</f>
        <v>0</v>
      </c>
      <c r="C43" s="152">
        <f>Monmouth!$E$29</f>
        <v>90197.551666666666</v>
      </c>
      <c r="D43" s="152">
        <f>Monmouth!$E$49</f>
        <v>6310.4751150000002</v>
      </c>
      <c r="E43" s="285">
        <f>SUM(Monmouth!$E$37:$E$42)</f>
        <v>17524.349000000002</v>
      </c>
      <c r="F43" s="276">
        <f>SUM(Monmouth!$E$32:$E$33)</f>
        <v>72418.835958120006</v>
      </c>
      <c r="G43" s="281">
        <f>Monmouth!$E$35</f>
        <v>41229.662208000016</v>
      </c>
      <c r="H43" s="153">
        <f>Monmouth!$E$61+Monmouth!$E$63*'Energy Content Assumptions'!$B$66+Monmouth!$E$64*'Energy Content Assumptions'!$B$67</f>
        <v>38934.887248318752</v>
      </c>
      <c r="I43" s="167">
        <f t="shared" si="2"/>
        <v>266615.76119610545</v>
      </c>
      <c r="J43" s="31"/>
    </row>
    <row r="44" spans="1:11" x14ac:dyDescent="0.25">
      <c r="A44" s="165" t="s">
        <v>343</v>
      </c>
      <c r="B44" s="152">
        <f>Morris!$E$11</f>
        <v>0</v>
      </c>
      <c r="C44" s="152">
        <f>Morris!$E$29</f>
        <v>74110.425833333342</v>
      </c>
      <c r="D44" s="152">
        <f>Morris!$E$49</f>
        <v>1318.3793730000002</v>
      </c>
      <c r="E44" s="285">
        <f>SUM(Morris!$E$37:$E$42)</f>
        <v>14171.287500000002</v>
      </c>
      <c r="F44" s="276">
        <f>SUM(Morris!$E$32:$E$33)</f>
        <v>47726.690340960005</v>
      </c>
      <c r="G44" s="281">
        <f>Morris!$E$35</f>
        <v>12650.436608000004</v>
      </c>
      <c r="H44" s="153">
        <f>Morris!$E$61+Morris!$E$63*'Energy Content Assumptions'!$B$66+Morris!$E$64*'Energy Content Assumptions'!$B$67</f>
        <v>34253.747478412493</v>
      </c>
      <c r="I44" s="167">
        <f t="shared" si="2"/>
        <v>184230.96713370588</v>
      </c>
      <c r="J44" s="31"/>
    </row>
    <row r="45" spans="1:11" x14ac:dyDescent="0.25">
      <c r="A45" s="164" t="s">
        <v>344</v>
      </c>
      <c r="B45" s="152">
        <f>Ocean!$E$11</f>
        <v>0</v>
      </c>
      <c r="C45" s="152">
        <f>Ocean!$E$29</f>
        <v>100055.76041666667</v>
      </c>
      <c r="D45" s="152">
        <f>Ocean!$E$49</f>
        <v>1531.0578097500004</v>
      </c>
      <c r="E45" s="285">
        <f>SUM(Ocean!$E$37:$E$42)</f>
        <v>11858.066500000001</v>
      </c>
      <c r="F45" s="276">
        <f>SUM(Ocean!$E$32:$E$33)</f>
        <v>65988.004198320006</v>
      </c>
      <c r="G45" s="281">
        <f>Ocean!$E$35</f>
        <v>56678.721536000019</v>
      </c>
      <c r="H45" s="153">
        <f>Ocean!$E$61+Ocean!$E$63*'Energy Content Assumptions'!$B$66+Ocean!$E$64*'Energy Content Assumptions'!$B$67</f>
        <v>38485.934079334373</v>
      </c>
      <c r="I45" s="167">
        <f t="shared" si="2"/>
        <v>274597.54454007105</v>
      </c>
      <c r="J45" s="31"/>
    </row>
    <row r="46" spans="1:11" x14ac:dyDescent="0.25">
      <c r="A46" s="164" t="s">
        <v>345</v>
      </c>
      <c r="B46" s="152">
        <f>Passaic!$E$11</f>
        <v>0</v>
      </c>
      <c r="C46" s="152">
        <f>Passaic!$E$29</f>
        <v>40320.068333333336</v>
      </c>
      <c r="D46" s="152">
        <f>Passaic!$E$49</f>
        <v>1104.8274105</v>
      </c>
      <c r="E46" s="285">
        <f>SUM(Passaic!$E$37:$E$42)</f>
        <v>13245.066000000001</v>
      </c>
      <c r="F46" s="276">
        <f>SUM(Passaic!$E$32:$E$33)</f>
        <v>56608.3328616</v>
      </c>
      <c r="G46" s="281">
        <f>Passaic!$E$35</f>
        <v>32283.746304000011</v>
      </c>
      <c r="H46" s="153">
        <f>Passaic!$E$61+Passaic!$E$63*'Energy Content Assumptions'!$B$66+Passaic!$E$64*'Energy Content Assumptions'!$B$67</f>
        <v>3782.325966071875</v>
      </c>
      <c r="I46" s="167">
        <f t="shared" si="2"/>
        <v>147344.36687550519</v>
      </c>
      <c r="J46" s="31"/>
    </row>
    <row r="47" spans="1:11" x14ac:dyDescent="0.25">
      <c r="A47" s="164" t="s">
        <v>346</v>
      </c>
      <c r="B47" s="152">
        <f>Salem!$E$11</f>
        <v>0</v>
      </c>
      <c r="C47" s="152">
        <f>Salem!$E$29</f>
        <v>63305.347500000003</v>
      </c>
      <c r="D47" s="152">
        <f>Salem!$E$49</f>
        <v>20465.983452749999</v>
      </c>
      <c r="E47" s="285">
        <f>SUM(Salem!$E$37:$E$42)</f>
        <v>1187.4005</v>
      </c>
      <c r="F47" s="276">
        <f>SUM(Salem!$E$32:$E$33)</f>
        <v>6747.3907509600022</v>
      </c>
      <c r="G47" s="281">
        <f>Salem!$E$35</f>
        <v>1586.9296640000007</v>
      </c>
      <c r="H47" s="153">
        <f>Salem!$E$61+Salem!$E$63*'Energy Content Assumptions'!$B$66+Salem!$E$64*'Energy Content Assumptions'!$B$67</f>
        <v>22250.495421749998</v>
      </c>
      <c r="I47" s="167">
        <f t="shared" si="2"/>
        <v>115543.54728946</v>
      </c>
      <c r="J47" s="31"/>
    </row>
    <row r="48" spans="1:11" x14ac:dyDescent="0.25">
      <c r="A48" s="164" t="s">
        <v>347</v>
      </c>
      <c r="B48" s="152">
        <f>Somerset!$E$11</f>
        <v>0</v>
      </c>
      <c r="C48" s="152">
        <f>Somerset!$E$29</f>
        <v>27076.278749999998</v>
      </c>
      <c r="D48" s="152">
        <f>Somerset!$E$49</f>
        <v>1805.431437</v>
      </c>
      <c r="E48" s="285">
        <f>SUM(Somerset!$E$37:$E$42)</f>
        <v>6034.3630000000003</v>
      </c>
      <c r="F48" s="276">
        <f>SUM(Somerset!$E$32:$E$33)</f>
        <v>33629.705116919999</v>
      </c>
      <c r="G48" s="281">
        <f>Somerset!$E$35</f>
        <v>21255.776256000008</v>
      </c>
      <c r="H48" s="153">
        <f>Somerset!$E$61+Somerset!$E$63*'Energy Content Assumptions'!$B$66+Somerset!$E$64*'Energy Content Assumptions'!$B$67</f>
        <v>13453.05241953125</v>
      </c>
      <c r="I48" s="167">
        <f t="shared" si="2"/>
        <v>103254.60697945126</v>
      </c>
      <c r="J48" s="31"/>
    </row>
    <row r="49" spans="1:10" x14ac:dyDescent="0.25">
      <c r="A49" s="164" t="s">
        <v>348</v>
      </c>
      <c r="B49" s="152">
        <f>Sussex!$E$11</f>
        <v>0</v>
      </c>
      <c r="C49" s="152">
        <f>Sussex!$E$29</f>
        <v>75274.195833333331</v>
      </c>
      <c r="D49" s="152">
        <f>Sussex!$E$49</f>
        <v>363.57737624999999</v>
      </c>
      <c r="E49" s="285">
        <f>SUM(Sussex!$E$37:$E$42)</f>
        <v>2345.6680000000001</v>
      </c>
      <c r="F49" s="276">
        <f>SUM(Sussex!$E$32:$E$33)</f>
        <v>12690.088954200002</v>
      </c>
      <c r="G49" s="281">
        <f>Sussex!$E$35</f>
        <v>2254.4281600000008</v>
      </c>
      <c r="H49" s="153">
        <f>Sussex!$E$61+Sussex!$E$63*'Energy Content Assumptions'!$B$66+Sussex!$E$64*'Energy Content Assumptions'!$B$67</f>
        <v>15589.926884685292</v>
      </c>
      <c r="I49" s="167">
        <f t="shared" si="2"/>
        <v>108517.88520846864</v>
      </c>
      <c r="J49" s="31"/>
    </row>
    <row r="50" spans="1:10" x14ac:dyDescent="0.25">
      <c r="A50" s="164" t="s">
        <v>349</v>
      </c>
      <c r="B50" s="152">
        <f>Union!$E$11</f>
        <v>0</v>
      </c>
      <c r="C50" s="152">
        <f>Union!$E$29</f>
        <v>36018.51</v>
      </c>
      <c r="D50" s="152">
        <f>Union!$E$49</f>
        <v>1182.57792075</v>
      </c>
      <c r="E50" s="285">
        <f>SUM(Union!$E$37:$E$42)</f>
        <v>5289.0249999999996</v>
      </c>
      <c r="F50" s="276">
        <f>SUM(Union!$E$32:$E$33)</f>
        <v>4813.330933799999</v>
      </c>
      <c r="G50" s="281">
        <f>Union!$E$35</f>
        <v>14680.145920000004</v>
      </c>
      <c r="H50" s="153">
        <f>Union!$E$61+Union!$E$63*'Energy Content Assumptions'!$B$66+Union!$E$64*'Energy Content Assumptions'!$B$67</f>
        <v>15204.818235499999</v>
      </c>
      <c r="I50" s="167">
        <f t="shared" si="2"/>
        <v>77188.40801005</v>
      </c>
      <c r="J50" s="31"/>
    </row>
    <row r="51" spans="1:10" ht="13.8" thickBot="1" x14ac:dyDescent="0.3">
      <c r="A51" s="166" t="s">
        <v>350</v>
      </c>
      <c r="B51" s="168">
        <f>Warren!$E$11</f>
        <v>0</v>
      </c>
      <c r="C51" s="168">
        <f>Warren!$E$29</f>
        <v>83122.424166666679</v>
      </c>
      <c r="D51" s="168">
        <f>Warren!$E$49</f>
        <v>4747.7443409999996</v>
      </c>
      <c r="E51" s="286">
        <f>SUM(Warren!$E$37:$E$42)</f>
        <v>2692.4430000000002</v>
      </c>
      <c r="F51" s="278">
        <f>SUM(Warren!$E$32:$E$33)</f>
        <v>2517.1487693999993</v>
      </c>
      <c r="G51" s="282">
        <f>Warren!$E$35</f>
        <v>559.25350400000025</v>
      </c>
      <c r="H51" s="283">
        <f>Warren!$E$61+Warren!$E$63*'Energy Content Assumptions'!$B$66+Warren!$E$64*'Energy Content Assumptions'!$B$67</f>
        <v>25714.388023249994</v>
      </c>
      <c r="I51" s="168">
        <f t="shared" si="2"/>
        <v>119353.40180431666</v>
      </c>
      <c r="J51" s="31"/>
    </row>
    <row r="52" spans="1:10" ht="14.4" thickTop="1" thickBot="1" x14ac:dyDescent="0.3">
      <c r="A52" s="162" t="s">
        <v>220</v>
      </c>
      <c r="B52" s="163">
        <f t="shared" ref="B52:I52" si="3">SUM(B31:B51)</f>
        <v>0</v>
      </c>
      <c r="C52" s="163">
        <f>SUM(C31:C51)</f>
        <v>1408761.2870833334</v>
      </c>
      <c r="D52" s="163">
        <f>SUM(D31:D51)</f>
        <v>98238.732349500016</v>
      </c>
      <c r="E52" s="288">
        <f t="shared" si="3"/>
        <v>278859.45300000004</v>
      </c>
      <c r="F52" s="142">
        <f>SUM(F31:F51)</f>
        <v>759234.72860550007</v>
      </c>
      <c r="G52" s="287">
        <f t="shared" si="3"/>
        <v>373117.32531200012</v>
      </c>
      <c r="H52" s="163">
        <f t="shared" si="3"/>
        <v>699706.20514911076</v>
      </c>
      <c r="I52" s="163">
        <f t="shared" si="3"/>
        <v>3617917.7314994438</v>
      </c>
      <c r="J52" s="31"/>
    </row>
  </sheetData>
  <mergeCells count="16">
    <mergeCell ref="I2:I3"/>
    <mergeCell ref="J2:J3"/>
    <mergeCell ref="H2:H3"/>
    <mergeCell ref="A29:A30"/>
    <mergeCell ref="B29:B30"/>
    <mergeCell ref="D29:D30"/>
    <mergeCell ref="J29:J30"/>
    <mergeCell ref="C29:C30"/>
    <mergeCell ref="H29:H30"/>
    <mergeCell ref="I29:I30"/>
    <mergeCell ref="E2:G2"/>
    <mergeCell ref="E29:G29"/>
    <mergeCell ref="C2:C3"/>
    <mergeCell ref="A2:A3"/>
    <mergeCell ref="B2:B3"/>
    <mergeCell ref="D2:D3"/>
  </mergeCells>
  <phoneticPr fontId="0" type="noConversion"/>
  <pageMargins left="0.75" right="0.75" top="1" bottom="1" header="0.5" footer="0.5"/>
  <pageSetup scale="90" orientation="landscape" r:id="rId1"/>
  <headerFooter alignWithMargins="0">
    <oddFooter>&amp;L&amp;"Arial,Italic"2/1/07&amp;C&amp;"Arial,Italic"&amp;A&amp;R&amp;"Arial,Italic"Prepared by Navigant Consulting for the New Jersey Agricultural 
Experiment Station - do not reproduce or copy</oddFooter>
  </headerFooter>
  <rowBreaks count="1" manualBreakCount="1">
    <brk id="26" max="16383" man="1"/>
  </rowBreak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Y77"/>
  <sheetViews>
    <sheetView topLeftCell="J1" zoomScale="90" zoomScaleNormal="90" workbookViewId="0">
      <selection activeCell="U39" sqref="U39"/>
    </sheetView>
  </sheetViews>
  <sheetFormatPr defaultColWidth="9.109375" defaultRowHeight="14.4" x14ac:dyDescent="0.3"/>
  <cols>
    <col min="1" max="1" width="9.109375" style="650"/>
    <col min="2" max="2" width="15.6640625" style="650" customWidth="1"/>
    <col min="3" max="3" width="12" style="650" customWidth="1"/>
    <col min="4" max="4" width="20.5546875" style="650" customWidth="1"/>
    <col min="5" max="6" width="22.33203125" style="650" customWidth="1"/>
    <col min="7" max="7" width="13.6640625" style="650" customWidth="1"/>
    <col min="8" max="8" width="12" style="650" customWidth="1"/>
    <col min="9" max="9" width="12.109375" style="650" customWidth="1"/>
    <col min="10" max="11" width="22.109375" style="650" customWidth="1"/>
    <col min="12" max="12" width="13.6640625" style="650" customWidth="1"/>
    <col min="13" max="13" width="12" style="650" customWidth="1"/>
    <col min="14" max="14" width="20.5546875" style="650" customWidth="1"/>
    <col min="15" max="16" width="22.109375" style="650" customWidth="1"/>
    <col min="17" max="17" width="13.6640625" style="650" customWidth="1"/>
    <col min="18" max="18" width="18.33203125" style="650" customWidth="1"/>
    <col min="19" max="21" width="9.109375" style="650"/>
    <col min="22" max="22" width="11" style="650" bestFit="1" customWidth="1"/>
    <col min="23" max="16384" width="9.109375" style="650"/>
  </cols>
  <sheetData>
    <row r="1" spans="2:25" x14ac:dyDescent="0.3">
      <c r="B1" s="741" t="s">
        <v>1125</v>
      </c>
      <c r="C1" s="724"/>
      <c r="D1" s="724"/>
      <c r="E1" s="724"/>
      <c r="F1" s="724"/>
      <c r="G1" s="724"/>
      <c r="H1" s="724"/>
      <c r="I1" s="724"/>
      <c r="J1" s="724"/>
      <c r="K1" s="724"/>
      <c r="L1" s="724"/>
      <c r="M1" s="724"/>
      <c r="N1" s="724"/>
      <c r="O1" s="724"/>
      <c r="P1" s="724"/>
      <c r="Q1" s="724"/>
      <c r="R1" s="723"/>
      <c r="S1" s="723"/>
      <c r="T1" s="723"/>
      <c r="U1" s="723"/>
      <c r="V1" s="723"/>
      <c r="W1" s="723"/>
      <c r="X1" s="723"/>
      <c r="Y1" s="723"/>
    </row>
    <row r="2" spans="2:25" ht="15" customHeight="1" x14ac:dyDescent="0.3">
      <c r="B2" s="774" t="s">
        <v>1290</v>
      </c>
      <c r="C2" s="774"/>
      <c r="D2" s="774"/>
      <c r="E2" s="724"/>
      <c r="F2" s="724"/>
      <c r="G2" s="724"/>
      <c r="H2" s="724"/>
      <c r="I2" s="724"/>
      <c r="J2" s="724"/>
      <c r="K2" s="724"/>
      <c r="L2" s="724"/>
      <c r="M2" s="724"/>
      <c r="N2" s="724"/>
      <c r="O2" s="724"/>
      <c r="P2" s="724"/>
      <c r="Q2" s="724"/>
      <c r="R2" s="723"/>
      <c r="S2" s="723"/>
      <c r="T2" s="723"/>
      <c r="U2" s="723"/>
      <c r="V2" s="723"/>
      <c r="W2" s="723"/>
      <c r="X2" s="723"/>
      <c r="Y2" s="723"/>
    </row>
    <row r="3" spans="2:25" ht="15" customHeight="1" thickBot="1" x14ac:dyDescent="0.35">
      <c r="B3" s="724"/>
      <c r="C3" s="724"/>
      <c r="D3" s="724"/>
      <c r="E3" s="724"/>
      <c r="F3" s="724"/>
      <c r="G3" s="724"/>
      <c r="H3" s="724"/>
      <c r="I3" s="724"/>
      <c r="J3" s="724"/>
      <c r="K3" s="724"/>
      <c r="L3" s="724"/>
      <c r="M3" s="724"/>
      <c r="N3" s="724"/>
      <c r="O3" s="724"/>
      <c r="P3" s="724"/>
      <c r="Q3" s="724"/>
      <c r="R3" s="723"/>
      <c r="S3" s="723"/>
      <c r="T3" s="723"/>
      <c r="U3" s="723"/>
      <c r="V3" s="723"/>
      <c r="W3" s="723"/>
      <c r="X3" s="723"/>
      <c r="Y3" s="723"/>
    </row>
    <row r="4" spans="2:25" x14ac:dyDescent="0.3">
      <c r="B4" s="742"/>
      <c r="C4" s="1175" t="s">
        <v>1065</v>
      </c>
      <c r="D4" s="1176"/>
      <c r="E4" s="1176"/>
      <c r="F4" s="1176"/>
      <c r="G4" s="1177"/>
      <c r="H4" s="1178" t="s">
        <v>1066</v>
      </c>
      <c r="I4" s="1179"/>
      <c r="J4" s="1179"/>
      <c r="K4" s="1179"/>
      <c r="L4" s="1179"/>
      <c r="M4" s="1180" t="s">
        <v>1067</v>
      </c>
      <c r="N4" s="1181"/>
      <c r="O4" s="1181"/>
      <c r="P4" s="1181"/>
      <c r="Q4" s="1182"/>
      <c r="R4" s="723"/>
      <c r="S4" s="723"/>
      <c r="T4" s="723"/>
      <c r="U4" s="723"/>
      <c r="V4" s="723"/>
      <c r="W4" s="723"/>
      <c r="X4" s="723"/>
      <c r="Y4" s="723"/>
    </row>
    <row r="5" spans="2:25" ht="45" customHeight="1" thickBot="1" x14ac:dyDescent="0.35">
      <c r="B5" s="743" t="s">
        <v>322</v>
      </c>
      <c r="C5" s="744" t="s">
        <v>1068</v>
      </c>
      <c r="D5" s="745" t="s">
        <v>1069</v>
      </c>
      <c r="E5" s="745" t="s">
        <v>1240</v>
      </c>
      <c r="F5" s="745" t="s">
        <v>1241</v>
      </c>
      <c r="G5" s="746" t="s">
        <v>1242</v>
      </c>
      <c r="H5" s="747" t="s">
        <v>1068</v>
      </c>
      <c r="I5" s="745" t="s">
        <v>1070</v>
      </c>
      <c r="J5" s="745" t="s">
        <v>1240</v>
      </c>
      <c r="K5" s="748" t="s">
        <v>1243</v>
      </c>
      <c r="L5" s="748" t="s">
        <v>1244</v>
      </c>
      <c r="M5" s="744" t="s">
        <v>1068</v>
      </c>
      <c r="N5" s="745" t="s">
        <v>1069</v>
      </c>
      <c r="O5" s="745" t="s">
        <v>1240</v>
      </c>
      <c r="P5" s="745" t="s">
        <v>1245</v>
      </c>
      <c r="Q5" s="746" t="s">
        <v>1244</v>
      </c>
      <c r="R5" s="999" t="s">
        <v>1522</v>
      </c>
      <c r="S5" s="723"/>
      <c r="T5" s="723"/>
      <c r="U5" s="723"/>
      <c r="V5" s="723">
        <v>389052.78599999996</v>
      </c>
      <c r="W5" s="723"/>
      <c r="X5" s="723"/>
      <c r="Y5" s="723"/>
    </row>
    <row r="6" spans="2:25" ht="15" thickBot="1" x14ac:dyDescent="0.35">
      <c r="B6" s="749" t="s">
        <v>403</v>
      </c>
      <c r="C6" s="750">
        <f>'Biomass Data Assumptions'!U7</f>
        <v>1638.0013513686999</v>
      </c>
      <c r="D6" s="751">
        <f>I6+N6</f>
        <v>76158.717979565627</v>
      </c>
      <c r="E6" s="751">
        <f>C6*0.9*1000000*0.5*(1012/1050)*0.12059/2000</f>
        <v>42835.050419376457</v>
      </c>
      <c r="F6" s="751">
        <f xml:space="preserve"> C6*(0.026345733333*1000000)*2.20462/2000</f>
        <v>47569.468023591944</v>
      </c>
      <c r="G6" s="752">
        <f xml:space="preserve"> D6*(1137/2000)</f>
        <v>43296.231171383057</v>
      </c>
      <c r="H6" s="753">
        <f>'Biomass Data Assumptions'!W7</f>
        <v>737.42353600000001</v>
      </c>
      <c r="I6" s="751">
        <v>37210.656000000003</v>
      </c>
      <c r="J6" s="751">
        <f t="shared" ref="J6:J26" si="0">H6*0.9*1000000*0.5*(1012/1050)*0.12059/2000</f>
        <v>19284.217512153187</v>
      </c>
      <c r="K6" s="754">
        <f xml:space="preserve"> H6*(0.026345733333*1000000)*2.20462/2000</f>
        <v>21415.638812681391</v>
      </c>
      <c r="L6" s="754">
        <f xml:space="preserve"> I6*(1137/2000)</f>
        <v>21154.257936000002</v>
      </c>
      <c r="M6" s="750">
        <f>'Biomass Data Assumptions'!X7</f>
        <v>900.57781536869993</v>
      </c>
      <c r="N6" s="751">
        <f>M6*1000000*(506/3412)*0.2916239/1000</f>
        <v>38948.061979565624</v>
      </c>
      <c r="O6" s="751">
        <f t="shared" ref="O6:O26" si="1">M6*0.9*1000000*0.5*(1012/1050)*0.12059/2000</f>
        <v>23550.832907223274</v>
      </c>
      <c r="P6" s="751">
        <f xml:space="preserve"> M6*(0.026345733333*1000000)*2.20462/2000</f>
        <v>26153.82921091055</v>
      </c>
      <c r="Q6" s="752">
        <f xml:space="preserve"> N6*(1137/2000)</f>
        <v>22141.973235383059</v>
      </c>
      <c r="R6" s="1000">
        <f>D6*3600</f>
        <v>274171384.72643626</v>
      </c>
      <c r="S6" s="723"/>
      <c r="T6" s="723">
        <f>I6/H6</f>
        <v>50.460358509631298</v>
      </c>
      <c r="U6" s="723"/>
      <c r="V6" s="723">
        <f>I6/$V$5</f>
        <v>9.5644234764585404E-2</v>
      </c>
      <c r="W6" s="723">
        <f>T6*V6</f>
        <v>4.8262423756003203</v>
      </c>
      <c r="X6" s="723"/>
      <c r="Y6" s="723">
        <f>H6*$W$27</f>
        <v>34109.15566058793</v>
      </c>
    </row>
    <row r="7" spans="2:25" ht="15" thickBot="1" x14ac:dyDescent="0.35">
      <c r="B7" s="749" t="s">
        <v>325</v>
      </c>
      <c r="C7" s="750">
        <f>'Biomass Data Assumptions'!U8</f>
        <v>1194.1632</v>
      </c>
      <c r="D7" s="751">
        <f t="shared" ref="D7:D26" si="2">I7+N7</f>
        <v>51645.001168805065</v>
      </c>
      <c r="E7" s="751">
        <f t="shared" ref="E7:E26" si="3">C7*0.9*1000000*0.5*(1012/1050)*0.12059/2000</f>
        <v>31228.326422454855</v>
      </c>
      <c r="F7" s="751">
        <f t="shared" ref="F7:F26" si="4" xml:space="preserve"> C7*(0.026345733333*1000000)*2.20462/2000</f>
        <v>34679.89089867592</v>
      </c>
      <c r="G7" s="752">
        <f t="shared" ref="G7:G26" si="5" xml:space="preserve"> D7*(1137/2000)</f>
        <v>29360.183164465681</v>
      </c>
      <c r="H7" s="753">
        <f>'Biomass Data Assumptions'!W8</f>
        <v>0</v>
      </c>
      <c r="I7" s="751">
        <v>0</v>
      </c>
      <c r="J7" s="751">
        <f t="shared" si="0"/>
        <v>0</v>
      </c>
      <c r="K7" s="754">
        <f t="shared" ref="K7:K26" si="6" xml:space="preserve"> H7*(0.026345733333*1000000)*2.20462/2000</f>
        <v>0</v>
      </c>
      <c r="L7" s="754">
        <f t="shared" ref="L7:L26" si="7" xml:space="preserve"> I7*(1137/2000)</f>
        <v>0</v>
      </c>
      <c r="M7" s="750">
        <f>'Biomass Data Assumptions'!X8</f>
        <v>1194.1632</v>
      </c>
      <c r="N7" s="751">
        <f>M7*1000000*(506/3412)*0.2916239/1000</f>
        <v>51645.001168805065</v>
      </c>
      <c r="O7" s="751">
        <f t="shared" si="1"/>
        <v>31228.326422454855</v>
      </c>
      <c r="P7" s="751">
        <f t="shared" ref="P7:P26" si="8" xml:space="preserve"> M7*(0.026345733333*1000000)*2.20462/2000</f>
        <v>34679.89089867592</v>
      </c>
      <c r="Q7" s="752">
        <f t="shared" ref="Q7:Q26" si="9" xml:space="preserve"> N7*(1137/2000)</f>
        <v>29360.183164465681</v>
      </c>
      <c r="R7" s="1000">
        <f t="shared" ref="R7:R26" si="10">D7*3600</f>
        <v>185922004.20769823</v>
      </c>
      <c r="S7" s="723"/>
      <c r="T7" s="723"/>
      <c r="U7" s="723"/>
      <c r="V7" s="723">
        <f t="shared" ref="V7:V26" si="11">I7/$V$5</f>
        <v>0</v>
      </c>
      <c r="W7" s="723">
        <f t="shared" ref="W7:W26" si="12">T7*V7</f>
        <v>0</v>
      </c>
      <c r="X7" s="723"/>
      <c r="Y7" s="723">
        <f t="shared" ref="Y7:Y26" si="13">H7*$W$27</f>
        <v>0</v>
      </c>
    </row>
    <row r="8" spans="2:25" ht="15" thickBot="1" x14ac:dyDescent="0.35">
      <c r="B8" s="749" t="s">
        <v>328</v>
      </c>
      <c r="C8" s="750">
        <f>'Biomass Data Assumptions'!U9</f>
        <v>2677.5167271646746</v>
      </c>
      <c r="D8" s="751">
        <f t="shared" si="2"/>
        <v>123448.71891975452</v>
      </c>
      <c r="E8" s="751">
        <f t="shared" si="3"/>
        <v>70019.212078785742</v>
      </c>
      <c r="F8" s="751">
        <f t="shared" si="4"/>
        <v>77758.205894680665</v>
      </c>
      <c r="G8" s="752">
        <f t="shared" si="5"/>
        <v>70180.596705880453</v>
      </c>
      <c r="H8" s="753">
        <f>'Biomass Data Assumptions'!W9</f>
        <v>1019.152098</v>
      </c>
      <c r="I8" s="751">
        <v>51728</v>
      </c>
      <c r="J8" s="751">
        <f t="shared" si="0"/>
        <v>26651.645596241538</v>
      </c>
      <c r="K8" s="754">
        <f t="shared" si="6"/>
        <v>29597.364554356282</v>
      </c>
      <c r="L8" s="754">
        <f t="shared" si="7"/>
        <v>29407.367999999999</v>
      </c>
      <c r="M8" s="750">
        <f>'Biomass Data Assumptions'!X9</f>
        <v>1658.3646291646746</v>
      </c>
      <c r="N8" s="751">
        <f t="shared" ref="N8:N26" si="14">M8*1000000*(506/3412)*0.2916239/1000</f>
        <v>71720.718919754523</v>
      </c>
      <c r="O8" s="751">
        <f t="shared" si="1"/>
        <v>43367.566482544229</v>
      </c>
      <c r="P8" s="751">
        <f t="shared" si="8"/>
        <v>48160.841340324398</v>
      </c>
      <c r="Q8" s="752">
        <f t="shared" si="9"/>
        <v>40773.228705880443</v>
      </c>
      <c r="R8" s="1000">
        <f t="shared" si="10"/>
        <v>444415388.11111629</v>
      </c>
      <c r="S8" s="723"/>
      <c r="T8" s="723">
        <f t="shared" ref="T8:T24" si="15">I8/H8</f>
        <v>50.755917690315151</v>
      </c>
      <c r="U8" s="723"/>
      <c r="V8" s="723">
        <f t="shared" si="11"/>
        <v>0.13295882168544607</v>
      </c>
      <c r="W8" s="723">
        <f t="shared" si="12"/>
        <v>6.7484470096677898</v>
      </c>
      <c r="X8" s="723"/>
      <c r="Y8" s="723">
        <f t="shared" si="13"/>
        <v>47140.368940566012</v>
      </c>
    </row>
    <row r="9" spans="2:25" ht="15" thickBot="1" x14ac:dyDescent="0.35">
      <c r="B9" s="749" t="s">
        <v>331</v>
      </c>
      <c r="C9" s="750">
        <f>'Biomass Data Assumptions'!U10</f>
        <v>319.86940351947902</v>
      </c>
      <c r="D9" s="751">
        <f t="shared" si="2"/>
        <v>13255.022985141281</v>
      </c>
      <c r="E9" s="751">
        <f t="shared" si="3"/>
        <v>8364.8417114697731</v>
      </c>
      <c r="F9" s="751">
        <f t="shared" si="4"/>
        <v>9289.3802253159993</v>
      </c>
      <c r="G9" s="752">
        <f t="shared" si="5"/>
        <v>7535.4805670528176</v>
      </c>
      <c r="H9" s="753">
        <f>'Biomass Data Assumptions'!W10</f>
        <v>297.00299999999999</v>
      </c>
      <c r="I9" s="751">
        <v>12266.1</v>
      </c>
      <c r="J9" s="751">
        <f t="shared" si="0"/>
        <v>7766.8669009800014</v>
      </c>
      <c r="K9" s="754">
        <f t="shared" si="6"/>
        <v>8625.3132206547998</v>
      </c>
      <c r="L9" s="754">
        <f t="shared" si="7"/>
        <v>6973.2778500000004</v>
      </c>
      <c r="M9" s="750">
        <f>'Biomass Data Assumptions'!X10</f>
        <v>22.866403519479036</v>
      </c>
      <c r="N9" s="751">
        <f t="shared" si="14"/>
        <v>988.92298514127981</v>
      </c>
      <c r="O9" s="751">
        <f t="shared" si="1"/>
        <v>597.97481048977386</v>
      </c>
      <c r="P9" s="751">
        <f t="shared" si="8"/>
        <v>664.06700466119867</v>
      </c>
      <c r="Q9" s="752">
        <f t="shared" si="9"/>
        <v>562.20271705281755</v>
      </c>
      <c r="R9" s="1000">
        <f t="shared" si="10"/>
        <v>47718082.746508613</v>
      </c>
      <c r="S9" s="723"/>
      <c r="T9" s="723">
        <f t="shared" si="15"/>
        <v>41.299582832496647</v>
      </c>
      <c r="U9" s="723"/>
      <c r="V9" s="723">
        <f t="shared" si="11"/>
        <v>3.1528112486000813E-2</v>
      </c>
      <c r="W9" s="723">
        <f t="shared" si="12"/>
        <v>1.3020978931678624</v>
      </c>
      <c r="X9" s="723"/>
      <c r="Y9" s="723">
        <f t="shared" si="13"/>
        <v>13737.724745825846</v>
      </c>
    </row>
    <row r="10" spans="2:25" ht="15" thickBot="1" x14ac:dyDescent="0.35">
      <c r="B10" s="749" t="s">
        <v>333</v>
      </c>
      <c r="C10" s="750">
        <f>'Biomass Data Assumptions'!U11</f>
        <v>803.05677939999998</v>
      </c>
      <c r="D10" s="751">
        <f t="shared" si="2"/>
        <v>33596.02750308672</v>
      </c>
      <c r="E10" s="751">
        <f t="shared" si="3"/>
        <v>21000.579521181462</v>
      </c>
      <c r="F10" s="751">
        <f t="shared" si="4"/>
        <v>23321.704684111897</v>
      </c>
      <c r="G10" s="752">
        <f t="shared" si="5"/>
        <v>19099.341635504799</v>
      </c>
      <c r="H10" s="753">
        <f>'Biomass Data Assumptions'!W11</f>
        <v>70.643416999999999</v>
      </c>
      <c r="I10" s="751">
        <v>1920.7180000000001</v>
      </c>
      <c r="J10" s="751">
        <f t="shared" si="0"/>
        <v>1847.3820711219344</v>
      </c>
      <c r="K10" s="754">
        <f xml:space="preserve"> H10*(0.026345733333*1000000)*2.20462/2000</f>
        <v>2051.5671511814026</v>
      </c>
      <c r="L10" s="754">
        <f t="shared" si="7"/>
        <v>1091.928183</v>
      </c>
      <c r="M10" s="750">
        <f>'Biomass Data Assumptions'!X11</f>
        <v>732.41336239999998</v>
      </c>
      <c r="N10" s="751">
        <f t="shared" si="14"/>
        <v>31675.309503086719</v>
      </c>
      <c r="O10" s="751">
        <f t="shared" si="1"/>
        <v>19153.197450059524</v>
      </c>
      <c r="P10" s="751">
        <f t="shared" si="8"/>
        <v>21270.137532930497</v>
      </c>
      <c r="Q10" s="752">
        <f t="shared" si="9"/>
        <v>18007.413452504799</v>
      </c>
      <c r="R10" s="1000">
        <f t="shared" si="10"/>
        <v>120945699.01111218</v>
      </c>
      <c r="S10" s="723"/>
      <c r="T10" s="723">
        <f t="shared" si="15"/>
        <v>27.188916980049253</v>
      </c>
      <c r="U10" s="723"/>
      <c r="V10" s="723">
        <f t="shared" si="11"/>
        <v>4.9369084841870284E-3</v>
      </c>
      <c r="W10" s="723">
        <f t="shared" si="12"/>
        <v>0.13422919491466193</v>
      </c>
      <c r="X10" s="723"/>
      <c r="Y10" s="723">
        <f t="shared" si="13"/>
        <v>3267.5758084955178</v>
      </c>
    </row>
    <row r="11" spans="2:25" ht="15" thickBot="1" x14ac:dyDescent="0.35">
      <c r="B11" s="749" t="s">
        <v>335</v>
      </c>
      <c r="C11" s="750">
        <f>'Biomass Data Assumptions'!U12</f>
        <v>890.09893009999996</v>
      </c>
      <c r="D11" s="751">
        <f t="shared" si="2"/>
        <v>40516.581400506075</v>
      </c>
      <c r="E11" s="751">
        <f t="shared" si="3"/>
        <v>23276.801644398878</v>
      </c>
      <c r="F11" s="751">
        <f t="shared" si="4"/>
        <v>25849.510171554575</v>
      </c>
      <c r="G11" s="752">
        <f t="shared" si="5"/>
        <v>23033.676526187704</v>
      </c>
      <c r="H11" s="753">
        <f>'Biomass Data Assumptions'!W12</f>
        <v>699.89516800000001</v>
      </c>
      <c r="I11" s="751">
        <v>32290.675999999999</v>
      </c>
      <c r="J11" s="751">
        <f t="shared" si="0"/>
        <v>18302.820559034881</v>
      </c>
      <c r="K11" s="754">
        <f t="shared" si="6"/>
        <v>20325.771273767648</v>
      </c>
      <c r="L11" s="754">
        <f t="shared" si="7"/>
        <v>18357.249306000002</v>
      </c>
      <c r="M11" s="750">
        <f>'Biomass Data Assumptions'!X12</f>
        <v>190.20376209999995</v>
      </c>
      <c r="N11" s="751">
        <f t="shared" si="14"/>
        <v>8225.9054005060752</v>
      </c>
      <c r="O11" s="751">
        <f t="shared" si="1"/>
        <v>4973.9810853639992</v>
      </c>
      <c r="P11" s="751">
        <f t="shared" si="8"/>
        <v>5523.7388977869259</v>
      </c>
      <c r="Q11" s="752">
        <f t="shared" si="9"/>
        <v>4676.4272201877038</v>
      </c>
      <c r="R11" s="1000">
        <f t="shared" si="10"/>
        <v>145859693.04182187</v>
      </c>
      <c r="S11" s="723"/>
      <c r="T11" s="723">
        <f t="shared" si="15"/>
        <v>46.136446537090535</v>
      </c>
      <c r="U11" s="723"/>
      <c r="V11" s="723">
        <f t="shared" si="11"/>
        <v>8.2998187294821224E-2</v>
      </c>
      <c r="W11" s="723">
        <f t="shared" si="12"/>
        <v>3.8292414308029463</v>
      </c>
      <c r="X11" s="723"/>
      <c r="Y11" s="723">
        <f t="shared" si="13"/>
        <v>32373.299828343614</v>
      </c>
    </row>
    <row r="12" spans="2:25" ht="15" thickBot="1" x14ac:dyDescent="0.35">
      <c r="B12" s="749" t="s">
        <v>336</v>
      </c>
      <c r="C12" s="750">
        <f>'Biomass Data Assumptions'!U13</f>
        <v>0</v>
      </c>
      <c r="D12" s="751">
        <f t="shared" si="2"/>
        <v>0</v>
      </c>
      <c r="E12" s="751">
        <f t="shared" si="3"/>
        <v>0</v>
      </c>
      <c r="F12" s="751">
        <f t="shared" si="4"/>
        <v>0</v>
      </c>
      <c r="G12" s="752">
        <f t="shared" si="5"/>
        <v>0</v>
      </c>
      <c r="H12" s="753">
        <f>'Biomass Data Assumptions'!W13</f>
        <v>0</v>
      </c>
      <c r="I12" s="751">
        <v>0</v>
      </c>
      <c r="J12" s="751">
        <f t="shared" si="0"/>
        <v>0</v>
      </c>
      <c r="K12" s="754">
        <f t="shared" si="6"/>
        <v>0</v>
      </c>
      <c r="L12" s="754">
        <f t="shared" si="7"/>
        <v>0</v>
      </c>
      <c r="M12" s="750">
        <f>'Biomass Data Assumptions'!X13</f>
        <v>0</v>
      </c>
      <c r="N12" s="751">
        <f t="shared" si="14"/>
        <v>0</v>
      </c>
      <c r="O12" s="751">
        <f t="shared" si="1"/>
        <v>0</v>
      </c>
      <c r="P12" s="751">
        <f t="shared" si="8"/>
        <v>0</v>
      </c>
      <c r="Q12" s="752">
        <f t="shared" si="9"/>
        <v>0</v>
      </c>
      <c r="R12" s="1000">
        <f t="shared" si="10"/>
        <v>0</v>
      </c>
      <c r="S12" s="723"/>
      <c r="T12" s="723"/>
      <c r="U12" s="723"/>
      <c r="V12" s="723">
        <f t="shared" si="11"/>
        <v>0</v>
      </c>
      <c r="W12" s="723">
        <f t="shared" si="12"/>
        <v>0</v>
      </c>
      <c r="X12" s="723"/>
      <c r="Y12" s="723">
        <f t="shared" si="13"/>
        <v>0</v>
      </c>
    </row>
    <row r="13" spans="2:25" ht="15" thickBot="1" x14ac:dyDescent="0.35">
      <c r="B13" s="749" t="s">
        <v>337</v>
      </c>
      <c r="C13" s="750">
        <f>'Biomass Data Assumptions'!U14</f>
        <v>2709.58754</v>
      </c>
      <c r="D13" s="751">
        <f t="shared" si="2"/>
        <v>117183.85868052173</v>
      </c>
      <c r="E13" s="751">
        <f t="shared" si="3"/>
        <v>70857.88958271069</v>
      </c>
      <c r="F13" s="751">
        <f t="shared" si="4"/>
        <v>78689.579671867032</v>
      </c>
      <c r="G13" s="752">
        <f t="shared" si="5"/>
        <v>66619.023659876606</v>
      </c>
      <c r="H13" s="753">
        <f>'Biomass Data Assumptions'!W14</f>
        <v>0</v>
      </c>
      <c r="I13" s="751">
        <v>0</v>
      </c>
      <c r="J13" s="751">
        <f t="shared" si="0"/>
        <v>0</v>
      </c>
      <c r="K13" s="754">
        <f t="shared" si="6"/>
        <v>0</v>
      </c>
      <c r="L13" s="754">
        <f t="shared" si="7"/>
        <v>0</v>
      </c>
      <c r="M13" s="750">
        <f>'Biomass Data Assumptions'!X14</f>
        <v>2709.58754</v>
      </c>
      <c r="N13" s="751">
        <f t="shared" si="14"/>
        <v>117183.85868052173</v>
      </c>
      <c r="O13" s="751">
        <f t="shared" si="1"/>
        <v>70857.88958271069</v>
      </c>
      <c r="P13" s="751">
        <f t="shared" si="8"/>
        <v>78689.579671867032</v>
      </c>
      <c r="Q13" s="752">
        <f t="shared" si="9"/>
        <v>66619.023659876606</v>
      </c>
      <c r="R13" s="1000">
        <f t="shared" si="10"/>
        <v>421861891.24987823</v>
      </c>
      <c r="S13" s="723"/>
      <c r="T13" s="723"/>
      <c r="U13" s="723"/>
      <c r="V13" s="723">
        <f t="shared" si="11"/>
        <v>0</v>
      </c>
      <c r="W13" s="723">
        <f t="shared" si="12"/>
        <v>0</v>
      </c>
      <c r="X13" s="723"/>
      <c r="Y13" s="723">
        <f t="shared" si="13"/>
        <v>0</v>
      </c>
    </row>
    <row r="14" spans="2:25" ht="15" thickBot="1" x14ac:dyDescent="0.35">
      <c r="B14" s="749" t="s">
        <v>338</v>
      </c>
      <c r="C14" s="750">
        <f>'Biomass Data Assumptions'!U15</f>
        <v>0</v>
      </c>
      <c r="D14" s="751">
        <f t="shared" si="2"/>
        <v>0</v>
      </c>
      <c r="E14" s="751">
        <f t="shared" si="3"/>
        <v>0</v>
      </c>
      <c r="F14" s="751">
        <f t="shared" si="4"/>
        <v>0</v>
      </c>
      <c r="G14" s="752">
        <f t="shared" si="5"/>
        <v>0</v>
      </c>
      <c r="H14" s="753">
        <f>'Biomass Data Assumptions'!W15</f>
        <v>0</v>
      </c>
      <c r="I14" s="751">
        <v>0</v>
      </c>
      <c r="J14" s="751">
        <f t="shared" si="0"/>
        <v>0</v>
      </c>
      <c r="K14" s="754">
        <f t="shared" si="6"/>
        <v>0</v>
      </c>
      <c r="L14" s="754">
        <f t="shared" si="7"/>
        <v>0</v>
      </c>
      <c r="M14" s="750">
        <f>'Biomass Data Assumptions'!X15</f>
        <v>0</v>
      </c>
      <c r="N14" s="751">
        <f t="shared" si="14"/>
        <v>0</v>
      </c>
      <c r="O14" s="751">
        <f t="shared" si="1"/>
        <v>0</v>
      </c>
      <c r="P14" s="751">
        <f t="shared" si="8"/>
        <v>0</v>
      </c>
      <c r="Q14" s="752">
        <f t="shared" si="9"/>
        <v>0</v>
      </c>
      <c r="R14" s="1000">
        <f t="shared" si="10"/>
        <v>0</v>
      </c>
      <c r="S14" s="723"/>
      <c r="T14" s="723"/>
      <c r="U14" s="723"/>
      <c r="V14" s="723">
        <f t="shared" si="11"/>
        <v>0</v>
      </c>
      <c r="W14" s="723">
        <f t="shared" si="12"/>
        <v>0</v>
      </c>
      <c r="X14" s="723"/>
      <c r="Y14" s="723">
        <f t="shared" si="13"/>
        <v>0</v>
      </c>
    </row>
    <row r="15" spans="2:25" ht="15" thickBot="1" x14ac:dyDescent="0.35">
      <c r="B15" s="749" t="s">
        <v>339</v>
      </c>
      <c r="C15" s="750">
        <f>'Biomass Data Assumptions'!U16</f>
        <v>0</v>
      </c>
      <c r="D15" s="751">
        <f t="shared" si="2"/>
        <v>0</v>
      </c>
      <c r="E15" s="751">
        <f t="shared" si="3"/>
        <v>0</v>
      </c>
      <c r="F15" s="751">
        <f t="shared" si="4"/>
        <v>0</v>
      </c>
      <c r="G15" s="752">
        <f t="shared" si="5"/>
        <v>0</v>
      </c>
      <c r="H15" s="753">
        <f>'Biomass Data Assumptions'!W16</f>
        <v>0</v>
      </c>
      <c r="I15" s="751">
        <v>0</v>
      </c>
      <c r="J15" s="751">
        <f t="shared" si="0"/>
        <v>0</v>
      </c>
      <c r="K15" s="754">
        <f t="shared" si="6"/>
        <v>0</v>
      </c>
      <c r="L15" s="754">
        <f t="shared" si="7"/>
        <v>0</v>
      </c>
      <c r="M15" s="750">
        <f>'Biomass Data Assumptions'!X16</f>
        <v>0</v>
      </c>
      <c r="N15" s="751">
        <f t="shared" si="14"/>
        <v>0</v>
      </c>
      <c r="O15" s="751">
        <f t="shared" si="1"/>
        <v>0</v>
      </c>
      <c r="P15" s="751">
        <f t="shared" si="8"/>
        <v>0</v>
      </c>
      <c r="Q15" s="752">
        <f t="shared" si="9"/>
        <v>0</v>
      </c>
      <c r="R15" s="1000">
        <f t="shared" si="10"/>
        <v>0</v>
      </c>
      <c r="S15" s="723"/>
      <c r="T15" s="723"/>
      <c r="U15" s="723"/>
      <c r="V15" s="723">
        <f t="shared" si="11"/>
        <v>0</v>
      </c>
      <c r="W15" s="723">
        <f t="shared" si="12"/>
        <v>0</v>
      </c>
      <c r="X15" s="723"/>
      <c r="Y15" s="723">
        <f t="shared" si="13"/>
        <v>0</v>
      </c>
    </row>
    <row r="16" spans="2:25" ht="15" thickBot="1" x14ac:dyDescent="0.35">
      <c r="B16" s="749" t="s">
        <v>340</v>
      </c>
      <c r="C16" s="750">
        <f>'Biomass Data Assumptions'!U17</f>
        <v>0</v>
      </c>
      <c r="D16" s="751">
        <f t="shared" si="2"/>
        <v>0</v>
      </c>
      <c r="E16" s="751">
        <f t="shared" si="3"/>
        <v>0</v>
      </c>
      <c r="F16" s="751">
        <f t="shared" si="4"/>
        <v>0</v>
      </c>
      <c r="G16" s="752">
        <f t="shared" si="5"/>
        <v>0</v>
      </c>
      <c r="H16" s="753">
        <f>'Biomass Data Assumptions'!W17</f>
        <v>0</v>
      </c>
      <c r="I16" s="751">
        <v>0</v>
      </c>
      <c r="J16" s="751">
        <f t="shared" si="0"/>
        <v>0</v>
      </c>
      <c r="K16" s="754">
        <f t="shared" si="6"/>
        <v>0</v>
      </c>
      <c r="L16" s="754">
        <f t="shared" si="7"/>
        <v>0</v>
      </c>
      <c r="M16" s="750">
        <f>'Biomass Data Assumptions'!X17</f>
        <v>0</v>
      </c>
      <c r="N16" s="751">
        <f t="shared" si="14"/>
        <v>0</v>
      </c>
      <c r="O16" s="751">
        <f t="shared" si="1"/>
        <v>0</v>
      </c>
      <c r="P16" s="751">
        <f t="shared" si="8"/>
        <v>0</v>
      </c>
      <c r="Q16" s="752">
        <f t="shared" si="9"/>
        <v>0</v>
      </c>
      <c r="R16" s="1000">
        <f t="shared" si="10"/>
        <v>0</v>
      </c>
      <c r="S16" s="723"/>
      <c r="T16" s="723"/>
      <c r="U16" s="723"/>
      <c r="V16" s="723">
        <f t="shared" si="11"/>
        <v>0</v>
      </c>
      <c r="W16" s="723">
        <f t="shared" si="12"/>
        <v>0</v>
      </c>
      <c r="X16" s="723"/>
      <c r="Y16" s="723">
        <f t="shared" si="13"/>
        <v>0</v>
      </c>
    </row>
    <row r="17" spans="2:25" ht="15" thickBot="1" x14ac:dyDescent="0.35">
      <c r="B17" s="749" t="s">
        <v>341</v>
      </c>
      <c r="C17" s="750">
        <f>'Biomass Data Assumptions'!U18</f>
        <v>4428.5576053097093</v>
      </c>
      <c r="D17" s="751">
        <f t="shared" si="2"/>
        <v>210253.46454405531</v>
      </c>
      <c r="E17" s="751">
        <f t="shared" si="3"/>
        <v>115810.33687795488</v>
      </c>
      <c r="F17" s="751">
        <f t="shared" si="4"/>
        <v>128610.47350198215</v>
      </c>
      <c r="G17" s="752">
        <f t="shared" si="5"/>
        <v>119529.09459329545</v>
      </c>
      <c r="H17" s="753">
        <f>'Biomass Data Assumptions'!W18</f>
        <v>3642.692</v>
      </c>
      <c r="I17" s="751">
        <v>176266.46</v>
      </c>
      <c r="J17" s="751">
        <f t="shared" si="0"/>
        <v>95259.320361291437</v>
      </c>
      <c r="K17" s="754">
        <f t="shared" si="6"/>
        <v>105788.02054650451</v>
      </c>
      <c r="L17" s="754">
        <f t="shared" si="7"/>
        <v>100207.48251</v>
      </c>
      <c r="M17" s="750">
        <f>'Biomass Data Assumptions'!X18</f>
        <v>785.86560530970928</v>
      </c>
      <c r="N17" s="751">
        <f t="shared" si="14"/>
        <v>33987.004544055315</v>
      </c>
      <c r="O17" s="751">
        <f t="shared" si="1"/>
        <v>20551.016516663447</v>
      </c>
      <c r="P17" s="751">
        <f t="shared" si="8"/>
        <v>22822.452955477631</v>
      </c>
      <c r="Q17" s="752">
        <f t="shared" si="9"/>
        <v>19321.612083295448</v>
      </c>
      <c r="R17" s="1000">
        <f t="shared" si="10"/>
        <v>756912472.35859919</v>
      </c>
      <c r="S17" s="723"/>
      <c r="T17" s="723">
        <f t="shared" si="15"/>
        <v>48.38906501016281</v>
      </c>
      <c r="U17" s="723"/>
      <c r="V17" s="723">
        <f t="shared" si="11"/>
        <v>0.45306566703264789</v>
      </c>
      <c r="W17" s="723">
        <f t="shared" si="12"/>
        <v>21.923424015915575</v>
      </c>
      <c r="X17" s="723"/>
      <c r="Y17" s="723">
        <f t="shared" si="13"/>
        <v>168490.89076481329</v>
      </c>
    </row>
    <row r="18" spans="2:25" ht="15" thickBot="1" x14ac:dyDescent="0.35">
      <c r="B18" s="749" t="s">
        <v>342</v>
      </c>
      <c r="C18" s="755">
        <f>'Biomass Data Assumptions'!U19</f>
        <v>2010.750597</v>
      </c>
      <c r="D18" s="751">
        <f t="shared" si="2"/>
        <v>73340.862383493833</v>
      </c>
      <c r="E18" s="751">
        <f t="shared" si="3"/>
        <v>52582.742457029308</v>
      </c>
      <c r="F18" s="751">
        <f t="shared" si="4"/>
        <v>58394.540485259859</v>
      </c>
      <c r="G18" s="752">
        <f t="shared" si="5"/>
        <v>41694.280265016241</v>
      </c>
      <c r="H18" s="756">
        <f>'Biomass Data Assumptions'!W19</f>
        <v>1788.5</v>
      </c>
      <c r="I18" s="751">
        <v>63729</v>
      </c>
      <c r="J18" s="751">
        <f t="shared" si="0"/>
        <v>46770.710910000002</v>
      </c>
      <c r="K18" s="754">
        <f t="shared" si="6"/>
        <v>51940.124157470163</v>
      </c>
      <c r="L18" s="754">
        <f t="shared" si="7"/>
        <v>36229.936500000003</v>
      </c>
      <c r="M18" s="755">
        <f>'Biomass Data Assumptions'!X19</f>
        <v>222.25059699999997</v>
      </c>
      <c r="N18" s="751">
        <f t="shared" si="14"/>
        <v>9611.8623834938317</v>
      </c>
      <c r="O18" s="751">
        <f t="shared" si="1"/>
        <v>5812.0315470293053</v>
      </c>
      <c r="P18" s="751">
        <f t="shared" si="8"/>
        <v>6454.4163277896932</v>
      </c>
      <c r="Q18" s="752">
        <f t="shared" si="9"/>
        <v>5464.3437650162432</v>
      </c>
      <c r="R18" s="1000">
        <f t="shared" si="10"/>
        <v>264027104.58057779</v>
      </c>
      <c r="S18" s="723"/>
      <c r="T18" s="723">
        <f t="shared" si="15"/>
        <v>35.632653061224488</v>
      </c>
      <c r="U18" s="723"/>
      <c r="V18" s="723">
        <f t="shared" si="11"/>
        <v>0.16380553563238076</v>
      </c>
      <c r="W18" s="723">
        <f t="shared" si="12"/>
        <v>5.836825820696669</v>
      </c>
      <c r="X18" s="723"/>
      <c r="Y18" s="723">
        <f t="shared" si="13"/>
        <v>82726.170132656989</v>
      </c>
    </row>
    <row r="19" spans="2:25" ht="15" thickBot="1" x14ac:dyDescent="0.35">
      <c r="B19" s="749" t="s">
        <v>343</v>
      </c>
      <c r="C19" s="750">
        <f>'Biomass Data Assumptions'!U20</f>
        <v>446.87619649999999</v>
      </c>
      <c r="D19" s="751">
        <f t="shared" si="2"/>
        <v>19326.438539182636</v>
      </c>
      <c r="E19" s="751">
        <f t="shared" si="3"/>
        <v>11686.171316221335</v>
      </c>
      <c r="F19" s="751">
        <f t="shared" si="4"/>
        <v>12977.80549579426</v>
      </c>
      <c r="G19" s="752">
        <f t="shared" si="5"/>
        <v>10987.080309525329</v>
      </c>
      <c r="H19" s="753">
        <f>'Biomass Data Assumptions'!W20</f>
        <v>0</v>
      </c>
      <c r="I19" s="751">
        <v>0</v>
      </c>
      <c r="J19" s="751">
        <f t="shared" si="0"/>
        <v>0</v>
      </c>
      <c r="K19" s="754">
        <f t="shared" si="6"/>
        <v>0</v>
      </c>
      <c r="L19" s="754">
        <f t="shared" si="7"/>
        <v>0</v>
      </c>
      <c r="M19" s="750">
        <f>'Biomass Data Assumptions'!X20</f>
        <v>446.87619649999999</v>
      </c>
      <c r="N19" s="751">
        <f t="shared" si="14"/>
        <v>19326.438539182636</v>
      </c>
      <c r="O19" s="751">
        <f t="shared" si="1"/>
        <v>11686.171316221335</v>
      </c>
      <c r="P19" s="751">
        <f t="shared" si="8"/>
        <v>12977.80549579426</v>
      </c>
      <c r="Q19" s="752">
        <f t="shared" si="9"/>
        <v>10987.080309525329</v>
      </c>
      <c r="R19" s="1000">
        <f t="shared" si="10"/>
        <v>69575178.741057485</v>
      </c>
      <c r="S19" s="723"/>
      <c r="T19" s="723"/>
      <c r="U19" s="723"/>
      <c r="V19" s="723">
        <f t="shared" si="11"/>
        <v>0</v>
      </c>
      <c r="W19" s="723">
        <f t="shared" si="12"/>
        <v>0</v>
      </c>
      <c r="X19" s="723"/>
      <c r="Y19" s="723">
        <f t="shared" si="13"/>
        <v>0</v>
      </c>
    </row>
    <row r="20" spans="2:25" ht="15" thickBot="1" x14ac:dyDescent="0.35">
      <c r="B20" s="749" t="s">
        <v>344</v>
      </c>
      <c r="C20" s="750">
        <f>'Biomass Data Assumptions'!U21</f>
        <v>3153.6</v>
      </c>
      <c r="D20" s="751">
        <f t="shared" si="2"/>
        <v>143129.54343521694</v>
      </c>
      <c r="E20" s="751">
        <f t="shared" si="3"/>
        <v>82469.17189028571</v>
      </c>
      <c r="F20" s="751">
        <f t="shared" si="4"/>
        <v>91584.218922559652</v>
      </c>
      <c r="G20" s="752">
        <f t="shared" si="5"/>
        <v>81369.145442920824</v>
      </c>
      <c r="H20" s="753">
        <f>'Biomass Data Assumptions'!W21</f>
        <v>2242.7352000000001</v>
      </c>
      <c r="I20" s="757">
        <v>103736.59139932822</v>
      </c>
      <c r="J20" s="758">
        <f t="shared" si="0"/>
        <v>58649.326075974852</v>
      </c>
      <c r="K20" s="754">
        <f t="shared" si="6"/>
        <v>65131.643690427001</v>
      </c>
      <c r="L20" s="754">
        <f t="shared" si="7"/>
        <v>58974.252210518091</v>
      </c>
      <c r="M20" s="750">
        <f>'Biomass Data Assumptions'!X21</f>
        <v>910.86479999999983</v>
      </c>
      <c r="N20" s="751">
        <f t="shared" si="14"/>
        <v>39392.952035888717</v>
      </c>
      <c r="O20" s="758">
        <f t="shared" si="1"/>
        <v>23819.845814310851</v>
      </c>
      <c r="P20" s="751">
        <f t="shared" si="8"/>
        <v>26452.57523213264</v>
      </c>
      <c r="Q20" s="752">
        <f t="shared" si="9"/>
        <v>22394.893232402737</v>
      </c>
      <c r="R20" s="1000">
        <f t="shared" si="10"/>
        <v>515266356.366781</v>
      </c>
      <c r="S20" s="723"/>
      <c r="T20" s="723"/>
      <c r="U20" s="723"/>
      <c r="V20" s="723">
        <f t="shared" si="11"/>
        <v>0.26663886015541405</v>
      </c>
      <c r="W20" s="723">
        <f t="shared" si="12"/>
        <v>0</v>
      </c>
      <c r="X20" s="723"/>
      <c r="Y20" s="723">
        <f t="shared" si="13"/>
        <v>103736.59139932822</v>
      </c>
    </row>
    <row r="21" spans="2:25" ht="15" thickBot="1" x14ac:dyDescent="0.35">
      <c r="B21" s="749" t="s">
        <v>345</v>
      </c>
      <c r="C21" s="750">
        <f>'Biomass Data Assumptions'!U22</f>
        <v>0</v>
      </c>
      <c r="D21" s="751">
        <f t="shared" si="2"/>
        <v>0</v>
      </c>
      <c r="E21" s="751">
        <f t="shared" si="3"/>
        <v>0</v>
      </c>
      <c r="F21" s="751">
        <f t="shared" si="4"/>
        <v>0</v>
      </c>
      <c r="G21" s="752">
        <f t="shared" si="5"/>
        <v>0</v>
      </c>
      <c r="H21" s="753">
        <f>'Biomass Data Assumptions'!W22</f>
        <v>0</v>
      </c>
      <c r="I21" s="751">
        <v>0</v>
      </c>
      <c r="J21" s="751">
        <f t="shared" si="0"/>
        <v>0</v>
      </c>
      <c r="K21" s="754">
        <f t="shared" si="6"/>
        <v>0</v>
      </c>
      <c r="L21" s="754">
        <f t="shared" si="7"/>
        <v>0</v>
      </c>
      <c r="M21" s="750">
        <f>'Biomass Data Assumptions'!X22</f>
        <v>0</v>
      </c>
      <c r="N21" s="751">
        <f t="shared" si="14"/>
        <v>0</v>
      </c>
      <c r="O21" s="751">
        <f t="shared" si="1"/>
        <v>0</v>
      </c>
      <c r="P21" s="751">
        <f t="shared" si="8"/>
        <v>0</v>
      </c>
      <c r="Q21" s="752">
        <f t="shared" si="9"/>
        <v>0</v>
      </c>
      <c r="R21" s="1000">
        <f t="shared" si="10"/>
        <v>0</v>
      </c>
      <c r="S21" s="723"/>
      <c r="T21" s="723"/>
      <c r="U21" s="723"/>
      <c r="V21" s="723">
        <f t="shared" si="11"/>
        <v>0</v>
      </c>
      <c r="W21" s="723">
        <f t="shared" si="12"/>
        <v>0</v>
      </c>
      <c r="X21" s="723"/>
      <c r="Y21" s="723">
        <f t="shared" si="13"/>
        <v>0</v>
      </c>
    </row>
    <row r="22" spans="2:25" ht="15" thickBot="1" x14ac:dyDescent="0.35">
      <c r="B22" s="749" t="s">
        <v>346</v>
      </c>
      <c r="C22" s="750">
        <f>'Biomass Data Assumptions'!U23</f>
        <v>660.768552</v>
      </c>
      <c r="D22" s="751">
        <f t="shared" si="2"/>
        <v>29634.038769938801</v>
      </c>
      <c r="E22" s="751">
        <f t="shared" si="3"/>
        <v>17279.62813755175</v>
      </c>
      <c r="F22" s="751">
        <f t="shared" si="4"/>
        <v>19189.488750479049</v>
      </c>
      <c r="G22" s="752">
        <f t="shared" si="5"/>
        <v>16846.95104071021</v>
      </c>
      <c r="H22" s="753">
        <f>'Biomass Data Assumptions'!W23</f>
        <v>351.62639999999999</v>
      </c>
      <c r="I22" s="757">
        <v>16264.30270591764</v>
      </c>
      <c r="J22" s="751">
        <f t="shared" si="0"/>
        <v>9195.3126657668581</v>
      </c>
      <c r="K22" s="754">
        <f t="shared" si="6"/>
        <v>10211.6404098654</v>
      </c>
      <c r="L22" s="754">
        <f t="shared" si="7"/>
        <v>9246.2560883141778</v>
      </c>
      <c r="M22" s="750">
        <f>'Biomass Data Assumptions'!X23</f>
        <v>309.14215200000001</v>
      </c>
      <c r="N22" s="751">
        <f t="shared" si="14"/>
        <v>13369.736064021159</v>
      </c>
      <c r="O22" s="751">
        <f t="shared" si="1"/>
        <v>8084.315471784892</v>
      </c>
      <c r="P22" s="751">
        <f t="shared" si="8"/>
        <v>8977.8483406136529</v>
      </c>
      <c r="Q22" s="752">
        <f t="shared" si="9"/>
        <v>7600.6949523960293</v>
      </c>
      <c r="R22" s="1000">
        <f t="shared" si="10"/>
        <v>106682539.57177968</v>
      </c>
      <c r="S22" s="723"/>
      <c r="T22" s="723"/>
      <c r="U22" s="723"/>
      <c r="V22" s="723">
        <f t="shared" si="11"/>
        <v>4.1804874020148111E-2</v>
      </c>
      <c r="W22" s="723">
        <f t="shared" si="12"/>
        <v>0</v>
      </c>
      <c r="X22" s="723"/>
      <c r="Y22" s="723">
        <f t="shared" si="13"/>
        <v>16264.30270591764</v>
      </c>
    </row>
    <row r="23" spans="2:25" ht="15" thickBot="1" x14ac:dyDescent="0.35">
      <c r="B23" s="749" t="s">
        <v>347</v>
      </c>
      <c r="C23" s="750">
        <f>'Biomass Data Assumptions'!U24</f>
        <v>0</v>
      </c>
      <c r="D23" s="751">
        <f t="shared" si="2"/>
        <v>0</v>
      </c>
      <c r="E23" s="751">
        <f t="shared" si="3"/>
        <v>0</v>
      </c>
      <c r="F23" s="751">
        <f t="shared" si="4"/>
        <v>0</v>
      </c>
      <c r="G23" s="752">
        <f t="shared" si="5"/>
        <v>0</v>
      </c>
      <c r="H23" s="753">
        <f>'Biomass Data Assumptions'!W24</f>
        <v>0</v>
      </c>
      <c r="I23" s="751">
        <v>0</v>
      </c>
      <c r="J23" s="751">
        <f t="shared" si="0"/>
        <v>0</v>
      </c>
      <c r="K23" s="754">
        <f t="shared" si="6"/>
        <v>0</v>
      </c>
      <c r="L23" s="754">
        <f t="shared" si="7"/>
        <v>0</v>
      </c>
      <c r="M23" s="750">
        <f>'Biomass Data Assumptions'!X24</f>
        <v>0</v>
      </c>
      <c r="N23" s="751">
        <f t="shared" si="14"/>
        <v>0</v>
      </c>
      <c r="O23" s="751">
        <f t="shared" si="1"/>
        <v>0</v>
      </c>
      <c r="P23" s="751">
        <f t="shared" si="8"/>
        <v>0</v>
      </c>
      <c r="Q23" s="752">
        <f t="shared" si="9"/>
        <v>0</v>
      </c>
      <c r="R23" s="1000">
        <f t="shared" si="10"/>
        <v>0</v>
      </c>
      <c r="S23" s="723"/>
      <c r="T23" s="723"/>
      <c r="U23" s="723"/>
      <c r="V23" s="723">
        <f t="shared" si="11"/>
        <v>0</v>
      </c>
      <c r="W23" s="723">
        <f t="shared" si="12"/>
        <v>0</v>
      </c>
      <c r="X23" s="723"/>
      <c r="Y23" s="723">
        <f t="shared" si="13"/>
        <v>0</v>
      </c>
    </row>
    <row r="24" spans="2:25" ht="15" thickBot="1" x14ac:dyDescent="0.35">
      <c r="B24" s="749" t="s">
        <v>348</v>
      </c>
      <c r="C24" s="750">
        <f>'Biomass Data Assumptions'!U25</f>
        <v>306.94063244064165</v>
      </c>
      <c r="D24" s="751">
        <f t="shared" si="2"/>
        <v>14409.463097452535</v>
      </c>
      <c r="E24" s="751">
        <f t="shared" si="3"/>
        <v>8026.7439678019673</v>
      </c>
      <c r="F24" s="751">
        <f t="shared" si="4"/>
        <v>8913.9136471564671</v>
      </c>
      <c r="G24" s="752">
        <f t="shared" si="5"/>
        <v>8191.7797709017668</v>
      </c>
      <c r="H24" s="753">
        <f>'Biomass Data Assumptions'!W25</f>
        <v>289.17588932806325</v>
      </c>
      <c r="I24" s="751">
        <v>13641.175999999999</v>
      </c>
      <c r="J24" s="751">
        <f t="shared" si="0"/>
        <v>7562.1816728571439</v>
      </c>
      <c r="K24" s="754">
        <f t="shared" si="6"/>
        <v>8398.0048057290805</v>
      </c>
      <c r="L24" s="754">
        <f t="shared" si="7"/>
        <v>7755.0085559999998</v>
      </c>
      <c r="M24" s="750">
        <f>'Biomass Data Assumptions'!X25</f>
        <v>17.764743112578401</v>
      </c>
      <c r="N24" s="751">
        <f t="shared" si="14"/>
        <v>768.28709745253673</v>
      </c>
      <c r="O24" s="751">
        <f t="shared" si="1"/>
        <v>464.5622949448242</v>
      </c>
      <c r="P24" s="751">
        <f t="shared" si="8"/>
        <v>515.90884142738901</v>
      </c>
      <c r="Q24" s="752">
        <f t="shared" si="9"/>
        <v>436.77121490176711</v>
      </c>
      <c r="R24" s="1000">
        <f t="shared" si="10"/>
        <v>51874067.150829129</v>
      </c>
      <c r="S24" s="723"/>
      <c r="T24" s="723">
        <f t="shared" si="15"/>
        <v>47.172591157917758</v>
      </c>
      <c r="U24" s="723"/>
      <c r="V24" s="723">
        <f t="shared" si="11"/>
        <v>3.5062532619930913E-2</v>
      </c>
      <c r="W24" s="723">
        <f t="shared" si="12"/>
        <v>1.6539905162411559</v>
      </c>
      <c r="X24" s="723"/>
      <c r="Y24" s="723">
        <f t="shared" si="13"/>
        <v>13375.685668893348</v>
      </c>
    </row>
    <row r="25" spans="2:25" ht="15" thickBot="1" x14ac:dyDescent="0.35">
      <c r="B25" s="749" t="s">
        <v>349</v>
      </c>
      <c r="C25" s="750">
        <f>'Biomass Data Assumptions'!U26</f>
        <v>0</v>
      </c>
      <c r="D25" s="751">
        <f t="shared" si="2"/>
        <v>0</v>
      </c>
      <c r="E25" s="751">
        <f t="shared" si="3"/>
        <v>0</v>
      </c>
      <c r="F25" s="751">
        <f t="shared" si="4"/>
        <v>0</v>
      </c>
      <c r="G25" s="752">
        <f t="shared" si="5"/>
        <v>0</v>
      </c>
      <c r="H25" s="753">
        <f>'Biomass Data Assumptions'!W26</f>
        <v>0</v>
      </c>
      <c r="I25" s="751">
        <v>0</v>
      </c>
      <c r="J25" s="751">
        <f t="shared" si="0"/>
        <v>0</v>
      </c>
      <c r="K25" s="754">
        <f t="shared" si="6"/>
        <v>0</v>
      </c>
      <c r="L25" s="754">
        <f t="shared" si="7"/>
        <v>0</v>
      </c>
      <c r="M25" s="750">
        <f>'Biomass Data Assumptions'!X26</f>
        <v>0</v>
      </c>
      <c r="N25" s="751">
        <f t="shared" si="14"/>
        <v>0</v>
      </c>
      <c r="O25" s="751">
        <f t="shared" si="1"/>
        <v>0</v>
      </c>
      <c r="P25" s="751">
        <f t="shared" si="8"/>
        <v>0</v>
      </c>
      <c r="Q25" s="752">
        <f t="shared" si="9"/>
        <v>0</v>
      </c>
      <c r="R25" s="1000">
        <f t="shared" si="10"/>
        <v>0</v>
      </c>
      <c r="S25" s="723"/>
      <c r="T25" s="723"/>
      <c r="U25" s="723"/>
      <c r="V25" s="723">
        <f t="shared" si="11"/>
        <v>0</v>
      </c>
      <c r="W25" s="723">
        <f t="shared" si="12"/>
        <v>0</v>
      </c>
      <c r="X25" s="723"/>
      <c r="Y25" s="723">
        <f t="shared" si="13"/>
        <v>0</v>
      </c>
    </row>
    <row r="26" spans="2:25" ht="15" thickBot="1" x14ac:dyDescent="0.35">
      <c r="B26" s="759" t="s">
        <v>350</v>
      </c>
      <c r="C26" s="760">
        <f>'Biomass Data Assumptions'!U27</f>
        <v>276.52688999999998</v>
      </c>
      <c r="D26" s="761">
        <f t="shared" si="2"/>
        <v>12509.092887863713</v>
      </c>
      <c r="E26" s="761">
        <f t="shared" si="3"/>
        <v>7231.400185088828</v>
      </c>
      <c r="F26" s="761">
        <f t="shared" si="4"/>
        <v>8030.6631252329298</v>
      </c>
      <c r="G26" s="762">
        <f t="shared" si="5"/>
        <v>7111.4193067505212</v>
      </c>
      <c r="H26" s="763">
        <f>'Biomass Data Assumptions'!W27</f>
        <v>182.89423300000001</v>
      </c>
      <c r="I26" s="764">
        <v>8459.68098151513</v>
      </c>
      <c r="J26" s="761">
        <f t="shared" si="0"/>
        <v>4782.8310308913515</v>
      </c>
      <c r="K26" s="765">
        <f t="shared" si="6"/>
        <v>5311.461654853385</v>
      </c>
      <c r="L26" s="765">
        <f t="shared" si="7"/>
        <v>4809.3286379913516</v>
      </c>
      <c r="M26" s="760">
        <f>'Biomass Data Assumptions'!X27</f>
        <v>93.632656999999995</v>
      </c>
      <c r="N26" s="761">
        <f t="shared" si="14"/>
        <v>4049.4119063485823</v>
      </c>
      <c r="O26" s="761">
        <f t="shared" si="1"/>
        <v>2448.569154197477</v>
      </c>
      <c r="P26" s="761">
        <f t="shared" si="8"/>
        <v>2719.2014703795458</v>
      </c>
      <c r="Q26" s="762">
        <f t="shared" si="9"/>
        <v>2302.0906687591691</v>
      </c>
      <c r="R26" s="1000">
        <f t="shared" si="10"/>
        <v>45032734.396309368</v>
      </c>
      <c r="S26" s="723"/>
      <c r="T26" s="723"/>
      <c r="U26" s="723"/>
      <c r="V26" s="723">
        <f t="shared" si="11"/>
        <v>2.1744301251489125E-2</v>
      </c>
      <c r="W26" s="723">
        <f t="shared" si="12"/>
        <v>0</v>
      </c>
      <c r="X26" s="723"/>
      <c r="Y26" s="723">
        <f t="shared" si="13"/>
        <v>8459.68098151513</v>
      </c>
    </row>
    <row r="27" spans="2:25" ht="15.6" thickTop="1" thickBot="1" x14ac:dyDescent="0.35">
      <c r="B27" s="766" t="s">
        <v>351</v>
      </c>
      <c r="C27" s="767">
        <f>SUM(C6:C26)</f>
        <v>21516.314404803205</v>
      </c>
      <c r="D27" s="768">
        <f>SUM(D6:D26)</f>
        <v>958406.83229458483</v>
      </c>
      <c r="E27" s="768">
        <f t="shared" ref="E27:Q27" si="16">SUM(E6:E26)</f>
        <v>562668.89621231158</v>
      </c>
      <c r="F27" s="768">
        <f t="shared" si="16"/>
        <v>624858.84349826246</v>
      </c>
      <c r="G27" s="769">
        <f t="shared" si="16"/>
        <v>544854.2841594714</v>
      </c>
      <c r="H27" s="770">
        <f t="shared" si="16"/>
        <v>11321.740941328062</v>
      </c>
      <c r="I27" s="768">
        <f t="shared" si="16"/>
        <v>517513.36108676094</v>
      </c>
      <c r="J27" s="768">
        <f t="shared" si="16"/>
        <v>296072.61535631318</v>
      </c>
      <c r="K27" s="771">
        <f t="shared" si="16"/>
        <v>328796.55027749104</v>
      </c>
      <c r="L27" s="771">
        <f t="shared" si="16"/>
        <v>294206.34577782365</v>
      </c>
      <c r="M27" s="767">
        <f t="shared" si="16"/>
        <v>10194.573463475141</v>
      </c>
      <c r="N27" s="768">
        <f t="shared" si="16"/>
        <v>440893.4712078239</v>
      </c>
      <c r="O27" s="768">
        <f t="shared" si="16"/>
        <v>266596.28085599846</v>
      </c>
      <c r="P27" s="768">
        <f t="shared" si="16"/>
        <v>296062.2932207713</v>
      </c>
      <c r="Q27" s="769">
        <f t="shared" si="16"/>
        <v>250647.93838164784</v>
      </c>
      <c r="R27" s="1000">
        <f>SUM(R6:R26)</f>
        <v>3450264596.2605057</v>
      </c>
      <c r="S27" s="723"/>
      <c r="T27" s="723"/>
      <c r="U27" s="723"/>
      <c r="V27" s="723"/>
      <c r="W27" s="723">
        <f>SUM(W6:W26)</f>
        <v>46.254498257006986</v>
      </c>
      <c r="X27" s="723"/>
      <c r="Y27" s="723"/>
    </row>
    <row r="28" spans="2:25" ht="15" x14ac:dyDescent="0.35">
      <c r="B28" s="726" t="s">
        <v>1246</v>
      </c>
      <c r="C28" s="726"/>
      <c r="D28" s="726"/>
      <c r="E28" s="726"/>
      <c r="F28" s="726"/>
      <c r="G28" s="726"/>
      <c r="H28" s="726"/>
      <c r="I28" s="726"/>
      <c r="J28" s="726"/>
      <c r="K28" s="726"/>
      <c r="L28" s="723"/>
      <c r="M28" s="723"/>
      <c r="N28" s="723"/>
      <c r="O28" s="723"/>
      <c r="P28" s="723"/>
      <c r="Q28" s="723"/>
      <c r="R28" s="723"/>
      <c r="S28" s="723"/>
      <c r="T28" s="723"/>
      <c r="U28" s="723"/>
      <c r="V28" s="723"/>
      <c r="W28" s="723"/>
      <c r="X28" s="723"/>
      <c r="Y28" s="723"/>
    </row>
    <row r="29" spans="2:25" x14ac:dyDescent="0.3">
      <c r="B29" s="772"/>
      <c r="C29" s="726" t="s">
        <v>1141</v>
      </c>
      <c r="D29" s="726"/>
      <c r="E29" s="726"/>
      <c r="F29" s="726"/>
      <c r="G29" s="726"/>
      <c r="H29" s="726"/>
      <c r="I29" s="726"/>
      <c r="J29" s="726"/>
      <c r="K29" s="726"/>
      <c r="L29" s="723"/>
      <c r="M29" s="723"/>
      <c r="N29" s="723"/>
      <c r="O29" s="723"/>
      <c r="P29" s="723"/>
      <c r="Q29" s="723"/>
      <c r="R29" s="723"/>
      <c r="S29" s="723"/>
      <c r="T29" s="723"/>
      <c r="U29" s="723"/>
      <c r="V29" s="723"/>
      <c r="W29" s="723"/>
      <c r="X29" s="723"/>
      <c r="Y29" s="723"/>
    </row>
    <row r="30" spans="2:25" x14ac:dyDescent="0.3">
      <c r="B30" s="773"/>
      <c r="C30" s="726" t="s">
        <v>1140</v>
      </c>
      <c r="D30" s="726"/>
      <c r="E30" s="726"/>
      <c r="F30" s="726"/>
      <c r="G30" s="726"/>
      <c r="H30" s="726"/>
      <c r="I30" s="726"/>
      <c r="J30" s="726"/>
      <c r="K30" s="726"/>
      <c r="L30" s="723"/>
      <c r="M30" s="723">
        <f>M27/H27*I27</f>
        <v>465990.87589704705</v>
      </c>
      <c r="N30" s="723"/>
      <c r="O30" s="723"/>
      <c r="P30" s="723"/>
      <c r="Q30" s="723"/>
      <c r="R30" s="723"/>
      <c r="S30" s="723"/>
      <c r="T30" s="723"/>
      <c r="U30" s="723"/>
      <c r="V30" s="723"/>
      <c r="W30" s="723"/>
      <c r="X30" s="723"/>
      <c r="Y30" s="723"/>
    </row>
    <row r="31" spans="2:25" x14ac:dyDescent="0.3">
      <c r="B31" s="723"/>
      <c r="C31" s="723"/>
      <c r="D31" s="723"/>
      <c r="E31" s="723"/>
      <c r="F31" s="723"/>
      <c r="G31" s="723"/>
      <c r="H31" s="723"/>
      <c r="I31" s="723"/>
      <c r="J31" s="723"/>
      <c r="K31" s="723"/>
      <c r="L31" s="723"/>
      <c r="M31" s="723"/>
      <c r="N31" s="723"/>
      <c r="O31" s="723"/>
      <c r="P31" s="723"/>
      <c r="Q31" s="723"/>
      <c r="R31" s="723"/>
      <c r="S31" s="723"/>
      <c r="T31" s="723"/>
      <c r="U31" s="723"/>
      <c r="V31" s="723"/>
      <c r="W31" s="723"/>
      <c r="X31" s="723"/>
      <c r="Y31" s="723"/>
    </row>
    <row r="32" spans="2:25" ht="15" customHeight="1" x14ac:dyDescent="0.3">
      <c r="B32" s="725" t="s">
        <v>1071</v>
      </c>
      <c r="C32" s="726"/>
      <c r="D32" s="726"/>
      <c r="E32" s="726"/>
      <c r="F32" s="726"/>
      <c r="G32" s="726"/>
      <c r="H32" s="726"/>
      <c r="I32" s="726"/>
      <c r="J32" s="726"/>
      <c r="K32" s="727"/>
      <c r="L32" s="727"/>
      <c r="M32" s="725"/>
      <c r="N32" s="723"/>
      <c r="O32" s="723"/>
      <c r="P32" s="723"/>
      <c r="Q32" s="723"/>
      <c r="R32" s="723"/>
      <c r="S32" s="723"/>
      <c r="T32" s="723"/>
      <c r="U32" s="723"/>
      <c r="V32" s="723"/>
      <c r="W32" s="723"/>
      <c r="X32" s="723"/>
      <c r="Y32" s="723"/>
    </row>
    <row r="33" spans="2:25" x14ac:dyDescent="0.3">
      <c r="B33" s="726" t="s">
        <v>1094</v>
      </c>
      <c r="C33" s="726"/>
      <c r="D33" s="726"/>
      <c r="E33" s="726"/>
      <c r="F33" s="726"/>
      <c r="G33" s="726"/>
      <c r="H33" s="726"/>
      <c r="I33" s="726"/>
      <c r="J33" s="726"/>
      <c r="K33" s="723"/>
      <c r="L33" s="723"/>
      <c r="M33" s="726"/>
      <c r="N33" s="723"/>
      <c r="O33" s="723"/>
      <c r="P33" s="723"/>
      <c r="Q33" s="723"/>
      <c r="R33" s="723"/>
      <c r="S33" s="723"/>
      <c r="T33" s="723"/>
      <c r="U33" s="723"/>
      <c r="V33" s="723"/>
      <c r="W33" s="723"/>
      <c r="X33" s="723"/>
      <c r="Y33" s="723"/>
    </row>
    <row r="34" spans="2:25" x14ac:dyDescent="0.3">
      <c r="B34" s="726" t="s">
        <v>1072</v>
      </c>
      <c r="C34" s="726"/>
      <c r="D34" s="726"/>
      <c r="E34" s="726"/>
      <c r="F34" s="726"/>
      <c r="G34" s="726"/>
      <c r="H34" s="726"/>
      <c r="I34" s="726"/>
      <c r="J34" s="726"/>
      <c r="K34" s="723"/>
      <c r="L34" s="723"/>
      <c r="M34" s="726"/>
      <c r="N34" s="723"/>
      <c r="O34" s="723"/>
      <c r="P34" s="723"/>
      <c r="Q34" s="723"/>
      <c r="R34" s="723"/>
      <c r="S34" s="723"/>
      <c r="T34" s="723"/>
      <c r="U34" s="723"/>
      <c r="V34" s="723"/>
      <c r="W34" s="723"/>
      <c r="X34" s="723"/>
      <c r="Y34" s="723"/>
    </row>
    <row r="35" spans="2:25" x14ac:dyDescent="0.3">
      <c r="B35" s="726" t="s">
        <v>1073</v>
      </c>
      <c r="C35" s="726"/>
      <c r="D35" s="726"/>
      <c r="E35" s="726"/>
      <c r="F35" s="726"/>
      <c r="G35" s="726"/>
      <c r="H35" s="726"/>
      <c r="I35" s="726"/>
      <c r="J35" s="726"/>
      <c r="K35" s="723"/>
      <c r="L35" s="723"/>
      <c r="M35" s="726"/>
      <c r="N35" s="723"/>
      <c r="O35" s="723"/>
      <c r="P35" s="723"/>
      <c r="Q35" s="723"/>
      <c r="R35" s="723"/>
      <c r="S35" s="723"/>
      <c r="T35" s="723"/>
      <c r="U35" s="723"/>
      <c r="V35" s="723"/>
      <c r="W35" s="723"/>
      <c r="X35" s="723"/>
      <c r="Y35" s="723"/>
    </row>
    <row r="36" spans="2:25" x14ac:dyDescent="0.3">
      <c r="B36" s="726" t="s">
        <v>1224</v>
      </c>
      <c r="C36" s="726"/>
      <c r="D36" s="726"/>
      <c r="E36" s="726"/>
      <c r="F36" s="726"/>
      <c r="G36" s="726"/>
      <c r="H36" s="726"/>
      <c r="I36" s="726"/>
      <c r="J36" s="726"/>
      <c r="K36" s="723"/>
      <c r="L36" s="723"/>
      <c r="M36" s="726"/>
      <c r="N36" s="723"/>
      <c r="O36" s="723"/>
      <c r="P36" s="723"/>
      <c r="Q36" s="723"/>
      <c r="R36" s="723"/>
      <c r="S36" s="723"/>
      <c r="T36" s="723"/>
      <c r="U36" s="723"/>
      <c r="V36" s="723"/>
      <c r="W36" s="723"/>
      <c r="X36" s="723"/>
      <c r="Y36" s="723"/>
    </row>
    <row r="37" spans="2:25" x14ac:dyDescent="0.3">
      <c r="B37" s="726" t="s">
        <v>1090</v>
      </c>
      <c r="C37" s="726"/>
      <c r="D37" s="726"/>
      <c r="E37" s="726"/>
      <c r="F37" s="726"/>
      <c r="G37" s="726"/>
      <c r="H37" s="726"/>
      <c r="I37" s="726"/>
      <c r="J37" s="726"/>
      <c r="K37" s="723"/>
      <c r="L37" s="723"/>
      <c r="M37" s="726"/>
      <c r="N37" s="723"/>
      <c r="O37" s="723"/>
      <c r="P37" s="723"/>
      <c r="Q37" s="723"/>
      <c r="R37" s="723"/>
      <c r="S37" s="723"/>
      <c r="T37" s="723"/>
      <c r="U37" s="723"/>
      <c r="V37" s="723"/>
      <c r="W37" s="723"/>
      <c r="X37" s="723"/>
      <c r="Y37" s="723"/>
    </row>
    <row r="38" spans="2:25" x14ac:dyDescent="0.3">
      <c r="B38" s="726"/>
      <c r="C38" s="726"/>
      <c r="D38" s="726"/>
      <c r="E38" s="726"/>
      <c r="F38" s="726"/>
      <c r="G38" s="726"/>
      <c r="H38" s="726"/>
      <c r="I38" s="726"/>
      <c r="J38" s="726"/>
      <c r="K38" s="723"/>
      <c r="L38" s="723"/>
      <c r="M38" s="726"/>
      <c r="N38" s="723"/>
      <c r="O38" s="723"/>
      <c r="P38" s="723"/>
      <c r="Q38" s="723"/>
      <c r="R38" s="723"/>
      <c r="S38" s="723"/>
      <c r="T38" s="723"/>
      <c r="U38" s="723"/>
      <c r="V38" s="723"/>
      <c r="W38" s="723"/>
      <c r="X38" s="723"/>
      <c r="Y38" s="723"/>
    </row>
    <row r="39" spans="2:25" ht="15" x14ac:dyDescent="0.35">
      <c r="B39" s="725" t="s">
        <v>1225</v>
      </c>
      <c r="C39" s="726"/>
      <c r="D39" s="726"/>
      <c r="E39" s="726"/>
      <c r="F39" s="726"/>
      <c r="G39" s="726"/>
      <c r="H39" s="726"/>
      <c r="I39" s="726"/>
      <c r="J39" s="726"/>
      <c r="K39" s="723"/>
      <c r="L39" s="723"/>
      <c r="M39" s="726"/>
      <c r="N39" s="723"/>
      <c r="O39" s="723"/>
      <c r="P39" s="723"/>
      <c r="Q39" s="723"/>
      <c r="R39" s="723"/>
      <c r="S39" s="723"/>
      <c r="T39" s="723"/>
      <c r="U39" s="723"/>
      <c r="V39" s="723"/>
      <c r="W39" s="723"/>
      <c r="X39" s="723"/>
      <c r="Y39" s="723"/>
    </row>
    <row r="40" spans="2:25" x14ac:dyDescent="0.3">
      <c r="B40" s="726" t="s">
        <v>1091</v>
      </c>
      <c r="C40" s="726"/>
      <c r="D40" s="726"/>
      <c r="E40" s="726"/>
      <c r="F40" s="726"/>
      <c r="G40" s="726"/>
      <c r="H40" s="726"/>
      <c r="I40" s="726"/>
      <c r="J40" s="726"/>
      <c r="K40" s="723"/>
      <c r="L40" s="723"/>
      <c r="M40" s="726"/>
      <c r="N40" s="723"/>
      <c r="O40" s="723"/>
      <c r="P40" s="723"/>
      <c r="Q40" s="723"/>
      <c r="R40" s="723"/>
      <c r="S40" s="723"/>
      <c r="T40" s="723"/>
      <c r="U40" s="723"/>
      <c r="V40" s="723"/>
      <c r="W40" s="723"/>
      <c r="X40" s="723"/>
      <c r="Y40" s="723"/>
    </row>
    <row r="41" spans="2:25" x14ac:dyDescent="0.3">
      <c r="B41" s="726" t="s">
        <v>1226</v>
      </c>
      <c r="C41" s="726"/>
      <c r="D41" s="726"/>
      <c r="E41" s="726"/>
      <c r="F41" s="726"/>
      <c r="G41" s="726"/>
      <c r="H41" s="726"/>
      <c r="I41" s="726"/>
      <c r="J41" s="726"/>
      <c r="K41" s="723"/>
      <c r="L41" s="723"/>
      <c r="M41" s="726"/>
      <c r="N41" s="723"/>
      <c r="O41" s="723"/>
      <c r="P41" s="723"/>
      <c r="Q41" s="723"/>
      <c r="R41" s="723"/>
      <c r="S41" s="723"/>
      <c r="T41" s="723"/>
      <c r="U41" s="723"/>
      <c r="V41" s="723"/>
      <c r="W41" s="723"/>
      <c r="X41" s="723"/>
      <c r="Y41" s="723"/>
    </row>
    <row r="42" spans="2:25" x14ac:dyDescent="0.3">
      <c r="B42" s="726" t="s">
        <v>1072</v>
      </c>
      <c r="C42" s="726"/>
      <c r="D42" s="726"/>
      <c r="E42" s="726"/>
      <c r="F42" s="726"/>
      <c r="G42" s="726"/>
      <c r="H42" s="726"/>
      <c r="I42" s="726"/>
      <c r="J42" s="726"/>
      <c r="K42" s="723"/>
      <c r="L42" s="723"/>
      <c r="M42" s="726"/>
      <c r="N42" s="723"/>
      <c r="O42" s="723"/>
      <c r="P42" s="723"/>
      <c r="Q42" s="723"/>
      <c r="R42" s="723"/>
      <c r="S42" s="723"/>
      <c r="T42" s="723"/>
      <c r="U42" s="723"/>
      <c r="V42" s="723"/>
      <c r="W42" s="723"/>
      <c r="X42" s="723"/>
      <c r="Y42" s="723"/>
    </row>
    <row r="43" spans="2:25" x14ac:dyDescent="0.3">
      <c r="B43" s="726" t="s">
        <v>1074</v>
      </c>
      <c r="C43" s="726"/>
      <c r="D43" s="726"/>
      <c r="E43" s="726"/>
      <c r="F43" s="726"/>
      <c r="G43" s="726"/>
      <c r="H43" s="726"/>
      <c r="I43" s="726"/>
      <c r="J43" s="726"/>
      <c r="K43" s="723"/>
      <c r="L43" s="723"/>
      <c r="M43" s="726"/>
      <c r="N43" s="723"/>
      <c r="O43" s="723"/>
      <c r="P43" s="723"/>
      <c r="Q43" s="723"/>
      <c r="R43" s="723"/>
      <c r="S43" s="723"/>
      <c r="T43" s="723"/>
      <c r="U43" s="723"/>
      <c r="V43" s="723"/>
      <c r="W43" s="723"/>
      <c r="X43" s="723"/>
      <c r="Y43" s="723"/>
    </row>
    <row r="44" spans="2:25" x14ac:dyDescent="0.3">
      <c r="B44" s="726" t="s">
        <v>1227</v>
      </c>
      <c r="C44" s="726"/>
      <c r="D44" s="726"/>
      <c r="E44" s="726"/>
      <c r="F44" s="726"/>
      <c r="G44" s="726"/>
      <c r="H44" s="726"/>
      <c r="I44" s="726"/>
      <c r="J44" s="726"/>
      <c r="K44" s="723"/>
      <c r="L44" s="723"/>
      <c r="M44" s="726"/>
      <c r="N44" s="723"/>
      <c r="O44" s="723"/>
      <c r="P44" s="723"/>
      <c r="Q44" s="723"/>
      <c r="R44" s="723"/>
      <c r="S44" s="723"/>
      <c r="T44" s="723"/>
      <c r="U44" s="723"/>
      <c r="V44" s="723"/>
      <c r="W44" s="723"/>
      <c r="X44" s="723"/>
      <c r="Y44" s="723"/>
    </row>
    <row r="45" spans="2:25" x14ac:dyDescent="0.3">
      <c r="B45" s="726" t="s">
        <v>1228</v>
      </c>
      <c r="C45" s="726"/>
      <c r="D45" s="726"/>
      <c r="E45" s="726"/>
      <c r="F45" s="726"/>
      <c r="G45" s="726"/>
      <c r="H45" s="726"/>
      <c r="I45" s="726"/>
      <c r="J45" s="726"/>
      <c r="K45" s="723"/>
      <c r="L45" s="723"/>
      <c r="M45" s="726"/>
      <c r="N45" s="723"/>
      <c r="O45" s="723"/>
      <c r="P45" s="723"/>
      <c r="Q45" s="723"/>
      <c r="R45" s="723"/>
      <c r="S45" s="723"/>
      <c r="T45" s="723"/>
      <c r="U45" s="723"/>
      <c r="V45" s="723"/>
      <c r="W45" s="723"/>
      <c r="X45" s="723"/>
      <c r="Y45" s="723"/>
    </row>
    <row r="46" spans="2:25" x14ac:dyDescent="0.3">
      <c r="B46" s="726" t="s">
        <v>1075</v>
      </c>
      <c r="C46" s="726"/>
      <c r="D46" s="726"/>
      <c r="E46" s="726"/>
      <c r="F46" s="726"/>
      <c r="G46" s="726"/>
      <c r="H46" s="726"/>
      <c r="I46" s="726"/>
      <c r="J46" s="726"/>
      <c r="K46" s="723"/>
      <c r="L46" s="723"/>
      <c r="M46" s="726"/>
      <c r="N46" s="723"/>
      <c r="O46" s="723"/>
      <c r="P46" s="723"/>
      <c r="Q46" s="723"/>
      <c r="R46" s="723"/>
      <c r="S46" s="723"/>
      <c r="T46" s="723"/>
      <c r="U46" s="723"/>
      <c r="V46" s="723"/>
      <c r="W46" s="723"/>
      <c r="X46" s="723"/>
      <c r="Y46" s="723"/>
    </row>
    <row r="47" spans="2:25" x14ac:dyDescent="0.3">
      <c r="B47" s="726"/>
      <c r="C47" s="726"/>
      <c r="D47" s="726"/>
      <c r="E47" s="726"/>
      <c r="F47" s="726"/>
      <c r="G47" s="726"/>
      <c r="H47" s="726"/>
      <c r="I47" s="726"/>
      <c r="J47" s="726"/>
      <c r="K47" s="723"/>
      <c r="L47" s="723"/>
      <c r="M47" s="726"/>
      <c r="N47" s="723"/>
      <c r="O47" s="723"/>
      <c r="P47" s="723"/>
      <c r="Q47" s="723"/>
      <c r="R47" s="723"/>
      <c r="S47" s="723"/>
      <c r="T47" s="723"/>
      <c r="U47" s="723"/>
      <c r="V47" s="723"/>
      <c r="W47" s="723"/>
      <c r="X47" s="723"/>
      <c r="Y47" s="723"/>
    </row>
    <row r="48" spans="2:25" ht="15" x14ac:dyDescent="0.35">
      <c r="B48" s="725" t="s">
        <v>1229</v>
      </c>
      <c r="C48" s="726"/>
      <c r="D48" s="726"/>
      <c r="E48" s="726"/>
      <c r="F48" s="726"/>
      <c r="G48" s="726"/>
      <c r="H48" s="726"/>
      <c r="I48" s="726"/>
      <c r="J48" s="726"/>
      <c r="K48" s="723"/>
      <c r="L48" s="723"/>
      <c r="M48" s="726"/>
      <c r="N48" s="723"/>
      <c r="O48" s="723"/>
      <c r="P48" s="723"/>
      <c r="Q48" s="723"/>
      <c r="R48" s="723"/>
      <c r="S48" s="723"/>
      <c r="T48" s="723"/>
      <c r="U48" s="723"/>
      <c r="V48" s="723"/>
      <c r="W48" s="723"/>
      <c r="X48" s="723"/>
      <c r="Y48" s="723"/>
    </row>
    <row r="49" spans="2:25" x14ac:dyDescent="0.3">
      <c r="B49" s="726" t="s">
        <v>1092</v>
      </c>
      <c r="C49" s="726"/>
      <c r="D49" s="726"/>
      <c r="E49" s="726"/>
      <c r="F49" s="726"/>
      <c r="G49" s="726"/>
      <c r="H49" s="726"/>
      <c r="I49" s="726"/>
      <c r="J49" s="726"/>
      <c r="K49" s="723"/>
      <c r="L49" s="723"/>
      <c r="M49" s="726"/>
      <c r="N49" s="723"/>
      <c r="O49" s="723"/>
      <c r="P49" s="723"/>
      <c r="Q49" s="723"/>
      <c r="R49" s="723"/>
      <c r="S49" s="723"/>
      <c r="T49" s="723"/>
      <c r="U49" s="723"/>
      <c r="V49" s="723"/>
      <c r="W49" s="723"/>
      <c r="X49" s="723"/>
      <c r="Y49" s="723"/>
    </row>
    <row r="50" spans="2:25" ht="15" x14ac:dyDescent="0.35">
      <c r="B50" s="726" t="s">
        <v>1230</v>
      </c>
      <c r="C50" s="726"/>
      <c r="D50" s="726"/>
      <c r="E50" s="726"/>
      <c r="F50" s="726"/>
      <c r="G50" s="726"/>
      <c r="H50" s="726"/>
      <c r="I50" s="726"/>
      <c r="J50" s="726"/>
      <c r="K50" s="723"/>
      <c r="L50" s="723"/>
      <c r="M50" s="726"/>
      <c r="N50" s="723"/>
      <c r="O50" s="723"/>
      <c r="P50" s="723"/>
      <c r="Q50" s="723"/>
      <c r="R50" s="723"/>
      <c r="S50" s="723"/>
      <c r="T50" s="723"/>
      <c r="U50" s="723"/>
      <c r="V50" s="723"/>
      <c r="W50" s="723"/>
      <c r="X50" s="723"/>
      <c r="Y50" s="723"/>
    </row>
    <row r="51" spans="2:25" x14ac:dyDescent="0.3">
      <c r="B51" s="726" t="s">
        <v>1076</v>
      </c>
      <c r="C51" s="726"/>
      <c r="D51" s="726"/>
      <c r="E51" s="726"/>
      <c r="F51" s="726"/>
      <c r="G51" s="726"/>
      <c r="H51" s="726"/>
      <c r="I51" s="726"/>
      <c r="J51" s="726"/>
      <c r="K51" s="723"/>
      <c r="L51" s="723"/>
      <c r="M51" s="726"/>
      <c r="N51" s="723"/>
      <c r="O51" s="723"/>
      <c r="P51" s="723"/>
      <c r="Q51" s="723"/>
      <c r="R51" s="723"/>
      <c r="S51" s="723"/>
      <c r="T51" s="723"/>
      <c r="U51" s="723"/>
      <c r="V51" s="723"/>
      <c r="W51" s="723"/>
      <c r="X51" s="723"/>
      <c r="Y51" s="723"/>
    </row>
    <row r="52" spans="2:25" x14ac:dyDescent="0.3">
      <c r="B52" s="726" t="s">
        <v>1077</v>
      </c>
      <c r="C52" s="726"/>
      <c r="D52" s="726"/>
      <c r="E52" s="726"/>
      <c r="F52" s="726"/>
      <c r="G52" s="726"/>
      <c r="H52" s="726"/>
      <c r="I52" s="726"/>
      <c r="J52" s="726"/>
      <c r="K52" s="723"/>
      <c r="L52" s="723"/>
      <c r="M52" s="726"/>
      <c r="N52" s="723"/>
      <c r="O52" s="723"/>
      <c r="P52" s="723"/>
      <c r="Q52" s="723"/>
      <c r="R52" s="723"/>
      <c r="S52" s="723"/>
      <c r="T52" s="723"/>
      <c r="U52" s="723"/>
      <c r="V52" s="723"/>
      <c r="W52" s="723"/>
      <c r="X52" s="723"/>
      <c r="Y52" s="723"/>
    </row>
    <row r="53" spans="2:25" x14ac:dyDescent="0.3">
      <c r="B53" s="726" t="s">
        <v>1075</v>
      </c>
      <c r="C53" s="726"/>
      <c r="D53" s="726"/>
      <c r="E53" s="726"/>
      <c r="F53" s="726"/>
      <c r="G53" s="726"/>
      <c r="H53" s="726"/>
      <c r="I53" s="726"/>
      <c r="J53" s="726"/>
      <c r="K53" s="723"/>
      <c r="L53" s="723"/>
      <c r="M53" s="726"/>
      <c r="N53" s="723"/>
      <c r="O53" s="723"/>
      <c r="P53" s="723"/>
      <c r="Q53" s="723"/>
      <c r="R53" s="723"/>
      <c r="S53" s="723"/>
      <c r="T53" s="723"/>
      <c r="U53" s="723"/>
      <c r="V53" s="723"/>
      <c r="W53" s="723"/>
      <c r="X53" s="723"/>
      <c r="Y53" s="723"/>
    </row>
    <row r="54" spans="2:25" x14ac:dyDescent="0.3">
      <c r="B54" s="723"/>
      <c r="C54" s="723"/>
      <c r="D54" s="723"/>
      <c r="E54" s="723"/>
      <c r="F54" s="723"/>
      <c r="G54" s="723"/>
      <c r="H54" s="723"/>
      <c r="I54" s="723"/>
      <c r="J54" s="723"/>
      <c r="K54" s="723"/>
      <c r="L54" s="723"/>
      <c r="M54" s="723"/>
      <c r="N54" s="723"/>
      <c r="O54" s="723"/>
      <c r="P54" s="723"/>
      <c r="Q54" s="723"/>
      <c r="R54" s="723"/>
      <c r="S54" s="723"/>
      <c r="T54" s="723"/>
      <c r="U54" s="723"/>
      <c r="V54" s="723"/>
      <c r="W54" s="723"/>
      <c r="X54" s="723"/>
      <c r="Y54" s="723"/>
    </row>
    <row r="55" spans="2:25" ht="15" x14ac:dyDescent="0.35">
      <c r="B55" s="726" t="s">
        <v>1231</v>
      </c>
      <c r="C55" s="726"/>
      <c r="D55" s="726"/>
      <c r="E55" s="726"/>
      <c r="F55" s="726"/>
      <c r="G55" s="726"/>
      <c r="H55" s="726"/>
      <c r="I55" s="726"/>
      <c r="J55" s="726"/>
      <c r="K55" s="726"/>
      <c r="L55" s="726"/>
      <c r="M55" s="726"/>
      <c r="N55" s="726"/>
      <c r="O55" s="726"/>
      <c r="P55" s="723"/>
      <c r="Q55" s="723"/>
      <c r="R55" s="723"/>
      <c r="S55" s="723"/>
      <c r="T55" s="723"/>
      <c r="U55" s="723"/>
      <c r="V55" s="723"/>
      <c r="W55" s="723"/>
      <c r="X55" s="723"/>
      <c r="Y55" s="723"/>
    </row>
    <row r="56" spans="2:25" x14ac:dyDescent="0.3">
      <c r="B56" s="1184" t="s">
        <v>1188</v>
      </c>
      <c r="C56" s="1184"/>
      <c r="D56" s="1184"/>
      <c r="E56" s="1184"/>
      <c r="F56" s="1184"/>
      <c r="G56" s="1184"/>
      <c r="H56" s="1184"/>
      <c r="I56" s="1184"/>
      <c r="J56" s="1184"/>
      <c r="K56" s="1184"/>
      <c r="L56" s="794"/>
      <c r="M56" s="794"/>
      <c r="N56" s="663"/>
      <c r="O56" s="663"/>
      <c r="P56" s="723"/>
      <c r="Q56" s="723"/>
      <c r="R56" s="723"/>
      <c r="S56" s="723"/>
      <c r="T56" s="723"/>
      <c r="U56" s="723"/>
      <c r="V56" s="723"/>
      <c r="W56" s="723"/>
      <c r="X56" s="723"/>
      <c r="Y56" s="723"/>
    </row>
    <row r="57" spans="2:25" ht="15" customHeight="1" x14ac:dyDescent="0.3">
      <c r="B57" s="1185" t="s">
        <v>1078</v>
      </c>
      <c r="C57" s="1185"/>
      <c r="D57" s="1185"/>
      <c r="E57" s="1185"/>
      <c r="F57" s="1185"/>
      <c r="G57" s="1185"/>
      <c r="H57" s="1185"/>
      <c r="I57" s="1185"/>
      <c r="J57" s="1185"/>
      <c r="K57" s="1185"/>
      <c r="L57" s="662"/>
      <c r="M57" s="662"/>
      <c r="N57" s="662"/>
      <c r="O57" s="662"/>
      <c r="P57" s="723"/>
      <c r="Q57" s="723"/>
      <c r="R57" s="723"/>
      <c r="S57" s="723"/>
      <c r="T57" s="723"/>
      <c r="U57" s="723"/>
      <c r="V57" s="723"/>
      <c r="W57" s="723"/>
      <c r="X57" s="723"/>
      <c r="Y57" s="723"/>
    </row>
    <row r="58" spans="2:25" x14ac:dyDescent="0.3">
      <c r="B58" s="1185"/>
      <c r="C58" s="1185"/>
      <c r="D58" s="1185"/>
      <c r="E58" s="1185"/>
      <c r="F58" s="1185"/>
      <c r="G58" s="1185"/>
      <c r="H58" s="1185"/>
      <c r="I58" s="1185"/>
      <c r="J58" s="1185"/>
      <c r="K58" s="1185"/>
      <c r="L58" s="662"/>
      <c r="M58" s="662"/>
      <c r="N58" s="662"/>
      <c r="O58" s="662"/>
      <c r="P58" s="723"/>
      <c r="Q58" s="723"/>
      <c r="R58" s="723"/>
      <c r="S58" s="723"/>
      <c r="T58" s="723"/>
      <c r="U58" s="723"/>
      <c r="V58" s="723"/>
      <c r="W58" s="723"/>
      <c r="X58" s="723"/>
      <c r="Y58" s="723"/>
    </row>
    <row r="59" spans="2:25" x14ac:dyDescent="0.3">
      <c r="B59" s="1185"/>
      <c r="C59" s="1185"/>
      <c r="D59" s="1185"/>
      <c r="E59" s="1185"/>
      <c r="F59" s="1185"/>
      <c r="G59" s="1185"/>
      <c r="H59" s="1185"/>
      <c r="I59" s="1185"/>
      <c r="J59" s="1185"/>
      <c r="K59" s="1185"/>
      <c r="L59" s="662"/>
      <c r="M59" s="662"/>
      <c r="N59" s="662"/>
      <c r="O59" s="662"/>
      <c r="P59" s="723"/>
      <c r="Q59" s="723"/>
      <c r="R59" s="723"/>
      <c r="S59" s="723"/>
      <c r="T59" s="723"/>
      <c r="U59" s="723"/>
      <c r="V59" s="723"/>
      <c r="W59" s="723"/>
      <c r="X59" s="723"/>
      <c r="Y59" s="723"/>
    </row>
    <row r="60" spans="2:25" x14ac:dyDescent="0.3">
      <c r="B60" s="1185"/>
      <c r="C60" s="1185"/>
      <c r="D60" s="1185"/>
      <c r="E60" s="1185"/>
      <c r="F60" s="1185"/>
      <c r="G60" s="1185"/>
      <c r="H60" s="1185"/>
      <c r="I60" s="1185"/>
      <c r="J60" s="1185"/>
      <c r="K60" s="1185"/>
      <c r="L60" s="662"/>
      <c r="M60" s="662"/>
      <c r="N60" s="662"/>
      <c r="O60" s="662"/>
      <c r="P60" s="723"/>
      <c r="Q60" s="723"/>
      <c r="R60" s="723"/>
      <c r="S60" s="723"/>
      <c r="T60" s="723"/>
      <c r="U60" s="723"/>
      <c r="V60" s="723"/>
      <c r="W60" s="723"/>
      <c r="X60" s="723"/>
      <c r="Y60" s="723"/>
    </row>
    <row r="61" spans="2:25" ht="15" x14ac:dyDescent="0.35">
      <c r="B61" s="1183" t="s">
        <v>1079</v>
      </c>
      <c r="C61" s="1183"/>
      <c r="D61" s="1183"/>
      <c r="E61" s="1183"/>
      <c r="F61" s="1183"/>
      <c r="G61" s="1183"/>
      <c r="H61" s="1183"/>
      <c r="I61" s="1183"/>
      <c r="J61" s="1183"/>
      <c r="K61" s="1183"/>
      <c r="L61" s="664"/>
      <c r="M61" s="664"/>
      <c r="N61" s="664"/>
      <c r="O61" s="664"/>
      <c r="P61" s="723"/>
      <c r="Q61" s="723"/>
      <c r="R61" s="723"/>
      <c r="S61" s="723"/>
      <c r="T61" s="723"/>
      <c r="U61" s="723"/>
      <c r="V61" s="723"/>
      <c r="W61" s="723"/>
      <c r="X61" s="723"/>
      <c r="Y61" s="723"/>
    </row>
    <row r="62" spans="2:25" x14ac:dyDescent="0.3">
      <c r="B62" s="723"/>
      <c r="C62" s="723"/>
      <c r="D62" s="723"/>
      <c r="E62" s="723"/>
      <c r="F62" s="723"/>
      <c r="G62" s="723"/>
      <c r="H62" s="723"/>
      <c r="I62" s="723"/>
      <c r="J62" s="723"/>
      <c r="K62" s="723"/>
      <c r="L62" s="723"/>
      <c r="M62" s="723"/>
      <c r="N62" s="723"/>
      <c r="O62" s="723"/>
      <c r="P62" s="723"/>
      <c r="Q62" s="723"/>
      <c r="R62" s="723"/>
      <c r="S62" s="723"/>
      <c r="T62" s="723"/>
      <c r="U62" s="723"/>
      <c r="V62" s="723"/>
      <c r="W62" s="723"/>
      <c r="X62" s="723"/>
      <c r="Y62" s="723"/>
    </row>
    <row r="63" spans="2:25" ht="15" x14ac:dyDescent="0.35">
      <c r="B63" s="726" t="s">
        <v>1232</v>
      </c>
      <c r="C63" s="726"/>
      <c r="D63" s="726"/>
      <c r="E63" s="726"/>
      <c r="F63" s="726"/>
      <c r="G63" s="726"/>
      <c r="H63" s="726"/>
      <c r="I63" s="726"/>
      <c r="J63" s="726"/>
      <c r="K63" s="726"/>
      <c r="L63" s="726"/>
      <c r="M63" s="726"/>
      <c r="N63" s="726"/>
      <c r="O63" s="723"/>
      <c r="P63" s="723"/>
      <c r="Q63" s="723"/>
      <c r="R63" s="723"/>
      <c r="S63" s="723"/>
      <c r="T63" s="723"/>
      <c r="U63" s="723"/>
      <c r="V63" s="723"/>
      <c r="W63" s="723"/>
      <c r="X63" s="723"/>
      <c r="Y63" s="723"/>
    </row>
    <row r="64" spans="2:25" ht="15" x14ac:dyDescent="0.35">
      <c r="B64" s="728" t="s">
        <v>1080</v>
      </c>
      <c r="C64" s="729" t="s">
        <v>1233</v>
      </c>
      <c r="D64" s="729"/>
      <c r="E64" s="729"/>
      <c r="F64" s="729"/>
      <c r="G64" s="729"/>
      <c r="H64" s="729"/>
      <c r="I64" s="729"/>
      <c r="J64" s="729"/>
      <c r="K64" s="729"/>
      <c r="L64" s="792"/>
      <c r="M64" s="731"/>
      <c r="N64" s="731"/>
      <c r="O64" s="732"/>
      <c r="P64" s="723"/>
      <c r="Q64" s="723"/>
      <c r="R64" s="723"/>
      <c r="S64" s="723"/>
      <c r="T64" s="723"/>
      <c r="U64" s="723"/>
      <c r="V64" s="723"/>
      <c r="W64" s="723"/>
      <c r="X64" s="723"/>
      <c r="Y64" s="723"/>
    </row>
    <row r="65" spans="2:25" x14ac:dyDescent="0.3">
      <c r="B65" s="733"/>
      <c r="C65" s="734"/>
      <c r="D65" s="734"/>
      <c r="E65" s="734"/>
      <c r="F65" s="734"/>
      <c r="G65" s="734"/>
      <c r="H65" s="734"/>
      <c r="I65" s="734"/>
      <c r="J65" s="734"/>
      <c r="K65" s="734"/>
      <c r="L65" s="793"/>
      <c r="M65" s="732"/>
      <c r="N65" s="732"/>
      <c r="O65" s="732"/>
      <c r="P65" s="723"/>
      <c r="Q65" s="723"/>
      <c r="R65" s="723"/>
      <c r="S65" s="723"/>
      <c r="T65" s="723"/>
      <c r="U65" s="723"/>
      <c r="V65" s="723"/>
      <c r="W65" s="723"/>
      <c r="X65" s="723"/>
      <c r="Y65" s="723"/>
    </row>
    <row r="66" spans="2:25" x14ac:dyDescent="0.3">
      <c r="B66" s="736" t="s">
        <v>1081</v>
      </c>
      <c r="C66" s="737"/>
      <c r="D66" s="734"/>
      <c r="E66" s="734"/>
      <c r="F66" s="734"/>
      <c r="G66" s="734"/>
      <c r="H66" s="734"/>
      <c r="I66" s="734"/>
      <c r="J66" s="734"/>
      <c r="K66" s="734"/>
      <c r="L66" s="793"/>
      <c r="M66" s="732"/>
      <c r="N66" s="732"/>
      <c r="O66" s="732"/>
      <c r="P66" s="723"/>
      <c r="Q66" s="723"/>
      <c r="R66" s="723"/>
      <c r="S66" s="723"/>
      <c r="T66" s="723"/>
      <c r="U66" s="723"/>
      <c r="V66" s="723"/>
      <c r="W66" s="723"/>
      <c r="X66" s="723"/>
      <c r="Y66" s="723"/>
    </row>
    <row r="67" spans="2:25" x14ac:dyDescent="0.3">
      <c r="B67" s="736"/>
      <c r="C67" s="737" t="s">
        <v>1082</v>
      </c>
      <c r="D67" s="734"/>
      <c r="E67" s="734"/>
      <c r="F67" s="734"/>
      <c r="G67" s="734"/>
      <c r="H67" s="734"/>
      <c r="I67" s="734"/>
      <c r="J67" s="734"/>
      <c r="K67" s="734"/>
      <c r="L67" s="793"/>
      <c r="M67" s="732"/>
      <c r="N67" s="732"/>
      <c r="O67" s="732"/>
      <c r="P67" s="723"/>
      <c r="Q67" s="723"/>
      <c r="R67" s="723"/>
      <c r="S67" s="723"/>
      <c r="T67" s="723"/>
      <c r="U67" s="723"/>
      <c r="V67" s="723"/>
      <c r="W67" s="723"/>
      <c r="X67" s="723"/>
      <c r="Y67" s="723"/>
    </row>
    <row r="68" spans="2:25" x14ac:dyDescent="0.3">
      <c r="B68" s="736" t="s">
        <v>1083</v>
      </c>
      <c r="C68" s="737"/>
      <c r="D68" s="734"/>
      <c r="E68" s="734"/>
      <c r="F68" s="734"/>
      <c r="G68" s="734"/>
      <c r="H68" s="734"/>
      <c r="I68" s="734"/>
      <c r="J68" s="734"/>
      <c r="K68" s="734"/>
      <c r="L68" s="793"/>
      <c r="M68" s="732"/>
      <c r="N68" s="732"/>
      <c r="O68" s="732"/>
      <c r="P68" s="723"/>
      <c r="Q68" s="723"/>
      <c r="R68" s="723"/>
      <c r="S68" s="723"/>
      <c r="T68" s="723"/>
      <c r="U68" s="723"/>
      <c r="V68" s="723"/>
      <c r="W68" s="723"/>
      <c r="X68" s="723"/>
      <c r="Y68" s="723"/>
    </row>
    <row r="69" spans="2:25" x14ac:dyDescent="0.3">
      <c r="B69" s="736"/>
      <c r="C69" s="737" t="s">
        <v>1084</v>
      </c>
      <c r="D69" s="734"/>
      <c r="E69" s="734"/>
      <c r="F69" s="734"/>
      <c r="G69" s="734"/>
      <c r="H69" s="734"/>
      <c r="I69" s="734"/>
      <c r="J69" s="734"/>
      <c r="K69" s="734"/>
      <c r="L69" s="793"/>
      <c r="M69" s="732"/>
      <c r="N69" s="732"/>
      <c r="O69" s="732"/>
      <c r="P69" s="723"/>
      <c r="Q69" s="723"/>
      <c r="R69" s="723"/>
      <c r="S69" s="723"/>
      <c r="T69" s="723"/>
      <c r="U69" s="723"/>
      <c r="V69" s="723"/>
      <c r="W69" s="723"/>
      <c r="X69" s="723"/>
      <c r="Y69" s="723"/>
    </row>
    <row r="70" spans="2:25" ht="15" x14ac:dyDescent="0.35">
      <c r="B70" s="736" t="s">
        <v>1234</v>
      </c>
      <c r="C70" s="737"/>
      <c r="D70" s="734"/>
      <c r="E70" s="734"/>
      <c r="F70" s="734"/>
      <c r="G70" s="734"/>
      <c r="H70" s="734"/>
      <c r="I70" s="734"/>
      <c r="J70" s="734"/>
      <c r="K70" s="734"/>
      <c r="L70" s="793"/>
      <c r="M70" s="732"/>
      <c r="N70" s="732"/>
      <c r="O70" s="732"/>
      <c r="P70" s="723"/>
      <c r="Q70" s="723"/>
      <c r="R70" s="723"/>
      <c r="S70" s="723"/>
      <c r="T70" s="723"/>
      <c r="U70" s="723"/>
      <c r="V70" s="723"/>
      <c r="W70" s="723"/>
      <c r="X70" s="723"/>
      <c r="Y70" s="723"/>
    </row>
    <row r="71" spans="2:25" ht="15" x14ac:dyDescent="0.35">
      <c r="B71" s="736"/>
      <c r="C71" s="737" t="s">
        <v>1235</v>
      </c>
      <c r="D71" s="734"/>
      <c r="E71" s="734"/>
      <c r="F71" s="734"/>
      <c r="G71" s="734"/>
      <c r="H71" s="734"/>
      <c r="I71" s="734"/>
      <c r="J71" s="734"/>
      <c r="K71" s="734"/>
      <c r="L71" s="793"/>
      <c r="M71" s="732"/>
      <c r="N71" s="732"/>
      <c r="O71" s="732"/>
      <c r="P71" s="723"/>
      <c r="Q71" s="723"/>
      <c r="R71" s="723"/>
      <c r="S71" s="723"/>
      <c r="T71" s="723"/>
      <c r="U71" s="723"/>
      <c r="V71" s="723"/>
      <c r="W71" s="723"/>
      <c r="X71" s="723"/>
      <c r="Y71" s="723"/>
    </row>
    <row r="72" spans="2:25" ht="15" x14ac:dyDescent="0.35">
      <c r="B72" s="738" t="s">
        <v>1236</v>
      </c>
      <c r="C72" s="739"/>
      <c r="D72" s="739"/>
      <c r="E72" s="739"/>
      <c r="F72" s="739"/>
      <c r="G72" s="739"/>
      <c r="H72" s="739"/>
      <c r="I72" s="739"/>
      <c r="J72" s="739"/>
      <c r="K72" s="739"/>
      <c r="L72" s="793"/>
      <c r="M72" s="732"/>
      <c r="N72" s="732"/>
      <c r="O72" s="732"/>
      <c r="P72" s="723"/>
      <c r="Q72" s="723"/>
      <c r="R72" s="723"/>
      <c r="S72" s="723"/>
      <c r="T72" s="723"/>
      <c r="U72" s="723"/>
      <c r="V72" s="723"/>
      <c r="W72" s="723"/>
      <c r="X72" s="723"/>
      <c r="Y72" s="723"/>
    </row>
    <row r="73" spans="2:25" x14ac:dyDescent="0.3">
      <c r="B73" s="726"/>
      <c r="C73" s="723"/>
      <c r="D73" s="723"/>
      <c r="E73" s="723"/>
      <c r="F73" s="723"/>
      <c r="G73" s="723"/>
      <c r="H73" s="723"/>
      <c r="I73" s="723"/>
      <c r="J73" s="723"/>
      <c r="K73" s="723"/>
      <c r="L73" s="723"/>
      <c r="M73" s="723"/>
      <c r="N73" s="723"/>
      <c r="O73" s="723"/>
      <c r="P73" s="723"/>
      <c r="Q73" s="723"/>
      <c r="R73" s="723"/>
      <c r="S73" s="723"/>
      <c r="T73" s="723"/>
      <c r="U73" s="723"/>
      <c r="V73" s="723"/>
      <c r="W73" s="723"/>
      <c r="X73" s="723"/>
      <c r="Y73" s="723"/>
    </row>
    <row r="74" spans="2:25" x14ac:dyDescent="0.3">
      <c r="B74" s="726" t="s">
        <v>1085</v>
      </c>
      <c r="C74" s="723"/>
      <c r="D74" s="723"/>
      <c r="E74" s="723"/>
      <c r="F74" s="723"/>
      <c r="G74" s="723"/>
      <c r="H74" s="723"/>
      <c r="I74" s="723"/>
      <c r="J74" s="723"/>
      <c r="K74" s="723"/>
      <c r="L74" s="723"/>
      <c r="M74" s="723"/>
      <c r="N74" s="723"/>
      <c r="O74" s="723"/>
      <c r="P74" s="723"/>
      <c r="Q74" s="723"/>
      <c r="R74" s="723"/>
      <c r="S74" s="723"/>
      <c r="T74" s="723"/>
      <c r="U74" s="723"/>
      <c r="V74" s="723"/>
      <c r="W74" s="723"/>
      <c r="X74" s="723"/>
      <c r="Y74" s="723"/>
    </row>
    <row r="75" spans="2:25" ht="15" x14ac:dyDescent="0.35">
      <c r="B75" s="726" t="s">
        <v>1237</v>
      </c>
      <c r="C75" s="723"/>
      <c r="D75" s="723"/>
      <c r="E75" s="723"/>
      <c r="F75" s="723"/>
      <c r="G75" s="723"/>
      <c r="H75" s="723"/>
      <c r="I75" s="723"/>
      <c r="J75" s="723"/>
      <c r="K75" s="723"/>
      <c r="L75" s="723"/>
      <c r="M75" s="723"/>
      <c r="N75" s="723"/>
      <c r="O75" s="723"/>
      <c r="P75" s="723"/>
      <c r="Q75" s="723"/>
      <c r="R75" s="723"/>
      <c r="S75" s="723"/>
      <c r="T75" s="723"/>
      <c r="U75" s="723"/>
      <c r="V75" s="723"/>
      <c r="W75" s="723"/>
      <c r="X75" s="723"/>
      <c r="Y75" s="723"/>
    </row>
    <row r="76" spans="2:25" x14ac:dyDescent="0.3">
      <c r="B76" s="726" t="s">
        <v>1238</v>
      </c>
      <c r="C76" s="723"/>
      <c r="D76" s="723"/>
      <c r="E76" s="723"/>
      <c r="F76" s="723"/>
      <c r="G76" s="723"/>
      <c r="H76" s="723"/>
      <c r="I76" s="723"/>
      <c r="J76" s="723"/>
      <c r="K76" s="723"/>
      <c r="L76" s="723"/>
      <c r="M76" s="723"/>
      <c r="N76" s="723"/>
      <c r="O76" s="723"/>
      <c r="P76" s="723"/>
      <c r="Q76" s="723"/>
      <c r="R76" s="723"/>
      <c r="S76" s="723"/>
      <c r="T76" s="723"/>
      <c r="U76" s="723"/>
      <c r="V76" s="723"/>
      <c r="W76" s="723"/>
      <c r="X76" s="723"/>
      <c r="Y76" s="723"/>
    </row>
    <row r="77" spans="2:25" x14ac:dyDescent="0.3">
      <c r="B77" s="726" t="s">
        <v>1239</v>
      </c>
      <c r="C77" s="723"/>
      <c r="D77" s="723"/>
      <c r="E77" s="723"/>
      <c r="F77" s="723"/>
      <c r="G77" s="723"/>
      <c r="H77" s="723"/>
      <c r="I77" s="723"/>
      <c r="J77" s="723"/>
      <c r="K77" s="723"/>
      <c r="L77" s="723"/>
      <c r="M77" s="723"/>
      <c r="N77" s="723"/>
      <c r="O77" s="723"/>
      <c r="P77" s="723"/>
      <c r="Q77" s="723"/>
      <c r="R77" s="723"/>
      <c r="S77" s="723"/>
      <c r="T77" s="723"/>
      <c r="U77" s="723"/>
      <c r="V77" s="723"/>
      <c r="W77" s="723"/>
      <c r="X77" s="723"/>
      <c r="Y77" s="723"/>
    </row>
  </sheetData>
  <mergeCells count="6">
    <mergeCell ref="C4:G4"/>
    <mergeCell ref="H4:L4"/>
    <mergeCell ref="M4:Q4"/>
    <mergeCell ref="B61:K61"/>
    <mergeCell ref="B56:K56"/>
    <mergeCell ref="B57:K60"/>
  </mergeCells>
  <pageMargins left="0.7" right="0.7" top="0.75" bottom="0.75" header="0.3" footer="0.3"/>
  <pageSetup orientation="portrait"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88"/>
  <sheetViews>
    <sheetView workbookViewId="0">
      <selection activeCell="Y51" sqref="Y51"/>
    </sheetView>
  </sheetViews>
  <sheetFormatPr defaultColWidth="9.109375" defaultRowHeight="14.4" x14ac:dyDescent="0.3"/>
  <cols>
    <col min="1" max="1" width="9.109375" style="650"/>
    <col min="2" max="2" width="15.6640625" style="650" customWidth="1"/>
    <col min="3" max="3" width="12.33203125" style="650" customWidth="1"/>
    <col min="4" max="5" width="14" style="650" customWidth="1"/>
    <col min="6" max="7" width="22.6640625" style="650" customWidth="1"/>
    <col min="8" max="8" width="27.109375" style="650" customWidth="1"/>
    <col min="9" max="9" width="15.6640625" style="650" customWidth="1"/>
    <col min="10" max="10" width="15.5546875" style="650" customWidth="1"/>
    <col min="11" max="11" width="10.109375" style="650" bestFit="1" customWidth="1"/>
    <col min="12" max="17" width="9.109375" style="650"/>
    <col min="18" max="18" width="17.88671875" style="650" customWidth="1"/>
    <col min="19" max="19" width="15.33203125" style="650" customWidth="1"/>
    <col min="20" max="20" width="15.6640625" style="650" customWidth="1"/>
    <col min="21" max="21" width="13.88671875" style="650" customWidth="1"/>
    <col min="22" max="22" width="4.6640625" style="650" customWidth="1"/>
    <col min="23" max="23" width="11.5546875" style="650" customWidth="1"/>
    <col min="24" max="24" width="9.109375" style="650"/>
    <col min="25" max="25" width="17.88671875" style="650" customWidth="1"/>
    <col min="26" max="26" width="15.33203125" style="650" customWidth="1"/>
    <col min="27" max="27" width="15.6640625" style="650" customWidth="1"/>
    <col min="28" max="28" width="13.88671875" style="650" customWidth="1"/>
    <col min="29" max="29" width="13.44140625" style="650" customWidth="1"/>
    <col min="30" max="30" width="11.5546875" style="650" customWidth="1"/>
    <col min="31" max="16384" width="9.109375" style="650"/>
  </cols>
  <sheetData>
    <row r="1" spans="2:30" x14ac:dyDescent="0.3">
      <c r="B1" s="741" t="s">
        <v>1125</v>
      </c>
      <c r="C1" s="724"/>
      <c r="D1" s="724"/>
      <c r="E1" s="724"/>
      <c r="F1" s="724"/>
      <c r="G1" s="724"/>
      <c r="H1" s="724"/>
      <c r="I1" s="724"/>
      <c r="J1" s="724"/>
      <c r="K1" s="724"/>
      <c r="L1" s="724"/>
    </row>
    <row r="2" spans="2:30" x14ac:dyDescent="0.3">
      <c r="B2" s="1187" t="s">
        <v>1089</v>
      </c>
      <c r="C2" s="1187"/>
      <c r="D2" s="1187"/>
      <c r="E2" s="782"/>
      <c r="F2" s="724"/>
      <c r="G2" s="724"/>
      <c r="H2" s="724"/>
      <c r="I2" s="724"/>
      <c r="J2" s="724"/>
      <c r="K2" s="724"/>
      <c r="L2" s="724"/>
      <c r="R2" s="983" t="s">
        <v>1492</v>
      </c>
      <c r="Y2" s="983" t="s">
        <v>1490</v>
      </c>
    </row>
    <row r="3" spans="2:30" x14ac:dyDescent="0.3">
      <c r="B3" s="724"/>
      <c r="C3" s="724"/>
      <c r="D3" s="724"/>
      <c r="E3" s="724"/>
      <c r="F3" s="724"/>
      <c r="G3" s="724"/>
      <c r="H3" s="724"/>
      <c r="I3" s="724"/>
      <c r="J3" s="724"/>
      <c r="K3" s="724"/>
      <c r="L3" s="724"/>
      <c r="R3" s="945" t="s">
        <v>1421</v>
      </c>
      <c r="Y3" s="945" t="s">
        <v>1422</v>
      </c>
    </row>
    <row r="4" spans="2:30" x14ac:dyDescent="0.3">
      <c r="B4" s="724"/>
      <c r="C4" s="1186" t="s">
        <v>1067</v>
      </c>
      <c r="D4" s="1186"/>
      <c r="E4" s="1186"/>
      <c r="F4" s="1186"/>
      <c r="G4" s="1186"/>
      <c r="H4" s="1186"/>
      <c r="I4" s="1186"/>
      <c r="J4" s="1186"/>
      <c r="K4" s="724"/>
      <c r="L4" s="724"/>
    </row>
    <row r="5" spans="2:30" ht="45" customHeight="1" x14ac:dyDescent="0.3">
      <c r="B5" s="783" t="s">
        <v>322</v>
      </c>
      <c r="C5" s="745" t="s">
        <v>1068</v>
      </c>
      <c r="D5" s="745" t="s">
        <v>1086</v>
      </c>
      <c r="E5" s="745" t="s">
        <v>1192</v>
      </c>
      <c r="F5" s="745" t="s">
        <v>1240</v>
      </c>
      <c r="G5" s="745" t="s">
        <v>1243</v>
      </c>
      <c r="H5" s="745" t="s">
        <v>1259</v>
      </c>
      <c r="I5" s="745" t="s">
        <v>1260</v>
      </c>
      <c r="J5" s="745" t="s">
        <v>1261</v>
      </c>
      <c r="K5" s="724" t="s">
        <v>1374</v>
      </c>
      <c r="L5" s="724"/>
      <c r="R5" s="943" t="s">
        <v>322</v>
      </c>
      <c r="S5" s="921" t="s">
        <v>1068</v>
      </c>
      <c r="T5" s="921" t="s">
        <v>1417</v>
      </c>
      <c r="U5" s="921" t="s">
        <v>1418</v>
      </c>
      <c r="V5" s="921" t="s">
        <v>1419</v>
      </c>
      <c r="W5" s="921" t="s">
        <v>1420</v>
      </c>
      <c r="Y5" s="943" t="s">
        <v>322</v>
      </c>
      <c r="Z5" s="921" t="s">
        <v>1068</v>
      </c>
      <c r="AA5" s="921" t="s">
        <v>1417</v>
      </c>
      <c r="AB5" s="921" t="s">
        <v>1424</v>
      </c>
      <c r="AC5" s="921" t="s">
        <v>1425</v>
      </c>
      <c r="AD5" s="921" t="s">
        <v>1423</v>
      </c>
    </row>
    <row r="6" spans="2:30" x14ac:dyDescent="0.3">
      <c r="B6" s="784" t="s">
        <v>403</v>
      </c>
      <c r="C6" s="758">
        <f>'Biomass Data Assumptions'!X7</f>
        <v>900.57781536869993</v>
      </c>
      <c r="D6" s="785">
        <f>C6*506*7.2</f>
        <v>3280985.0969512477</v>
      </c>
      <c r="E6" s="785">
        <f>D6*(1/1.136)</f>
        <v>2888191.1064711688</v>
      </c>
      <c r="F6" s="758">
        <f t="shared" ref="F6:F26" si="0">C6*0.9*1000000*0.5*(1012/1050)*0.12059/2000</f>
        <v>23550.832907223274</v>
      </c>
      <c r="G6" s="758">
        <f xml:space="preserve"> C6*(0.026345733333*1000000)*2.20462/2000</f>
        <v>26153.82921091055</v>
      </c>
      <c r="H6" s="758">
        <f>D6*(0.00892*1.10231)</f>
        <v>32260.631125405343</v>
      </c>
      <c r="I6" s="758">
        <f t="shared" ref="I6:I26" si="1">H6-F6</f>
        <v>8709.7982181820698</v>
      </c>
      <c r="J6" s="758">
        <f t="shared" ref="J6:J26" si="2">H6-G6</f>
        <v>6106.8019144947939</v>
      </c>
      <c r="K6" s="915">
        <f>D6*(0.01018*1.10231)</f>
        <v>36817.62610500295</v>
      </c>
      <c r="L6" s="724"/>
      <c r="R6" s="784" t="s">
        <v>403</v>
      </c>
      <c r="S6" s="944">
        <f>C6</f>
        <v>900.57781536869993</v>
      </c>
      <c r="T6" s="946">
        <f>S6*506</f>
        <v>455692.37457656214</v>
      </c>
      <c r="U6" s="946">
        <f>T6*0.01939</f>
        <v>8835.8751430395405</v>
      </c>
      <c r="V6" s="944">
        <f>T6*0.078169</f>
        <v>35621.01722827529</v>
      </c>
      <c r="W6" s="944">
        <f>T6*0.097463</f>
        <v>44413.145903355471</v>
      </c>
      <c r="Y6" s="784" t="s">
        <v>403</v>
      </c>
      <c r="Z6" s="944">
        <f>C6</f>
        <v>900.57781536869993</v>
      </c>
      <c r="AA6" s="946">
        <f>Z6*506</f>
        <v>455692.37457656214</v>
      </c>
      <c r="AB6" s="946">
        <f>AA6*0.022479</f>
        <v>10243.50888810654</v>
      </c>
      <c r="AC6" s="944">
        <f>AA6*0.077946</f>
        <v>35519.39782874471</v>
      </c>
      <c r="AD6" s="944">
        <f>AA6*0.097894</f>
        <v>44609.549316797973</v>
      </c>
    </row>
    <row r="7" spans="2:30" x14ac:dyDescent="0.3">
      <c r="B7" s="784" t="s">
        <v>325</v>
      </c>
      <c r="C7" s="758">
        <f>'Biomass Data Assumptions'!X8</f>
        <v>1194.1632</v>
      </c>
      <c r="D7" s="785">
        <f t="shared" ref="D7:D26" si="3">C7*506*7.2</f>
        <v>4350575.3702400001</v>
      </c>
      <c r="E7" s="785">
        <f t="shared" ref="E7:E26" si="4">D7*(1/1.136)</f>
        <v>3829731.8400000003</v>
      </c>
      <c r="F7" s="758">
        <f t="shared" si="0"/>
        <v>31228.326422454855</v>
      </c>
      <c r="G7" s="758">
        <f t="shared" ref="G7:G26" si="5" xml:space="preserve"> C7*(0.026345733333*1000000)*2.20462/2000</f>
        <v>34679.89089867592</v>
      </c>
      <c r="H7" s="758">
        <f t="shared" ref="H7:H26" si="6">D7*(0.00892*1.10231)</f>
        <v>42777.490008413755</v>
      </c>
      <c r="I7" s="758">
        <f t="shared" si="1"/>
        <v>11549.163585958901</v>
      </c>
      <c r="J7" s="758">
        <f t="shared" si="2"/>
        <v>8097.5991097378355</v>
      </c>
      <c r="K7" s="915">
        <f t="shared" ref="K7:K26" si="7">D7*(0.01018*1.10231)</f>
        <v>48820.050256239003</v>
      </c>
      <c r="L7" s="724"/>
      <c r="R7" s="784" t="s">
        <v>325</v>
      </c>
      <c r="S7" s="944">
        <f t="shared" ref="S7:S26" si="8">C7</f>
        <v>1194.1632</v>
      </c>
      <c r="T7" s="946">
        <f t="shared" ref="T7:T26" si="9">S7*506</f>
        <v>604246.57920000004</v>
      </c>
      <c r="U7" s="946">
        <f t="shared" ref="U7:U26" si="10">T7*0.01939</f>
        <v>11716.341170688002</v>
      </c>
      <c r="V7" s="944">
        <f t="shared" ref="V7:V26" si="11">T7*0.078169</f>
        <v>47233.350849484807</v>
      </c>
      <c r="W7" s="944">
        <f t="shared" ref="W7:W26" si="12">T7*0.097463</f>
        <v>58891.684348569601</v>
      </c>
      <c r="Y7" s="784" t="s">
        <v>325</v>
      </c>
      <c r="Z7" s="944">
        <f t="shared" ref="Z7:Z26" si="13">C7</f>
        <v>1194.1632</v>
      </c>
      <c r="AA7" s="946">
        <f t="shared" ref="AA7:AA26" si="14">Z7*506</f>
        <v>604246.57920000004</v>
      </c>
      <c r="AB7" s="946">
        <f t="shared" ref="AB7:AB26" si="15">AA7*0.022479</f>
        <v>13582.8588538368</v>
      </c>
      <c r="AC7" s="944">
        <f t="shared" ref="AC7:AC26" si="16">AA7*0.077946</f>
        <v>47098.603862323202</v>
      </c>
      <c r="AD7" s="944">
        <f t="shared" ref="AD7:AD26" si="17">AA7*0.097894</f>
        <v>59152.114624204798</v>
      </c>
    </row>
    <row r="8" spans="2:30" x14ac:dyDescent="0.3">
      <c r="B8" s="784" t="s">
        <v>328</v>
      </c>
      <c r="C8" s="758">
        <f>'Biomass Data Assumptions'!X9</f>
        <v>1658.3646291646746</v>
      </c>
      <c r="D8" s="785">
        <f t="shared" si="3"/>
        <v>6041754.016972743</v>
      </c>
      <c r="E8" s="785">
        <f t="shared" si="4"/>
        <v>5318445.4374760063</v>
      </c>
      <c r="F8" s="758">
        <f t="shared" si="0"/>
        <v>43367.566482544229</v>
      </c>
      <c r="G8" s="758">
        <f t="shared" si="5"/>
        <v>48160.841340324398</v>
      </c>
      <c r="H8" s="758">
        <f t="shared" si="6"/>
        <v>59406.181964407086</v>
      </c>
      <c r="I8" s="758">
        <f t="shared" si="1"/>
        <v>16038.615481862857</v>
      </c>
      <c r="J8" s="758">
        <f t="shared" si="2"/>
        <v>11245.340624082688</v>
      </c>
      <c r="K8" s="915">
        <f t="shared" si="7"/>
        <v>67797.63816117309</v>
      </c>
      <c r="L8" s="724"/>
      <c r="R8" s="784" t="s">
        <v>328</v>
      </c>
      <c r="S8" s="944">
        <f t="shared" si="8"/>
        <v>1658.3646291646746</v>
      </c>
      <c r="T8" s="946">
        <f t="shared" si="9"/>
        <v>839132.5023573254</v>
      </c>
      <c r="U8" s="946">
        <f t="shared" si="10"/>
        <v>16270.77922070854</v>
      </c>
      <c r="V8" s="944">
        <f t="shared" si="11"/>
        <v>65594.148576769774</v>
      </c>
      <c r="W8" s="944">
        <f t="shared" si="12"/>
        <v>81784.371077251999</v>
      </c>
      <c r="Y8" s="784" t="s">
        <v>328</v>
      </c>
      <c r="Z8" s="944">
        <f t="shared" si="13"/>
        <v>1658.3646291646746</v>
      </c>
      <c r="AA8" s="946">
        <f t="shared" si="14"/>
        <v>839132.5023573254</v>
      </c>
      <c r="AB8" s="946">
        <f t="shared" si="15"/>
        <v>18862.859520490318</v>
      </c>
      <c r="AC8" s="944">
        <f t="shared" si="16"/>
        <v>65407.02202874409</v>
      </c>
      <c r="AD8" s="944">
        <f t="shared" si="17"/>
        <v>82146.037185768015</v>
      </c>
    </row>
    <row r="9" spans="2:30" x14ac:dyDescent="0.3">
      <c r="B9" s="784" t="s">
        <v>331</v>
      </c>
      <c r="C9" s="758">
        <f>'Biomass Data Assumptions'!X10</f>
        <v>22.866403519479036</v>
      </c>
      <c r="D9" s="785">
        <f t="shared" si="3"/>
        <v>83306.881302166017</v>
      </c>
      <c r="E9" s="785">
        <f t="shared" si="4"/>
        <v>73333.522273033464</v>
      </c>
      <c r="F9" s="758">
        <f t="shared" si="0"/>
        <v>597.97481048977386</v>
      </c>
      <c r="G9" s="758">
        <f t="shared" si="5"/>
        <v>664.06700466119867</v>
      </c>
      <c r="H9" s="758">
        <f t="shared" si="6"/>
        <v>819.1236742874604</v>
      </c>
      <c r="I9" s="758">
        <f t="shared" si="1"/>
        <v>221.14886379768654</v>
      </c>
      <c r="J9" s="758">
        <f t="shared" si="2"/>
        <v>155.05666962626174</v>
      </c>
      <c r="K9" s="915">
        <f t="shared" si="7"/>
        <v>934.82948478098035</v>
      </c>
      <c r="L9" s="724"/>
      <c r="R9" s="784" t="s">
        <v>331</v>
      </c>
      <c r="S9" s="944">
        <f t="shared" si="8"/>
        <v>22.866403519479036</v>
      </c>
      <c r="T9" s="946">
        <f t="shared" si="9"/>
        <v>11570.400180856392</v>
      </c>
      <c r="U9" s="946">
        <f t="shared" si="10"/>
        <v>224.35005950680545</v>
      </c>
      <c r="V9" s="944">
        <f t="shared" si="11"/>
        <v>904.44661173736336</v>
      </c>
      <c r="W9" s="944">
        <f t="shared" si="12"/>
        <v>1127.6859128268065</v>
      </c>
      <c r="Y9" s="784" t="s">
        <v>331</v>
      </c>
      <c r="Z9" s="944">
        <f t="shared" si="13"/>
        <v>22.866403519479036</v>
      </c>
      <c r="AA9" s="946">
        <f t="shared" si="14"/>
        <v>11570.400180856392</v>
      </c>
      <c r="AB9" s="946">
        <f t="shared" si="15"/>
        <v>260.0910256654708</v>
      </c>
      <c r="AC9" s="944">
        <f t="shared" si="16"/>
        <v>901.86641249703234</v>
      </c>
      <c r="AD9" s="944">
        <f t="shared" si="17"/>
        <v>1132.6727553047556</v>
      </c>
    </row>
    <row r="10" spans="2:30" x14ac:dyDescent="0.3">
      <c r="B10" s="784" t="s">
        <v>333</v>
      </c>
      <c r="C10" s="758">
        <f>'Biomass Data Assumptions'!X11</f>
        <v>732.41336239999998</v>
      </c>
      <c r="D10" s="785">
        <f t="shared" si="3"/>
        <v>2668328.36189568</v>
      </c>
      <c r="E10" s="785">
        <f t="shared" si="4"/>
        <v>2348880.6002602819</v>
      </c>
      <c r="F10" s="758">
        <f t="shared" si="0"/>
        <v>19153.197450059524</v>
      </c>
      <c r="G10" s="758">
        <f t="shared" si="5"/>
        <v>21270.137532930497</v>
      </c>
      <c r="H10" s="758">
        <f t="shared" si="6"/>
        <v>26236.619326482945</v>
      </c>
      <c r="I10" s="758">
        <f t="shared" si="1"/>
        <v>7083.4218764234211</v>
      </c>
      <c r="J10" s="758">
        <f t="shared" si="2"/>
        <v>4966.4817935524479</v>
      </c>
      <c r="K10" s="915">
        <f t="shared" si="7"/>
        <v>29942.688872600487</v>
      </c>
      <c r="L10" s="724"/>
      <c r="R10" s="784" t="s">
        <v>333</v>
      </c>
      <c r="S10" s="944">
        <f t="shared" si="8"/>
        <v>732.41336239999998</v>
      </c>
      <c r="T10" s="946">
        <f t="shared" si="9"/>
        <v>370601.16137439996</v>
      </c>
      <c r="U10" s="946">
        <f t="shared" si="10"/>
        <v>7185.956519049616</v>
      </c>
      <c r="V10" s="944">
        <f t="shared" si="11"/>
        <v>28969.52218347547</v>
      </c>
      <c r="W10" s="944">
        <f t="shared" si="12"/>
        <v>36119.900991033144</v>
      </c>
      <c r="Y10" s="784" t="s">
        <v>333</v>
      </c>
      <c r="Z10" s="944">
        <f t="shared" si="13"/>
        <v>732.41336239999998</v>
      </c>
      <c r="AA10" s="946">
        <f t="shared" si="14"/>
        <v>370601.16137439996</v>
      </c>
      <c r="AB10" s="946">
        <f t="shared" si="15"/>
        <v>8330.7435065351365</v>
      </c>
      <c r="AC10" s="944">
        <f t="shared" si="16"/>
        <v>28886.87812448898</v>
      </c>
      <c r="AD10" s="944">
        <f t="shared" si="17"/>
        <v>36279.63009158551</v>
      </c>
    </row>
    <row r="11" spans="2:30" x14ac:dyDescent="0.3">
      <c r="B11" s="784" t="s">
        <v>335</v>
      </c>
      <c r="C11" s="758">
        <f>'Biomass Data Assumptions'!X12</f>
        <v>190.20376209999995</v>
      </c>
      <c r="D11" s="785">
        <f t="shared" si="3"/>
        <v>692950.34608271986</v>
      </c>
      <c r="E11" s="785">
        <f t="shared" si="4"/>
        <v>609991.5018333802</v>
      </c>
      <c r="F11" s="758">
        <f t="shared" si="0"/>
        <v>4973.9810853639992</v>
      </c>
      <c r="G11" s="758">
        <f t="shared" si="5"/>
        <v>5523.7388977869259</v>
      </c>
      <c r="H11" s="758">
        <f t="shared" si="6"/>
        <v>6813.5071762347516</v>
      </c>
      <c r="I11" s="758">
        <f t="shared" si="1"/>
        <v>1839.5260908707523</v>
      </c>
      <c r="J11" s="758">
        <f t="shared" si="2"/>
        <v>1289.7682784478257</v>
      </c>
      <c r="K11" s="915">
        <f t="shared" si="7"/>
        <v>7775.9532571827076</v>
      </c>
      <c r="L11" s="724"/>
      <c r="R11" s="784" t="s">
        <v>335</v>
      </c>
      <c r="S11" s="944">
        <f t="shared" si="8"/>
        <v>190.20376209999995</v>
      </c>
      <c r="T11" s="946">
        <f t="shared" si="9"/>
        <v>96243.103622599971</v>
      </c>
      <c r="U11" s="946">
        <f t="shared" si="10"/>
        <v>1866.1537792422134</v>
      </c>
      <c r="V11" s="944">
        <f t="shared" si="11"/>
        <v>7523.227167075017</v>
      </c>
      <c r="W11" s="944">
        <f t="shared" si="12"/>
        <v>9380.1416083694603</v>
      </c>
      <c r="Y11" s="784" t="s">
        <v>335</v>
      </c>
      <c r="Z11" s="944">
        <f t="shared" si="13"/>
        <v>190.20376209999995</v>
      </c>
      <c r="AA11" s="946">
        <f t="shared" si="14"/>
        <v>96243.103622599971</v>
      </c>
      <c r="AB11" s="946">
        <f t="shared" si="15"/>
        <v>2163.4487263324245</v>
      </c>
      <c r="AC11" s="944">
        <f t="shared" si="16"/>
        <v>7501.7649549671778</v>
      </c>
      <c r="AD11" s="944">
        <f t="shared" si="17"/>
        <v>9421.6223860308019</v>
      </c>
    </row>
    <row r="12" spans="2:30" x14ac:dyDescent="0.3">
      <c r="B12" s="784" t="s">
        <v>336</v>
      </c>
      <c r="C12" s="758">
        <f>'Biomass Data Assumptions'!X13</f>
        <v>0</v>
      </c>
      <c r="D12" s="785">
        <f t="shared" si="3"/>
        <v>0</v>
      </c>
      <c r="E12" s="785">
        <f t="shared" si="4"/>
        <v>0</v>
      </c>
      <c r="F12" s="758">
        <f t="shared" si="0"/>
        <v>0</v>
      </c>
      <c r="G12" s="758">
        <f t="shared" si="5"/>
        <v>0</v>
      </c>
      <c r="H12" s="758">
        <f t="shared" si="6"/>
        <v>0</v>
      </c>
      <c r="I12" s="758">
        <f t="shared" si="1"/>
        <v>0</v>
      </c>
      <c r="J12" s="758">
        <f t="shared" si="2"/>
        <v>0</v>
      </c>
      <c r="K12" s="915">
        <f t="shared" si="7"/>
        <v>0</v>
      </c>
      <c r="L12" s="724"/>
      <c r="R12" s="784" t="s">
        <v>336</v>
      </c>
      <c r="S12" s="944">
        <f t="shared" si="8"/>
        <v>0</v>
      </c>
      <c r="T12" s="946">
        <f t="shared" si="9"/>
        <v>0</v>
      </c>
      <c r="U12" s="946">
        <f t="shared" si="10"/>
        <v>0</v>
      </c>
      <c r="V12" s="944">
        <f t="shared" si="11"/>
        <v>0</v>
      </c>
      <c r="W12" s="944">
        <f t="shared" si="12"/>
        <v>0</v>
      </c>
      <c r="Y12" s="784" t="s">
        <v>336</v>
      </c>
      <c r="Z12" s="944">
        <f t="shared" si="13"/>
        <v>0</v>
      </c>
      <c r="AA12" s="946">
        <f t="shared" si="14"/>
        <v>0</v>
      </c>
      <c r="AB12" s="946">
        <f t="shared" si="15"/>
        <v>0</v>
      </c>
      <c r="AC12" s="944">
        <f t="shared" si="16"/>
        <v>0</v>
      </c>
      <c r="AD12" s="944">
        <f t="shared" si="17"/>
        <v>0</v>
      </c>
    </row>
    <row r="13" spans="2:30" x14ac:dyDescent="0.3">
      <c r="B13" s="784" t="s">
        <v>337</v>
      </c>
      <c r="C13" s="758">
        <f>'Biomass Data Assumptions'!X14</f>
        <v>2709.58754</v>
      </c>
      <c r="D13" s="785">
        <f t="shared" si="3"/>
        <v>9871569.3257279992</v>
      </c>
      <c r="E13" s="785">
        <f t="shared" si="4"/>
        <v>8689761.7303943653</v>
      </c>
      <c r="F13" s="758">
        <f t="shared" si="0"/>
        <v>70857.88958271069</v>
      </c>
      <c r="G13" s="758">
        <f t="shared" si="5"/>
        <v>78689.579671867032</v>
      </c>
      <c r="H13" s="758">
        <f t="shared" si="6"/>
        <v>97063.243884313619</v>
      </c>
      <c r="I13" s="758">
        <f t="shared" si="1"/>
        <v>26205.354301602929</v>
      </c>
      <c r="J13" s="758">
        <f t="shared" si="2"/>
        <v>18373.664212446587</v>
      </c>
      <c r="K13" s="915">
        <f t="shared" si="7"/>
        <v>110773.97115945208</v>
      </c>
      <c r="L13" s="724"/>
      <c r="R13" s="784" t="s">
        <v>337</v>
      </c>
      <c r="S13" s="944">
        <f t="shared" si="8"/>
        <v>2709.58754</v>
      </c>
      <c r="T13" s="946">
        <f t="shared" si="9"/>
        <v>1371051.2952399999</v>
      </c>
      <c r="U13" s="946">
        <f t="shared" si="10"/>
        <v>26584.684614703598</v>
      </c>
      <c r="V13" s="944">
        <f t="shared" si="11"/>
        <v>107173.70869761556</v>
      </c>
      <c r="W13" s="944">
        <f t="shared" si="12"/>
        <v>133626.77238797609</v>
      </c>
      <c r="Y13" s="784" t="s">
        <v>337</v>
      </c>
      <c r="Z13" s="944">
        <f t="shared" si="13"/>
        <v>2709.58754</v>
      </c>
      <c r="AA13" s="946">
        <f t="shared" si="14"/>
        <v>1371051.2952399999</v>
      </c>
      <c r="AB13" s="946">
        <f t="shared" si="15"/>
        <v>30819.862065699956</v>
      </c>
      <c r="AC13" s="944">
        <f t="shared" si="16"/>
        <v>106867.96425877704</v>
      </c>
      <c r="AD13" s="944">
        <f t="shared" si="17"/>
        <v>134217.69549622454</v>
      </c>
    </row>
    <row r="14" spans="2:30" x14ac:dyDescent="0.3">
      <c r="B14" s="784" t="s">
        <v>338</v>
      </c>
      <c r="C14" s="758">
        <f>'Biomass Data Assumptions'!X15</f>
        <v>0</v>
      </c>
      <c r="D14" s="785">
        <f t="shared" si="3"/>
        <v>0</v>
      </c>
      <c r="E14" s="785">
        <f t="shared" si="4"/>
        <v>0</v>
      </c>
      <c r="F14" s="758">
        <f t="shared" si="0"/>
        <v>0</v>
      </c>
      <c r="G14" s="758">
        <f t="shared" si="5"/>
        <v>0</v>
      </c>
      <c r="H14" s="758">
        <f t="shared" si="6"/>
        <v>0</v>
      </c>
      <c r="I14" s="758">
        <f t="shared" si="1"/>
        <v>0</v>
      </c>
      <c r="J14" s="758">
        <f t="shared" si="2"/>
        <v>0</v>
      </c>
      <c r="K14" s="915">
        <f t="shared" si="7"/>
        <v>0</v>
      </c>
      <c r="L14" s="724"/>
      <c r="R14" s="784" t="s">
        <v>338</v>
      </c>
      <c r="S14" s="944">
        <f t="shared" si="8"/>
        <v>0</v>
      </c>
      <c r="T14" s="946">
        <f t="shared" si="9"/>
        <v>0</v>
      </c>
      <c r="U14" s="946">
        <f t="shared" si="10"/>
        <v>0</v>
      </c>
      <c r="V14" s="944">
        <f t="shared" si="11"/>
        <v>0</v>
      </c>
      <c r="W14" s="944">
        <f t="shared" si="12"/>
        <v>0</v>
      </c>
      <c r="Y14" s="784" t="s">
        <v>338</v>
      </c>
      <c r="Z14" s="944">
        <f t="shared" si="13"/>
        <v>0</v>
      </c>
      <c r="AA14" s="946">
        <f t="shared" si="14"/>
        <v>0</v>
      </c>
      <c r="AB14" s="946">
        <f t="shared" si="15"/>
        <v>0</v>
      </c>
      <c r="AC14" s="944">
        <f t="shared" si="16"/>
        <v>0</v>
      </c>
      <c r="AD14" s="944">
        <f t="shared" si="17"/>
        <v>0</v>
      </c>
    </row>
    <row r="15" spans="2:30" x14ac:dyDescent="0.3">
      <c r="B15" s="784" t="s">
        <v>339</v>
      </c>
      <c r="C15" s="758">
        <f>'Biomass Data Assumptions'!X16</f>
        <v>0</v>
      </c>
      <c r="D15" s="785">
        <f t="shared" si="3"/>
        <v>0</v>
      </c>
      <c r="E15" s="785">
        <f t="shared" si="4"/>
        <v>0</v>
      </c>
      <c r="F15" s="758">
        <f t="shared" si="0"/>
        <v>0</v>
      </c>
      <c r="G15" s="758">
        <f t="shared" si="5"/>
        <v>0</v>
      </c>
      <c r="H15" s="758">
        <f t="shared" si="6"/>
        <v>0</v>
      </c>
      <c r="I15" s="758">
        <f t="shared" si="1"/>
        <v>0</v>
      </c>
      <c r="J15" s="758">
        <f t="shared" si="2"/>
        <v>0</v>
      </c>
      <c r="K15" s="915">
        <f t="shared" si="7"/>
        <v>0</v>
      </c>
      <c r="L15" s="724"/>
      <c r="R15" s="784" t="s">
        <v>339</v>
      </c>
      <c r="S15" s="944">
        <f t="shared" si="8"/>
        <v>0</v>
      </c>
      <c r="T15" s="946">
        <f t="shared" si="9"/>
        <v>0</v>
      </c>
      <c r="U15" s="946">
        <f t="shared" si="10"/>
        <v>0</v>
      </c>
      <c r="V15" s="944">
        <f t="shared" si="11"/>
        <v>0</v>
      </c>
      <c r="W15" s="944">
        <f t="shared" si="12"/>
        <v>0</v>
      </c>
      <c r="Y15" s="784" t="s">
        <v>339</v>
      </c>
      <c r="Z15" s="944">
        <f t="shared" si="13"/>
        <v>0</v>
      </c>
      <c r="AA15" s="946">
        <f t="shared" si="14"/>
        <v>0</v>
      </c>
      <c r="AB15" s="946">
        <f t="shared" si="15"/>
        <v>0</v>
      </c>
      <c r="AC15" s="944">
        <f t="shared" si="16"/>
        <v>0</v>
      </c>
      <c r="AD15" s="944">
        <f t="shared" si="17"/>
        <v>0</v>
      </c>
    </row>
    <row r="16" spans="2:30" x14ac:dyDescent="0.3">
      <c r="B16" s="784" t="s">
        <v>340</v>
      </c>
      <c r="C16" s="758">
        <f>'Biomass Data Assumptions'!X17</f>
        <v>0</v>
      </c>
      <c r="D16" s="785">
        <f t="shared" si="3"/>
        <v>0</v>
      </c>
      <c r="E16" s="785">
        <f t="shared" si="4"/>
        <v>0</v>
      </c>
      <c r="F16" s="758">
        <f t="shared" si="0"/>
        <v>0</v>
      </c>
      <c r="G16" s="758">
        <f t="shared" si="5"/>
        <v>0</v>
      </c>
      <c r="H16" s="758">
        <f t="shared" si="6"/>
        <v>0</v>
      </c>
      <c r="I16" s="758">
        <f t="shared" si="1"/>
        <v>0</v>
      </c>
      <c r="J16" s="758">
        <f t="shared" si="2"/>
        <v>0</v>
      </c>
      <c r="K16" s="915">
        <f t="shared" si="7"/>
        <v>0</v>
      </c>
      <c r="L16" s="724"/>
      <c r="R16" s="784" t="s">
        <v>340</v>
      </c>
      <c r="S16" s="944">
        <f t="shared" si="8"/>
        <v>0</v>
      </c>
      <c r="T16" s="946">
        <f t="shared" si="9"/>
        <v>0</v>
      </c>
      <c r="U16" s="946">
        <f t="shared" si="10"/>
        <v>0</v>
      </c>
      <c r="V16" s="944">
        <f t="shared" si="11"/>
        <v>0</v>
      </c>
      <c r="W16" s="944">
        <f t="shared" si="12"/>
        <v>0</v>
      </c>
      <c r="Y16" s="784" t="s">
        <v>340</v>
      </c>
      <c r="Z16" s="944">
        <f t="shared" si="13"/>
        <v>0</v>
      </c>
      <c r="AA16" s="946">
        <f t="shared" si="14"/>
        <v>0</v>
      </c>
      <c r="AB16" s="946">
        <f t="shared" si="15"/>
        <v>0</v>
      </c>
      <c r="AC16" s="944">
        <f t="shared" si="16"/>
        <v>0</v>
      </c>
      <c r="AD16" s="944">
        <f t="shared" si="17"/>
        <v>0</v>
      </c>
    </row>
    <row r="17" spans="2:30" x14ac:dyDescent="0.3">
      <c r="B17" s="784" t="s">
        <v>341</v>
      </c>
      <c r="C17" s="758">
        <f>'Biomass Data Assumptions'!X18</f>
        <v>785.86560530970928</v>
      </c>
      <c r="D17" s="785">
        <f t="shared" si="3"/>
        <v>2863065.573264333</v>
      </c>
      <c r="E17" s="785">
        <f t="shared" si="4"/>
        <v>2520304.2018171945</v>
      </c>
      <c r="F17" s="758">
        <f t="shared" si="0"/>
        <v>20551.016516663447</v>
      </c>
      <c r="G17" s="758">
        <f t="shared" si="5"/>
        <v>22822.452955477631</v>
      </c>
      <c r="H17" s="758">
        <f t="shared" si="6"/>
        <v>28151.393443619862</v>
      </c>
      <c r="I17" s="758">
        <f t="shared" si="1"/>
        <v>7600.3769269564145</v>
      </c>
      <c r="J17" s="758">
        <f t="shared" si="2"/>
        <v>5328.9404881422306</v>
      </c>
      <c r="K17" s="915">
        <f t="shared" si="7"/>
        <v>32127.935566821765</v>
      </c>
      <c r="L17" s="724"/>
      <c r="R17" s="784" t="s">
        <v>341</v>
      </c>
      <c r="S17" s="944">
        <f t="shared" si="8"/>
        <v>785.86560530970928</v>
      </c>
      <c r="T17" s="946">
        <f t="shared" si="9"/>
        <v>397647.99628671288</v>
      </c>
      <c r="U17" s="946">
        <f t="shared" si="10"/>
        <v>7710.3946479993629</v>
      </c>
      <c r="V17" s="944">
        <f t="shared" si="11"/>
        <v>31083.746221736059</v>
      </c>
      <c r="W17" s="944">
        <f t="shared" si="12"/>
        <v>38755.966662091894</v>
      </c>
      <c r="Y17" s="784" t="s">
        <v>341</v>
      </c>
      <c r="Z17" s="944">
        <f t="shared" si="13"/>
        <v>785.86560530970928</v>
      </c>
      <c r="AA17" s="946">
        <f t="shared" si="14"/>
        <v>397647.99628671288</v>
      </c>
      <c r="AB17" s="946">
        <f t="shared" si="15"/>
        <v>8938.7293085290185</v>
      </c>
      <c r="AC17" s="944">
        <f t="shared" si="16"/>
        <v>30995.070718564122</v>
      </c>
      <c r="AD17" s="944">
        <f t="shared" si="17"/>
        <v>38927.352948491469</v>
      </c>
    </row>
    <row r="18" spans="2:30" x14ac:dyDescent="0.3">
      <c r="B18" s="784" t="s">
        <v>342</v>
      </c>
      <c r="C18" s="758">
        <f>'Biomass Data Assumptions'!X19</f>
        <v>222.25059699999997</v>
      </c>
      <c r="D18" s="785">
        <f t="shared" si="3"/>
        <v>809703.37499039993</v>
      </c>
      <c r="E18" s="785">
        <f t="shared" si="4"/>
        <v>712767.05544929579</v>
      </c>
      <c r="F18" s="758">
        <f t="shared" si="0"/>
        <v>5812.0315470293053</v>
      </c>
      <c r="G18" s="758">
        <f t="shared" si="5"/>
        <v>6454.4163277896932</v>
      </c>
      <c r="H18" s="758">
        <f t="shared" si="6"/>
        <v>7961.4936153881563</v>
      </c>
      <c r="I18" s="758">
        <f t="shared" si="1"/>
        <v>2149.462068358851</v>
      </c>
      <c r="J18" s="758">
        <f t="shared" si="2"/>
        <v>1507.077287598463</v>
      </c>
      <c r="K18" s="915">
        <f t="shared" si="7"/>
        <v>9086.0992157680957</v>
      </c>
      <c r="L18" s="724"/>
      <c r="R18" s="784" t="s">
        <v>342</v>
      </c>
      <c r="S18" s="944">
        <f t="shared" si="8"/>
        <v>222.25059699999997</v>
      </c>
      <c r="T18" s="946">
        <f t="shared" si="9"/>
        <v>112458.80208199998</v>
      </c>
      <c r="U18" s="946">
        <f t="shared" si="10"/>
        <v>2180.5761723699798</v>
      </c>
      <c r="V18" s="944">
        <f t="shared" si="11"/>
        <v>8790.7920999478574</v>
      </c>
      <c r="W18" s="944">
        <f t="shared" si="12"/>
        <v>10960.572227317964</v>
      </c>
      <c r="Y18" s="784" t="s">
        <v>342</v>
      </c>
      <c r="Z18" s="944">
        <f t="shared" si="13"/>
        <v>222.25059699999997</v>
      </c>
      <c r="AA18" s="946">
        <f t="shared" si="14"/>
        <v>112458.80208199998</v>
      </c>
      <c r="AB18" s="946">
        <f t="shared" si="15"/>
        <v>2527.9614120012775</v>
      </c>
      <c r="AC18" s="944">
        <f t="shared" si="16"/>
        <v>8765.7137870835704</v>
      </c>
      <c r="AD18" s="944">
        <f t="shared" si="17"/>
        <v>11009.041971015306</v>
      </c>
    </row>
    <row r="19" spans="2:30" x14ac:dyDescent="0.3">
      <c r="B19" s="784" t="s">
        <v>343</v>
      </c>
      <c r="C19" s="758">
        <f>'Biomass Data Assumptions'!X20</f>
        <v>446.87619649999999</v>
      </c>
      <c r="D19" s="785">
        <f t="shared" si="3"/>
        <v>1628059.3590887999</v>
      </c>
      <c r="E19" s="785">
        <f t="shared" si="4"/>
        <v>1433150.8442683099</v>
      </c>
      <c r="F19" s="758">
        <f t="shared" si="0"/>
        <v>11686.171316221335</v>
      </c>
      <c r="G19" s="758">
        <f t="shared" si="5"/>
        <v>12977.80549579426</v>
      </c>
      <c r="H19" s="758">
        <f t="shared" si="6"/>
        <v>16008.064920085202</v>
      </c>
      <c r="I19" s="758">
        <f t="shared" si="1"/>
        <v>4321.8936038638676</v>
      </c>
      <c r="J19" s="758">
        <f t="shared" si="2"/>
        <v>3030.2594242909418</v>
      </c>
      <c r="K19" s="915">
        <f t="shared" si="7"/>
        <v>18269.29382135284</v>
      </c>
      <c r="L19" s="724"/>
      <c r="R19" s="784" t="s">
        <v>343</v>
      </c>
      <c r="S19" s="944">
        <f t="shared" si="8"/>
        <v>446.87619649999999</v>
      </c>
      <c r="T19" s="946">
        <f t="shared" si="9"/>
        <v>226119.35542899999</v>
      </c>
      <c r="U19" s="946">
        <f t="shared" si="10"/>
        <v>4384.45430176831</v>
      </c>
      <c r="V19" s="944">
        <f t="shared" si="11"/>
        <v>17675.523894529502</v>
      </c>
      <c r="W19" s="944">
        <f t="shared" si="12"/>
        <v>22038.270738176623</v>
      </c>
      <c r="Y19" s="784" t="s">
        <v>343</v>
      </c>
      <c r="Z19" s="944">
        <f t="shared" si="13"/>
        <v>446.87619649999999</v>
      </c>
      <c r="AA19" s="946">
        <f t="shared" si="14"/>
        <v>226119.35542899999</v>
      </c>
      <c r="AB19" s="946">
        <f t="shared" si="15"/>
        <v>5082.9369906884904</v>
      </c>
      <c r="AC19" s="944">
        <f t="shared" si="16"/>
        <v>17625.099278268834</v>
      </c>
      <c r="AD19" s="944">
        <f t="shared" si="17"/>
        <v>22135.728180366525</v>
      </c>
    </row>
    <row r="20" spans="2:30" x14ac:dyDescent="0.3">
      <c r="B20" s="784" t="s">
        <v>344</v>
      </c>
      <c r="C20" s="758">
        <f>'Biomass Data Assumptions'!X21</f>
        <v>910.86479999999983</v>
      </c>
      <c r="D20" s="785">
        <f t="shared" si="3"/>
        <v>3318462.6393599994</v>
      </c>
      <c r="E20" s="785">
        <f t="shared" si="4"/>
        <v>2921181.9008450699</v>
      </c>
      <c r="F20" s="758">
        <f t="shared" si="0"/>
        <v>23819.845814310851</v>
      </c>
      <c r="G20" s="758">
        <f t="shared" si="5"/>
        <v>26452.57523213264</v>
      </c>
      <c r="H20" s="758">
        <f t="shared" si="6"/>
        <v>32629.133003776857</v>
      </c>
      <c r="I20" s="758">
        <f t="shared" si="1"/>
        <v>8809.2871894660057</v>
      </c>
      <c r="J20" s="758">
        <f t="shared" si="2"/>
        <v>6176.5577716442167</v>
      </c>
      <c r="K20" s="915">
        <f t="shared" si="7"/>
        <v>37238.18093928793</v>
      </c>
      <c r="L20" s="724"/>
      <c r="R20" s="784" t="s">
        <v>344</v>
      </c>
      <c r="S20" s="944">
        <f t="shared" si="8"/>
        <v>910.86479999999983</v>
      </c>
      <c r="T20" s="946">
        <f t="shared" si="9"/>
        <v>460897.58879999991</v>
      </c>
      <c r="U20" s="946">
        <f t="shared" si="10"/>
        <v>8936.8042468319982</v>
      </c>
      <c r="V20" s="944">
        <f t="shared" si="11"/>
        <v>36027.903618907192</v>
      </c>
      <c r="W20" s="944">
        <f t="shared" si="12"/>
        <v>44920.461697214385</v>
      </c>
      <c r="Y20" s="784" t="s">
        <v>344</v>
      </c>
      <c r="Z20" s="944">
        <f t="shared" si="13"/>
        <v>910.86479999999983</v>
      </c>
      <c r="AA20" s="946">
        <f t="shared" si="14"/>
        <v>460897.58879999991</v>
      </c>
      <c r="AB20" s="946">
        <f t="shared" si="15"/>
        <v>10360.516898635198</v>
      </c>
      <c r="AC20" s="944">
        <f t="shared" si="16"/>
        <v>35925.123456604793</v>
      </c>
      <c r="AD20" s="944">
        <f t="shared" si="17"/>
        <v>45119.108557987187</v>
      </c>
    </row>
    <row r="21" spans="2:30" x14ac:dyDescent="0.3">
      <c r="B21" s="784" t="s">
        <v>345</v>
      </c>
      <c r="C21" s="758">
        <f>'Biomass Data Assumptions'!X22</f>
        <v>0</v>
      </c>
      <c r="D21" s="785">
        <f t="shared" si="3"/>
        <v>0</v>
      </c>
      <c r="E21" s="785">
        <f t="shared" si="4"/>
        <v>0</v>
      </c>
      <c r="F21" s="758">
        <f t="shared" si="0"/>
        <v>0</v>
      </c>
      <c r="G21" s="758">
        <f t="shared" si="5"/>
        <v>0</v>
      </c>
      <c r="H21" s="758">
        <f t="shared" si="6"/>
        <v>0</v>
      </c>
      <c r="I21" s="758">
        <f t="shared" si="1"/>
        <v>0</v>
      </c>
      <c r="J21" s="758">
        <f t="shared" si="2"/>
        <v>0</v>
      </c>
      <c r="K21" s="915">
        <f t="shared" si="7"/>
        <v>0</v>
      </c>
      <c r="L21" s="724"/>
      <c r="R21" s="784" t="s">
        <v>345</v>
      </c>
      <c r="S21" s="944">
        <f t="shared" si="8"/>
        <v>0</v>
      </c>
      <c r="T21" s="946">
        <f t="shared" si="9"/>
        <v>0</v>
      </c>
      <c r="U21" s="946">
        <f t="shared" si="10"/>
        <v>0</v>
      </c>
      <c r="V21" s="944">
        <f t="shared" si="11"/>
        <v>0</v>
      </c>
      <c r="W21" s="944">
        <f t="shared" si="12"/>
        <v>0</v>
      </c>
      <c r="Y21" s="784" t="s">
        <v>345</v>
      </c>
      <c r="Z21" s="944">
        <f t="shared" si="13"/>
        <v>0</v>
      </c>
      <c r="AA21" s="946">
        <f t="shared" si="14"/>
        <v>0</v>
      </c>
      <c r="AB21" s="946">
        <f t="shared" si="15"/>
        <v>0</v>
      </c>
      <c r="AC21" s="944">
        <f t="shared" si="16"/>
        <v>0</v>
      </c>
      <c r="AD21" s="944">
        <f t="shared" si="17"/>
        <v>0</v>
      </c>
    </row>
    <row r="22" spans="2:30" x14ac:dyDescent="0.3">
      <c r="B22" s="784" t="s">
        <v>346</v>
      </c>
      <c r="C22" s="758">
        <f>'Biomass Data Assumptions'!X23</f>
        <v>309.14215200000001</v>
      </c>
      <c r="D22" s="785">
        <f t="shared" si="3"/>
        <v>1126266.6881664</v>
      </c>
      <c r="E22" s="785">
        <f t="shared" si="4"/>
        <v>991431.94380845071</v>
      </c>
      <c r="F22" s="758">
        <f t="shared" si="0"/>
        <v>8084.315471784892</v>
      </c>
      <c r="G22" s="758">
        <f t="shared" si="5"/>
        <v>8977.8483406136529</v>
      </c>
      <c r="H22" s="758">
        <f t="shared" si="6"/>
        <v>11074.135694651723</v>
      </c>
      <c r="I22" s="758">
        <f t="shared" si="1"/>
        <v>2989.8202228668306</v>
      </c>
      <c r="J22" s="758">
        <f t="shared" si="2"/>
        <v>2096.2873540380697</v>
      </c>
      <c r="K22" s="915">
        <f t="shared" si="7"/>
        <v>12638.419436272929</v>
      </c>
      <c r="L22" s="724"/>
      <c r="R22" s="784" t="s">
        <v>346</v>
      </c>
      <c r="S22" s="944">
        <f t="shared" si="8"/>
        <v>309.14215200000001</v>
      </c>
      <c r="T22" s="946">
        <f t="shared" si="9"/>
        <v>156425.928912</v>
      </c>
      <c r="U22" s="946">
        <f t="shared" si="10"/>
        <v>3033.09876160368</v>
      </c>
      <c r="V22" s="944">
        <f t="shared" si="11"/>
        <v>12227.658437122129</v>
      </c>
      <c r="W22" s="944">
        <f t="shared" si="12"/>
        <v>15245.740309550256</v>
      </c>
      <c r="Y22" s="784" t="s">
        <v>346</v>
      </c>
      <c r="Z22" s="944">
        <f t="shared" si="13"/>
        <v>309.14215200000001</v>
      </c>
      <c r="AA22" s="946">
        <f t="shared" si="14"/>
        <v>156425.928912</v>
      </c>
      <c r="AB22" s="946">
        <f t="shared" si="15"/>
        <v>3516.298456012848</v>
      </c>
      <c r="AC22" s="944">
        <f t="shared" si="16"/>
        <v>12192.775454974753</v>
      </c>
      <c r="AD22" s="944">
        <f t="shared" si="17"/>
        <v>15313.159884911327</v>
      </c>
    </row>
    <row r="23" spans="2:30" x14ac:dyDescent="0.3">
      <c r="B23" s="784" t="s">
        <v>347</v>
      </c>
      <c r="C23" s="758">
        <f>'Biomass Data Assumptions'!X24</f>
        <v>0</v>
      </c>
      <c r="D23" s="785">
        <f t="shared" si="3"/>
        <v>0</v>
      </c>
      <c r="E23" s="785">
        <f t="shared" si="4"/>
        <v>0</v>
      </c>
      <c r="F23" s="758">
        <f t="shared" si="0"/>
        <v>0</v>
      </c>
      <c r="G23" s="758">
        <f t="shared" si="5"/>
        <v>0</v>
      </c>
      <c r="H23" s="758">
        <f t="shared" si="6"/>
        <v>0</v>
      </c>
      <c r="I23" s="758">
        <f t="shared" si="1"/>
        <v>0</v>
      </c>
      <c r="J23" s="758">
        <f t="shared" si="2"/>
        <v>0</v>
      </c>
      <c r="K23" s="915">
        <f t="shared" si="7"/>
        <v>0</v>
      </c>
      <c r="L23" s="724"/>
      <c r="R23" s="784" t="s">
        <v>347</v>
      </c>
      <c r="S23" s="944">
        <f t="shared" si="8"/>
        <v>0</v>
      </c>
      <c r="T23" s="946">
        <f t="shared" si="9"/>
        <v>0</v>
      </c>
      <c r="U23" s="946">
        <f t="shared" si="10"/>
        <v>0</v>
      </c>
      <c r="V23" s="944">
        <f t="shared" si="11"/>
        <v>0</v>
      </c>
      <c r="W23" s="944">
        <f t="shared" si="12"/>
        <v>0</v>
      </c>
      <c r="Y23" s="784" t="s">
        <v>347</v>
      </c>
      <c r="Z23" s="944">
        <f t="shared" si="13"/>
        <v>0</v>
      </c>
      <c r="AA23" s="946">
        <f t="shared" si="14"/>
        <v>0</v>
      </c>
      <c r="AB23" s="946">
        <f t="shared" si="15"/>
        <v>0</v>
      </c>
      <c r="AC23" s="944">
        <f t="shared" si="16"/>
        <v>0</v>
      </c>
      <c r="AD23" s="944">
        <f t="shared" si="17"/>
        <v>0</v>
      </c>
    </row>
    <row r="24" spans="2:30" x14ac:dyDescent="0.3">
      <c r="B24" s="784" t="s">
        <v>348</v>
      </c>
      <c r="C24" s="758">
        <f>'Biomass Data Assumptions'!X25</f>
        <v>17.764743112578401</v>
      </c>
      <c r="D24" s="785">
        <f t="shared" si="3"/>
        <v>64720.512107745628</v>
      </c>
      <c r="E24" s="785">
        <f t="shared" si="4"/>
        <v>56972.281784987354</v>
      </c>
      <c r="F24" s="758">
        <f t="shared" si="0"/>
        <v>464.5622949448242</v>
      </c>
      <c r="G24" s="758">
        <f t="shared" si="5"/>
        <v>515.90884142738901</v>
      </c>
      <c r="H24" s="758">
        <f t="shared" si="6"/>
        <v>636.37124389728262</v>
      </c>
      <c r="I24" s="758">
        <f t="shared" si="1"/>
        <v>171.80894895245842</v>
      </c>
      <c r="J24" s="758">
        <f t="shared" si="2"/>
        <v>120.46240246989362</v>
      </c>
      <c r="K24" s="915">
        <f t="shared" si="7"/>
        <v>726.26224920115874</v>
      </c>
      <c r="L24" s="724"/>
      <c r="R24" s="784" t="s">
        <v>348</v>
      </c>
      <c r="S24" s="944">
        <f t="shared" si="8"/>
        <v>17.764743112578401</v>
      </c>
      <c r="T24" s="946">
        <f t="shared" si="9"/>
        <v>8988.9600149646703</v>
      </c>
      <c r="U24" s="946">
        <f t="shared" si="10"/>
        <v>174.29593469016496</v>
      </c>
      <c r="V24" s="944">
        <f t="shared" si="11"/>
        <v>702.65801540977338</v>
      </c>
      <c r="W24" s="944">
        <f t="shared" si="12"/>
        <v>876.09100993850166</v>
      </c>
      <c r="Y24" s="784" t="s">
        <v>348</v>
      </c>
      <c r="Z24" s="944">
        <f t="shared" si="13"/>
        <v>17.764743112578401</v>
      </c>
      <c r="AA24" s="946">
        <f t="shared" si="14"/>
        <v>8988.9600149646703</v>
      </c>
      <c r="AB24" s="946">
        <f t="shared" si="15"/>
        <v>202.06283217639083</v>
      </c>
      <c r="AC24" s="944">
        <f t="shared" si="16"/>
        <v>700.65347732643625</v>
      </c>
      <c r="AD24" s="944">
        <f t="shared" si="17"/>
        <v>879.96525170495136</v>
      </c>
    </row>
    <row r="25" spans="2:30" x14ac:dyDescent="0.3">
      <c r="B25" s="784" t="s">
        <v>349</v>
      </c>
      <c r="C25" s="758">
        <f>'Biomass Data Assumptions'!X26</f>
        <v>0</v>
      </c>
      <c r="D25" s="785">
        <f t="shared" si="3"/>
        <v>0</v>
      </c>
      <c r="E25" s="785">
        <f t="shared" si="4"/>
        <v>0</v>
      </c>
      <c r="F25" s="758">
        <f t="shared" si="0"/>
        <v>0</v>
      </c>
      <c r="G25" s="758">
        <f t="shared" si="5"/>
        <v>0</v>
      </c>
      <c r="H25" s="758">
        <f t="shared" si="6"/>
        <v>0</v>
      </c>
      <c r="I25" s="758">
        <f t="shared" si="1"/>
        <v>0</v>
      </c>
      <c r="J25" s="758">
        <f t="shared" si="2"/>
        <v>0</v>
      </c>
      <c r="K25" s="915">
        <f t="shared" si="7"/>
        <v>0</v>
      </c>
      <c r="L25" s="724"/>
      <c r="R25" s="784" t="s">
        <v>349</v>
      </c>
      <c r="S25" s="944">
        <f t="shared" si="8"/>
        <v>0</v>
      </c>
      <c r="T25" s="946">
        <f t="shared" si="9"/>
        <v>0</v>
      </c>
      <c r="U25" s="946">
        <f t="shared" si="10"/>
        <v>0</v>
      </c>
      <c r="V25" s="944">
        <f t="shared" si="11"/>
        <v>0</v>
      </c>
      <c r="W25" s="944">
        <f t="shared" si="12"/>
        <v>0</v>
      </c>
      <c r="Y25" s="784" t="s">
        <v>349</v>
      </c>
      <c r="Z25" s="944">
        <f t="shared" si="13"/>
        <v>0</v>
      </c>
      <c r="AA25" s="946">
        <f t="shared" si="14"/>
        <v>0</v>
      </c>
      <c r="AB25" s="946">
        <f t="shared" si="15"/>
        <v>0</v>
      </c>
      <c r="AC25" s="944">
        <f t="shared" si="16"/>
        <v>0</v>
      </c>
      <c r="AD25" s="944">
        <f t="shared" si="17"/>
        <v>0</v>
      </c>
    </row>
    <row r="26" spans="2:30" ht="15" thickBot="1" x14ac:dyDescent="0.35">
      <c r="B26" s="786" t="s">
        <v>350</v>
      </c>
      <c r="C26" s="787">
        <f>'Biomass Data Assumptions'!X27</f>
        <v>93.632656999999995</v>
      </c>
      <c r="D26" s="788">
        <f t="shared" si="3"/>
        <v>341122.49598240003</v>
      </c>
      <c r="E26" s="788">
        <f t="shared" si="4"/>
        <v>300283.88730845076</v>
      </c>
      <c r="F26" s="787">
        <f t="shared" si="0"/>
        <v>2448.569154197477</v>
      </c>
      <c r="G26" s="787">
        <f t="shared" si="5"/>
        <v>2719.2014703795458</v>
      </c>
      <c r="H26" s="787">
        <f t="shared" si="6"/>
        <v>3354.1228278335257</v>
      </c>
      <c r="I26" s="787">
        <f t="shared" si="1"/>
        <v>905.55367363604864</v>
      </c>
      <c r="J26" s="787">
        <f t="shared" si="2"/>
        <v>634.92135745397991</v>
      </c>
      <c r="K26" s="915">
        <f t="shared" si="7"/>
        <v>3827.911478401938</v>
      </c>
      <c r="L26" s="724"/>
      <c r="R26" s="786" t="s">
        <v>350</v>
      </c>
      <c r="S26" s="944">
        <f t="shared" si="8"/>
        <v>93.632656999999995</v>
      </c>
      <c r="T26" s="946">
        <f t="shared" si="9"/>
        <v>47378.124442</v>
      </c>
      <c r="U26" s="946">
        <f t="shared" si="10"/>
        <v>918.66183293038</v>
      </c>
      <c r="V26" s="944">
        <f t="shared" si="11"/>
        <v>3703.5006095066983</v>
      </c>
      <c r="W26" s="944">
        <f t="shared" si="12"/>
        <v>4617.6141424906455</v>
      </c>
      <c r="Y26" s="786" t="s">
        <v>350</v>
      </c>
      <c r="Z26" s="944">
        <f t="shared" si="13"/>
        <v>93.632656999999995</v>
      </c>
      <c r="AA26" s="946">
        <f t="shared" si="14"/>
        <v>47378.124442</v>
      </c>
      <c r="AB26" s="946">
        <f t="shared" si="15"/>
        <v>1065.0128593317179</v>
      </c>
      <c r="AC26" s="944">
        <f t="shared" si="16"/>
        <v>3692.9352877561323</v>
      </c>
      <c r="AD26" s="944">
        <f t="shared" si="17"/>
        <v>4638.0341141251474</v>
      </c>
    </row>
    <row r="27" spans="2:30" ht="15" thickTop="1" x14ac:dyDescent="0.3">
      <c r="B27" s="789" t="s">
        <v>351</v>
      </c>
      <c r="C27" s="790">
        <f>SUM(C6:C26)</f>
        <v>10194.573463475141</v>
      </c>
      <c r="D27" s="790">
        <f t="shared" ref="D27:J27" si="18">SUM(D6:D26)</f>
        <v>37140870.042132638</v>
      </c>
      <c r="E27" s="790">
        <f t="shared" si="18"/>
        <v>32694427.85399</v>
      </c>
      <c r="F27" s="790">
        <f t="shared" si="18"/>
        <v>266596.28085599846</v>
      </c>
      <c r="G27" s="790">
        <f t="shared" si="18"/>
        <v>296062.2932207713</v>
      </c>
      <c r="H27" s="790">
        <f t="shared" si="18"/>
        <v>365191.51190879761</v>
      </c>
      <c r="I27" s="790">
        <f t="shared" si="18"/>
        <v>98595.231052799078</v>
      </c>
      <c r="J27" s="790">
        <f t="shared" si="18"/>
        <v>69129.218688026231</v>
      </c>
      <c r="K27" s="915">
        <f>SUM(K6:K26)</f>
        <v>416776.86000353802</v>
      </c>
      <c r="L27" s="724"/>
      <c r="R27" s="789" t="s">
        <v>351</v>
      </c>
      <c r="S27" s="944">
        <f>SUM(S6:S26)</f>
        <v>10194.573463475141</v>
      </c>
      <c r="T27" s="944">
        <f>SUM(T6:T26)</f>
        <v>5158454.1725184219</v>
      </c>
      <c r="U27" s="944">
        <f>SUM(U6:U26)</f>
        <v>100022.42640513217</v>
      </c>
      <c r="V27" s="944">
        <f>SUM(V6:V26)</f>
        <v>403231.2042115925</v>
      </c>
      <c r="W27" s="944">
        <f>SUM(W6:W26)</f>
        <v>502758.41901616292</v>
      </c>
      <c r="Y27" s="789" t="s">
        <v>351</v>
      </c>
      <c r="Z27" s="944">
        <f>SUM(Z6:Z26)</f>
        <v>10194.573463475141</v>
      </c>
      <c r="AA27" s="944">
        <f>SUM(AA6:AA26)</f>
        <v>5158454.1725184219</v>
      </c>
      <c r="AB27" s="944">
        <f>SUM(AB6:AB26)</f>
        <v>115956.89134404161</v>
      </c>
      <c r="AC27" s="944">
        <f>SUM(AC6:AC26)</f>
        <v>402080.86893112079</v>
      </c>
      <c r="AD27" s="944">
        <f>SUM(AD6:AD26)</f>
        <v>504981.71276451828</v>
      </c>
    </row>
    <row r="28" spans="2:30" ht="15" x14ac:dyDescent="0.35">
      <c r="B28" s="726" t="s">
        <v>1246</v>
      </c>
      <c r="C28" s="724"/>
      <c r="D28" s="724"/>
      <c r="E28" s="724"/>
      <c r="F28" s="724"/>
      <c r="G28" s="724"/>
      <c r="H28" s="724"/>
      <c r="I28" s="724"/>
      <c r="J28" s="724"/>
      <c r="K28" s="724"/>
      <c r="L28" s="724"/>
      <c r="S28" s="942"/>
      <c r="T28" s="942"/>
      <c r="Z28" s="942"/>
      <c r="AA28" s="942"/>
    </row>
    <row r="29" spans="2:30" x14ac:dyDescent="0.3">
      <c r="B29" s="724"/>
      <c r="C29" s="724"/>
      <c r="D29" s="724"/>
      <c r="E29" s="724"/>
      <c r="F29" s="724"/>
      <c r="G29" s="724"/>
      <c r="H29" s="724"/>
      <c r="I29" s="724"/>
      <c r="J29" s="724"/>
      <c r="K29" s="724"/>
      <c r="L29" s="724"/>
    </row>
    <row r="30" spans="2:30" x14ac:dyDescent="0.3">
      <c r="B30" s="725" t="s">
        <v>1533</v>
      </c>
      <c r="C30" s="726"/>
      <c r="D30" s="726"/>
      <c r="E30" s="726"/>
      <c r="F30" s="726"/>
      <c r="G30" s="726"/>
      <c r="H30" s="726"/>
      <c r="I30" s="726"/>
      <c r="J30" s="726"/>
      <c r="K30" s="726"/>
      <c r="L30" s="726"/>
      <c r="S30" s="947" t="s">
        <v>1426</v>
      </c>
      <c r="Z30" s="947" t="s">
        <v>1426</v>
      </c>
    </row>
    <row r="31" spans="2:30" x14ac:dyDescent="0.3">
      <c r="B31" s="726" t="s">
        <v>1194</v>
      </c>
      <c r="C31" s="726"/>
      <c r="D31" s="726"/>
      <c r="E31" s="726"/>
      <c r="F31" s="726"/>
      <c r="G31" s="726"/>
      <c r="H31" s="726"/>
      <c r="I31" s="726"/>
      <c r="J31" s="726"/>
      <c r="K31" s="726"/>
      <c r="L31" s="726"/>
      <c r="S31" s="983" t="s">
        <v>1491</v>
      </c>
      <c r="Z31" s="1017" t="s">
        <v>1491</v>
      </c>
    </row>
    <row r="32" spans="2:30" x14ac:dyDescent="0.3">
      <c r="B32" s="726" t="s">
        <v>1093</v>
      </c>
      <c r="C32" s="726"/>
      <c r="D32" s="726"/>
      <c r="E32" s="726"/>
      <c r="F32" s="726"/>
      <c r="G32" s="726"/>
      <c r="H32" s="726"/>
      <c r="I32" s="726"/>
      <c r="J32" s="726"/>
      <c r="K32" s="726"/>
      <c r="L32" s="726"/>
      <c r="S32" s="983" t="s">
        <v>1488</v>
      </c>
      <c r="Z32" s="983" t="s">
        <v>1489</v>
      </c>
    </row>
    <row r="33" spans="2:30" x14ac:dyDescent="0.3">
      <c r="B33" s="726" t="s">
        <v>1247</v>
      </c>
      <c r="C33" s="726"/>
      <c r="D33" s="726"/>
      <c r="E33" s="726"/>
      <c r="F33" s="726"/>
      <c r="G33" s="726"/>
      <c r="H33" s="726" t="s">
        <v>1535</v>
      </c>
      <c r="I33" s="726"/>
      <c r="J33" s="726"/>
      <c r="K33" s="726"/>
      <c r="L33" s="726"/>
      <c r="M33" s="726"/>
    </row>
    <row r="34" spans="2:30" x14ac:dyDescent="0.3">
      <c r="B34" s="726"/>
      <c r="C34" s="726"/>
      <c r="D34" s="726"/>
      <c r="E34" s="726"/>
      <c r="F34" s="726"/>
      <c r="G34" s="726"/>
      <c r="H34" s="726" t="s">
        <v>1093</v>
      </c>
      <c r="I34" s="726"/>
      <c r="J34" s="726"/>
      <c r="K34" s="726"/>
      <c r="L34" s="726"/>
      <c r="M34" s="726"/>
    </row>
    <row r="35" spans="2:30" x14ac:dyDescent="0.3">
      <c r="B35" s="725" t="s">
        <v>1193</v>
      </c>
      <c r="C35" s="726"/>
      <c r="D35" s="726"/>
      <c r="E35" s="726"/>
      <c r="F35" s="726"/>
      <c r="G35" s="726"/>
      <c r="H35" s="726" t="s">
        <v>1247</v>
      </c>
      <c r="I35" s="726"/>
      <c r="J35" s="726"/>
      <c r="K35" s="726"/>
      <c r="L35" s="726"/>
      <c r="M35" s="726"/>
    </row>
    <row r="36" spans="2:30" x14ac:dyDescent="0.3">
      <c r="B36" s="726" t="s">
        <v>1198</v>
      </c>
      <c r="C36" s="726"/>
      <c r="D36" s="726"/>
      <c r="E36" s="726"/>
      <c r="F36" s="726"/>
      <c r="G36" s="726"/>
      <c r="H36" s="726" t="s">
        <v>1536</v>
      </c>
      <c r="I36" s="726"/>
      <c r="J36" s="726"/>
      <c r="K36" s="726"/>
      <c r="L36" s="726"/>
      <c r="M36" s="726"/>
    </row>
    <row r="37" spans="2:30" x14ac:dyDescent="0.3">
      <c r="B37" s="726" t="s">
        <v>1248</v>
      </c>
      <c r="C37" s="726"/>
      <c r="D37" s="726"/>
      <c r="E37" s="726"/>
      <c r="F37" s="726"/>
      <c r="G37" s="726"/>
      <c r="H37" s="725" t="s">
        <v>1193</v>
      </c>
      <c r="I37" s="726"/>
      <c r="J37" s="726"/>
      <c r="K37" s="726"/>
      <c r="L37" s="726"/>
      <c r="M37" s="726"/>
    </row>
    <row r="38" spans="2:30" x14ac:dyDescent="0.3">
      <c r="B38" s="726"/>
      <c r="C38" s="726"/>
      <c r="D38" s="726"/>
      <c r="E38" s="726"/>
      <c r="F38" s="726"/>
      <c r="G38" s="726"/>
      <c r="H38" s="726" t="s">
        <v>1534</v>
      </c>
      <c r="I38" s="726"/>
      <c r="J38" s="726"/>
      <c r="K38" s="726"/>
      <c r="L38" s="726"/>
      <c r="M38" s="726"/>
    </row>
    <row r="39" spans="2:30" ht="15" x14ac:dyDescent="0.35">
      <c r="B39" s="725" t="s">
        <v>1225</v>
      </c>
      <c r="C39" s="726"/>
      <c r="D39" s="726"/>
      <c r="E39" s="726"/>
      <c r="F39" s="726"/>
      <c r="G39" s="726"/>
      <c r="H39" s="726" t="s">
        <v>1248</v>
      </c>
      <c r="I39" s="726"/>
      <c r="J39" s="726"/>
      <c r="K39" s="726"/>
      <c r="L39" s="726"/>
      <c r="M39" s="726"/>
    </row>
    <row r="40" spans="2:30" x14ac:dyDescent="0.3">
      <c r="B40" s="726" t="s">
        <v>1195</v>
      </c>
      <c r="C40" s="726"/>
      <c r="D40" s="726"/>
      <c r="E40" s="726"/>
      <c r="F40" s="726"/>
      <c r="G40" s="726"/>
      <c r="H40" s="726"/>
      <c r="I40" s="726"/>
      <c r="J40" s="726"/>
      <c r="K40" s="726"/>
      <c r="L40" s="726"/>
      <c r="M40" s="726"/>
    </row>
    <row r="41" spans="2:30" ht="15" x14ac:dyDescent="0.35">
      <c r="B41" s="726" t="s">
        <v>1226</v>
      </c>
      <c r="C41" s="726"/>
      <c r="D41" s="726"/>
      <c r="E41" s="726"/>
      <c r="F41" s="726"/>
      <c r="G41" s="726"/>
      <c r="H41" s="725" t="s">
        <v>1225</v>
      </c>
      <c r="I41" s="726"/>
      <c r="J41" s="726"/>
      <c r="K41" s="726"/>
      <c r="L41" s="726"/>
      <c r="M41" s="726"/>
    </row>
    <row r="42" spans="2:30" x14ac:dyDescent="0.3">
      <c r="B42" s="726" t="s">
        <v>1072</v>
      </c>
      <c r="C42" s="726"/>
      <c r="D42" s="726"/>
      <c r="E42" s="726"/>
      <c r="F42" s="726"/>
      <c r="G42" s="726"/>
      <c r="H42" s="726" t="s">
        <v>1537</v>
      </c>
      <c r="I42" s="726"/>
      <c r="J42" s="726"/>
      <c r="K42" s="726"/>
      <c r="L42" s="726"/>
      <c r="M42" s="726"/>
      <c r="T42" s="1016"/>
      <c r="U42" s="1016"/>
      <c r="V42" s="1016"/>
      <c r="W42" s="1016"/>
      <c r="X42" s="1016"/>
      <c r="Y42" s="1016"/>
      <c r="Z42" s="1016"/>
      <c r="AA42" s="1016"/>
      <c r="AB42" s="1016"/>
      <c r="AC42" s="1016"/>
      <c r="AD42" s="1016"/>
    </row>
    <row r="43" spans="2:30" x14ac:dyDescent="0.3">
      <c r="B43" s="726" t="s">
        <v>1074</v>
      </c>
      <c r="C43" s="726"/>
      <c r="D43" s="726"/>
      <c r="E43" s="726"/>
      <c r="F43" s="726"/>
      <c r="G43" s="726"/>
      <c r="H43" s="726" t="s">
        <v>1226</v>
      </c>
      <c r="I43" s="726"/>
      <c r="J43" s="726"/>
      <c r="K43" s="726"/>
      <c r="L43" s="726"/>
      <c r="M43" s="726"/>
      <c r="T43" s="1016"/>
      <c r="U43" s="1016"/>
      <c r="V43" s="1016"/>
      <c r="W43" s="1016"/>
      <c r="X43" s="1016"/>
      <c r="Y43" s="1016"/>
      <c r="Z43" s="1016"/>
      <c r="AA43" s="1016"/>
      <c r="AB43" s="1016"/>
      <c r="AC43" s="1016"/>
      <c r="AD43" s="1016"/>
    </row>
    <row r="44" spans="2:30" ht="15.6" x14ac:dyDescent="0.3">
      <c r="B44" s="726" t="s">
        <v>1227</v>
      </c>
      <c r="C44" s="726"/>
      <c r="D44" s="726"/>
      <c r="E44" s="726"/>
      <c r="F44" s="726"/>
      <c r="G44" s="726"/>
      <c r="H44" s="726" t="s">
        <v>1072</v>
      </c>
      <c r="I44" s="726"/>
      <c r="J44" s="726"/>
      <c r="K44" s="726"/>
      <c r="L44" s="726"/>
      <c r="M44" s="726"/>
      <c r="T44" s="1016"/>
      <c r="U44" s="1018" t="s">
        <v>1535</v>
      </c>
      <c r="V44" s="1018"/>
      <c r="W44" s="1018"/>
      <c r="X44" s="1018"/>
      <c r="Y44" s="1018"/>
      <c r="Z44" s="1019"/>
      <c r="AA44" s="1020"/>
      <c r="AB44" s="1020"/>
      <c r="AC44" s="1020"/>
      <c r="AD44" s="1016"/>
    </row>
    <row r="45" spans="2:30" ht="15.6" x14ac:dyDescent="0.3">
      <c r="B45" s="726" t="s">
        <v>1228</v>
      </c>
      <c r="C45" s="726"/>
      <c r="D45" s="726"/>
      <c r="E45" s="726"/>
      <c r="F45" s="726"/>
      <c r="G45" s="726"/>
      <c r="H45" s="726" t="s">
        <v>1074</v>
      </c>
      <c r="I45" s="726"/>
      <c r="J45" s="726"/>
      <c r="K45" s="726"/>
      <c r="L45" s="726"/>
      <c r="M45" s="726"/>
      <c r="T45" s="1016"/>
      <c r="U45" s="1018" t="s">
        <v>1093</v>
      </c>
      <c r="V45" s="1018"/>
      <c r="W45" s="1018"/>
      <c r="X45" s="1018"/>
      <c r="Y45" s="1018"/>
      <c r="Z45" s="1019"/>
      <c r="AA45" s="1020"/>
      <c r="AB45" s="1020"/>
      <c r="AC45" s="1020"/>
      <c r="AD45" s="1016"/>
    </row>
    <row r="46" spans="2:30" ht="18" x14ac:dyDescent="0.3">
      <c r="B46" s="726" t="s">
        <v>1075</v>
      </c>
      <c r="C46" s="726"/>
      <c r="D46" s="726"/>
      <c r="E46" s="726"/>
      <c r="F46" s="726"/>
      <c r="G46" s="726"/>
      <c r="H46" s="726" t="s">
        <v>1227</v>
      </c>
      <c r="I46" s="726"/>
      <c r="J46" s="726"/>
      <c r="K46" s="726"/>
      <c r="L46" s="726"/>
      <c r="M46" s="726"/>
      <c r="T46" s="1016"/>
      <c r="U46" s="1018" t="s">
        <v>1540</v>
      </c>
      <c r="V46" s="1018"/>
      <c r="W46" s="1018"/>
      <c r="X46" s="1018"/>
      <c r="Y46" s="1018"/>
      <c r="Z46" s="1019"/>
      <c r="AA46" s="1020"/>
      <c r="AB46" s="1020"/>
      <c r="AC46" s="1020"/>
      <c r="AD46" s="1016"/>
    </row>
    <row r="47" spans="2:30" ht="15.6" x14ac:dyDescent="0.3">
      <c r="B47" s="726"/>
      <c r="C47" s="726"/>
      <c r="D47" s="726"/>
      <c r="E47" s="726"/>
      <c r="F47" s="726"/>
      <c r="G47" s="726"/>
      <c r="H47" s="726" t="s">
        <v>1228</v>
      </c>
      <c r="I47" s="726"/>
      <c r="J47" s="726"/>
      <c r="K47" s="726"/>
      <c r="L47" s="726"/>
      <c r="M47" s="726"/>
      <c r="T47" s="1016"/>
      <c r="U47" s="1018" t="s">
        <v>1536</v>
      </c>
      <c r="V47" s="1018"/>
      <c r="W47" s="1018"/>
      <c r="X47" s="1018"/>
      <c r="Y47" s="1018"/>
      <c r="Z47" s="1019"/>
      <c r="AA47" s="1020"/>
      <c r="AB47" s="1020"/>
      <c r="AC47" s="1020"/>
      <c r="AD47" s="1016"/>
    </row>
    <row r="48" spans="2:30" ht="16.2" x14ac:dyDescent="0.35">
      <c r="B48" s="725" t="s">
        <v>1229</v>
      </c>
      <c r="C48" s="726"/>
      <c r="D48" s="726"/>
      <c r="E48" s="726"/>
      <c r="F48" s="726"/>
      <c r="G48" s="726"/>
      <c r="H48" s="726" t="s">
        <v>1075</v>
      </c>
      <c r="I48" s="726"/>
      <c r="J48" s="726"/>
      <c r="K48" s="726"/>
      <c r="L48" s="726"/>
      <c r="M48" s="726"/>
      <c r="T48" s="1016"/>
      <c r="U48" s="1021" t="s">
        <v>1193</v>
      </c>
      <c r="V48" s="1018"/>
      <c r="W48" s="1018"/>
      <c r="X48" s="1018"/>
      <c r="Y48" s="1018"/>
      <c r="Z48" s="1019"/>
      <c r="AA48" s="1020"/>
      <c r="AB48" s="1020"/>
      <c r="AC48" s="1020"/>
      <c r="AD48" s="1016"/>
    </row>
    <row r="49" spans="2:30" ht="15.6" x14ac:dyDescent="0.3">
      <c r="B49" s="726" t="s">
        <v>1196</v>
      </c>
      <c r="C49" s="726"/>
      <c r="D49" s="726"/>
      <c r="E49" s="726"/>
      <c r="F49" s="726"/>
      <c r="G49" s="726"/>
      <c r="H49" s="726"/>
      <c r="I49" s="726"/>
      <c r="J49" s="726"/>
      <c r="K49" s="726"/>
      <c r="L49" s="726"/>
      <c r="T49" s="1016"/>
      <c r="U49" s="1018" t="s">
        <v>1534</v>
      </c>
      <c r="V49" s="1018"/>
      <c r="W49" s="1018"/>
      <c r="X49" s="1018"/>
      <c r="Y49" s="1018"/>
      <c r="Z49" s="1019"/>
      <c r="AA49" s="1020"/>
      <c r="AB49" s="1020"/>
      <c r="AC49" s="1020"/>
      <c r="AD49" s="1016"/>
    </row>
    <row r="50" spans="2:30" ht="18.600000000000001" x14ac:dyDescent="0.35">
      <c r="B50" s="726" t="s">
        <v>1230</v>
      </c>
      <c r="C50" s="726"/>
      <c r="D50" s="726"/>
      <c r="E50" s="726"/>
      <c r="F50" s="726"/>
      <c r="G50" s="726"/>
      <c r="H50" s="726"/>
      <c r="I50" s="726"/>
      <c r="J50" s="726"/>
      <c r="K50" s="726"/>
      <c r="L50" s="726"/>
      <c r="T50" s="1016"/>
      <c r="U50" s="1018" t="s">
        <v>1541</v>
      </c>
      <c r="V50" s="1018"/>
      <c r="W50" s="1018"/>
      <c r="X50" s="1018"/>
      <c r="Y50" s="1018"/>
      <c r="Z50" s="1019"/>
      <c r="AA50" s="1020"/>
      <c r="AB50" s="1020"/>
      <c r="AC50" s="1020"/>
      <c r="AD50" s="1016"/>
    </row>
    <row r="51" spans="2:30" ht="15.6" x14ac:dyDescent="0.3">
      <c r="B51" s="726" t="s">
        <v>1076</v>
      </c>
      <c r="C51" s="726"/>
      <c r="D51" s="726"/>
      <c r="E51" s="726"/>
      <c r="F51" s="726"/>
      <c r="G51" s="726"/>
      <c r="H51" s="726"/>
      <c r="I51" s="726"/>
      <c r="J51" s="726"/>
      <c r="K51" s="726"/>
      <c r="L51" s="726"/>
      <c r="T51" s="1016"/>
      <c r="U51" s="1018"/>
      <c r="V51" s="1018"/>
      <c r="W51" s="1018"/>
      <c r="X51" s="1018"/>
      <c r="Y51" s="1018"/>
      <c r="Z51" s="1019"/>
      <c r="AA51" s="1020"/>
      <c r="AB51" s="1020"/>
      <c r="AC51" s="1020"/>
      <c r="AD51" s="1016"/>
    </row>
    <row r="52" spans="2:30" ht="18" x14ac:dyDescent="0.4">
      <c r="B52" s="726" t="s">
        <v>1077</v>
      </c>
      <c r="C52" s="726"/>
      <c r="D52" s="726"/>
      <c r="E52" s="726"/>
      <c r="F52" s="726"/>
      <c r="G52" s="726"/>
      <c r="H52" s="726"/>
      <c r="I52" s="726"/>
      <c r="J52" s="726"/>
      <c r="K52" s="726"/>
      <c r="L52" s="726"/>
      <c r="T52" s="1016"/>
      <c r="U52" s="1021" t="s">
        <v>1542</v>
      </c>
      <c r="V52" s="1018"/>
      <c r="W52" s="1018"/>
      <c r="X52" s="1018"/>
      <c r="Y52" s="1018"/>
      <c r="Z52" s="1019"/>
      <c r="AA52" s="1020"/>
      <c r="AB52" s="1020"/>
      <c r="AC52" s="1020"/>
      <c r="AD52" s="1016"/>
    </row>
    <row r="53" spans="2:30" ht="15.6" x14ac:dyDescent="0.3">
      <c r="B53" s="726" t="s">
        <v>1075</v>
      </c>
      <c r="C53" s="726"/>
      <c r="D53" s="726"/>
      <c r="E53" s="726"/>
      <c r="F53" s="726"/>
      <c r="G53" s="726"/>
      <c r="H53" s="726"/>
      <c r="I53" s="726"/>
      <c r="J53" s="726"/>
      <c r="K53" s="726"/>
      <c r="L53" s="726"/>
      <c r="T53" s="1016"/>
      <c r="U53" s="1018" t="s">
        <v>1537</v>
      </c>
      <c r="V53" s="1018"/>
      <c r="W53" s="1018"/>
      <c r="X53" s="1018"/>
      <c r="Y53" s="1018"/>
      <c r="Z53" s="1019"/>
      <c r="AA53" s="1020"/>
      <c r="AB53" s="1020"/>
      <c r="AC53" s="1020"/>
      <c r="AD53" s="1016"/>
    </row>
    <row r="54" spans="2:30" ht="15.6" x14ac:dyDescent="0.3">
      <c r="B54" s="726"/>
      <c r="C54" s="726"/>
      <c r="D54" s="726"/>
      <c r="E54" s="726"/>
      <c r="F54" s="726"/>
      <c r="G54" s="726"/>
      <c r="H54" s="726"/>
      <c r="I54" s="726"/>
      <c r="J54" s="726"/>
      <c r="K54" s="726"/>
      <c r="L54" s="726"/>
      <c r="T54" s="1016"/>
      <c r="U54" s="1018" t="s">
        <v>1226</v>
      </c>
      <c r="V54" s="1018"/>
      <c r="W54" s="1018"/>
      <c r="X54" s="1018"/>
      <c r="Y54" s="1018"/>
      <c r="Z54" s="1019"/>
      <c r="AA54" s="1020"/>
      <c r="AB54" s="1020"/>
      <c r="AC54" s="1020"/>
      <c r="AD54" s="1016"/>
    </row>
    <row r="55" spans="2:30" ht="16.2" x14ac:dyDescent="0.35">
      <c r="B55" s="725" t="s">
        <v>1249</v>
      </c>
      <c r="C55" s="726"/>
      <c r="D55" s="726"/>
      <c r="E55" s="726"/>
      <c r="F55" s="726"/>
      <c r="G55" s="726"/>
      <c r="H55" s="726"/>
      <c r="I55" s="726"/>
      <c r="J55" s="726"/>
      <c r="K55" s="726"/>
      <c r="L55" s="726"/>
      <c r="T55" s="1016"/>
      <c r="U55" s="1018" t="s">
        <v>1072</v>
      </c>
      <c r="V55" s="1018"/>
      <c r="W55" s="1018"/>
      <c r="X55" s="1018"/>
      <c r="Y55" s="1018"/>
      <c r="Z55" s="1019"/>
      <c r="AA55" s="1020"/>
      <c r="AB55" s="1020"/>
      <c r="AC55" s="1020"/>
      <c r="AD55" s="1016"/>
    </row>
    <row r="56" spans="2:30" ht="15.6" x14ac:dyDescent="0.3">
      <c r="B56" s="726" t="s">
        <v>1197</v>
      </c>
      <c r="C56" s="726"/>
      <c r="D56" s="726"/>
      <c r="E56" s="726"/>
      <c r="F56" s="726"/>
      <c r="G56" s="726"/>
      <c r="H56" s="726"/>
      <c r="I56" s="726"/>
      <c r="J56" s="726"/>
      <c r="K56" s="726"/>
      <c r="L56" s="726"/>
      <c r="T56" s="1016"/>
      <c r="U56" s="1018" t="s">
        <v>1074</v>
      </c>
      <c r="V56" s="1018"/>
      <c r="W56" s="1018"/>
      <c r="X56" s="1018"/>
      <c r="Y56" s="1018"/>
      <c r="Z56" s="1019"/>
      <c r="AA56" s="1020"/>
      <c r="AB56" s="1020"/>
      <c r="AC56" s="1020"/>
      <c r="AD56" s="1016"/>
    </row>
    <row r="57" spans="2:30" ht="16.2" x14ac:dyDescent="0.35">
      <c r="B57" s="726" t="s">
        <v>1250</v>
      </c>
      <c r="C57" s="726"/>
      <c r="D57" s="726"/>
      <c r="E57" s="726"/>
      <c r="F57" s="726"/>
      <c r="G57" s="726"/>
      <c r="H57" s="726"/>
      <c r="I57" s="726"/>
      <c r="J57" s="726"/>
      <c r="K57" s="726"/>
      <c r="L57" s="726"/>
      <c r="T57" s="1016"/>
      <c r="U57" s="1018" t="s">
        <v>1227</v>
      </c>
      <c r="V57" s="1018"/>
      <c r="W57" s="1018"/>
      <c r="X57" s="1018"/>
      <c r="Y57" s="1018"/>
      <c r="Z57" s="1019"/>
      <c r="AA57" s="1020"/>
      <c r="AB57" s="1020"/>
      <c r="AC57" s="1020"/>
      <c r="AD57" s="1016"/>
    </row>
    <row r="58" spans="2:30" ht="15.6" x14ac:dyDescent="0.3">
      <c r="B58" s="726" t="s">
        <v>1096</v>
      </c>
      <c r="C58" s="726"/>
      <c r="D58" s="726"/>
      <c r="E58" s="726"/>
      <c r="F58" s="726"/>
      <c r="G58" s="726"/>
      <c r="H58" s="726"/>
      <c r="I58" s="726"/>
      <c r="J58" s="726"/>
      <c r="K58" s="726"/>
      <c r="L58" s="726"/>
      <c r="T58" s="1016"/>
      <c r="U58" s="1018" t="s">
        <v>1228</v>
      </c>
      <c r="V58" s="1018"/>
      <c r="W58" s="1018"/>
      <c r="X58" s="1018"/>
      <c r="Y58" s="1018"/>
      <c r="Z58" s="1019"/>
      <c r="AA58" s="1020"/>
      <c r="AB58" s="1020"/>
      <c r="AC58" s="1020"/>
      <c r="AD58" s="1016"/>
    </row>
    <row r="59" spans="2:30" ht="15.6" x14ac:dyDescent="0.3">
      <c r="B59" s="726"/>
      <c r="C59" s="726"/>
      <c r="D59" s="726"/>
      <c r="E59" s="726"/>
      <c r="F59" s="726"/>
      <c r="G59" s="726"/>
      <c r="H59" s="726"/>
      <c r="I59" s="726"/>
      <c r="J59" s="726"/>
      <c r="K59" s="726"/>
      <c r="L59" s="726"/>
      <c r="T59" s="1016"/>
      <c r="U59" s="1018" t="s">
        <v>1075</v>
      </c>
      <c r="V59" s="1018"/>
      <c r="W59" s="1018"/>
      <c r="X59" s="1018"/>
      <c r="Y59" s="1018"/>
      <c r="Z59" s="1019"/>
      <c r="AA59" s="1020"/>
      <c r="AB59" s="1020"/>
      <c r="AC59" s="1020"/>
      <c r="AD59" s="1016"/>
    </row>
    <row r="60" spans="2:30" x14ac:dyDescent="0.3">
      <c r="B60" s="916" t="s">
        <v>1375</v>
      </c>
      <c r="C60" s="916"/>
      <c r="D60" s="916"/>
      <c r="E60" s="916"/>
      <c r="F60" s="916"/>
      <c r="G60" s="726"/>
      <c r="H60" s="726"/>
      <c r="I60" s="726"/>
      <c r="J60" s="726"/>
      <c r="K60" s="726"/>
      <c r="L60" s="726"/>
      <c r="T60" s="1016"/>
      <c r="U60" s="1022"/>
      <c r="V60" s="1022"/>
      <c r="W60" s="1022"/>
      <c r="X60" s="1022"/>
      <c r="Y60" s="1022"/>
      <c r="Z60" s="1020"/>
      <c r="AA60" s="1020"/>
      <c r="AB60" s="1020"/>
      <c r="AC60" s="1020"/>
      <c r="AD60" s="1016"/>
    </row>
    <row r="61" spans="2:30" x14ac:dyDescent="0.3">
      <c r="B61" s="916" t="s">
        <v>1376</v>
      </c>
      <c r="C61" s="916"/>
      <c r="D61" s="916"/>
      <c r="E61" s="916"/>
      <c r="F61" s="916"/>
      <c r="G61" s="726"/>
      <c r="H61" s="726"/>
      <c r="I61" s="726"/>
      <c r="J61" s="726"/>
      <c r="K61" s="726"/>
      <c r="L61" s="726"/>
      <c r="T61" s="1016"/>
      <c r="U61" s="1020"/>
      <c r="V61" s="1020"/>
      <c r="W61" s="1020"/>
      <c r="X61" s="1020"/>
      <c r="Y61" s="1020"/>
      <c r="Z61" s="1020"/>
      <c r="AA61" s="1020"/>
      <c r="AB61" s="1020"/>
      <c r="AC61" s="1020"/>
      <c r="AD61" s="1016"/>
    </row>
    <row r="62" spans="2:30" ht="16.2" x14ac:dyDescent="0.35">
      <c r="B62" s="916" t="s">
        <v>1377</v>
      </c>
      <c r="C62" s="916"/>
      <c r="D62" s="916"/>
      <c r="E62" s="916"/>
      <c r="F62" s="916"/>
      <c r="G62" s="726"/>
      <c r="H62" s="726"/>
      <c r="I62" s="726"/>
      <c r="J62" s="726"/>
      <c r="K62" s="726"/>
      <c r="L62" s="726"/>
      <c r="U62" s="1023" t="s">
        <v>1539</v>
      </c>
      <c r="V62" s="1023"/>
      <c r="W62" s="1023" t="s">
        <v>1538</v>
      </c>
      <c r="X62" s="1023"/>
      <c r="Y62" s="1023"/>
      <c r="Z62" s="1024"/>
      <c r="AA62" s="1020"/>
      <c r="AB62" s="1020"/>
      <c r="AC62" s="1020"/>
      <c r="AD62" s="1016"/>
    </row>
    <row r="63" spans="2:30" ht="15.6" x14ac:dyDescent="0.3">
      <c r="B63" s="916" t="s">
        <v>1096</v>
      </c>
      <c r="C63" s="916"/>
      <c r="D63" s="916"/>
      <c r="E63" s="916"/>
      <c r="F63" s="916"/>
      <c r="G63" s="726"/>
      <c r="H63" s="726"/>
      <c r="I63" s="726"/>
      <c r="J63" s="726"/>
      <c r="K63" s="726"/>
      <c r="L63" s="726"/>
      <c r="T63" s="1016"/>
      <c r="U63" s="1018" t="s">
        <v>1093</v>
      </c>
      <c r="V63" s="1018"/>
      <c r="W63" s="1018"/>
      <c r="X63" s="1018"/>
      <c r="Y63" s="1018"/>
      <c r="Z63" s="1025"/>
      <c r="AA63" s="1020"/>
      <c r="AB63" s="1020"/>
      <c r="AC63" s="1020"/>
      <c r="AD63" s="1016"/>
    </row>
    <row r="64" spans="2:30" ht="16.2" x14ac:dyDescent="0.35">
      <c r="B64" s="726" t="s">
        <v>1231</v>
      </c>
      <c r="C64" s="726"/>
      <c r="D64" s="726"/>
      <c r="E64" s="726"/>
      <c r="F64" s="726"/>
      <c r="G64" s="726"/>
      <c r="H64" s="726"/>
      <c r="I64" s="726"/>
      <c r="J64" s="726"/>
      <c r="K64" s="726"/>
      <c r="L64" s="726"/>
      <c r="M64" s="651"/>
      <c r="N64" s="651"/>
      <c r="T64" s="1016"/>
      <c r="U64" s="1018" t="s">
        <v>1543</v>
      </c>
      <c r="V64" s="1018"/>
      <c r="W64" s="1018"/>
      <c r="X64" s="1018"/>
      <c r="Y64" s="1018"/>
      <c r="Z64" s="1025"/>
      <c r="AA64" s="1020"/>
      <c r="AB64" s="1020"/>
      <c r="AC64" s="1020"/>
      <c r="AD64" s="1016"/>
    </row>
    <row r="65" spans="2:30" ht="15.6" x14ac:dyDescent="0.3">
      <c r="B65" s="775" t="s">
        <v>1251</v>
      </c>
      <c r="C65" s="776"/>
      <c r="D65" s="777"/>
      <c r="E65" s="777"/>
      <c r="F65" s="777"/>
      <c r="G65" s="777"/>
      <c r="H65" s="777"/>
      <c r="I65" s="777"/>
      <c r="J65" s="778"/>
      <c r="K65" s="663"/>
      <c r="L65" s="663"/>
      <c r="M65" s="689"/>
      <c r="N65" s="663"/>
      <c r="T65" s="1016"/>
      <c r="U65" s="1018" t="s">
        <v>1491</v>
      </c>
      <c r="V65" s="1018"/>
      <c r="W65" s="1018"/>
      <c r="X65" s="1018"/>
      <c r="Y65" s="1018"/>
      <c r="Z65" s="1025"/>
      <c r="AA65" s="1020"/>
      <c r="AB65" s="1020"/>
      <c r="AC65" s="1020"/>
      <c r="AD65" s="1016"/>
    </row>
    <row r="66" spans="2:30" ht="15" customHeight="1" x14ac:dyDescent="0.3">
      <c r="B66" s="1188" t="s">
        <v>1078</v>
      </c>
      <c r="C66" s="1185"/>
      <c r="D66" s="1185"/>
      <c r="E66" s="1185"/>
      <c r="F66" s="1185"/>
      <c r="G66" s="1185"/>
      <c r="H66" s="1185"/>
      <c r="I66" s="1185"/>
      <c r="J66" s="779"/>
      <c r="K66" s="662"/>
      <c r="L66" s="662"/>
      <c r="M66" s="687"/>
      <c r="N66" s="688"/>
      <c r="T66" s="1016"/>
      <c r="U66" s="1016"/>
      <c r="V66" s="1016"/>
      <c r="W66" s="1016"/>
      <c r="X66" s="1016"/>
      <c r="Y66" s="1016"/>
      <c r="Z66" s="1016"/>
      <c r="AA66" s="1016"/>
      <c r="AB66" s="1016"/>
      <c r="AC66" s="1016"/>
      <c r="AD66" s="1016"/>
    </row>
    <row r="67" spans="2:30" x14ac:dyDescent="0.3">
      <c r="B67" s="1188"/>
      <c r="C67" s="1185"/>
      <c r="D67" s="1185"/>
      <c r="E67" s="1185"/>
      <c r="F67" s="1185"/>
      <c r="G67" s="1185"/>
      <c r="H67" s="1185"/>
      <c r="I67" s="1185"/>
      <c r="J67" s="779"/>
      <c r="K67" s="662"/>
      <c r="L67" s="662"/>
      <c r="M67" s="687"/>
      <c r="N67" s="688"/>
      <c r="T67" s="1016"/>
      <c r="U67" s="1016"/>
      <c r="V67" s="1016"/>
      <c r="W67" s="1016"/>
      <c r="X67" s="1016"/>
      <c r="Y67" s="1016"/>
      <c r="Z67" s="1016"/>
      <c r="AA67" s="1016"/>
      <c r="AB67" s="1016"/>
      <c r="AC67" s="1016"/>
      <c r="AD67" s="1016"/>
    </row>
    <row r="68" spans="2:30" x14ac:dyDescent="0.3">
      <c r="B68" s="1188"/>
      <c r="C68" s="1185"/>
      <c r="D68" s="1185"/>
      <c r="E68" s="1185"/>
      <c r="F68" s="1185"/>
      <c r="G68" s="1185"/>
      <c r="H68" s="1185"/>
      <c r="I68" s="1185"/>
      <c r="J68" s="779"/>
      <c r="K68" s="662"/>
      <c r="L68" s="662"/>
      <c r="M68" s="687"/>
      <c r="N68" s="688"/>
      <c r="T68" s="1016"/>
      <c r="U68" s="1016"/>
      <c r="V68" s="1016"/>
      <c r="W68" s="1016"/>
      <c r="X68" s="1016"/>
      <c r="Y68" s="1016"/>
      <c r="Z68" s="1016"/>
      <c r="AA68" s="1016"/>
    </row>
    <row r="69" spans="2:30" x14ac:dyDescent="0.3">
      <c r="B69" s="1188"/>
      <c r="C69" s="1185"/>
      <c r="D69" s="1185"/>
      <c r="E69" s="1185"/>
      <c r="F69" s="1185"/>
      <c r="G69" s="1185"/>
      <c r="H69" s="1185"/>
      <c r="I69" s="1185"/>
      <c r="J69" s="779"/>
      <c r="K69" s="662"/>
      <c r="L69" s="662"/>
      <c r="M69" s="687"/>
      <c r="N69" s="688"/>
      <c r="T69" s="1016"/>
      <c r="U69" s="1016"/>
      <c r="V69" s="1016"/>
      <c r="W69" s="1016"/>
      <c r="X69" s="1016"/>
      <c r="Y69" s="1016"/>
      <c r="Z69" s="1016"/>
      <c r="AA69" s="1016"/>
    </row>
    <row r="70" spans="2:30" ht="15" x14ac:dyDescent="0.35">
      <c r="B70" s="1189" t="s">
        <v>1079</v>
      </c>
      <c r="C70" s="1190"/>
      <c r="D70" s="1190"/>
      <c r="E70" s="1190"/>
      <c r="F70" s="1190"/>
      <c r="G70" s="1190"/>
      <c r="H70" s="1190"/>
      <c r="I70" s="1190"/>
      <c r="J70" s="780"/>
      <c r="K70" s="664"/>
      <c r="L70" s="664"/>
      <c r="M70" s="690"/>
      <c r="N70" s="664"/>
    </row>
    <row r="71" spans="2:30" x14ac:dyDescent="0.3">
      <c r="B71" s="726"/>
      <c r="C71" s="726"/>
      <c r="D71" s="726"/>
      <c r="E71" s="726"/>
      <c r="F71" s="726"/>
      <c r="G71" s="726"/>
      <c r="H71" s="726"/>
      <c r="I71" s="726"/>
      <c r="J71" s="726"/>
      <c r="K71" s="726"/>
      <c r="L71" s="726"/>
    </row>
    <row r="72" spans="2:30" ht="15" x14ac:dyDescent="0.35">
      <c r="B72" s="726" t="s">
        <v>1252</v>
      </c>
      <c r="C72" s="726"/>
      <c r="D72" s="726"/>
      <c r="E72" s="726"/>
      <c r="F72" s="726"/>
      <c r="G72" s="726"/>
      <c r="H72" s="726"/>
      <c r="I72" s="726"/>
      <c r="J72" s="726"/>
      <c r="K72" s="726"/>
      <c r="L72" s="726"/>
      <c r="M72" s="651"/>
    </row>
    <row r="73" spans="2:30" ht="15" x14ac:dyDescent="0.35">
      <c r="B73" s="728" t="s">
        <v>1080</v>
      </c>
      <c r="C73" s="729" t="s">
        <v>1253</v>
      </c>
      <c r="D73" s="729"/>
      <c r="E73" s="729"/>
      <c r="F73" s="729"/>
      <c r="G73" s="729"/>
      <c r="H73" s="729"/>
      <c r="I73" s="729"/>
      <c r="J73" s="729"/>
      <c r="K73" s="729"/>
      <c r="L73" s="729"/>
      <c r="M73" s="685"/>
      <c r="N73" s="665"/>
    </row>
    <row r="74" spans="2:30" x14ac:dyDescent="0.3">
      <c r="B74" s="736"/>
      <c r="C74" s="737"/>
      <c r="D74" s="737"/>
      <c r="E74" s="737"/>
      <c r="F74" s="737"/>
      <c r="G74" s="737"/>
      <c r="H74" s="737"/>
      <c r="I74" s="737"/>
      <c r="J74" s="737"/>
      <c r="K74" s="737"/>
      <c r="L74" s="737"/>
      <c r="M74" s="686"/>
      <c r="N74" s="665"/>
    </row>
    <row r="75" spans="2:30" x14ac:dyDescent="0.3">
      <c r="B75" s="736" t="s">
        <v>1081</v>
      </c>
      <c r="C75" s="737"/>
      <c r="D75" s="737"/>
      <c r="E75" s="737"/>
      <c r="F75" s="737"/>
      <c r="G75" s="737"/>
      <c r="H75" s="737"/>
      <c r="I75" s="737"/>
      <c r="J75" s="737"/>
      <c r="K75" s="737"/>
      <c r="L75" s="737"/>
      <c r="M75" s="686"/>
      <c r="N75" s="665"/>
    </row>
    <row r="76" spans="2:30" x14ac:dyDescent="0.3">
      <c r="B76" s="736"/>
      <c r="C76" s="737" t="s">
        <v>1082</v>
      </c>
      <c r="D76" s="737"/>
      <c r="E76" s="737"/>
      <c r="F76" s="737"/>
      <c r="G76" s="737"/>
      <c r="H76" s="737"/>
      <c r="I76" s="737"/>
      <c r="J76" s="737"/>
      <c r="K76" s="737"/>
      <c r="L76" s="737"/>
      <c r="M76" s="686"/>
      <c r="N76" s="665"/>
    </row>
    <row r="77" spans="2:30" x14ac:dyDescent="0.3">
      <c r="B77" s="736" t="s">
        <v>1083</v>
      </c>
      <c r="C77" s="737"/>
      <c r="D77" s="737"/>
      <c r="E77" s="737"/>
      <c r="F77" s="737"/>
      <c r="G77" s="737"/>
      <c r="H77" s="737"/>
      <c r="I77" s="737"/>
      <c r="J77" s="737"/>
      <c r="K77" s="737"/>
      <c r="L77" s="737"/>
      <c r="M77" s="686"/>
      <c r="N77" s="665"/>
    </row>
    <row r="78" spans="2:30" x14ac:dyDescent="0.3">
      <c r="B78" s="736"/>
      <c r="C78" s="737" t="s">
        <v>1084</v>
      </c>
      <c r="D78" s="737"/>
      <c r="E78" s="737"/>
      <c r="F78" s="737"/>
      <c r="G78" s="737"/>
      <c r="H78" s="737"/>
      <c r="I78" s="737"/>
      <c r="J78" s="737"/>
      <c r="K78" s="737"/>
      <c r="L78" s="737"/>
      <c r="M78" s="686"/>
      <c r="N78" s="665"/>
    </row>
    <row r="79" spans="2:30" ht="15" x14ac:dyDescent="0.35">
      <c r="B79" s="736" t="s">
        <v>1234</v>
      </c>
      <c r="C79" s="737"/>
      <c r="D79" s="737"/>
      <c r="E79" s="737"/>
      <c r="F79" s="737"/>
      <c r="G79" s="737"/>
      <c r="H79" s="737"/>
      <c r="I79" s="737"/>
      <c r="J79" s="737"/>
      <c r="K79" s="737"/>
      <c r="L79" s="737"/>
      <c r="M79" s="686"/>
      <c r="N79" s="665"/>
    </row>
    <row r="80" spans="2:30" ht="15" x14ac:dyDescent="0.35">
      <c r="B80" s="736"/>
      <c r="C80" s="737" t="s">
        <v>1235</v>
      </c>
      <c r="D80" s="737"/>
      <c r="E80" s="737"/>
      <c r="F80" s="737"/>
      <c r="G80" s="737"/>
      <c r="H80" s="737"/>
      <c r="I80" s="737"/>
      <c r="J80" s="737"/>
      <c r="K80" s="737"/>
      <c r="L80" s="737"/>
      <c r="M80" s="686"/>
      <c r="N80" s="665"/>
    </row>
    <row r="81" spans="2:14" ht="15" x14ac:dyDescent="0.35">
      <c r="B81" s="738" t="s">
        <v>1236</v>
      </c>
      <c r="C81" s="791"/>
      <c r="D81" s="791"/>
      <c r="E81" s="791"/>
      <c r="F81" s="791"/>
      <c r="G81" s="791"/>
      <c r="H81" s="791"/>
      <c r="I81" s="791"/>
      <c r="J81" s="791"/>
      <c r="K81" s="791"/>
      <c r="L81" s="791"/>
      <c r="M81" s="686"/>
      <c r="N81" s="665"/>
    </row>
    <row r="82" spans="2:14" x14ac:dyDescent="0.3">
      <c r="B82" s="726"/>
      <c r="C82" s="726"/>
      <c r="D82" s="726"/>
      <c r="E82" s="726"/>
      <c r="F82" s="726"/>
      <c r="G82" s="726"/>
      <c r="H82" s="726"/>
      <c r="I82" s="726"/>
      <c r="J82" s="726"/>
      <c r="K82" s="726"/>
      <c r="L82" s="726"/>
    </row>
    <row r="83" spans="2:14" x14ac:dyDescent="0.3">
      <c r="B83" s="726" t="s">
        <v>1085</v>
      </c>
      <c r="C83" s="726"/>
      <c r="D83" s="726"/>
      <c r="E83" s="726"/>
      <c r="F83" s="726"/>
      <c r="G83" s="726"/>
      <c r="H83" s="726"/>
      <c r="I83" s="726"/>
      <c r="J83" s="726"/>
      <c r="K83" s="726"/>
      <c r="L83" s="726"/>
    </row>
    <row r="84" spans="2:14" x14ac:dyDescent="0.3">
      <c r="B84" s="726" t="s">
        <v>1254</v>
      </c>
      <c r="C84" s="726"/>
      <c r="D84" s="726"/>
      <c r="E84" s="726"/>
      <c r="F84" s="726"/>
      <c r="G84" s="726"/>
      <c r="H84" s="726"/>
      <c r="I84" s="726"/>
      <c r="J84" s="726"/>
      <c r="K84" s="726"/>
      <c r="L84" s="726"/>
    </row>
    <row r="85" spans="2:14" x14ac:dyDescent="0.3">
      <c r="B85" s="731" t="s">
        <v>1255</v>
      </c>
      <c r="C85" s="781"/>
      <c r="D85" s="781"/>
      <c r="E85" s="781"/>
      <c r="F85" s="781"/>
      <c r="G85" s="781"/>
      <c r="H85" s="781"/>
      <c r="I85" s="781"/>
      <c r="J85" s="781"/>
      <c r="K85" s="726"/>
      <c r="L85" s="726"/>
    </row>
    <row r="86" spans="2:14" x14ac:dyDescent="0.3">
      <c r="B86" s="731" t="s">
        <v>1256</v>
      </c>
      <c r="C86" s="781"/>
      <c r="D86" s="781"/>
      <c r="E86" s="781"/>
      <c r="F86" s="781"/>
      <c r="G86" s="781"/>
      <c r="H86" s="781"/>
      <c r="I86" s="781"/>
      <c r="J86" s="781"/>
      <c r="K86" s="726"/>
      <c r="L86" s="726"/>
    </row>
    <row r="87" spans="2:14" x14ac:dyDescent="0.3">
      <c r="B87" s="781" t="s">
        <v>1257</v>
      </c>
      <c r="C87" s="781"/>
      <c r="D87" s="781"/>
      <c r="E87" s="781"/>
      <c r="F87" s="781"/>
      <c r="G87" s="781"/>
      <c r="H87" s="781"/>
      <c r="I87" s="781"/>
      <c r="J87" s="781"/>
      <c r="K87" s="726"/>
      <c r="L87" s="726"/>
    </row>
    <row r="88" spans="2:14" x14ac:dyDescent="0.3">
      <c r="B88" s="781" t="s">
        <v>1258</v>
      </c>
      <c r="C88" s="781"/>
      <c r="D88" s="781"/>
      <c r="E88" s="781"/>
      <c r="F88" s="781"/>
      <c r="G88" s="781"/>
      <c r="H88" s="781"/>
      <c r="I88" s="781"/>
      <c r="J88" s="781"/>
      <c r="K88" s="726"/>
      <c r="L88" s="726"/>
    </row>
  </sheetData>
  <mergeCells count="4">
    <mergeCell ref="C4:J4"/>
    <mergeCell ref="B2:D2"/>
    <mergeCell ref="B66:I69"/>
    <mergeCell ref="B70:I70"/>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63"/>
  <sheetViews>
    <sheetView topLeftCell="N1" zoomScale="75" zoomScaleNormal="75" workbookViewId="0">
      <selection activeCell="X25" sqref="X25"/>
    </sheetView>
  </sheetViews>
  <sheetFormatPr defaultColWidth="9.109375" defaultRowHeight="14.4" x14ac:dyDescent="0.3"/>
  <cols>
    <col min="1" max="1" width="9.109375" style="650"/>
    <col min="2" max="2" width="15.6640625" style="650" customWidth="1"/>
    <col min="3" max="3" width="22.6640625" style="650" customWidth="1"/>
    <col min="4" max="4" width="29" style="650" customWidth="1"/>
    <col min="5" max="5" width="22.33203125" style="650" customWidth="1"/>
    <col min="6" max="8" width="24.6640625" style="650" customWidth="1"/>
    <col min="9" max="11" width="9.109375" style="650"/>
    <col min="12" max="12" width="15.5546875" style="650" customWidth="1"/>
    <col min="13" max="21" width="18.33203125" style="650" customWidth="1"/>
    <col min="22" max="22" width="25.44140625" style="650" customWidth="1"/>
    <col min="23" max="23" width="17.6640625" style="650" customWidth="1"/>
    <col min="24" max="24" width="14.44140625" style="650" customWidth="1"/>
    <col min="25" max="16384" width="9.109375" style="650"/>
  </cols>
  <sheetData>
    <row r="1" spans="2:24" x14ac:dyDescent="0.3">
      <c r="B1" s="741" t="s">
        <v>1125</v>
      </c>
      <c r="C1" s="724"/>
      <c r="D1" s="724"/>
      <c r="E1" s="724"/>
      <c r="F1" s="724"/>
      <c r="G1" s="724"/>
      <c r="H1" s="724"/>
    </row>
    <row r="2" spans="2:24" x14ac:dyDescent="0.3">
      <c r="B2" s="774" t="s">
        <v>1289</v>
      </c>
      <c r="C2" s="774"/>
      <c r="D2" s="724"/>
      <c r="E2" s="724"/>
      <c r="F2" s="724"/>
      <c r="G2" s="724"/>
      <c r="H2" s="724"/>
    </row>
    <row r="3" spans="2:24" x14ac:dyDescent="0.3">
      <c r="B3" s="724"/>
      <c r="C3" s="724"/>
      <c r="D3" s="724"/>
      <c r="E3" s="724"/>
      <c r="F3" s="724"/>
      <c r="G3" s="724"/>
      <c r="H3" s="724"/>
    </row>
    <row r="4" spans="2:24" ht="71.25" customHeight="1" x14ac:dyDescent="0.3">
      <c r="B4" s="783" t="s">
        <v>322</v>
      </c>
      <c r="C4" s="745" t="str">
        <f>IF('Bioenergy Calculator'!H75="No","Food waste, Landfilled
(tons/yr)","Food waste
(tons/yr)")</f>
        <v>Food waste, Landfilled
(tons/yr)</v>
      </c>
      <c r="D4" s="745" t="s">
        <v>1069</v>
      </c>
      <c r="E4" s="745" t="s">
        <v>1262</v>
      </c>
      <c r="F4" s="745" t="s">
        <v>1242</v>
      </c>
      <c r="G4" s="745" t="s">
        <v>1378</v>
      </c>
      <c r="H4" s="745" t="s">
        <v>1379</v>
      </c>
      <c r="L4" s="783" t="s">
        <v>322</v>
      </c>
      <c r="M4" s="921" t="str">
        <f>IF('Bioenergy Calculator'!R75="No","Food waste, Landfilled
(tons/yr)","Food waste
(tons/yr)")</f>
        <v>Food waste
(tons/yr)</v>
      </c>
      <c r="N4" s="921" t="s">
        <v>1494</v>
      </c>
      <c r="O4" s="921" t="s">
        <v>1498</v>
      </c>
      <c r="P4" s="921" t="s">
        <v>1497</v>
      </c>
      <c r="Q4" s="921" t="s">
        <v>1069</v>
      </c>
      <c r="R4" s="921" t="s">
        <v>1262</v>
      </c>
      <c r="S4" s="921" t="s">
        <v>1499</v>
      </c>
      <c r="T4" s="921" t="s">
        <v>1500</v>
      </c>
      <c r="U4" s="988" t="s">
        <v>1502</v>
      </c>
      <c r="V4" s="988" t="s">
        <v>1503</v>
      </c>
      <c r="W4" s="921" t="s">
        <v>1506</v>
      </c>
      <c r="X4" s="921" t="s">
        <v>1508</v>
      </c>
    </row>
    <row r="5" spans="2:24" x14ac:dyDescent="0.3">
      <c r="B5" s="784" t="s">
        <v>403</v>
      </c>
      <c r="C5" s="758">
        <f>IF('Bioenergy Calculator'!$H$75="No",'Biomass Data Assumptions'!J7,'Biomass Data Assumptions'!F7*'Biomass Data Assumptions'!$I$41)</f>
        <v>37581.618648000003</v>
      </c>
      <c r="D5" s="758">
        <f xml:space="preserve"> C5*113*6.25*0.2916239/1000</f>
        <v>7740.2868526500069</v>
      </c>
      <c r="E5" s="758">
        <f xml:space="preserve"> C5*113*(1/0.0283168)*0.03144075657*2.20462/2000</f>
        <v>5197.6434794661691</v>
      </c>
      <c r="F5" s="795">
        <f xml:space="preserve"> D5*(1137/2000)</f>
        <v>4400.3530757315293</v>
      </c>
      <c r="G5" s="795">
        <f>C5*0.28</f>
        <v>10522.853221440002</v>
      </c>
      <c r="H5" s="795">
        <f>G5*(2249/2000)</f>
        <v>11832.948447509283</v>
      </c>
      <c r="L5" s="784" t="s">
        <v>403</v>
      </c>
      <c r="M5" s="984">
        <f>C5</f>
        <v>37581.618648000003</v>
      </c>
      <c r="N5" s="944">
        <f t="shared" ref="N5:N25" si="0">M5*40/60</f>
        <v>25054.412432000001</v>
      </c>
      <c r="O5" s="987">
        <f t="shared" ref="O5:O25" si="1">(M5*0.9*7602)+(N5*0.9*3192)</f>
        <v>329102234.50053602</v>
      </c>
      <c r="P5" s="944">
        <f>O5*0.65</f>
        <v>213916452.42534843</v>
      </c>
      <c r="Q5" s="944">
        <f t="shared" ref="Q5:Q25" si="2">(M5*183+N5*90)*6.25*0.2916239/1000</f>
        <v>16645.041638884526</v>
      </c>
      <c r="R5" s="944">
        <f>(M5*183+N5*90)*(1/0.0283168)*0.03144075657*2.20462/2000</f>
        <v>11177.233323099814</v>
      </c>
      <c r="S5" s="985">
        <f>P5*0.0438/1000</f>
        <v>9369.5406162302606</v>
      </c>
      <c r="T5" s="944">
        <f>P5*0.000841*52.07/1000</f>
        <v>9367.5875590196174</v>
      </c>
      <c r="U5" s="944">
        <f>Q5*(1137/2000)</f>
        <v>9462.7061717058532</v>
      </c>
      <c r="V5" s="944">
        <f>Q5*1.125</f>
        <v>18725.671843745091</v>
      </c>
      <c r="W5" s="990">
        <f>Q5*3600</f>
        <v>59922149.899984293</v>
      </c>
      <c r="X5" s="990">
        <f>-W5*15.29/1000000</f>
        <v>-916.2096719707597</v>
      </c>
    </row>
    <row r="6" spans="2:24" x14ac:dyDescent="0.3">
      <c r="B6" s="784" t="s">
        <v>325</v>
      </c>
      <c r="C6" s="758">
        <f>IF('Bioenergy Calculator'!$H$75="No",'Biomass Data Assumptions'!J8,'Biomass Data Assumptions'!F8*'Biomass Data Assumptions'!$I$41)</f>
        <v>86443.549080000012</v>
      </c>
      <c r="D6" s="758">
        <f t="shared" ref="D6:D25" si="3" xml:space="preserve"> C6*113*6.25*0.2916239/1000</f>
        <v>17803.859719489152</v>
      </c>
      <c r="E6" s="758">
        <f t="shared" ref="E6:E25" si="4" xml:space="preserve"> C6*113*(1/0.0283168)*0.03144075657*2.20462/2000</f>
        <v>11955.385781167955</v>
      </c>
      <c r="F6" s="795">
        <f t="shared" ref="F6:F25" si="5" xml:space="preserve"> D6*(1137/2000)</f>
        <v>10121.494250529582</v>
      </c>
      <c r="G6" s="795">
        <f t="shared" ref="G6:G25" si="6">C6*0.28</f>
        <v>24204.193742400006</v>
      </c>
      <c r="H6" s="795">
        <f t="shared" ref="H6:H25" si="7">G6*(2249/2000)</f>
        <v>27217.615863328807</v>
      </c>
      <c r="L6" s="784" t="s">
        <v>325</v>
      </c>
      <c r="M6" s="984">
        <f t="shared" ref="M6:M25" si="8">C6</f>
        <v>86443.549080000012</v>
      </c>
      <c r="N6" s="944">
        <f t="shared" si="0"/>
        <v>57629.03272000001</v>
      </c>
      <c r="O6" s="986">
        <f t="shared" si="1"/>
        <v>756986159.29356015</v>
      </c>
      <c r="P6" s="944">
        <f t="shared" ref="P6:P25" si="9">O6*0.65</f>
        <v>492041003.5408141</v>
      </c>
      <c r="Q6" s="944">
        <f t="shared" si="2"/>
        <v>38286.17621093685</v>
      </c>
      <c r="R6" s="944">
        <f t="shared" ref="R6:R25" si="10">(M6*183+N6*90)*(1/0.0283168)*0.03144075657*2.20462/2000</f>
        <v>25709.369423219585</v>
      </c>
      <c r="S6" s="985">
        <f t="shared" ref="S6:S25" si="11">P6*0.0438/1000</f>
        <v>21551.395955087657</v>
      </c>
      <c r="T6" s="944">
        <f t="shared" ref="T6:T25" si="12">P6*0.000841*52.07/1000</f>
        <v>21546.90362072533</v>
      </c>
      <c r="U6" s="944">
        <f t="shared" ref="U6:U25" si="13">Q6*(1137/2000)</f>
        <v>21765.6911759176</v>
      </c>
      <c r="V6" s="944">
        <f t="shared" ref="V6:V23" si="14">Q6*1.125</f>
        <v>43071.948237303957</v>
      </c>
      <c r="W6" s="990">
        <f t="shared" ref="W6:W24" si="15">Q6*3600</f>
        <v>137830234.35937265</v>
      </c>
      <c r="X6" s="990">
        <f t="shared" ref="X6:X25" si="16">-W6*15.29/1000000</f>
        <v>-2107.4242833548078</v>
      </c>
    </row>
    <row r="7" spans="2:24" x14ac:dyDescent="0.3">
      <c r="B7" s="784" t="s">
        <v>328</v>
      </c>
      <c r="C7" s="758">
        <f>IF('Bioenergy Calculator'!$H$75="No",'Biomass Data Assumptions'!J9,'Biomass Data Assumptions'!F9*'Biomass Data Assumptions'!$I$41)</f>
        <v>42172.365913999995</v>
      </c>
      <c r="D7" s="758">
        <f t="shared" si="3"/>
        <v>8685.7943104228434</v>
      </c>
      <c r="E7" s="758">
        <f t="shared" si="4"/>
        <v>5832.5567283203882</v>
      </c>
      <c r="F7" s="795">
        <f t="shared" si="5"/>
        <v>4937.8740654753865</v>
      </c>
      <c r="G7" s="795">
        <f t="shared" si="6"/>
        <v>11808.262455919999</v>
      </c>
      <c r="H7" s="795">
        <f t="shared" si="7"/>
        <v>13278.391131682039</v>
      </c>
      <c r="L7" s="784" t="s">
        <v>328</v>
      </c>
      <c r="M7" s="984">
        <f t="shared" si="8"/>
        <v>42172.365913999995</v>
      </c>
      <c r="N7" s="944">
        <f t="shared" si="0"/>
        <v>28114.910609333328</v>
      </c>
      <c r="O7" s="986">
        <f t="shared" si="1"/>
        <v>369303408.30889797</v>
      </c>
      <c r="P7" s="944">
        <f t="shared" si="9"/>
        <v>240047215.40078369</v>
      </c>
      <c r="Q7" s="944">
        <f t="shared" si="2"/>
        <v>18678.301039227885</v>
      </c>
      <c r="R7" s="944">
        <f t="shared" si="10"/>
        <v>12542.577743202248</v>
      </c>
      <c r="S7" s="985">
        <f t="shared" si="11"/>
        <v>10514.068034554324</v>
      </c>
      <c r="T7" s="944">
        <f t="shared" si="12"/>
        <v>10511.876403477716</v>
      </c>
      <c r="U7" s="944">
        <f t="shared" si="13"/>
        <v>10618.614140801052</v>
      </c>
      <c r="V7" s="944">
        <f t="shared" si="14"/>
        <v>21013.088669131372</v>
      </c>
      <c r="W7" s="990">
        <f t="shared" si="15"/>
        <v>67241883.741220385</v>
      </c>
      <c r="X7" s="990">
        <f t="shared" si="16"/>
        <v>-1028.1284024032595</v>
      </c>
    </row>
    <row r="8" spans="2:24" x14ac:dyDescent="0.3">
      <c r="B8" s="784" t="s">
        <v>331</v>
      </c>
      <c r="C8" s="758">
        <f>IF('Bioenergy Calculator'!$H$75="No",'Biomass Data Assumptions'!J10,'Biomass Data Assumptions'!F10*'Biomass Data Assumptions'!$I$41)</f>
        <v>13388.749177999998</v>
      </c>
      <c r="D8" s="758">
        <f t="shared" si="3"/>
        <v>2757.5384713084209</v>
      </c>
      <c r="E8" s="758">
        <f t="shared" si="4"/>
        <v>1851.7016394381171</v>
      </c>
      <c r="F8" s="795">
        <f t="shared" si="5"/>
        <v>1567.6606209388374</v>
      </c>
      <c r="G8" s="795">
        <f t="shared" si="6"/>
        <v>3748.8497698399997</v>
      </c>
      <c r="H8" s="795">
        <f t="shared" si="7"/>
        <v>4215.5815661850802</v>
      </c>
      <c r="L8" s="784" t="s">
        <v>331</v>
      </c>
      <c r="M8" s="984">
        <f t="shared" si="8"/>
        <v>13388.749177999998</v>
      </c>
      <c r="N8" s="944">
        <f t="shared" si="0"/>
        <v>8925.8327853333321</v>
      </c>
      <c r="O8" s="986">
        <f t="shared" si="1"/>
        <v>117245276.55174598</v>
      </c>
      <c r="P8" s="944">
        <f t="shared" si="9"/>
        <v>76209429.758634895</v>
      </c>
      <c r="Q8" s="944">
        <f t="shared" si="2"/>
        <v>5929.9278630791696</v>
      </c>
      <c r="R8" s="944">
        <f t="shared" si="10"/>
        <v>3981.9778618005521</v>
      </c>
      <c r="S8" s="985">
        <f t="shared" si="11"/>
        <v>3337.9730234282083</v>
      </c>
      <c r="T8" s="944">
        <f t="shared" si="12"/>
        <v>3337.2772313345122</v>
      </c>
      <c r="U8" s="944">
        <f t="shared" si="13"/>
        <v>3371.1639901605081</v>
      </c>
      <c r="V8" s="944">
        <f t="shared" si="14"/>
        <v>6671.1688459640654</v>
      </c>
      <c r="W8" s="990">
        <f t="shared" si="15"/>
        <v>21347740.307085011</v>
      </c>
      <c r="X8" s="990">
        <f t="shared" si="16"/>
        <v>-326.40694929532981</v>
      </c>
    </row>
    <row r="9" spans="2:24" x14ac:dyDescent="0.3">
      <c r="B9" s="784" t="s">
        <v>333</v>
      </c>
      <c r="C9" s="758">
        <f>IF('Bioenergy Calculator'!$H$75="No",'Biomass Data Assumptions'!J11,'Biomass Data Assumptions'!F11*'Biomass Data Assumptions'!$I$41)</f>
        <v>14397.674424000003</v>
      </c>
      <c r="D9" s="758">
        <f t="shared" si="3"/>
        <v>2965.3360888103512</v>
      </c>
      <c r="E9" s="758">
        <f t="shared" si="4"/>
        <v>1991.2388364720666</v>
      </c>
      <c r="F9" s="795">
        <f t="shared" si="5"/>
        <v>1685.7935664886847</v>
      </c>
      <c r="G9" s="795">
        <f t="shared" si="6"/>
        <v>4031.3488387200009</v>
      </c>
      <c r="H9" s="795">
        <f t="shared" si="7"/>
        <v>4533.251769140641</v>
      </c>
      <c r="L9" s="784" t="s">
        <v>333</v>
      </c>
      <c r="M9" s="984">
        <f t="shared" si="8"/>
        <v>14397.674424000003</v>
      </c>
      <c r="N9" s="944">
        <f t="shared" si="0"/>
        <v>9598.4496160000017</v>
      </c>
      <c r="O9" s="986">
        <f t="shared" si="1"/>
        <v>126080434.93096802</v>
      </c>
      <c r="P9" s="944">
        <f t="shared" si="9"/>
        <v>81952282.705129206</v>
      </c>
      <c r="Q9" s="944">
        <f t="shared" si="2"/>
        <v>6376.7846865567735</v>
      </c>
      <c r="R9" s="944">
        <f t="shared" si="10"/>
        <v>4282.0445775461249</v>
      </c>
      <c r="S9" s="985">
        <f t="shared" si="11"/>
        <v>3589.5099824846593</v>
      </c>
      <c r="T9" s="944">
        <f t="shared" si="12"/>
        <v>3588.7617581435611</v>
      </c>
      <c r="U9" s="944">
        <f t="shared" si="13"/>
        <v>3625.2020943075258</v>
      </c>
      <c r="V9" s="944">
        <f t="shared" si="14"/>
        <v>7173.8827723763698</v>
      </c>
      <c r="W9" s="990">
        <f t="shared" si="15"/>
        <v>22956424.871604383</v>
      </c>
      <c r="X9" s="990">
        <f t="shared" si="16"/>
        <v>-351.00373628683104</v>
      </c>
    </row>
    <row r="10" spans="2:24" x14ac:dyDescent="0.3">
      <c r="B10" s="784" t="s">
        <v>335</v>
      </c>
      <c r="C10" s="758">
        <f>IF('Bioenergy Calculator'!$H$75="No",'Biomass Data Assumptions'!J12,'Biomass Data Assumptions'!F12*'Biomass Data Assumptions'!$I$41)</f>
        <v>18000.793328000003</v>
      </c>
      <c r="D10" s="758">
        <f t="shared" si="3"/>
        <v>3707.4322220925214</v>
      </c>
      <c r="E10" s="758">
        <f t="shared" si="4"/>
        <v>2489.5603072029057</v>
      </c>
      <c r="F10" s="795">
        <f t="shared" si="5"/>
        <v>2107.6752182595983</v>
      </c>
      <c r="G10" s="795">
        <f t="shared" si="6"/>
        <v>5040.2221318400016</v>
      </c>
      <c r="H10" s="795">
        <f t="shared" si="7"/>
        <v>5667.7297872540821</v>
      </c>
      <c r="L10" s="784" t="s">
        <v>335</v>
      </c>
      <c r="M10" s="984">
        <f t="shared" si="8"/>
        <v>18000.793328000003</v>
      </c>
      <c r="N10" s="944">
        <f t="shared" si="0"/>
        <v>12000.528885333335</v>
      </c>
      <c r="O10" s="986">
        <f t="shared" si="1"/>
        <v>157632947.17329603</v>
      </c>
      <c r="P10" s="944">
        <f t="shared" si="9"/>
        <v>102461415.66264242</v>
      </c>
      <c r="Q10" s="944">
        <f t="shared" si="2"/>
        <v>7972.6197342343603</v>
      </c>
      <c r="R10" s="944">
        <f t="shared" si="10"/>
        <v>5353.6562358434167</v>
      </c>
      <c r="S10" s="985">
        <f t="shared" si="11"/>
        <v>4487.8100060237375</v>
      </c>
      <c r="T10" s="944">
        <f t="shared" si="12"/>
        <v>4486.8745332987382</v>
      </c>
      <c r="U10" s="944">
        <f t="shared" si="13"/>
        <v>4532.4343189122337</v>
      </c>
      <c r="V10" s="944">
        <f t="shared" si="14"/>
        <v>8969.197201013656</v>
      </c>
      <c r="W10" s="990">
        <f t="shared" si="15"/>
        <v>28701431.043243699</v>
      </c>
      <c r="X10" s="990">
        <f t="shared" si="16"/>
        <v>-438.84488065119615</v>
      </c>
    </row>
    <row r="11" spans="2:24" x14ac:dyDescent="0.3">
      <c r="B11" s="784" t="s">
        <v>336</v>
      </c>
      <c r="C11" s="758">
        <f>IF('Bioenergy Calculator'!$H$75="No",'Biomass Data Assumptions'!J13,'Biomass Data Assumptions'!F13*'Biomass Data Assumptions'!$I$41)</f>
        <v>16021.374361999997</v>
      </c>
      <c r="D11" s="758">
        <f t="shared" si="3"/>
        <v>3299.7523203320561</v>
      </c>
      <c r="E11" s="758">
        <f t="shared" si="4"/>
        <v>2215.8011011898589</v>
      </c>
      <c r="F11" s="795">
        <f t="shared" si="5"/>
        <v>1875.9091941087738</v>
      </c>
      <c r="G11" s="795">
        <f t="shared" si="6"/>
        <v>4485.9848213599998</v>
      </c>
      <c r="H11" s="795">
        <f t="shared" si="7"/>
        <v>5044.4899316193205</v>
      </c>
      <c r="L11" s="784" t="s">
        <v>336</v>
      </c>
      <c r="M11" s="984">
        <f t="shared" si="8"/>
        <v>16021.374361999997</v>
      </c>
      <c r="N11" s="944">
        <f t="shared" si="0"/>
        <v>10680.916241333331</v>
      </c>
      <c r="O11" s="986">
        <f t="shared" si="1"/>
        <v>140299175.28803399</v>
      </c>
      <c r="P11" s="944">
        <f t="shared" si="9"/>
        <v>91194463.937222093</v>
      </c>
      <c r="Q11" s="944">
        <f t="shared" si="2"/>
        <v>7095.9275561122968</v>
      </c>
      <c r="R11" s="944">
        <f t="shared" si="10"/>
        <v>4764.9528105233248</v>
      </c>
      <c r="S11" s="985">
        <f t="shared" si="11"/>
        <v>3994.3175204503277</v>
      </c>
      <c r="T11" s="944">
        <f t="shared" si="12"/>
        <v>3993.4849149945803</v>
      </c>
      <c r="U11" s="944">
        <f t="shared" si="13"/>
        <v>4034.0348156498408</v>
      </c>
      <c r="V11" s="944">
        <f t="shared" si="14"/>
        <v>7982.9185006263342</v>
      </c>
      <c r="W11" s="990">
        <f t="shared" si="15"/>
        <v>25545339.202004269</v>
      </c>
      <c r="X11" s="990">
        <f t="shared" si="16"/>
        <v>-390.58823639864522</v>
      </c>
    </row>
    <row r="12" spans="2:24" x14ac:dyDescent="0.3">
      <c r="B12" s="784" t="s">
        <v>337</v>
      </c>
      <c r="C12" s="758">
        <f>IF('Bioenergy Calculator'!$H$75="No",'Biomass Data Assumptions'!J14,'Biomass Data Assumptions'!F14*'Biomass Data Assumptions'!$I$41)</f>
        <v>4014.9831120000008</v>
      </c>
      <c r="D12" s="758">
        <f t="shared" si="3"/>
        <v>826.92342994862622</v>
      </c>
      <c r="E12" s="758">
        <f t="shared" si="4"/>
        <v>555.28344821209976</v>
      </c>
      <c r="F12" s="795">
        <f t="shared" si="5"/>
        <v>470.105969925794</v>
      </c>
      <c r="G12" s="795">
        <f t="shared" si="6"/>
        <v>1124.1952713600003</v>
      </c>
      <c r="H12" s="795">
        <f t="shared" si="7"/>
        <v>1264.1575826443204</v>
      </c>
      <c r="L12" s="784" t="s">
        <v>337</v>
      </c>
      <c r="M12" s="984">
        <f t="shared" si="8"/>
        <v>4014.9831120000008</v>
      </c>
      <c r="N12" s="944">
        <f t="shared" si="0"/>
        <v>2676.6554080000005</v>
      </c>
      <c r="O12" s="986">
        <f t="shared" si="1"/>
        <v>35159207.111784011</v>
      </c>
      <c r="P12" s="944">
        <f t="shared" si="9"/>
        <v>22853484.622659609</v>
      </c>
      <c r="Q12" s="944">
        <f t="shared" si="2"/>
        <v>1778.2512697125326</v>
      </c>
      <c r="R12" s="944">
        <f t="shared" si="10"/>
        <v>1194.1051142968161</v>
      </c>
      <c r="S12" s="985">
        <f t="shared" si="11"/>
        <v>1000.9826264724909</v>
      </c>
      <c r="T12" s="944">
        <f t="shared" si="12"/>
        <v>1000.7739741578858</v>
      </c>
      <c r="U12" s="944">
        <f t="shared" si="13"/>
        <v>1010.9358468315747</v>
      </c>
      <c r="V12" s="944">
        <f t="shared" si="14"/>
        <v>2000.5326784265992</v>
      </c>
      <c r="W12" s="990">
        <f t="shared" si="15"/>
        <v>6401704.5709651168</v>
      </c>
      <c r="X12" s="990">
        <f t="shared" si="16"/>
        <v>-97.882062890056631</v>
      </c>
    </row>
    <row r="13" spans="2:24" x14ac:dyDescent="0.3">
      <c r="B13" s="784" t="s">
        <v>338</v>
      </c>
      <c r="C13" s="758">
        <f>IF('Bioenergy Calculator'!$H$75="No",'Biomass Data Assumptions'!J15,'Biomass Data Assumptions'!F15*'Biomass Data Assumptions'!$I$41)</f>
        <v>58367.326808000005</v>
      </c>
      <c r="D13" s="758">
        <f t="shared" si="3"/>
        <v>12021.29840515348</v>
      </c>
      <c r="E13" s="758">
        <f t="shared" si="4"/>
        <v>8072.3653347383661</v>
      </c>
      <c r="F13" s="795">
        <f t="shared" si="5"/>
        <v>6834.1081433297541</v>
      </c>
      <c r="G13" s="795">
        <f t="shared" si="6"/>
        <v>16342.851506240004</v>
      </c>
      <c r="H13" s="795">
        <f t="shared" si="7"/>
        <v>18377.536518766887</v>
      </c>
      <c r="L13" s="784" t="s">
        <v>338</v>
      </c>
      <c r="M13" s="984">
        <f t="shared" si="8"/>
        <v>58367.326808000005</v>
      </c>
      <c r="N13" s="944">
        <f t="shared" si="0"/>
        <v>38911.551205333337</v>
      </c>
      <c r="O13" s="986">
        <f t="shared" si="1"/>
        <v>511122680.85765606</v>
      </c>
      <c r="P13" s="944">
        <f t="shared" si="9"/>
        <v>332229742.55747646</v>
      </c>
      <c r="Q13" s="944">
        <f t="shared" si="2"/>
        <v>25851.110729666332</v>
      </c>
      <c r="R13" s="944">
        <f t="shared" si="10"/>
        <v>17359.157312755957</v>
      </c>
      <c r="S13" s="985">
        <f t="shared" si="11"/>
        <v>14551.662724017469</v>
      </c>
      <c r="T13" s="944">
        <f t="shared" si="12"/>
        <v>14548.629466467917</v>
      </c>
      <c r="U13" s="944">
        <f t="shared" si="13"/>
        <v>14696.35644981531</v>
      </c>
      <c r="V13" s="944">
        <f t="shared" si="14"/>
        <v>29082.499570874625</v>
      </c>
      <c r="W13" s="990">
        <f t="shared" si="15"/>
        <v>93063998.626798794</v>
      </c>
      <c r="X13" s="990">
        <f t="shared" si="16"/>
        <v>-1422.9485390037535</v>
      </c>
    </row>
    <row r="14" spans="2:24" x14ac:dyDescent="0.3">
      <c r="B14" s="784" t="s">
        <v>339</v>
      </c>
      <c r="C14" s="758">
        <f>IF('Bioenergy Calculator'!$H$75="No",'Biomass Data Assumptions'!J16,'Biomass Data Assumptions'!F16*'Biomass Data Assumptions'!$I$41)</f>
        <v>7762.3630140000014</v>
      </c>
      <c r="D14" s="758">
        <f t="shared" si="3"/>
        <v>1598.7314688468948</v>
      </c>
      <c r="E14" s="758">
        <f t="shared" si="4"/>
        <v>1073.5566204015424</v>
      </c>
      <c r="F14" s="795">
        <f t="shared" si="5"/>
        <v>908.87884003945976</v>
      </c>
      <c r="G14" s="795">
        <f t="shared" si="6"/>
        <v>2173.4616439200004</v>
      </c>
      <c r="H14" s="795">
        <f t="shared" si="7"/>
        <v>2444.0576185880404</v>
      </c>
      <c r="L14" s="784" t="s">
        <v>339</v>
      </c>
      <c r="M14" s="984">
        <f t="shared" si="8"/>
        <v>7762.3630140000014</v>
      </c>
      <c r="N14" s="944">
        <f t="shared" si="0"/>
        <v>5174.9086760000009</v>
      </c>
      <c r="O14" s="986">
        <f t="shared" si="1"/>
        <v>67975012.913598016</v>
      </c>
      <c r="P14" s="944">
        <f t="shared" si="9"/>
        <v>44183758.393838711</v>
      </c>
      <c r="Q14" s="944">
        <f t="shared" si="2"/>
        <v>3437.9800613256234</v>
      </c>
      <c r="R14" s="944">
        <f t="shared" si="10"/>
        <v>2308.6217589165908</v>
      </c>
      <c r="S14" s="985">
        <f t="shared" si="11"/>
        <v>1935.2486176501354</v>
      </c>
      <c r="T14" s="944">
        <f t="shared" si="12"/>
        <v>1934.8452199359999</v>
      </c>
      <c r="U14" s="944">
        <f t="shared" si="13"/>
        <v>1954.491664863617</v>
      </c>
      <c r="V14" s="944">
        <f t="shared" si="14"/>
        <v>3867.7275689913263</v>
      </c>
      <c r="W14" s="990">
        <f t="shared" si="15"/>
        <v>12376728.220772244</v>
      </c>
      <c r="X14" s="990">
        <f t="shared" si="16"/>
        <v>-189.24017449560762</v>
      </c>
    </row>
    <row r="15" spans="2:24" x14ac:dyDescent="0.3">
      <c r="B15" s="784" t="s">
        <v>340</v>
      </c>
      <c r="C15" s="758">
        <f>IF('Bioenergy Calculator'!$H$75="No",'Biomass Data Assumptions'!J17,'Biomass Data Assumptions'!F17*'Biomass Data Assumptions'!$I$41)</f>
        <v>37298.628905999998</v>
      </c>
      <c r="D15" s="758">
        <f t="shared" si="3"/>
        <v>7682.0024610181954</v>
      </c>
      <c r="E15" s="758">
        <f t="shared" si="4"/>
        <v>5158.5052028251657</v>
      </c>
      <c r="F15" s="795">
        <f t="shared" si="5"/>
        <v>4367.2183990888443</v>
      </c>
      <c r="G15" s="795">
        <f t="shared" si="6"/>
        <v>10443.616093680001</v>
      </c>
      <c r="H15" s="795">
        <f t="shared" si="7"/>
        <v>11743.846297343161</v>
      </c>
      <c r="L15" s="784" t="s">
        <v>340</v>
      </c>
      <c r="M15" s="984">
        <f t="shared" si="8"/>
        <v>37298.628905999998</v>
      </c>
      <c r="N15" s="944">
        <f t="shared" si="0"/>
        <v>24865.752603999998</v>
      </c>
      <c r="O15" s="986">
        <f t="shared" si="1"/>
        <v>326624093.32984197</v>
      </c>
      <c r="P15" s="944">
        <f t="shared" si="9"/>
        <v>212305660.6643973</v>
      </c>
      <c r="Q15" s="944">
        <f t="shared" si="2"/>
        <v>16519.704407322311</v>
      </c>
      <c r="R15" s="944">
        <f t="shared" si="10"/>
        <v>11093.068710500133</v>
      </c>
      <c r="S15" s="985">
        <f t="shared" si="11"/>
        <v>9298.9879371006027</v>
      </c>
      <c r="T15" s="944">
        <f t="shared" si="12"/>
        <v>9297.0495864187342</v>
      </c>
      <c r="U15" s="944">
        <f t="shared" si="13"/>
        <v>9391.4519555627339</v>
      </c>
      <c r="V15" s="944">
        <f t="shared" si="14"/>
        <v>18584.6674582376</v>
      </c>
      <c r="W15" s="990">
        <f t="shared" si="15"/>
        <v>59470935.866360322</v>
      </c>
      <c r="X15" s="990">
        <f t="shared" si="16"/>
        <v>-909.31060939664928</v>
      </c>
    </row>
    <row r="16" spans="2:24" x14ac:dyDescent="0.3">
      <c r="B16" s="784" t="s">
        <v>341</v>
      </c>
      <c r="C16" s="758">
        <f>IF('Bioenergy Calculator'!$H$75="No",'Biomass Data Assumptions'!J18,'Biomass Data Assumptions'!F18*'Biomass Data Assumptions'!$I$41)</f>
        <v>84580.071730000011</v>
      </c>
      <c r="D16" s="758">
        <f t="shared" si="3"/>
        <v>17420.059081003787</v>
      </c>
      <c r="E16" s="758">
        <f t="shared" si="4"/>
        <v>11697.66162649332</v>
      </c>
      <c r="F16" s="795">
        <f t="shared" si="5"/>
        <v>9903.3035875506521</v>
      </c>
      <c r="G16" s="795">
        <f t="shared" si="6"/>
        <v>23682.420084400004</v>
      </c>
      <c r="H16" s="795">
        <f t="shared" si="7"/>
        <v>26630.881384907807</v>
      </c>
      <c r="L16" s="784" t="s">
        <v>341</v>
      </c>
      <c r="M16" s="984">
        <f t="shared" si="8"/>
        <v>84580.071730000011</v>
      </c>
      <c r="N16" s="944">
        <f t="shared" si="0"/>
        <v>56386.714486666679</v>
      </c>
      <c r="O16" s="986">
        <f t="shared" si="1"/>
        <v>740667688.13961005</v>
      </c>
      <c r="P16" s="944">
        <f t="shared" si="9"/>
        <v>481433997.29074657</v>
      </c>
      <c r="Q16" s="944">
        <f t="shared" si="2"/>
        <v>37460.835014901953</v>
      </c>
      <c r="R16" s="944">
        <f t="shared" si="10"/>
        <v>25155.148453432539</v>
      </c>
      <c r="S16" s="985">
        <f t="shared" si="11"/>
        <v>21086.809081334701</v>
      </c>
      <c r="T16" s="944">
        <f t="shared" si="12"/>
        <v>21082.413588939431</v>
      </c>
      <c r="U16" s="944">
        <f t="shared" si="13"/>
        <v>21296.484705971761</v>
      </c>
      <c r="V16" s="944">
        <f t="shared" si="14"/>
        <v>42143.439391764696</v>
      </c>
      <c r="W16" s="990">
        <f t="shared" si="15"/>
        <v>134859006.05364704</v>
      </c>
      <c r="X16" s="990">
        <f t="shared" si="16"/>
        <v>-2061.9942025602631</v>
      </c>
    </row>
    <row r="17" spans="2:24" x14ac:dyDescent="0.3">
      <c r="B17" s="784" t="s">
        <v>342</v>
      </c>
      <c r="C17" s="758">
        <f>IF('Bioenergy Calculator'!$H$75="No",'Biomass Data Assumptions'!J19,'Biomass Data Assumptions'!F19*'Biomass Data Assumptions'!$I$41)</f>
        <v>67985.590974000006</v>
      </c>
      <c r="D17" s="758">
        <f t="shared" si="3"/>
        <v>14002.270123447644</v>
      </c>
      <c r="E17" s="758">
        <f t="shared" si="4"/>
        <v>9402.5983003387828</v>
      </c>
      <c r="F17" s="795">
        <f t="shared" si="5"/>
        <v>7960.2905651799856</v>
      </c>
      <c r="G17" s="795">
        <f t="shared" si="6"/>
        <v>19035.965472720003</v>
      </c>
      <c r="H17" s="795">
        <f t="shared" si="7"/>
        <v>21405.943174073644</v>
      </c>
      <c r="L17" s="784" t="s">
        <v>342</v>
      </c>
      <c r="M17" s="984">
        <f t="shared" si="8"/>
        <v>67985.590974000006</v>
      </c>
      <c r="N17" s="944">
        <f t="shared" si="0"/>
        <v>45323.727316000004</v>
      </c>
      <c r="O17" s="986">
        <f t="shared" si="1"/>
        <v>595349820.15931809</v>
      </c>
      <c r="P17" s="944">
        <f t="shared" si="9"/>
        <v>386977383.10355675</v>
      </c>
      <c r="Q17" s="944">
        <f t="shared" si="2"/>
        <v>30111.076460157317</v>
      </c>
      <c r="R17" s="944">
        <f t="shared" si="10"/>
        <v>20219.746787454198</v>
      </c>
      <c r="S17" s="985">
        <f t="shared" si="11"/>
        <v>16949.609379935788</v>
      </c>
      <c r="T17" s="944">
        <f t="shared" si="12"/>
        <v>16946.076276428048</v>
      </c>
      <c r="U17" s="944">
        <f t="shared" si="13"/>
        <v>17118.146967599434</v>
      </c>
      <c r="V17" s="944">
        <f t="shared" si="14"/>
        <v>33874.961017676978</v>
      </c>
      <c r="W17" s="990">
        <f t="shared" si="15"/>
        <v>108399875.25656635</v>
      </c>
      <c r="X17" s="990">
        <f t="shared" si="16"/>
        <v>-1657.4340926728992</v>
      </c>
    </row>
    <row r="18" spans="2:24" x14ac:dyDescent="0.3">
      <c r="B18" s="784" t="s">
        <v>343</v>
      </c>
      <c r="C18" s="758">
        <f>IF('Bioenergy Calculator'!$H$75="No",'Biomass Data Assumptions'!J20,'Biomass Data Assumptions'!F20*'Biomass Data Assumptions'!$I$41)</f>
        <v>44805.017992000001</v>
      </c>
      <c r="D18" s="758">
        <f t="shared" si="3"/>
        <v>9228.0136985180307</v>
      </c>
      <c r="E18" s="758">
        <f t="shared" si="4"/>
        <v>6196.6599095879146</v>
      </c>
      <c r="F18" s="795">
        <f t="shared" si="5"/>
        <v>5246.1257876075006</v>
      </c>
      <c r="G18" s="795">
        <f t="shared" si="6"/>
        <v>12545.405037760002</v>
      </c>
      <c r="H18" s="795">
        <f t="shared" si="7"/>
        <v>14107.307964961123</v>
      </c>
      <c r="L18" s="784" t="s">
        <v>343</v>
      </c>
      <c r="M18" s="984">
        <f t="shared" si="8"/>
        <v>44805.017992000001</v>
      </c>
      <c r="N18" s="944">
        <f t="shared" si="0"/>
        <v>29870.011994666667</v>
      </c>
      <c r="O18" s="986">
        <f t="shared" si="1"/>
        <v>392357542.55594403</v>
      </c>
      <c r="P18" s="944">
        <f t="shared" si="9"/>
        <v>255032402.66136363</v>
      </c>
      <c r="Q18" s="944">
        <f t="shared" si="2"/>
        <v>19844.312643715763</v>
      </c>
      <c r="R18" s="944">
        <f t="shared" si="10"/>
        <v>13325.560690529765</v>
      </c>
      <c r="S18" s="985">
        <f t="shared" si="11"/>
        <v>11170.419236567726</v>
      </c>
      <c r="T18" s="944">
        <f t="shared" si="12"/>
        <v>11168.090790731429</v>
      </c>
      <c r="U18" s="944">
        <f t="shared" si="13"/>
        <v>11281.49173795241</v>
      </c>
      <c r="V18" s="944">
        <f t="shared" si="14"/>
        <v>22324.851724180233</v>
      </c>
      <c r="W18" s="990">
        <f t="shared" si="15"/>
        <v>71439525.517376751</v>
      </c>
      <c r="X18" s="990">
        <f t="shared" si="16"/>
        <v>-1092.3103451606905</v>
      </c>
    </row>
    <row r="19" spans="2:24" x14ac:dyDescent="0.3">
      <c r="B19" s="784" t="s">
        <v>344</v>
      </c>
      <c r="C19" s="758">
        <f>IF('Bioenergy Calculator'!$H$75="No",'Biomass Data Assumptions'!J21,'Biomass Data Assumptions'!F21*'Biomass Data Assumptions'!$I$41)</f>
        <v>61948.433763999994</v>
      </c>
      <c r="D19" s="758">
        <f t="shared" si="3"/>
        <v>12758.860971286733</v>
      </c>
      <c r="E19" s="758">
        <f t="shared" si="4"/>
        <v>8567.6424911978011</v>
      </c>
      <c r="F19" s="795">
        <f t="shared" si="5"/>
        <v>7253.4124621765077</v>
      </c>
      <c r="G19" s="795">
        <f t="shared" si="6"/>
        <v>17345.56145392</v>
      </c>
      <c r="H19" s="795">
        <f t="shared" si="7"/>
        <v>19505.08385493304</v>
      </c>
      <c r="L19" s="784" t="s">
        <v>344</v>
      </c>
      <c r="M19" s="984">
        <f t="shared" si="8"/>
        <v>61948.433763999994</v>
      </c>
      <c r="N19" s="944">
        <f t="shared" si="0"/>
        <v>41298.955842666663</v>
      </c>
      <c r="O19" s="986">
        <f t="shared" si="1"/>
        <v>542482434.47134793</v>
      </c>
      <c r="P19" s="944">
        <f t="shared" si="9"/>
        <v>352613582.40637618</v>
      </c>
      <c r="Q19" s="944">
        <f t="shared" si="2"/>
        <v>27437.196601970583</v>
      </c>
      <c r="R19" s="944">
        <f t="shared" si="10"/>
        <v>18424.22234832801</v>
      </c>
      <c r="S19" s="985">
        <f t="shared" si="11"/>
        <v>15444.474909399276</v>
      </c>
      <c r="T19" s="944">
        <f t="shared" si="12"/>
        <v>15441.255547391904</v>
      </c>
      <c r="U19" s="944">
        <f t="shared" si="13"/>
        <v>15598.046268220276</v>
      </c>
      <c r="V19" s="944">
        <f t="shared" si="14"/>
        <v>30866.846177216907</v>
      </c>
      <c r="W19" s="990">
        <f t="shared" si="15"/>
        <v>98773907.767094105</v>
      </c>
      <c r="X19" s="990">
        <f t="shared" si="16"/>
        <v>-1510.2530497588687</v>
      </c>
    </row>
    <row r="20" spans="2:24" x14ac:dyDescent="0.3">
      <c r="B20" s="784" t="s">
        <v>345</v>
      </c>
      <c r="C20" s="758">
        <f>IF('Bioenergy Calculator'!$H$75="No",'Biomass Data Assumptions'!J22,'Biomass Data Assumptions'!F22*'Biomass Data Assumptions'!$I$41)</f>
        <v>53142.955320000001</v>
      </c>
      <c r="D20" s="758">
        <f t="shared" si="3"/>
        <v>10945.290095860553</v>
      </c>
      <c r="E20" s="758">
        <f t="shared" si="4"/>
        <v>7349.8200752260454</v>
      </c>
      <c r="F20" s="795">
        <f t="shared" si="5"/>
        <v>6222.397419496725</v>
      </c>
      <c r="G20" s="795">
        <f t="shared" si="6"/>
        <v>14880.027489600001</v>
      </c>
      <c r="H20" s="795">
        <f t="shared" si="7"/>
        <v>16732.590912055202</v>
      </c>
      <c r="L20" s="784" t="s">
        <v>345</v>
      </c>
      <c r="M20" s="984">
        <f t="shared" si="8"/>
        <v>53142.955320000001</v>
      </c>
      <c r="N20" s="944">
        <f t="shared" si="0"/>
        <v>35428.636879999998</v>
      </c>
      <c r="O20" s="986">
        <f t="shared" si="1"/>
        <v>465372859.73724008</v>
      </c>
      <c r="P20" s="944">
        <f t="shared" si="9"/>
        <v>302492358.82920605</v>
      </c>
      <c r="Q20" s="944">
        <f t="shared" si="2"/>
        <v>23537.216754815177</v>
      </c>
      <c r="R20" s="944">
        <f t="shared" si="10"/>
        <v>15805.365294512647</v>
      </c>
      <c r="S20" s="985">
        <f t="shared" si="11"/>
        <v>13249.165316719225</v>
      </c>
      <c r="T20" s="944">
        <f t="shared" si="12"/>
        <v>13246.403561483115</v>
      </c>
      <c r="U20" s="944">
        <f t="shared" si="13"/>
        <v>13380.907725112429</v>
      </c>
      <c r="V20" s="944">
        <f t="shared" si="14"/>
        <v>26479.368849167076</v>
      </c>
      <c r="W20" s="990">
        <f t="shared" si="15"/>
        <v>84733980.317334637</v>
      </c>
      <c r="X20" s="990">
        <f t="shared" si="16"/>
        <v>-1295.5825590520465</v>
      </c>
    </row>
    <row r="21" spans="2:24" x14ac:dyDescent="0.3">
      <c r="B21" s="784" t="s">
        <v>346</v>
      </c>
      <c r="C21" s="758">
        <f>IF('Bioenergy Calculator'!$H$75="No",'Biomass Data Assumptions'!J23,'Biomass Data Assumptions'!F23*'Biomass Data Assumptions'!$I$41)</f>
        <v>6334.3374920000015</v>
      </c>
      <c r="D21" s="758">
        <f t="shared" si="3"/>
        <v>1304.6162186041145</v>
      </c>
      <c r="E21" s="758">
        <f t="shared" si="4"/>
        <v>876.05667734548206</v>
      </c>
      <c r="F21" s="795">
        <f t="shared" si="5"/>
        <v>741.67432027643906</v>
      </c>
      <c r="G21" s="795">
        <f t="shared" si="6"/>
        <v>1773.6144977600006</v>
      </c>
      <c r="H21" s="795">
        <f t="shared" si="7"/>
        <v>1994.4295027311209</v>
      </c>
      <c r="L21" s="784" t="s">
        <v>346</v>
      </c>
      <c r="M21" s="984">
        <f t="shared" si="8"/>
        <v>6334.3374920000015</v>
      </c>
      <c r="N21" s="944">
        <f t="shared" si="0"/>
        <v>4222.891661333334</v>
      </c>
      <c r="O21" s="986">
        <f t="shared" si="1"/>
        <v>55469793.417444013</v>
      </c>
      <c r="P21" s="944">
        <f t="shared" si="9"/>
        <v>36055365.721338607</v>
      </c>
      <c r="Q21" s="944">
        <f t="shared" si="2"/>
        <v>2805.502133812387</v>
      </c>
      <c r="R21" s="944">
        <f t="shared" si="10"/>
        <v>1883.9094919907272</v>
      </c>
      <c r="S21" s="985">
        <f t="shared" si="11"/>
        <v>1579.2250185946309</v>
      </c>
      <c r="T21" s="944">
        <f t="shared" si="12"/>
        <v>1578.8958331055951</v>
      </c>
      <c r="U21" s="944">
        <f t="shared" si="13"/>
        <v>1594.927963072342</v>
      </c>
      <c r="V21" s="944">
        <f t="shared" si="14"/>
        <v>3156.1899005389355</v>
      </c>
      <c r="W21" s="990">
        <f t="shared" si="15"/>
        <v>10099807.681724593</v>
      </c>
      <c r="X21" s="990">
        <f t="shared" si="16"/>
        <v>-154.42605945356902</v>
      </c>
    </row>
    <row r="22" spans="2:24" x14ac:dyDescent="0.3">
      <c r="B22" s="784" t="s">
        <v>347</v>
      </c>
      <c r="C22" s="758">
        <f>IF('Bioenergy Calculator'!$H$75="No",'Biomass Data Assumptions'!J24,'Biomass Data Assumptions'!F24*'Biomass Data Assumptions'!$I$41)</f>
        <v>31571.004234</v>
      </c>
      <c r="D22" s="758">
        <f t="shared" si="3"/>
        <v>6502.3444382801372</v>
      </c>
      <c r="E22" s="758">
        <f t="shared" si="4"/>
        <v>4366.3586136086142</v>
      </c>
      <c r="F22" s="795">
        <f t="shared" si="5"/>
        <v>3696.5828131622579</v>
      </c>
      <c r="G22" s="795">
        <f t="shared" si="6"/>
        <v>8839.8811855200001</v>
      </c>
      <c r="H22" s="795">
        <f t="shared" si="7"/>
        <v>9940.4463931172413</v>
      </c>
      <c r="L22" s="784" t="s">
        <v>347</v>
      </c>
      <c r="M22" s="984">
        <f t="shared" si="8"/>
        <v>31571.004234</v>
      </c>
      <c r="N22" s="944">
        <f t="shared" si="0"/>
        <v>21047.336155999998</v>
      </c>
      <c r="O22" s="986">
        <f t="shared" si="1"/>
        <v>276467284.07713801</v>
      </c>
      <c r="P22" s="944">
        <f t="shared" si="9"/>
        <v>179703734.65013972</v>
      </c>
      <c r="Q22" s="944">
        <f t="shared" si="2"/>
        <v>13982.917685859058</v>
      </c>
      <c r="R22" s="944">
        <f t="shared" si="10"/>
        <v>9389.6030363441896</v>
      </c>
      <c r="S22" s="985">
        <f t="shared" si="11"/>
        <v>7871.0235776761192</v>
      </c>
      <c r="T22" s="944">
        <f t="shared" si="12"/>
        <v>7869.3828825787632</v>
      </c>
      <c r="U22" s="944">
        <f t="shared" si="13"/>
        <v>7949.2887044108747</v>
      </c>
      <c r="V22" s="944">
        <f t="shared" si="14"/>
        <v>15730.782396591439</v>
      </c>
      <c r="W22" s="990">
        <f t="shared" si="15"/>
        <v>50338503.66909261</v>
      </c>
      <c r="X22" s="990">
        <f t="shared" si="16"/>
        <v>-769.6757211004259</v>
      </c>
    </row>
    <row r="23" spans="2:24" x14ac:dyDescent="0.3">
      <c r="B23" s="784" t="s">
        <v>348</v>
      </c>
      <c r="C23" s="758">
        <f>IF('Bioenergy Calculator'!$H$75="No",'Biomass Data Assumptions'!J25,'Biomass Data Assumptions'!F25*'Biomass Data Assumptions'!$I$41)</f>
        <v>11913.24309</v>
      </c>
      <c r="D23" s="758">
        <f t="shared" si="3"/>
        <v>2453.6441531599071</v>
      </c>
      <c r="E23" s="758">
        <f t="shared" si="4"/>
        <v>1647.6350006635266</v>
      </c>
      <c r="F23" s="795">
        <f t="shared" si="5"/>
        <v>1394.8967010714073</v>
      </c>
      <c r="G23" s="795">
        <f t="shared" si="6"/>
        <v>3335.7080652000004</v>
      </c>
      <c r="H23" s="795">
        <f t="shared" si="7"/>
        <v>3751.0037193174007</v>
      </c>
      <c r="L23" s="784" t="s">
        <v>348</v>
      </c>
      <c r="M23" s="984">
        <f t="shared" si="8"/>
        <v>11913.24309</v>
      </c>
      <c r="N23" s="944">
        <f t="shared" si="0"/>
        <v>7942.1620600000006</v>
      </c>
      <c r="O23" s="986">
        <f t="shared" si="1"/>
        <v>104324269.73913001</v>
      </c>
      <c r="P23" s="944">
        <f t="shared" si="9"/>
        <v>67810775.330434501</v>
      </c>
      <c r="Q23" s="944">
        <f t="shared" si="2"/>
        <v>5276.420612547412</v>
      </c>
      <c r="R23" s="944">
        <f t="shared" si="10"/>
        <v>3543.1442934622746</v>
      </c>
      <c r="S23" s="985">
        <f t="shared" si="11"/>
        <v>2970.1119594730312</v>
      </c>
      <c r="T23" s="944">
        <f t="shared" si="12"/>
        <v>2969.4928470942646</v>
      </c>
      <c r="U23" s="944">
        <f t="shared" si="13"/>
        <v>2999.6451182332039</v>
      </c>
      <c r="V23" s="944">
        <f t="shared" si="14"/>
        <v>5935.973189115839</v>
      </c>
      <c r="W23" s="990">
        <f t="shared" si="15"/>
        <v>18995114.205170684</v>
      </c>
      <c r="X23" s="990">
        <f t="shared" si="16"/>
        <v>-290.43529619705976</v>
      </c>
    </row>
    <row r="24" spans="2:24" x14ac:dyDescent="0.3">
      <c r="B24" s="784" t="s">
        <v>349</v>
      </c>
      <c r="C24" s="758">
        <f>IF('Bioenergy Calculator'!$H$75="No",'Biomass Data Assumptions'!J26,'Biomass Data Assumptions'!F26*'Biomass Data Assumptions'!$I$41)</f>
        <v>4518.674509999998</v>
      </c>
      <c r="D24" s="758">
        <f t="shared" si="3"/>
        <v>930.66339767723184</v>
      </c>
      <c r="E24" s="758">
        <f t="shared" si="4"/>
        <v>624.94538414410101</v>
      </c>
      <c r="F24" s="795">
        <f t="shared" si="5"/>
        <v>529.08214157950636</v>
      </c>
      <c r="G24" s="795">
        <f t="shared" si="6"/>
        <v>1265.2288627999997</v>
      </c>
      <c r="H24" s="795">
        <f t="shared" si="7"/>
        <v>1422.7498562185997</v>
      </c>
      <c r="L24" s="784" t="s">
        <v>349</v>
      </c>
      <c r="M24" s="984">
        <f t="shared" si="8"/>
        <v>4518.674509999998</v>
      </c>
      <c r="N24" s="944">
        <f t="shared" si="0"/>
        <v>3012.4496733333317</v>
      </c>
      <c r="O24" s="986">
        <f t="shared" si="1"/>
        <v>39570032.684069984</v>
      </c>
      <c r="P24" s="944">
        <f t="shared" si="9"/>
        <v>25720521.244645491</v>
      </c>
      <c r="Q24" s="944">
        <f t="shared" si="2"/>
        <v>2001.338102969622</v>
      </c>
      <c r="R24" s="944">
        <f t="shared" si="10"/>
        <v>1343.9091004160757</v>
      </c>
      <c r="S24" s="985">
        <f t="shared" si="11"/>
        <v>1126.5588305154724</v>
      </c>
      <c r="T24" s="944">
        <f t="shared" si="12"/>
        <v>1126.3240021565089</v>
      </c>
      <c r="U24" s="944">
        <f t="shared" si="13"/>
        <v>1137.7607115382302</v>
      </c>
      <c r="V24" s="944">
        <f>Q24*1.125</f>
        <v>2251.5053658408247</v>
      </c>
      <c r="W24" s="990">
        <f t="shared" si="15"/>
        <v>7204817.1706906389</v>
      </c>
      <c r="X24" s="990">
        <f t="shared" si="16"/>
        <v>-110.16165453985987</v>
      </c>
    </row>
    <row r="25" spans="2:24" ht="15" thickBot="1" x14ac:dyDescent="0.35">
      <c r="B25" s="786" t="s">
        <v>350</v>
      </c>
      <c r="C25" s="787">
        <f>IF('Bioenergy Calculator'!$H$75="No",'Biomass Data Assumptions'!J27,'Biomass Data Assumptions'!F27*'Biomass Data Assumptions'!$I$41)</f>
        <v>2363.0571299999992</v>
      </c>
      <c r="D25" s="787">
        <f t="shared" si="3"/>
        <v>486.69377992246854</v>
      </c>
      <c r="E25" s="787">
        <f t="shared" si="4"/>
        <v>326.81744228183129</v>
      </c>
      <c r="F25" s="796">
        <f t="shared" si="5"/>
        <v>276.68541388592337</v>
      </c>
      <c r="G25" s="795">
        <f t="shared" si="6"/>
        <v>661.65599639999982</v>
      </c>
      <c r="H25" s="795">
        <f t="shared" si="7"/>
        <v>744.03216795179981</v>
      </c>
      <c r="L25" s="786" t="s">
        <v>350</v>
      </c>
      <c r="M25" s="984">
        <f t="shared" si="8"/>
        <v>2363.0571299999992</v>
      </c>
      <c r="N25" s="944">
        <f t="shared" si="0"/>
        <v>1575.3714199999995</v>
      </c>
      <c r="O25" s="986">
        <f t="shared" si="1"/>
        <v>20693291.287409995</v>
      </c>
      <c r="P25" s="944">
        <f t="shared" si="9"/>
        <v>13450639.336816497</v>
      </c>
      <c r="Q25" s="944">
        <f t="shared" si="2"/>
        <v>1046.6069780633616</v>
      </c>
      <c r="R25" s="944">
        <f t="shared" si="10"/>
        <v>702.80211039367259</v>
      </c>
      <c r="S25" s="985">
        <f t="shared" si="11"/>
        <v>589.13800295256249</v>
      </c>
      <c r="T25" s="944">
        <f t="shared" si="12"/>
        <v>589.01519861541749</v>
      </c>
      <c r="U25" s="944">
        <f t="shared" si="13"/>
        <v>594.99606702902111</v>
      </c>
      <c r="V25" s="944">
        <f>Q25*1.125</f>
        <v>1177.4328503212819</v>
      </c>
      <c r="W25" s="990">
        <f>Q25*3600</f>
        <v>3767785.1210281015</v>
      </c>
      <c r="X25" s="990">
        <f t="shared" si="16"/>
        <v>-57.609434500519669</v>
      </c>
    </row>
    <row r="26" spans="2:24" ht="15" thickTop="1" x14ac:dyDescent="0.3">
      <c r="B26" s="789" t="s">
        <v>351</v>
      </c>
      <c r="C26" s="790">
        <f>SUM(C5:C25)</f>
        <v>704611.81300999993</v>
      </c>
      <c r="D26" s="790">
        <f t="shared" ref="D26:F26" si="17">SUM(D5:D25)</f>
        <v>145121.41170783315</v>
      </c>
      <c r="E26" s="790">
        <f t="shared" si="17"/>
        <v>97449.794000322043</v>
      </c>
      <c r="F26" s="790">
        <f t="shared" si="17"/>
        <v>82501.522555903153</v>
      </c>
      <c r="G26" s="917">
        <f>SUM(G5:G25)</f>
        <v>197291.30764280003</v>
      </c>
      <c r="H26" s="917">
        <f>SUM(H5:H25)</f>
        <v>221854.07544432866</v>
      </c>
      <c r="L26" s="789" t="s">
        <v>351</v>
      </c>
      <c r="M26" s="984">
        <f>SUM(C5:C25)</f>
        <v>704611.81300999993</v>
      </c>
      <c r="N26" s="944">
        <f t="shared" ref="N26:S26" si="18">SUM(N5:N25)</f>
        <v>469741.20867333328</v>
      </c>
      <c r="O26" s="986">
        <f t="shared" si="18"/>
        <v>6170285646.5285702</v>
      </c>
      <c r="P26" s="944">
        <f t="shared" si="18"/>
        <v>4010685670.2435708</v>
      </c>
      <c r="Q26" s="944">
        <f t="shared" si="18"/>
        <v>312075.24818587134</v>
      </c>
      <c r="R26" s="944">
        <f t="shared" si="18"/>
        <v>209560.17647856867</v>
      </c>
      <c r="S26" s="985">
        <f t="shared" si="18"/>
        <v>175668.03235666844</v>
      </c>
      <c r="T26" s="944">
        <f t="shared" ref="T26:X26" si="19">SUM(T5:T25)</f>
        <v>175631.41479649904</v>
      </c>
      <c r="U26" s="944">
        <f t="shared" si="19"/>
        <v>177414.77859366778</v>
      </c>
      <c r="V26" s="944">
        <f t="shared" si="19"/>
        <v>351084.65420910518</v>
      </c>
      <c r="W26" s="993">
        <f t="shared" si="19"/>
        <v>1123470893.4691365</v>
      </c>
      <c r="X26" s="993">
        <f t="shared" si="19"/>
        <v>-17177.869961143097</v>
      </c>
    </row>
    <row r="27" spans="2:24" x14ac:dyDescent="0.3">
      <c r="S27" s="983" t="s">
        <v>154</v>
      </c>
    </row>
    <row r="28" spans="2:24" x14ac:dyDescent="0.3">
      <c r="B28" s="725" t="s">
        <v>1071</v>
      </c>
      <c r="C28" s="726"/>
      <c r="D28" s="726"/>
      <c r="E28" s="726"/>
      <c r="F28" s="726"/>
      <c r="G28" s="726"/>
      <c r="H28" s="726"/>
      <c r="I28" s="726"/>
      <c r="J28" s="726"/>
      <c r="K28" s="726"/>
      <c r="L28" s="726"/>
      <c r="M28" s="726"/>
      <c r="N28" s="726"/>
      <c r="O28" s="726"/>
    </row>
    <row r="29" spans="2:24" x14ac:dyDescent="0.3">
      <c r="B29" s="726" t="s">
        <v>1095</v>
      </c>
      <c r="C29" s="726"/>
      <c r="D29" s="726"/>
      <c r="E29" s="726"/>
      <c r="F29" s="726"/>
      <c r="G29" s="726"/>
      <c r="H29" s="726"/>
      <c r="I29" s="726"/>
      <c r="J29" s="726"/>
      <c r="K29" s="726"/>
      <c r="L29" s="726" t="s">
        <v>1493</v>
      </c>
      <c r="M29" s="726"/>
      <c r="N29" s="726"/>
      <c r="O29" s="726"/>
      <c r="P29" s="944" t="e">
        <f>#REF!*0.9*3192</f>
        <v>#REF!</v>
      </c>
    </row>
    <row r="30" spans="2:24" x14ac:dyDescent="0.3">
      <c r="B30" s="726" t="s">
        <v>1263</v>
      </c>
      <c r="C30" s="726"/>
      <c r="D30" s="726"/>
      <c r="E30" s="726"/>
      <c r="F30" s="726"/>
      <c r="G30" s="726"/>
      <c r="H30" s="726"/>
      <c r="I30" s="726"/>
      <c r="J30" s="726"/>
      <c r="K30" s="726"/>
      <c r="L30" s="726" t="s">
        <v>1495</v>
      </c>
      <c r="M30" s="726"/>
      <c r="N30" s="726"/>
      <c r="O30" s="726"/>
    </row>
    <row r="31" spans="2:24" x14ac:dyDescent="0.3">
      <c r="B31" s="726" t="s">
        <v>1264</v>
      </c>
      <c r="C31" s="726"/>
      <c r="D31" s="726"/>
      <c r="E31" s="726"/>
      <c r="F31" s="726"/>
      <c r="G31" s="726"/>
      <c r="H31" s="726"/>
      <c r="I31" s="726"/>
      <c r="J31" s="726"/>
      <c r="K31" s="726"/>
      <c r="L31" s="726" t="s">
        <v>1496</v>
      </c>
      <c r="M31" s="726"/>
      <c r="N31" s="726"/>
      <c r="O31" s="726"/>
      <c r="T31" s="988" t="s">
        <v>1505</v>
      </c>
    </row>
    <row r="32" spans="2:24" x14ac:dyDescent="0.3">
      <c r="B32" s="726" t="s">
        <v>1265</v>
      </c>
      <c r="C32" s="726"/>
      <c r="D32" s="726"/>
      <c r="E32" s="726"/>
      <c r="F32" s="726"/>
      <c r="G32" s="726"/>
      <c r="H32" s="726"/>
      <c r="I32" s="726"/>
      <c r="J32" s="726"/>
      <c r="K32" s="726"/>
      <c r="L32" s="726"/>
      <c r="M32" s="726"/>
      <c r="N32" s="726"/>
      <c r="O32" s="726"/>
      <c r="T32" s="988" t="s">
        <v>1507</v>
      </c>
    </row>
    <row r="33" spans="2:23" x14ac:dyDescent="0.3">
      <c r="B33" s="726" t="s">
        <v>1097</v>
      </c>
      <c r="C33" s="726"/>
      <c r="D33" s="726"/>
      <c r="E33" s="726"/>
      <c r="F33" s="726"/>
      <c r="G33" s="726"/>
      <c r="H33" s="726"/>
      <c r="I33" s="726"/>
      <c r="J33" s="726"/>
      <c r="K33" s="726"/>
      <c r="L33" s="725" t="s">
        <v>1071</v>
      </c>
      <c r="M33" s="726"/>
      <c r="N33" s="726"/>
      <c r="O33" s="726"/>
      <c r="W33" s="984">
        <f xml:space="preserve"> M26+N26</f>
        <v>1174353.0216833332</v>
      </c>
    </row>
    <row r="34" spans="2:23" x14ac:dyDescent="0.3">
      <c r="B34" s="726"/>
      <c r="C34" s="726"/>
      <c r="D34" s="726"/>
      <c r="E34" s="726"/>
      <c r="F34" s="726"/>
      <c r="G34" s="726"/>
      <c r="H34" s="726"/>
      <c r="I34" s="726"/>
      <c r="J34" s="726"/>
      <c r="K34" s="726"/>
      <c r="L34" s="726" t="s">
        <v>1095</v>
      </c>
      <c r="M34" s="726"/>
      <c r="N34" s="726"/>
      <c r="O34" s="726"/>
    </row>
    <row r="35" spans="2:23" ht="15" x14ac:dyDescent="0.35">
      <c r="B35" s="725" t="s">
        <v>1266</v>
      </c>
      <c r="C35" s="726"/>
      <c r="D35" s="726"/>
      <c r="E35" s="726"/>
      <c r="F35" s="726"/>
      <c r="G35" s="726"/>
      <c r="H35" s="726"/>
      <c r="I35" s="726"/>
      <c r="J35" s="726"/>
      <c r="K35" s="726"/>
      <c r="L35" s="726"/>
      <c r="M35" s="726"/>
      <c r="N35" s="726"/>
      <c r="O35" s="726"/>
    </row>
    <row r="36" spans="2:23" x14ac:dyDescent="0.3">
      <c r="B36" s="726" t="s">
        <v>1124</v>
      </c>
      <c r="C36" s="726"/>
      <c r="D36" s="726"/>
      <c r="E36" s="726"/>
      <c r="F36" s="726"/>
      <c r="G36" s="726"/>
      <c r="H36" s="726"/>
      <c r="I36" s="726"/>
      <c r="J36" s="726"/>
      <c r="K36" s="726"/>
      <c r="L36" s="726" t="s">
        <v>1264</v>
      </c>
      <c r="M36" s="726"/>
      <c r="N36" s="726"/>
      <c r="O36" s="726"/>
    </row>
    <row r="37" spans="2:23" x14ac:dyDescent="0.3">
      <c r="B37" s="726" t="s">
        <v>1267</v>
      </c>
      <c r="C37" s="726"/>
      <c r="D37" s="726"/>
      <c r="E37" s="726"/>
      <c r="F37" s="726"/>
      <c r="G37" s="726"/>
      <c r="H37" s="726"/>
      <c r="I37" s="726"/>
      <c r="J37" s="726"/>
      <c r="K37" s="726"/>
      <c r="L37" s="726" t="s">
        <v>1265</v>
      </c>
      <c r="M37" s="726"/>
      <c r="N37" s="726"/>
      <c r="O37" s="726"/>
    </row>
    <row r="38" spans="2:23" x14ac:dyDescent="0.3">
      <c r="B38" s="726" t="s">
        <v>1126</v>
      </c>
      <c r="C38" s="726"/>
      <c r="D38" s="726"/>
      <c r="E38" s="726"/>
      <c r="F38" s="726"/>
      <c r="G38" s="726"/>
      <c r="H38" s="726"/>
      <c r="I38" s="726"/>
      <c r="J38" s="726"/>
      <c r="K38" s="726"/>
      <c r="L38" s="726" t="s">
        <v>1097</v>
      </c>
      <c r="M38" s="726"/>
      <c r="N38" s="726"/>
      <c r="O38" s="726"/>
    </row>
    <row r="39" spans="2:23" ht="15" x14ac:dyDescent="0.35">
      <c r="B39" s="726" t="s">
        <v>1268</v>
      </c>
      <c r="C39" s="726"/>
      <c r="D39" s="726"/>
      <c r="E39" s="726"/>
      <c r="F39" s="726"/>
      <c r="G39" s="726"/>
      <c r="H39" s="726"/>
      <c r="I39" s="726"/>
      <c r="J39" s="726"/>
      <c r="K39" s="726"/>
      <c r="L39" s="726"/>
      <c r="M39" s="726"/>
      <c r="N39" s="726"/>
      <c r="O39" s="726"/>
    </row>
    <row r="40" spans="2:23" x14ac:dyDescent="0.3">
      <c r="B40" s="726" t="s">
        <v>1077</v>
      </c>
      <c r="C40" s="726"/>
      <c r="D40" s="726"/>
      <c r="E40" s="726"/>
      <c r="F40" s="726"/>
      <c r="G40" s="726"/>
      <c r="H40" s="726"/>
      <c r="I40" s="726"/>
      <c r="J40" s="726"/>
      <c r="K40" s="726"/>
      <c r="L40" s="726" t="s">
        <v>1501</v>
      </c>
      <c r="M40" s="726"/>
      <c r="N40" s="726"/>
      <c r="O40" s="726"/>
    </row>
    <row r="41" spans="2:23" x14ac:dyDescent="0.3">
      <c r="B41" s="726" t="s">
        <v>1075</v>
      </c>
      <c r="C41" s="726"/>
      <c r="D41" s="726"/>
      <c r="E41" s="726"/>
      <c r="F41" s="726"/>
      <c r="G41" s="726"/>
      <c r="H41" s="726"/>
      <c r="I41" s="726"/>
      <c r="J41" s="726"/>
      <c r="K41" s="726"/>
      <c r="L41" s="726" t="s">
        <v>1509</v>
      </c>
      <c r="M41" s="726"/>
      <c r="N41" s="726"/>
      <c r="O41" s="726"/>
    </row>
    <row r="42" spans="2:23" x14ac:dyDescent="0.3">
      <c r="B42" s="726"/>
      <c r="C42" s="726"/>
      <c r="D42" s="726"/>
      <c r="E42" s="726"/>
      <c r="F42" s="726"/>
      <c r="G42" s="726"/>
      <c r="H42" s="726"/>
      <c r="I42" s="726"/>
      <c r="J42" s="726"/>
      <c r="K42" s="726"/>
      <c r="L42" s="726"/>
      <c r="M42" s="726" t="s">
        <v>1510</v>
      </c>
      <c r="N42" s="726"/>
      <c r="O42" s="726"/>
    </row>
    <row r="43" spans="2:23" ht="15" x14ac:dyDescent="0.35">
      <c r="B43" s="726" t="s">
        <v>1269</v>
      </c>
      <c r="C43" s="726"/>
      <c r="D43" s="726"/>
      <c r="E43" s="726"/>
      <c r="F43" s="726"/>
      <c r="G43" s="726"/>
      <c r="H43" s="726"/>
      <c r="I43" s="726"/>
      <c r="J43" s="726"/>
      <c r="K43" s="726"/>
      <c r="L43" s="726"/>
      <c r="M43" s="726"/>
      <c r="N43" s="726"/>
      <c r="O43" s="726"/>
    </row>
    <row r="44" spans="2:23" ht="15" x14ac:dyDescent="0.35">
      <c r="B44" s="728" t="s">
        <v>1080</v>
      </c>
      <c r="C44" s="729" t="s">
        <v>1270</v>
      </c>
      <c r="D44" s="729"/>
      <c r="E44" s="729"/>
      <c r="F44" s="729"/>
      <c r="G44" s="729"/>
      <c r="H44" s="729"/>
      <c r="I44" s="729"/>
      <c r="J44" s="729"/>
      <c r="K44" s="729"/>
      <c r="L44" s="729"/>
      <c r="M44" s="729"/>
      <c r="N44" s="729"/>
      <c r="O44" s="730"/>
    </row>
    <row r="45" spans="2:23" x14ac:dyDescent="0.3">
      <c r="B45" s="736"/>
      <c r="C45" s="737"/>
      <c r="D45" s="737"/>
      <c r="E45" s="737"/>
      <c r="F45" s="737"/>
      <c r="G45" s="737"/>
      <c r="H45" s="737"/>
      <c r="I45" s="737"/>
      <c r="J45" s="737"/>
      <c r="K45" s="737"/>
      <c r="L45" s="737"/>
      <c r="M45" s="737"/>
      <c r="N45" s="737"/>
      <c r="O45" s="798"/>
    </row>
    <row r="46" spans="2:23" x14ac:dyDescent="0.3">
      <c r="B46" s="736" t="s">
        <v>1081</v>
      </c>
      <c r="C46" s="737"/>
      <c r="D46" s="737"/>
      <c r="E46" s="737"/>
      <c r="F46" s="737"/>
      <c r="G46" s="737"/>
      <c r="H46" s="737"/>
      <c r="I46" s="737"/>
      <c r="J46" s="737"/>
      <c r="K46" s="737"/>
      <c r="L46" s="737"/>
      <c r="M46" s="737"/>
      <c r="N46" s="737"/>
      <c r="O46" s="798"/>
    </row>
    <row r="47" spans="2:23" x14ac:dyDescent="0.3">
      <c r="B47" s="736"/>
      <c r="C47" s="737" t="s">
        <v>1127</v>
      </c>
      <c r="D47" s="737"/>
      <c r="E47" s="737"/>
      <c r="F47" s="737"/>
      <c r="G47" s="737"/>
      <c r="H47" s="737"/>
      <c r="I47" s="737"/>
      <c r="J47" s="737"/>
      <c r="K47" s="737"/>
      <c r="L47" s="737"/>
      <c r="M47" s="737"/>
      <c r="N47" s="737"/>
      <c r="O47" s="798"/>
    </row>
    <row r="48" spans="2:23" x14ac:dyDescent="0.3">
      <c r="B48" s="736" t="s">
        <v>1083</v>
      </c>
      <c r="C48" s="737"/>
      <c r="D48" s="737"/>
      <c r="E48" s="737"/>
      <c r="F48" s="737"/>
      <c r="G48" s="737"/>
      <c r="H48" s="737"/>
      <c r="I48" s="737"/>
      <c r="J48" s="737"/>
      <c r="K48" s="737"/>
      <c r="L48" s="737"/>
      <c r="M48" s="737"/>
      <c r="N48" s="737"/>
      <c r="O48" s="798"/>
    </row>
    <row r="49" spans="2:15" x14ac:dyDescent="0.3">
      <c r="B49" s="736"/>
      <c r="C49" s="737" t="s">
        <v>1128</v>
      </c>
      <c r="D49" s="737"/>
      <c r="E49" s="737"/>
      <c r="F49" s="737"/>
      <c r="G49" s="737"/>
      <c r="H49" s="737"/>
      <c r="I49" s="737"/>
      <c r="J49" s="737"/>
      <c r="K49" s="737"/>
      <c r="L49" s="737"/>
      <c r="M49" s="737"/>
      <c r="N49" s="737"/>
      <c r="O49" s="798"/>
    </row>
    <row r="50" spans="2:15" ht="15" x14ac:dyDescent="0.35">
      <c r="B50" s="736" t="s">
        <v>1234</v>
      </c>
      <c r="C50" s="737"/>
      <c r="D50" s="737"/>
      <c r="E50" s="737"/>
      <c r="F50" s="737"/>
      <c r="G50" s="737"/>
      <c r="H50" s="737"/>
      <c r="I50" s="737"/>
      <c r="J50" s="737"/>
      <c r="K50" s="737"/>
      <c r="L50" s="737"/>
      <c r="M50" s="737"/>
      <c r="N50" s="737"/>
      <c r="O50" s="798"/>
    </row>
    <row r="51" spans="2:15" ht="15" x14ac:dyDescent="0.35">
      <c r="B51" s="736"/>
      <c r="C51" s="737" t="s">
        <v>1271</v>
      </c>
      <c r="D51" s="737"/>
      <c r="E51" s="737"/>
      <c r="F51" s="737"/>
      <c r="G51" s="737"/>
      <c r="H51" s="737"/>
      <c r="I51" s="737"/>
      <c r="J51" s="737"/>
      <c r="K51" s="737"/>
      <c r="L51" s="737"/>
      <c r="M51" s="737"/>
      <c r="N51" s="737"/>
      <c r="O51" s="798"/>
    </row>
    <row r="52" spans="2:15" ht="15" x14ac:dyDescent="0.35">
      <c r="B52" s="738" t="s">
        <v>1236</v>
      </c>
      <c r="C52" s="791"/>
      <c r="D52" s="791"/>
      <c r="E52" s="791"/>
      <c r="F52" s="791"/>
      <c r="G52" s="791"/>
      <c r="H52" s="791"/>
      <c r="I52" s="791"/>
      <c r="J52" s="791"/>
      <c r="K52" s="791"/>
      <c r="L52" s="791"/>
      <c r="M52" s="791"/>
      <c r="N52" s="791"/>
      <c r="O52" s="799"/>
    </row>
    <row r="53" spans="2:15" x14ac:dyDescent="0.3">
      <c r="B53" s="726"/>
      <c r="C53" s="726"/>
      <c r="D53" s="726"/>
      <c r="E53" s="726"/>
      <c r="F53" s="726"/>
      <c r="G53" s="726"/>
      <c r="H53" s="726"/>
      <c r="I53" s="726"/>
      <c r="J53" s="726"/>
      <c r="K53" s="726"/>
      <c r="L53" s="726"/>
      <c r="M53" s="726"/>
      <c r="N53" s="726"/>
      <c r="O53" s="726"/>
    </row>
    <row r="54" spans="2:15" x14ac:dyDescent="0.3">
      <c r="B54" s="726" t="s">
        <v>1085</v>
      </c>
      <c r="C54" s="726"/>
      <c r="D54" s="726"/>
      <c r="E54" s="726"/>
      <c r="F54" s="726"/>
      <c r="G54" s="726"/>
      <c r="H54" s="726"/>
      <c r="I54" s="726"/>
      <c r="J54" s="726"/>
      <c r="K54" s="726"/>
      <c r="L54" s="726"/>
      <c r="M54" s="726"/>
      <c r="N54" s="726"/>
      <c r="O54" s="726"/>
    </row>
    <row r="55" spans="2:15" x14ac:dyDescent="0.3">
      <c r="B55" s="726" t="s">
        <v>1272</v>
      </c>
      <c r="C55" s="726"/>
      <c r="D55" s="726"/>
      <c r="E55" s="726"/>
      <c r="F55" s="726"/>
      <c r="G55" s="726"/>
      <c r="H55" s="726"/>
      <c r="I55" s="726"/>
      <c r="J55" s="726"/>
      <c r="K55" s="726"/>
      <c r="L55" s="726"/>
      <c r="M55" s="726"/>
      <c r="N55" s="726"/>
      <c r="O55" s="726"/>
    </row>
    <row r="56" spans="2:15" x14ac:dyDescent="0.3">
      <c r="B56" s="797" t="s">
        <v>1273</v>
      </c>
      <c r="C56" s="726"/>
      <c r="D56" s="726"/>
      <c r="E56" s="726"/>
      <c r="F56" s="726"/>
      <c r="G56" s="726"/>
      <c r="H56" s="726"/>
      <c r="I56" s="726"/>
      <c r="J56" s="726"/>
      <c r="K56" s="726"/>
      <c r="L56" s="726"/>
      <c r="M56" s="726"/>
      <c r="N56" s="726"/>
      <c r="O56" s="726"/>
    </row>
    <row r="57" spans="2:15" x14ac:dyDescent="0.3">
      <c r="B57" s="797" t="s">
        <v>1274</v>
      </c>
      <c r="C57" s="726"/>
      <c r="D57" s="726"/>
      <c r="E57" s="726"/>
      <c r="F57" s="726"/>
      <c r="G57" s="726"/>
      <c r="H57" s="726"/>
      <c r="I57" s="726"/>
      <c r="J57" s="726"/>
      <c r="K57" s="726"/>
      <c r="L57" s="726"/>
      <c r="M57" s="726"/>
      <c r="N57" s="726"/>
      <c r="O57" s="726"/>
    </row>
    <row r="58" spans="2:15" x14ac:dyDescent="0.3">
      <c r="B58" s="797" t="s">
        <v>1257</v>
      </c>
      <c r="C58" s="726"/>
      <c r="D58" s="726"/>
      <c r="E58" s="726"/>
      <c r="F58" s="726"/>
      <c r="G58" s="726"/>
      <c r="H58" s="726"/>
      <c r="I58" s="726"/>
      <c r="J58" s="726"/>
      <c r="K58" s="726"/>
      <c r="L58" s="726"/>
      <c r="M58" s="726"/>
      <c r="N58" s="726"/>
      <c r="O58" s="726"/>
    </row>
    <row r="59" spans="2:15" x14ac:dyDescent="0.3">
      <c r="B59" s="797" t="s">
        <v>1258</v>
      </c>
      <c r="C59" s="726"/>
      <c r="D59" s="726"/>
      <c r="E59" s="726"/>
      <c r="F59" s="726"/>
      <c r="G59" s="726"/>
      <c r="H59" s="726"/>
      <c r="I59" s="726"/>
      <c r="J59" s="726"/>
      <c r="K59" s="726"/>
      <c r="L59" s="726"/>
      <c r="M59" s="726"/>
      <c r="N59" s="726"/>
      <c r="O59" s="726"/>
    </row>
    <row r="60" spans="2:15" x14ac:dyDescent="0.3">
      <c r="B60" s="658"/>
    </row>
    <row r="61" spans="2:15" x14ac:dyDescent="0.3">
      <c r="B61" s="658"/>
    </row>
    <row r="62" spans="2:15" x14ac:dyDescent="0.3">
      <c r="B62" s="658"/>
    </row>
    <row r="63" spans="2:15" x14ac:dyDescent="0.3">
      <c r="B63" s="658"/>
    </row>
  </sheetData>
  <pageMargins left="0.7" right="0.7" top="0.75" bottom="0.75" header="0.3" footer="0.3"/>
  <pageSetup orientation="portrait" verticalDpi="0"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69"/>
  <sheetViews>
    <sheetView topLeftCell="U1" workbookViewId="0">
      <selection activeCell="Z26" sqref="Z26"/>
    </sheetView>
  </sheetViews>
  <sheetFormatPr defaultColWidth="9.109375" defaultRowHeight="14.4" x14ac:dyDescent="0.3"/>
  <cols>
    <col min="1" max="1" width="9.109375" style="650"/>
    <col min="2" max="2" width="15.6640625" style="650" customWidth="1"/>
    <col min="3" max="3" width="13.6640625" style="650" customWidth="1"/>
    <col min="4" max="5" width="18.6640625" style="650" customWidth="1"/>
    <col min="6" max="6" width="22.33203125" style="650" customWidth="1"/>
    <col min="7" max="7" width="27.33203125" style="650" customWidth="1"/>
    <col min="8" max="8" width="20.6640625" style="650" customWidth="1"/>
    <col min="9" max="10" width="28" style="650" customWidth="1"/>
    <col min="11" max="13" width="9.109375" style="650"/>
    <col min="14" max="14" width="15.109375" style="650" customWidth="1"/>
    <col min="15" max="15" width="14.5546875" style="650" customWidth="1"/>
    <col min="16" max="16" width="15.109375" style="650" customWidth="1"/>
    <col min="17" max="17" width="15" style="650" customWidth="1"/>
    <col min="18" max="18" width="14.5546875" style="650" customWidth="1"/>
    <col min="19" max="19" width="15.44140625" style="650" customWidth="1"/>
    <col min="20" max="20" width="16.44140625" style="650" customWidth="1"/>
    <col min="21" max="21" width="14.33203125" style="650" customWidth="1"/>
    <col min="22" max="22" width="12.88671875" style="650" customWidth="1"/>
    <col min="23" max="23" width="18.5546875" style="650" customWidth="1"/>
    <col min="24" max="24" width="14.6640625" style="650" customWidth="1"/>
    <col min="25" max="25" width="15.44140625" style="650" customWidth="1"/>
    <col min="26" max="26" width="15.33203125" style="650" customWidth="1"/>
    <col min="27" max="27" width="20.88671875" style="650" customWidth="1"/>
    <col min="28" max="28" width="19.5546875" style="650" customWidth="1"/>
    <col min="29" max="29" width="17.5546875" style="650" customWidth="1"/>
    <col min="30" max="30" width="17.44140625" style="650" customWidth="1"/>
    <col min="31" max="16384" width="9.109375" style="650"/>
  </cols>
  <sheetData>
    <row r="1" spans="2:30" x14ac:dyDescent="0.3">
      <c r="B1" s="741" t="s">
        <v>1125</v>
      </c>
      <c r="C1" s="724"/>
      <c r="D1" s="724"/>
      <c r="E1" s="724"/>
      <c r="F1" s="724"/>
      <c r="G1" s="724"/>
      <c r="H1" s="724"/>
      <c r="I1" s="724"/>
      <c r="J1" s="724"/>
    </row>
    <row r="2" spans="2:30" x14ac:dyDescent="0.3">
      <c r="B2" s="774" t="s">
        <v>1098</v>
      </c>
      <c r="C2" s="774"/>
      <c r="D2" s="774"/>
      <c r="E2" s="782"/>
      <c r="F2" s="724"/>
      <c r="G2" s="724"/>
      <c r="H2" s="724"/>
      <c r="I2" s="724"/>
      <c r="J2" s="724"/>
    </row>
    <row r="3" spans="2:30" x14ac:dyDescent="0.3">
      <c r="B3" s="724"/>
      <c r="C3" s="724"/>
      <c r="D3" s="724"/>
      <c r="E3" s="724"/>
      <c r="F3" s="724"/>
      <c r="G3" s="724"/>
      <c r="H3" s="724"/>
      <c r="I3" s="724"/>
      <c r="J3" s="724"/>
    </row>
    <row r="4" spans="2:30" ht="83.25" customHeight="1" x14ac:dyDescent="0.3">
      <c r="B4" s="943" t="s">
        <v>322</v>
      </c>
      <c r="C4" s="745" t="str">
        <f>IF('Bioenergy Calculator'!H75="No","Food waste, Landfilled
(tons/yr)","Food waste
(tons/yr)")</f>
        <v>Food waste, Landfilled
(tons/yr)</v>
      </c>
      <c r="D4" s="745" t="s">
        <v>1086</v>
      </c>
      <c r="E4" s="745" t="s">
        <v>1192</v>
      </c>
      <c r="F4" s="745" t="s">
        <v>1262</v>
      </c>
      <c r="G4" s="745" t="s">
        <v>1259</v>
      </c>
      <c r="H4" s="745" t="s">
        <v>1380</v>
      </c>
      <c r="I4" s="918" t="s">
        <v>1381</v>
      </c>
      <c r="J4" s="918" t="s">
        <v>1382</v>
      </c>
      <c r="N4" s="943" t="s">
        <v>322</v>
      </c>
      <c r="O4" s="921" t="str">
        <f>IF('Bioenergy Calculator'!T75="No","Food waste, Landfilled
(tons/yr)","Food waste
(tons/yr)")</f>
        <v>Food waste
(tons/yr)</v>
      </c>
      <c r="P4" s="989" t="s">
        <v>1504</v>
      </c>
      <c r="Q4" s="921" t="s">
        <v>1086</v>
      </c>
      <c r="R4" s="921" t="s">
        <v>1192</v>
      </c>
      <c r="S4" s="921" t="s">
        <v>1498</v>
      </c>
      <c r="T4" s="921" t="s">
        <v>1497</v>
      </c>
      <c r="U4" s="921" t="s">
        <v>1262</v>
      </c>
      <c r="V4" s="921" t="s">
        <v>1500</v>
      </c>
      <c r="W4" s="921" t="s">
        <v>1259</v>
      </c>
      <c r="X4" s="921" t="s">
        <v>1380</v>
      </c>
      <c r="Y4" s="921" t="s">
        <v>1381</v>
      </c>
      <c r="Z4" s="921" t="s">
        <v>1382</v>
      </c>
      <c r="AA4" s="921" t="s">
        <v>1512</v>
      </c>
      <c r="AB4" s="921" t="s">
        <v>1513</v>
      </c>
      <c r="AC4" s="921" t="s">
        <v>1514</v>
      </c>
      <c r="AD4" s="921" t="s">
        <v>1518</v>
      </c>
    </row>
    <row r="5" spans="2:30" x14ac:dyDescent="0.3">
      <c r="B5" s="784" t="s">
        <v>403</v>
      </c>
      <c r="C5" s="758">
        <f>IF('Bioenergy Calculator'!$H$75="No",'Biomass Data Assumptions'!J7,'Biomass Data Assumptions'!F7*'Biomass Data Assumptions'!$I$41)</f>
        <v>37581.618648000003</v>
      </c>
      <c r="D5" s="785">
        <f xml:space="preserve"> (C5*0.3)*16*4.8</f>
        <v>865880.4936499201</v>
      </c>
      <c r="E5" s="785">
        <f xml:space="preserve"> D5*(1/1.136)</f>
        <v>762218.74441014102</v>
      </c>
      <c r="F5" s="758">
        <f t="shared" ref="F5:F25" si="0" xml:space="preserve"> C5*113*(1/0.0283168)*0.03144075657*2.20462/2000</f>
        <v>5197.6434794661691</v>
      </c>
      <c r="G5" s="758">
        <f>W5</f>
        <v>14601.271691215923</v>
      </c>
      <c r="H5" s="758">
        <f xml:space="preserve"> G5-F5</f>
        <v>9403.628211749754</v>
      </c>
      <c r="I5" s="758">
        <f>E5*(0.01018*1.10231)</f>
        <v>8553.2496834545582</v>
      </c>
      <c r="J5" s="758">
        <f>I5-F5</f>
        <v>3355.6062039883891</v>
      </c>
      <c r="N5" s="784" t="s">
        <v>403</v>
      </c>
      <c r="O5" s="990">
        <f>'GHG - FW Power'!M5</f>
        <v>37581.618648000003</v>
      </c>
      <c r="P5" s="990">
        <f>'GHG - FW Power'!N5</f>
        <v>25054.412432000001</v>
      </c>
      <c r="Q5" s="990">
        <f>((O5*0.3*16)+(P5*0.33*15.6))*4.8</f>
        <v>1484985.0466096129</v>
      </c>
      <c r="R5" s="990">
        <f>Q5/1.136</f>
        <v>1307205.1466633917</v>
      </c>
      <c r="S5" s="991">
        <f>(O5*0.9*7602)+(P5*0.9*3192)</f>
        <v>329102234.50053602</v>
      </c>
      <c r="T5" s="990">
        <f>S5*0.65</f>
        <v>213916452.42534843</v>
      </c>
      <c r="U5" s="990">
        <f xml:space="preserve"> (O5*183+P5*90)*(1/0.0283168)*0.03144075657*2.20462/2000</f>
        <v>11177.233323099814</v>
      </c>
      <c r="V5" s="990">
        <f>T5*0.000841*52.07/1000</f>
        <v>9367.5875590196174</v>
      </c>
      <c r="W5" s="990">
        <f>Q5*(0.00892*1.10231)</f>
        <v>14601.271691215923</v>
      </c>
      <c r="X5" s="990">
        <f>W5-V5</f>
        <v>5233.6841321963057</v>
      </c>
      <c r="Y5" s="992">
        <f>R5*(0.01018*1.10231)</f>
        <v>14668.823207124566</v>
      </c>
      <c r="Z5" s="990">
        <f>Y5-V5</f>
        <v>5301.2356481049483</v>
      </c>
      <c r="AA5" s="990">
        <f>Q5*114000*1055.05585/1000000</f>
        <v>178608606.30703139</v>
      </c>
      <c r="AB5" s="998">
        <f>AA5*99.18/1000000</f>
        <v>17714.401573531377</v>
      </c>
      <c r="AC5" s="990">
        <f>R5*0.138*1055.05585</f>
        <v>190326072.32495007</v>
      </c>
      <c r="AD5" s="990">
        <f>AC5*98.03/1000000</f>
        <v>18657.664870014854</v>
      </c>
    </row>
    <row r="6" spans="2:30" x14ac:dyDescent="0.3">
      <c r="B6" s="784" t="s">
        <v>325</v>
      </c>
      <c r="C6" s="758">
        <f>IF('Bioenergy Calculator'!$H$75="No",'Biomass Data Assumptions'!J8,'Biomass Data Assumptions'!F8*'Biomass Data Assumptions'!$I$41)</f>
        <v>86443.549080000012</v>
      </c>
      <c r="D6" s="785">
        <f t="shared" ref="D6:D25" si="1" xml:space="preserve"> (C6*0.3)*16*4.8</f>
        <v>1991659.3708032002</v>
      </c>
      <c r="E6" s="785">
        <f t="shared" ref="E6:E25" si="2" xml:space="preserve"> D6*(1/1.136)</f>
        <v>1753221.2771154933</v>
      </c>
      <c r="F6" s="758">
        <f t="shared" si="0"/>
        <v>11955.385781167955</v>
      </c>
      <c r="G6" s="758">
        <f t="shared" ref="G6:G25" si="3">D6*(0.00892*1.10231)</f>
        <v>19583.200285988274</v>
      </c>
      <c r="H6" s="758">
        <f t="shared" ref="H6:H25" si="4" xml:space="preserve"> G6-F6</f>
        <v>7627.8145048203187</v>
      </c>
      <c r="I6" s="758">
        <f t="shared" ref="I6:I25" si="5">E6*(0.01018*1.10231)</f>
        <v>19673.800262047684</v>
      </c>
      <c r="J6" s="758">
        <f t="shared" ref="J6:J25" si="6">I6-F6</f>
        <v>7718.4144808797282</v>
      </c>
      <c r="N6" s="784" t="s">
        <v>325</v>
      </c>
      <c r="O6" s="990">
        <f>'GHG - FW Power'!M6</f>
        <v>86443.549080000012</v>
      </c>
      <c r="P6" s="990">
        <f>'GHG - FW Power'!N6</f>
        <v>57629.03272000001</v>
      </c>
      <c r="Q6" s="990">
        <f t="shared" ref="Q6:Q25" si="7">((O6*0.3*16)+(P6*0.33*15.6))*4.8</f>
        <v>3415695.8209274886</v>
      </c>
      <c r="R6" s="990">
        <f t="shared" ref="R6:R25" si="8">Q6/1.136</f>
        <v>3006774.4902530713</v>
      </c>
      <c r="S6" s="991">
        <f t="shared" ref="S6:S25" si="9">(O6*0.9*7602)+(P6*0.9*3192)</f>
        <v>756986159.29356015</v>
      </c>
      <c r="T6" s="990">
        <f t="shared" ref="T6:T25" si="10">S6*0.65</f>
        <v>492041003.5408141</v>
      </c>
      <c r="U6" s="990">
        <f t="shared" ref="U6:U25" si="11" xml:space="preserve"> (O6*183+P6*90)*(1/0.0283168)*0.03144075657*2.20462/2000</f>
        <v>25709.369423219585</v>
      </c>
      <c r="V6" s="990">
        <f t="shared" ref="V6:V25" si="12">T6*0.000841*52.07/1000</f>
        <v>21546.90362072533</v>
      </c>
      <c r="W6" s="990">
        <f t="shared" ref="W6:W25" si="13">Q6*(0.00892*1.10231)</f>
        <v>33585.188490469896</v>
      </c>
      <c r="X6" s="990">
        <f t="shared" ref="X6:X25" si="14">W6-V6</f>
        <v>12038.284869744566</v>
      </c>
      <c r="Y6" s="992">
        <f t="shared" ref="Y6:Y25" si="15">R6*(0.01018*1.10231)</f>
        <v>33740.567449411777</v>
      </c>
      <c r="Z6" s="990">
        <f t="shared" ref="Z6:Z25" si="16">Y6-V6</f>
        <v>12193.663828686447</v>
      </c>
      <c r="AA6" s="990">
        <f t="shared" ref="AA6:AA25" si="17">Q6*114000*1055.05585/1000000</f>
        <v>410827483.77667129</v>
      </c>
      <c r="AB6" s="998">
        <f t="shared" ref="AB6:AB25" si="18">AA6*99.18/1000000</f>
        <v>40745.869840970263</v>
      </c>
      <c r="AC6" s="990">
        <f t="shared" ref="AC6:AC25" si="19">R6*0.138*1055.05585</f>
        <v>437779472.14897341</v>
      </c>
      <c r="AD6" s="990">
        <f t="shared" ref="AD6:AD25" si="20">AC6*98.03/1000000</f>
        <v>42915.521654763863</v>
      </c>
    </row>
    <row r="7" spans="2:30" x14ac:dyDescent="0.3">
      <c r="B7" s="784" t="s">
        <v>328</v>
      </c>
      <c r="C7" s="758">
        <f>IF('Bioenergy Calculator'!$H$75="No",'Biomass Data Assumptions'!J9,'Biomass Data Assumptions'!F9*'Biomass Data Assumptions'!$I$41)</f>
        <v>42172.365913999995</v>
      </c>
      <c r="D7" s="785">
        <f t="shared" si="1"/>
        <v>971651.3106585599</v>
      </c>
      <c r="E7" s="785">
        <f t="shared" si="2"/>
        <v>855326.85797408444</v>
      </c>
      <c r="F7" s="758">
        <f t="shared" si="0"/>
        <v>5832.5567283203882</v>
      </c>
      <c r="G7" s="758">
        <f t="shared" si="3"/>
        <v>9553.8637297681726</v>
      </c>
      <c r="H7" s="758">
        <f t="shared" si="4"/>
        <v>3721.3070014477844</v>
      </c>
      <c r="I7" s="758">
        <f t="shared" si="5"/>
        <v>9598.0638509205437</v>
      </c>
      <c r="J7" s="758">
        <f t="shared" si="6"/>
        <v>3765.5071226001555</v>
      </c>
      <c r="N7" s="784" t="s">
        <v>328</v>
      </c>
      <c r="O7" s="990">
        <f>'GHG - FW Power'!M7</f>
        <v>42172.365913999995</v>
      </c>
      <c r="P7" s="990">
        <f>'GHG - FW Power'!N7</f>
        <v>28114.910609333328</v>
      </c>
      <c r="Q7" s="990">
        <f t="shared" si="7"/>
        <v>1666381.9977794301</v>
      </c>
      <c r="R7" s="990">
        <f t="shared" si="8"/>
        <v>1466885.5614255548</v>
      </c>
      <c r="S7" s="991">
        <f t="shared" si="9"/>
        <v>369303408.30889797</v>
      </c>
      <c r="T7" s="990">
        <f t="shared" si="10"/>
        <v>240047215.40078369</v>
      </c>
      <c r="U7" s="990">
        <f t="shared" si="11"/>
        <v>12542.577743202248</v>
      </c>
      <c r="V7" s="990">
        <f t="shared" si="12"/>
        <v>10511.876403477716</v>
      </c>
      <c r="W7" s="990">
        <f t="shared" si="13"/>
        <v>16384.876296552415</v>
      </c>
      <c r="X7" s="990">
        <f t="shared" si="14"/>
        <v>5872.9998930746988</v>
      </c>
      <c r="Y7" s="992">
        <f t="shared" si="15"/>
        <v>16460.679504328731</v>
      </c>
      <c r="Z7" s="990">
        <f t="shared" si="16"/>
        <v>5948.8031008510152</v>
      </c>
      <c r="AA7" s="990">
        <f t="shared" si="17"/>
        <v>200426372.56047371</v>
      </c>
      <c r="AB7" s="998">
        <f t="shared" si="18"/>
        <v>19878.287630547784</v>
      </c>
      <c r="AC7" s="990">
        <f t="shared" si="19"/>
        <v>213575174.6150341</v>
      </c>
      <c r="AD7" s="990">
        <f t="shared" si="20"/>
        <v>20936.774367511796</v>
      </c>
    </row>
    <row r="8" spans="2:30" x14ac:dyDescent="0.3">
      <c r="B8" s="784" t="s">
        <v>331</v>
      </c>
      <c r="C8" s="758">
        <f>IF('Bioenergy Calculator'!$H$75="No",'Biomass Data Assumptions'!J10,'Biomass Data Assumptions'!F10*'Biomass Data Assumptions'!$I$41)</f>
        <v>13388.749177999998</v>
      </c>
      <c r="D8" s="785">
        <f t="shared" si="1"/>
        <v>308476.78106111992</v>
      </c>
      <c r="E8" s="785">
        <f t="shared" si="2"/>
        <v>271546.46220169007</v>
      </c>
      <c r="F8" s="758">
        <f t="shared" si="0"/>
        <v>1851.7016394381171</v>
      </c>
      <c r="G8" s="758">
        <f t="shared" si="3"/>
        <v>3033.1304015408296</v>
      </c>
      <c r="H8" s="758">
        <f t="shared" si="4"/>
        <v>1181.4287621027124</v>
      </c>
      <c r="I8" s="758">
        <f t="shared" si="5"/>
        <v>3047.1629160303673</v>
      </c>
      <c r="J8" s="758">
        <f t="shared" si="6"/>
        <v>1195.4612765922502</v>
      </c>
      <c r="N8" s="784" t="s">
        <v>331</v>
      </c>
      <c r="O8" s="990">
        <f>'GHG - FW Power'!M8</f>
        <v>13388.749177999998</v>
      </c>
      <c r="P8" s="990">
        <f>'GHG - FW Power'!N8</f>
        <v>8925.8327853333321</v>
      </c>
      <c r="Q8" s="990">
        <f t="shared" si="7"/>
        <v>529037.67951982073</v>
      </c>
      <c r="R8" s="990">
        <f t="shared" si="8"/>
        <v>465702.18267589854</v>
      </c>
      <c r="S8" s="991">
        <f t="shared" si="9"/>
        <v>117245276.55174598</v>
      </c>
      <c r="T8" s="990">
        <f t="shared" si="10"/>
        <v>76209429.758634895</v>
      </c>
      <c r="U8" s="990">
        <f t="shared" si="11"/>
        <v>3981.9778618005521</v>
      </c>
      <c r="V8" s="990">
        <f t="shared" si="12"/>
        <v>3337.2772313345122</v>
      </c>
      <c r="W8" s="990">
        <f t="shared" si="13"/>
        <v>5201.8186386425232</v>
      </c>
      <c r="X8" s="990">
        <f t="shared" si="14"/>
        <v>1864.541407308011</v>
      </c>
      <c r="Y8" s="992">
        <f t="shared" si="15"/>
        <v>5225.8844009920813</v>
      </c>
      <c r="Z8" s="990">
        <f t="shared" si="16"/>
        <v>1888.6071696575691</v>
      </c>
      <c r="AA8" s="990">
        <f t="shared" si="17"/>
        <v>63630730.045850568</v>
      </c>
      <c r="AB8" s="998">
        <f t="shared" si="18"/>
        <v>6310.8958059474598</v>
      </c>
      <c r="AC8" s="990">
        <f t="shared" si="19"/>
        <v>67805170.082216606</v>
      </c>
      <c r="AD8" s="990">
        <f t="shared" si="20"/>
        <v>6646.9408231596935</v>
      </c>
    </row>
    <row r="9" spans="2:30" x14ac:dyDescent="0.3">
      <c r="B9" s="784" t="s">
        <v>333</v>
      </c>
      <c r="C9" s="758">
        <f>IF('Bioenergy Calculator'!$H$75="No",'Biomass Data Assumptions'!J11,'Biomass Data Assumptions'!F11*'Biomass Data Assumptions'!$I$41)</f>
        <v>14397.674424000003</v>
      </c>
      <c r="D9" s="785">
        <f t="shared" si="1"/>
        <v>331722.41872896004</v>
      </c>
      <c r="E9" s="785">
        <f t="shared" si="2"/>
        <v>292009.17141633807</v>
      </c>
      <c r="F9" s="758">
        <f t="shared" si="0"/>
        <v>1991.2388364720666</v>
      </c>
      <c r="G9" s="758">
        <f t="shared" si="3"/>
        <v>3261.6955793509501</v>
      </c>
      <c r="H9" s="758">
        <f t="shared" si="4"/>
        <v>1270.4567428788835</v>
      </c>
      <c r="I9" s="758">
        <f t="shared" si="5"/>
        <v>3276.7855307933455</v>
      </c>
      <c r="J9" s="758">
        <f t="shared" si="6"/>
        <v>1285.5466943212789</v>
      </c>
      <c r="N9" s="784" t="s">
        <v>333</v>
      </c>
      <c r="O9" s="990">
        <f>'GHG - FW Power'!M9</f>
        <v>14397.674424000003</v>
      </c>
      <c r="P9" s="990">
        <f>'GHG - FW Power'!N9</f>
        <v>9598.4496160000017</v>
      </c>
      <c r="Q9" s="990">
        <f t="shared" si="7"/>
        <v>568903.94812016655</v>
      </c>
      <c r="R9" s="990">
        <f t="shared" si="8"/>
        <v>500795.72897901991</v>
      </c>
      <c r="S9" s="991">
        <f t="shared" si="9"/>
        <v>126080434.93096802</v>
      </c>
      <c r="T9" s="990">
        <f t="shared" si="10"/>
        <v>81952282.705129206</v>
      </c>
      <c r="U9" s="990">
        <f t="shared" si="11"/>
        <v>4282.0445775461249</v>
      </c>
      <c r="V9" s="990">
        <f t="shared" si="12"/>
        <v>3588.7617581435611</v>
      </c>
      <c r="W9" s="990">
        <f t="shared" si="13"/>
        <v>5593.8079185868801</v>
      </c>
      <c r="X9" s="990">
        <f t="shared" si="14"/>
        <v>2005.046160443319</v>
      </c>
      <c r="Y9" s="992">
        <f t="shared" si="15"/>
        <v>5619.6871853105886</v>
      </c>
      <c r="Z9" s="990">
        <f t="shared" si="16"/>
        <v>2030.9254271670275</v>
      </c>
      <c r="AA9" s="990">
        <f t="shared" si="17"/>
        <v>68425699.994959712</v>
      </c>
      <c r="AB9" s="998">
        <f t="shared" si="18"/>
        <v>6786.4609255001051</v>
      </c>
      <c r="AC9" s="990">
        <f t="shared" si="19"/>
        <v>72914709.964977473</v>
      </c>
      <c r="AD9" s="990">
        <f t="shared" si="20"/>
        <v>7147.8290178667421</v>
      </c>
    </row>
    <row r="10" spans="2:30" x14ac:dyDescent="0.3">
      <c r="B10" s="784" t="s">
        <v>335</v>
      </c>
      <c r="C10" s="758">
        <f>IF('Bioenergy Calculator'!$H$75="No",'Biomass Data Assumptions'!J12,'Biomass Data Assumptions'!F12*'Biomass Data Assumptions'!$I$41)</f>
        <v>18000.793328000003</v>
      </c>
      <c r="D10" s="785">
        <f t="shared" si="1"/>
        <v>414738.27827712003</v>
      </c>
      <c r="E10" s="785">
        <f t="shared" si="2"/>
        <v>365086.51256788737</v>
      </c>
      <c r="F10" s="758">
        <f t="shared" si="0"/>
        <v>2489.5603072029057</v>
      </c>
      <c r="G10" s="758">
        <f t="shared" si="3"/>
        <v>4077.9577516266577</v>
      </c>
      <c r="H10" s="758">
        <f t="shared" si="4"/>
        <v>1588.3974444237519</v>
      </c>
      <c r="I10" s="758">
        <f t="shared" si="5"/>
        <v>4096.8240691474457</v>
      </c>
      <c r="J10" s="758">
        <f t="shared" si="6"/>
        <v>1607.26376194454</v>
      </c>
      <c r="N10" s="784" t="s">
        <v>335</v>
      </c>
      <c r="O10" s="990">
        <f>'GHG - FW Power'!M10</f>
        <v>18000.793328000003</v>
      </c>
      <c r="P10" s="990">
        <f>'GHG - FW Power'!N10</f>
        <v>12000.528885333335</v>
      </c>
      <c r="Q10" s="990">
        <f t="shared" si="7"/>
        <v>711276.147245261</v>
      </c>
      <c r="R10" s="990">
        <f t="shared" si="8"/>
        <v>626123.36905392702</v>
      </c>
      <c r="S10" s="991">
        <f t="shared" si="9"/>
        <v>157632947.17329603</v>
      </c>
      <c r="T10" s="990">
        <f t="shared" si="10"/>
        <v>102461415.66264242</v>
      </c>
      <c r="U10" s="990">
        <f t="shared" si="11"/>
        <v>5353.6562358434167</v>
      </c>
      <c r="V10" s="990">
        <f t="shared" si="12"/>
        <v>4486.8745332987382</v>
      </c>
      <c r="W10" s="990">
        <f t="shared" si="13"/>
        <v>6993.6975440397191</v>
      </c>
      <c r="X10" s="990">
        <f t="shared" si="14"/>
        <v>2506.8230107409809</v>
      </c>
      <c r="Y10" s="992">
        <f t="shared" si="15"/>
        <v>7026.0532785878722</v>
      </c>
      <c r="Z10" s="990">
        <f t="shared" si="16"/>
        <v>2539.178745289134</v>
      </c>
      <c r="AA10" s="990">
        <f t="shared" si="17"/>
        <v>85549710.853289425</v>
      </c>
      <c r="AB10" s="998">
        <f t="shared" si="18"/>
        <v>8484.8203224292465</v>
      </c>
      <c r="AC10" s="990">
        <f t="shared" si="19"/>
        <v>91162127.021203548</v>
      </c>
      <c r="AD10" s="990">
        <f t="shared" si="20"/>
        <v>8936.6233118885848</v>
      </c>
    </row>
    <row r="11" spans="2:30" x14ac:dyDescent="0.3">
      <c r="B11" s="784" t="s">
        <v>336</v>
      </c>
      <c r="C11" s="758">
        <f>IF('Bioenergy Calculator'!$H$75="No",'Biomass Data Assumptions'!J13,'Biomass Data Assumptions'!F13*'Biomass Data Assumptions'!$I$41)</f>
        <v>16021.374361999997</v>
      </c>
      <c r="D11" s="785">
        <f t="shared" si="1"/>
        <v>369132.4653004799</v>
      </c>
      <c r="E11" s="785">
        <f t="shared" si="2"/>
        <v>324940.5504405633</v>
      </c>
      <c r="F11" s="758">
        <f t="shared" si="0"/>
        <v>2215.8011011898589</v>
      </c>
      <c r="G11" s="758">
        <f t="shared" si="3"/>
        <v>3629.5337978023185</v>
      </c>
      <c r="H11" s="758">
        <f t="shared" si="4"/>
        <v>1413.7326966124597</v>
      </c>
      <c r="I11" s="758">
        <f t="shared" si="5"/>
        <v>3646.3255208294772</v>
      </c>
      <c r="J11" s="758">
        <f t="shared" si="6"/>
        <v>1430.5244196396184</v>
      </c>
      <c r="N11" s="784" t="s">
        <v>336</v>
      </c>
      <c r="O11" s="990">
        <f>'GHG - FW Power'!M11</f>
        <v>16021.374361999997</v>
      </c>
      <c r="P11" s="990">
        <f>'GHG - FW Power'!N11</f>
        <v>10680.916241333331</v>
      </c>
      <c r="Q11" s="990">
        <f t="shared" si="7"/>
        <v>633062.17799032305</v>
      </c>
      <c r="R11" s="990">
        <f t="shared" si="8"/>
        <v>557273.04400556616</v>
      </c>
      <c r="S11" s="991">
        <f t="shared" si="9"/>
        <v>140299175.28803399</v>
      </c>
      <c r="T11" s="990">
        <f t="shared" si="10"/>
        <v>91194463.937222093</v>
      </c>
      <c r="U11" s="990">
        <f t="shared" si="11"/>
        <v>4764.9528105233248</v>
      </c>
      <c r="V11" s="990">
        <f t="shared" si="12"/>
        <v>3993.4849149945803</v>
      </c>
      <c r="W11" s="990">
        <f t="shared" si="13"/>
        <v>6224.6504632309761</v>
      </c>
      <c r="X11" s="990">
        <f t="shared" si="14"/>
        <v>2231.1655482363958</v>
      </c>
      <c r="Y11" s="992">
        <f t="shared" si="15"/>
        <v>6253.4482682225553</v>
      </c>
      <c r="Z11" s="990">
        <f t="shared" si="16"/>
        <v>2259.9633532279749</v>
      </c>
      <c r="AA11" s="990">
        <f t="shared" si="17"/>
        <v>76142418.790477186</v>
      </c>
      <c r="AB11" s="998">
        <f t="shared" si="18"/>
        <v>7551.8050956395282</v>
      </c>
      <c r="AC11" s="990">
        <f t="shared" si="19"/>
        <v>81137677.547302455</v>
      </c>
      <c r="AD11" s="990">
        <f t="shared" si="20"/>
        <v>7953.9265299620602</v>
      </c>
    </row>
    <row r="12" spans="2:30" x14ac:dyDescent="0.3">
      <c r="B12" s="784" t="s">
        <v>337</v>
      </c>
      <c r="C12" s="758">
        <f>IF('Bioenergy Calculator'!$H$75="No",'Biomass Data Assumptions'!J14,'Biomass Data Assumptions'!F14*'Biomass Data Assumptions'!$I$41)</f>
        <v>4014.9831120000008</v>
      </c>
      <c r="D12" s="785">
        <f t="shared" si="1"/>
        <v>92505.210900480015</v>
      </c>
      <c r="E12" s="785">
        <f t="shared" si="2"/>
        <v>81430.643398309883</v>
      </c>
      <c r="F12" s="758">
        <f t="shared" si="0"/>
        <v>555.28344821209976</v>
      </c>
      <c r="G12" s="758">
        <f t="shared" si="3"/>
        <v>909.5672177271565</v>
      </c>
      <c r="H12" s="758">
        <f t="shared" si="4"/>
        <v>354.28376951505675</v>
      </c>
      <c r="I12" s="758">
        <f t="shared" si="5"/>
        <v>913.77525149829989</v>
      </c>
      <c r="J12" s="758">
        <f t="shared" si="6"/>
        <v>358.49180328620014</v>
      </c>
      <c r="N12" s="784" t="s">
        <v>337</v>
      </c>
      <c r="O12" s="990">
        <f>'GHG - FW Power'!M12</f>
        <v>4014.9831120000008</v>
      </c>
      <c r="P12" s="990">
        <f>'GHG - FW Power'!N12</f>
        <v>2676.6554080000005</v>
      </c>
      <c r="Q12" s="990">
        <f t="shared" si="7"/>
        <v>158646.43669432323</v>
      </c>
      <c r="R12" s="990">
        <f t="shared" si="8"/>
        <v>139653.55342810144</v>
      </c>
      <c r="S12" s="991">
        <f t="shared" si="9"/>
        <v>35159207.111784011</v>
      </c>
      <c r="T12" s="990">
        <f t="shared" si="10"/>
        <v>22853484.622659609</v>
      </c>
      <c r="U12" s="990">
        <f t="shared" si="11"/>
        <v>1194.1051142968161</v>
      </c>
      <c r="V12" s="990">
        <f t="shared" si="12"/>
        <v>1000.7739741578858</v>
      </c>
      <c r="W12" s="990">
        <f t="shared" si="13"/>
        <v>1559.9077784020735</v>
      </c>
      <c r="X12" s="990">
        <f t="shared" si="14"/>
        <v>559.13380424418767</v>
      </c>
      <c r="Y12" s="992">
        <f t="shared" si="15"/>
        <v>1567.1245563195841</v>
      </c>
      <c r="Z12" s="990">
        <f t="shared" si="16"/>
        <v>566.3505821616983</v>
      </c>
      <c r="AA12" s="990">
        <f t="shared" si="17"/>
        <v>19081417.027224042</v>
      </c>
      <c r="AB12" s="998">
        <f t="shared" si="18"/>
        <v>1892.4949407600807</v>
      </c>
      <c r="AC12" s="990">
        <f t="shared" si="19"/>
        <v>20333237.195429627</v>
      </c>
      <c r="AD12" s="990">
        <f t="shared" si="20"/>
        <v>1993.2672422679664</v>
      </c>
    </row>
    <row r="13" spans="2:30" x14ac:dyDescent="0.3">
      <c r="B13" s="784" t="s">
        <v>338</v>
      </c>
      <c r="C13" s="758">
        <f>IF('Bioenergy Calculator'!$H$75="No",'Biomass Data Assumptions'!J15,'Biomass Data Assumptions'!F15*'Biomass Data Assumptions'!$I$41)</f>
        <v>58367.326808000005</v>
      </c>
      <c r="D13" s="785">
        <f t="shared" si="1"/>
        <v>1344783.2096563198</v>
      </c>
      <c r="E13" s="785">
        <f t="shared" si="2"/>
        <v>1183788.0366692957</v>
      </c>
      <c r="F13" s="758">
        <f t="shared" si="0"/>
        <v>8072.3653347383661</v>
      </c>
      <c r="G13" s="758">
        <f t="shared" si="3"/>
        <v>13222.722380139421</v>
      </c>
      <c r="H13" s="758">
        <f t="shared" si="4"/>
        <v>5150.3570454010551</v>
      </c>
      <c r="I13" s="758">
        <f t="shared" si="5"/>
        <v>13283.896157335479</v>
      </c>
      <c r="J13" s="758">
        <f t="shared" si="6"/>
        <v>5211.530822597113</v>
      </c>
      <c r="N13" s="784" t="s">
        <v>338</v>
      </c>
      <c r="O13" s="990">
        <f>'GHG - FW Power'!M13</f>
        <v>58367.326808000005</v>
      </c>
      <c r="P13" s="990">
        <f>'GHG - FW Power'!N13</f>
        <v>38911.551205333337</v>
      </c>
      <c r="Q13" s="990">
        <f t="shared" si="7"/>
        <v>2306303.204560589</v>
      </c>
      <c r="R13" s="990">
        <f t="shared" si="8"/>
        <v>2030196.4828878427</v>
      </c>
      <c r="S13" s="991">
        <f t="shared" si="9"/>
        <v>511122680.85765606</v>
      </c>
      <c r="T13" s="990">
        <f t="shared" si="10"/>
        <v>332229742.55747646</v>
      </c>
      <c r="U13" s="990">
        <f t="shared" si="11"/>
        <v>17359.157312755957</v>
      </c>
      <c r="V13" s="990">
        <f t="shared" si="12"/>
        <v>14548.629466467917</v>
      </c>
      <c r="W13" s="990">
        <f t="shared" si="13"/>
        <v>22676.968881939112</v>
      </c>
      <c r="X13" s="990">
        <f t="shared" si="14"/>
        <v>8128.339415471195</v>
      </c>
      <c r="Y13" s="992">
        <f t="shared" si="15"/>
        <v>22781.881909830354</v>
      </c>
      <c r="Z13" s="990">
        <f t="shared" si="16"/>
        <v>8233.2524433624367</v>
      </c>
      <c r="AA13" s="990">
        <f t="shared" si="17"/>
        <v>277393770.41437519</v>
      </c>
      <c r="AB13" s="998">
        <f t="shared" si="18"/>
        <v>27511.914149697732</v>
      </c>
      <c r="AC13" s="990">
        <f t="shared" si="19"/>
        <v>295591953.27699363</v>
      </c>
      <c r="AD13" s="990">
        <f t="shared" si="20"/>
        <v>28976.879179743686</v>
      </c>
    </row>
    <row r="14" spans="2:30" x14ac:dyDescent="0.3">
      <c r="B14" s="784" t="s">
        <v>339</v>
      </c>
      <c r="C14" s="758">
        <f>IF('Bioenergy Calculator'!$H$75="No",'Biomass Data Assumptions'!J16,'Biomass Data Assumptions'!F16*'Biomass Data Assumptions'!$I$41)</f>
        <v>7762.3630140000014</v>
      </c>
      <c r="D14" s="785">
        <f t="shared" si="1"/>
        <v>178844.84384256002</v>
      </c>
      <c r="E14" s="785">
        <f t="shared" si="2"/>
        <v>157433.84141070425</v>
      </c>
      <c r="F14" s="758">
        <f t="shared" si="0"/>
        <v>1073.5566204015424</v>
      </c>
      <c r="G14" s="758">
        <f t="shared" si="3"/>
        <v>1758.5107415595437</v>
      </c>
      <c r="H14" s="758">
        <f t="shared" si="4"/>
        <v>684.95412115800127</v>
      </c>
      <c r="I14" s="758">
        <f t="shared" si="5"/>
        <v>1766.6463388449117</v>
      </c>
      <c r="J14" s="758">
        <f t="shared" si="6"/>
        <v>693.08971844336929</v>
      </c>
      <c r="N14" s="784" t="s">
        <v>339</v>
      </c>
      <c r="O14" s="990">
        <f>'GHG - FW Power'!M14</f>
        <v>7762.3630140000014</v>
      </c>
      <c r="P14" s="990">
        <f>'GHG - FW Power'!N14</f>
        <v>5174.9086760000009</v>
      </c>
      <c r="Q14" s="990">
        <f t="shared" si="7"/>
        <v>306718.90718999045</v>
      </c>
      <c r="R14" s="990">
        <f t="shared" si="8"/>
        <v>269999.03801935783</v>
      </c>
      <c r="S14" s="991">
        <f t="shared" si="9"/>
        <v>67975012.913598016</v>
      </c>
      <c r="T14" s="990">
        <f t="shared" si="10"/>
        <v>44183758.393838711</v>
      </c>
      <c r="U14" s="990">
        <f t="shared" si="11"/>
        <v>2308.6217589165908</v>
      </c>
      <c r="V14" s="990">
        <f t="shared" si="12"/>
        <v>1934.8452199359999</v>
      </c>
      <c r="W14" s="990">
        <f t="shared" si="13"/>
        <v>3015.8459217746176</v>
      </c>
      <c r="X14" s="990">
        <f t="shared" si="14"/>
        <v>1081.0007018386177</v>
      </c>
      <c r="Y14" s="992">
        <f t="shared" si="15"/>
        <v>3029.7984711190243</v>
      </c>
      <c r="Z14" s="990">
        <f t="shared" si="16"/>
        <v>1094.9532511830243</v>
      </c>
      <c r="AA14" s="990">
        <f t="shared" si="17"/>
        <v>36891035.816350333</v>
      </c>
      <c r="AB14" s="998">
        <f t="shared" si="18"/>
        <v>3658.8529322656264</v>
      </c>
      <c r="AC14" s="990">
        <f t="shared" si="19"/>
        <v>39311240.908824034</v>
      </c>
      <c r="AD14" s="990">
        <f t="shared" si="20"/>
        <v>3853.6809462920205</v>
      </c>
    </row>
    <row r="15" spans="2:30" x14ac:dyDescent="0.3">
      <c r="B15" s="784" t="s">
        <v>340</v>
      </c>
      <c r="C15" s="758">
        <f>IF('Bioenergy Calculator'!$H$75="No",'Biomass Data Assumptions'!J17,'Biomass Data Assumptions'!F17*'Biomass Data Assumptions'!$I$41)</f>
        <v>37298.628905999998</v>
      </c>
      <c r="D15" s="785">
        <f t="shared" si="1"/>
        <v>859360.4099942398</v>
      </c>
      <c r="E15" s="785">
        <f t="shared" si="2"/>
        <v>756479.23414985905</v>
      </c>
      <c r="F15" s="758">
        <f t="shared" si="0"/>
        <v>5158.5052028251657</v>
      </c>
      <c r="G15" s="758">
        <f t="shared" si="3"/>
        <v>8449.7516359834954</v>
      </c>
      <c r="H15" s="758">
        <f t="shared" si="4"/>
        <v>3291.2464331583296</v>
      </c>
      <c r="I15" s="758">
        <f t="shared" si="5"/>
        <v>8488.8436783845409</v>
      </c>
      <c r="J15" s="758">
        <f t="shared" si="6"/>
        <v>3330.3384755593752</v>
      </c>
      <c r="N15" s="784" t="s">
        <v>340</v>
      </c>
      <c r="O15" s="990">
        <f>'GHG - FW Power'!M15</f>
        <v>37298.628905999998</v>
      </c>
      <c r="P15" s="990">
        <f>'GHG - FW Power'!N15</f>
        <v>24865.752603999998</v>
      </c>
      <c r="Q15" s="990">
        <f t="shared" si="7"/>
        <v>1473803.1031401213</v>
      </c>
      <c r="R15" s="990">
        <f t="shared" si="8"/>
        <v>1297361.8865670082</v>
      </c>
      <c r="S15" s="991">
        <f t="shared" si="9"/>
        <v>326624093.32984197</v>
      </c>
      <c r="T15" s="990">
        <f t="shared" si="10"/>
        <v>212305660.6643973</v>
      </c>
      <c r="U15" s="990">
        <f t="shared" si="11"/>
        <v>11093.068710500133</v>
      </c>
      <c r="V15" s="990">
        <f t="shared" si="12"/>
        <v>9297.0495864187342</v>
      </c>
      <c r="W15" s="990">
        <f t="shared" si="13"/>
        <v>14491.324055711693</v>
      </c>
      <c r="X15" s="990">
        <f t="shared" si="14"/>
        <v>5194.2744692929591</v>
      </c>
      <c r="Y15" s="992">
        <f t="shared" si="15"/>
        <v>14558.366908429489</v>
      </c>
      <c r="Z15" s="990">
        <f t="shared" si="16"/>
        <v>5261.3173220107547</v>
      </c>
      <c r="AA15" s="990">
        <f t="shared" si="17"/>
        <v>177263682.77163976</v>
      </c>
      <c r="AB15" s="998">
        <f t="shared" si="18"/>
        <v>17581.012057291235</v>
      </c>
      <c r="AC15" s="990">
        <f t="shared" si="19"/>
        <v>188892916.22255906</v>
      </c>
      <c r="AD15" s="990">
        <f t="shared" si="20"/>
        <v>18517.172577297468</v>
      </c>
    </row>
    <row r="16" spans="2:30" x14ac:dyDescent="0.3">
      <c r="B16" s="784" t="s">
        <v>341</v>
      </c>
      <c r="C16" s="758">
        <f>IF('Bioenergy Calculator'!$H$75="No",'Biomass Data Assumptions'!J18,'Biomass Data Assumptions'!F18*'Biomass Data Assumptions'!$I$41)</f>
        <v>84580.071730000011</v>
      </c>
      <c r="D16" s="785">
        <f t="shared" si="1"/>
        <v>1948724.8526592001</v>
      </c>
      <c r="E16" s="785">
        <f t="shared" si="2"/>
        <v>1715426.80691831</v>
      </c>
      <c r="F16" s="758">
        <f t="shared" si="0"/>
        <v>11697.66162649332</v>
      </c>
      <c r="G16" s="758">
        <f t="shared" si="3"/>
        <v>19161.042119626087</v>
      </c>
      <c r="H16" s="758">
        <f t="shared" si="4"/>
        <v>7463.3804931327668</v>
      </c>
      <c r="I16" s="758">
        <f t="shared" si="5"/>
        <v>19249.689017577362</v>
      </c>
      <c r="J16" s="758">
        <f t="shared" si="6"/>
        <v>7552.0273910840424</v>
      </c>
      <c r="N16" s="784" t="s">
        <v>341</v>
      </c>
      <c r="O16" s="990">
        <f>'GHG - FW Power'!M16</f>
        <v>84580.071730000011</v>
      </c>
      <c r="P16" s="990">
        <f>'GHG - FW Power'!N16</f>
        <v>56386.714486666679</v>
      </c>
      <c r="Q16" s="990">
        <f t="shared" si="7"/>
        <v>3342063.1223105281</v>
      </c>
      <c r="R16" s="990">
        <f t="shared" si="8"/>
        <v>2941956.9738649018</v>
      </c>
      <c r="S16" s="991">
        <f t="shared" si="9"/>
        <v>740667688.13961005</v>
      </c>
      <c r="T16" s="990">
        <f t="shared" si="10"/>
        <v>481433997.29074657</v>
      </c>
      <c r="U16" s="990">
        <f t="shared" si="11"/>
        <v>25155.148453432539</v>
      </c>
      <c r="V16" s="990">
        <f t="shared" si="12"/>
        <v>21082.413588939431</v>
      </c>
      <c r="W16" s="990">
        <f t="shared" si="13"/>
        <v>32861.187235158737</v>
      </c>
      <c r="X16" s="990">
        <f t="shared" si="14"/>
        <v>11778.773646219306</v>
      </c>
      <c r="Y16" s="992">
        <f t="shared" si="15"/>
        <v>33013.216665145177</v>
      </c>
      <c r="Z16" s="990">
        <f t="shared" si="16"/>
        <v>11930.803076205746</v>
      </c>
      <c r="AA16" s="990">
        <f t="shared" si="17"/>
        <v>401971210.30198061</v>
      </c>
      <c r="AB16" s="998">
        <f t="shared" si="18"/>
        <v>39867.50463775044</v>
      </c>
      <c r="AC16" s="990">
        <f t="shared" si="19"/>
        <v>428342190.36997575</v>
      </c>
      <c r="AD16" s="990">
        <f t="shared" si="20"/>
        <v>41990.384921968718</v>
      </c>
    </row>
    <row r="17" spans="2:30" x14ac:dyDescent="0.3">
      <c r="B17" s="784" t="s">
        <v>342</v>
      </c>
      <c r="C17" s="758">
        <f>IF('Bioenergy Calculator'!$H$75="No",'Biomass Data Assumptions'!J19,'Biomass Data Assumptions'!F19*'Biomass Data Assumptions'!$I$41)</f>
        <v>67985.590974000006</v>
      </c>
      <c r="D17" s="785">
        <f t="shared" si="1"/>
        <v>1566388.0160409601</v>
      </c>
      <c r="E17" s="785">
        <f t="shared" si="2"/>
        <v>1378862.6901769016</v>
      </c>
      <c r="F17" s="758">
        <f t="shared" si="0"/>
        <v>9402.5983003387828</v>
      </c>
      <c r="G17" s="758">
        <f t="shared" si="3"/>
        <v>15401.674951742028</v>
      </c>
      <c r="H17" s="758">
        <f t="shared" si="4"/>
        <v>5999.0766514032457</v>
      </c>
      <c r="I17" s="758">
        <f t="shared" si="5"/>
        <v>15472.929463850603</v>
      </c>
      <c r="J17" s="758">
        <f t="shared" si="6"/>
        <v>6070.3311635118207</v>
      </c>
      <c r="N17" s="784" t="s">
        <v>342</v>
      </c>
      <c r="O17" s="990">
        <f>'GHG - FW Power'!M17</f>
        <v>67985.590974000006</v>
      </c>
      <c r="P17" s="990">
        <f>'GHG - FW Power'!N17</f>
        <v>45323.727316000004</v>
      </c>
      <c r="Q17" s="990">
        <f t="shared" si="7"/>
        <v>2686355.4475102467</v>
      </c>
      <c r="R17" s="990">
        <f t="shared" si="8"/>
        <v>2364749.5136533864</v>
      </c>
      <c r="S17" s="991">
        <f t="shared" si="9"/>
        <v>595349820.15931809</v>
      </c>
      <c r="T17" s="990">
        <f t="shared" si="10"/>
        <v>386977383.10355675</v>
      </c>
      <c r="U17" s="990">
        <f t="shared" si="11"/>
        <v>20219.746787454198</v>
      </c>
      <c r="V17" s="990">
        <f t="shared" si="12"/>
        <v>16946.076276428048</v>
      </c>
      <c r="W17" s="990">
        <f t="shared" si="13"/>
        <v>26413.872542237579</v>
      </c>
      <c r="X17" s="990">
        <f t="shared" si="14"/>
        <v>9467.7962658095312</v>
      </c>
      <c r="Y17" s="992">
        <f t="shared" si="15"/>
        <v>26536.074030503787</v>
      </c>
      <c r="Z17" s="990">
        <f t="shared" si="16"/>
        <v>9589.9977540757391</v>
      </c>
      <c r="AA17" s="990">
        <f t="shared" si="17"/>
        <v>323105073.42855608</v>
      </c>
      <c r="AB17" s="998">
        <f t="shared" si="18"/>
        <v>32045.561182644196</v>
      </c>
      <c r="AC17" s="990">
        <f t="shared" si="19"/>
        <v>344302107.52672315</v>
      </c>
      <c r="AD17" s="990">
        <f t="shared" si="20"/>
        <v>33751.93560084467</v>
      </c>
    </row>
    <row r="18" spans="2:30" x14ac:dyDescent="0.3">
      <c r="B18" s="784" t="s">
        <v>343</v>
      </c>
      <c r="C18" s="758">
        <f>IF('Bioenergy Calculator'!$H$75="No",'Biomass Data Assumptions'!J20,'Biomass Data Assumptions'!F20*'Biomass Data Assumptions'!$I$41)</f>
        <v>44805.017992000001</v>
      </c>
      <c r="D18" s="785">
        <f t="shared" si="1"/>
        <v>1032307.6145356799</v>
      </c>
      <c r="E18" s="785">
        <f t="shared" si="2"/>
        <v>908721.49166873237</v>
      </c>
      <c r="F18" s="758">
        <f t="shared" si="0"/>
        <v>6196.6599095879146</v>
      </c>
      <c r="G18" s="758">
        <f t="shared" si="3"/>
        <v>10150.273218683122</v>
      </c>
      <c r="H18" s="758">
        <f t="shared" si="4"/>
        <v>3953.6133090952071</v>
      </c>
      <c r="I18" s="758">
        <f t="shared" si="5"/>
        <v>10197.232576560247</v>
      </c>
      <c r="J18" s="758">
        <f t="shared" si="6"/>
        <v>4000.5726669723326</v>
      </c>
      <c r="N18" s="784" t="s">
        <v>343</v>
      </c>
      <c r="O18" s="990">
        <f>'GHG - FW Power'!M18</f>
        <v>44805.017992000001</v>
      </c>
      <c r="P18" s="990">
        <f>'GHG - FW Power'!N18</f>
        <v>29870.011994666667</v>
      </c>
      <c r="Q18" s="990">
        <f t="shared" si="7"/>
        <v>1770407.5589286911</v>
      </c>
      <c r="R18" s="990">
        <f t="shared" si="8"/>
        <v>1558457.3582118761</v>
      </c>
      <c r="S18" s="991">
        <f t="shared" si="9"/>
        <v>392357542.55594403</v>
      </c>
      <c r="T18" s="990">
        <f t="shared" si="10"/>
        <v>255032402.66136363</v>
      </c>
      <c r="U18" s="990">
        <f t="shared" si="11"/>
        <v>13325.560690529765</v>
      </c>
      <c r="V18" s="990">
        <f t="shared" si="12"/>
        <v>11168.090790731429</v>
      </c>
      <c r="W18" s="990">
        <f t="shared" si="13"/>
        <v>17407.718570041554</v>
      </c>
      <c r="X18" s="990">
        <f t="shared" si="14"/>
        <v>6239.6277793101253</v>
      </c>
      <c r="Y18" s="992">
        <f t="shared" si="15"/>
        <v>17488.253868800824</v>
      </c>
      <c r="Z18" s="990">
        <f t="shared" si="16"/>
        <v>6320.1630780693959</v>
      </c>
      <c r="AA18" s="990">
        <f t="shared" si="17"/>
        <v>212938189.12024063</v>
      </c>
      <c r="AB18" s="998">
        <f t="shared" si="18"/>
        <v>21119.209596945468</v>
      </c>
      <c r="AC18" s="990">
        <f t="shared" si="19"/>
        <v>226907818.28046399</v>
      </c>
      <c r="AD18" s="990">
        <f t="shared" si="20"/>
        <v>22243.773426033888</v>
      </c>
    </row>
    <row r="19" spans="2:30" x14ac:dyDescent="0.3">
      <c r="B19" s="784" t="s">
        <v>344</v>
      </c>
      <c r="C19" s="758">
        <f>IF('Bioenergy Calculator'!$H$75="No",'Biomass Data Assumptions'!J21,'Biomass Data Assumptions'!F21*'Biomass Data Assumptions'!$I$41)</f>
        <v>61948.433763999994</v>
      </c>
      <c r="D19" s="785">
        <f t="shared" si="1"/>
        <v>1427291.9139225597</v>
      </c>
      <c r="E19" s="785">
        <f t="shared" si="2"/>
        <v>1256418.9383121126</v>
      </c>
      <c r="F19" s="758">
        <f t="shared" si="0"/>
        <v>8567.6424911978011</v>
      </c>
      <c r="G19" s="758">
        <f t="shared" si="3"/>
        <v>14033.997894752914</v>
      </c>
      <c r="H19" s="758">
        <f t="shared" si="4"/>
        <v>5466.3554035551133</v>
      </c>
      <c r="I19" s="758">
        <f t="shared" si="5"/>
        <v>14098.924967688594</v>
      </c>
      <c r="J19" s="758">
        <f t="shared" si="6"/>
        <v>5531.2824764907928</v>
      </c>
      <c r="N19" s="784" t="s">
        <v>344</v>
      </c>
      <c r="O19" s="990">
        <f>'GHG - FW Power'!M19</f>
        <v>61948.433763999994</v>
      </c>
      <c r="P19" s="990">
        <f>'GHG - FW Power'!N19</f>
        <v>41298.955842666663</v>
      </c>
      <c r="Q19" s="990">
        <f t="shared" si="7"/>
        <v>2447805.63237719</v>
      </c>
      <c r="R19" s="990">
        <f t="shared" si="8"/>
        <v>2154758.4792052731</v>
      </c>
      <c r="S19" s="991">
        <f t="shared" si="9"/>
        <v>542482434.47134793</v>
      </c>
      <c r="T19" s="990">
        <f t="shared" si="10"/>
        <v>352613582.40637618</v>
      </c>
      <c r="U19" s="990">
        <f t="shared" si="11"/>
        <v>18424.22234832801</v>
      </c>
      <c r="V19" s="990">
        <f t="shared" si="12"/>
        <v>15441.255547391904</v>
      </c>
      <c r="W19" s="990">
        <f t="shared" si="13"/>
        <v>24068.306389501249</v>
      </c>
      <c r="X19" s="990">
        <f t="shared" si="14"/>
        <v>8627.0508421093455</v>
      </c>
      <c r="Y19" s="992">
        <f t="shared" si="15"/>
        <v>24179.656319585938</v>
      </c>
      <c r="Z19" s="990">
        <f t="shared" si="16"/>
        <v>8738.4007721940343</v>
      </c>
      <c r="AA19" s="990">
        <f t="shared" si="17"/>
        <v>294413168.33968544</v>
      </c>
      <c r="AB19" s="998">
        <f t="shared" si="18"/>
        <v>29199.898035930004</v>
      </c>
      <c r="AC19" s="990">
        <f t="shared" si="19"/>
        <v>313727894.35752249</v>
      </c>
      <c r="AD19" s="990">
        <f t="shared" si="20"/>
        <v>30754.74548386793</v>
      </c>
    </row>
    <row r="20" spans="2:30" x14ac:dyDescent="0.3">
      <c r="B20" s="784" t="s">
        <v>345</v>
      </c>
      <c r="C20" s="758">
        <f>IF('Bioenergy Calculator'!$H$75="No",'Biomass Data Assumptions'!J22,'Biomass Data Assumptions'!F22*'Biomass Data Assumptions'!$I$41)</f>
        <v>53142.955320000001</v>
      </c>
      <c r="D20" s="785">
        <f t="shared" si="1"/>
        <v>1224413.6905727999</v>
      </c>
      <c r="E20" s="785">
        <f t="shared" si="2"/>
        <v>1077828.9529690139</v>
      </c>
      <c r="F20" s="758">
        <f t="shared" si="0"/>
        <v>7349.8200752260454</v>
      </c>
      <c r="G20" s="758">
        <f t="shared" si="3"/>
        <v>12039.176420877304</v>
      </c>
      <c r="H20" s="758">
        <f t="shared" si="4"/>
        <v>4689.3563456512584</v>
      </c>
      <c r="I20" s="758">
        <f t="shared" si="5"/>
        <v>12094.874625439244</v>
      </c>
      <c r="J20" s="758">
        <f t="shared" si="6"/>
        <v>4745.054550213199</v>
      </c>
      <c r="N20" s="784" t="s">
        <v>345</v>
      </c>
      <c r="O20" s="990">
        <f>'GHG - FW Power'!M20</f>
        <v>53142.955320000001</v>
      </c>
      <c r="P20" s="990">
        <f>'GHG - FW Power'!N20</f>
        <v>35428.636879999998</v>
      </c>
      <c r="Q20" s="990">
        <f t="shared" si="7"/>
        <v>2099869.4793323516</v>
      </c>
      <c r="R20" s="990">
        <f t="shared" si="8"/>
        <v>1848476.654341859</v>
      </c>
      <c r="S20" s="991">
        <f t="shared" si="9"/>
        <v>465372859.73724008</v>
      </c>
      <c r="T20" s="990">
        <f t="shared" si="10"/>
        <v>302492358.82920605</v>
      </c>
      <c r="U20" s="990">
        <f t="shared" si="11"/>
        <v>15805.365294512647</v>
      </c>
      <c r="V20" s="990">
        <f t="shared" si="12"/>
        <v>13246.403561483115</v>
      </c>
      <c r="W20" s="990">
        <f t="shared" si="13"/>
        <v>20647.187561804574</v>
      </c>
      <c r="X20" s="990">
        <f t="shared" si="14"/>
        <v>7400.7840003214587</v>
      </c>
      <c r="Y20" s="992">
        <f t="shared" si="15"/>
        <v>20742.709982628305</v>
      </c>
      <c r="Z20" s="990">
        <f t="shared" si="16"/>
        <v>7496.3064211451892</v>
      </c>
      <c r="AA20" s="990">
        <f t="shared" si="17"/>
        <v>252564671.93828988</v>
      </c>
      <c r="AB20" s="998">
        <f t="shared" si="18"/>
        <v>25049.364162839593</v>
      </c>
      <c r="AC20" s="990">
        <f t="shared" si="19"/>
        <v>269133962.86974931</v>
      </c>
      <c r="AD20" s="990">
        <f t="shared" si="20"/>
        <v>26383.202380121525</v>
      </c>
    </row>
    <row r="21" spans="2:30" x14ac:dyDescent="0.3">
      <c r="B21" s="784" t="s">
        <v>346</v>
      </c>
      <c r="C21" s="758">
        <f>IF('Bioenergy Calculator'!$H$75="No",'Biomass Data Assumptions'!J23,'Biomass Data Assumptions'!F23*'Biomass Data Assumptions'!$I$41)</f>
        <v>6334.3374920000015</v>
      </c>
      <c r="D21" s="785">
        <f t="shared" si="1"/>
        <v>145943.13581568003</v>
      </c>
      <c r="E21" s="785">
        <f t="shared" si="2"/>
        <v>128471.07026028172</v>
      </c>
      <c r="F21" s="758">
        <f t="shared" si="0"/>
        <v>876.05667734548206</v>
      </c>
      <c r="G21" s="758">
        <f t="shared" si="3"/>
        <v>1435.0012361255617</v>
      </c>
      <c r="H21" s="758">
        <f t="shared" si="4"/>
        <v>558.94455878007966</v>
      </c>
      <c r="I21" s="758">
        <f t="shared" si="5"/>
        <v>1441.6401447686612</v>
      </c>
      <c r="J21" s="758">
        <f t="shared" si="6"/>
        <v>565.58346742317917</v>
      </c>
      <c r="N21" s="784" t="s">
        <v>346</v>
      </c>
      <c r="O21" s="990">
        <f>'GHG - FW Power'!M21</f>
        <v>6334.3374920000015</v>
      </c>
      <c r="P21" s="990">
        <f>'GHG - FW Power'!N21</f>
        <v>4222.891661333334</v>
      </c>
      <c r="Q21" s="990">
        <f t="shared" si="7"/>
        <v>250292.47792389127</v>
      </c>
      <c r="R21" s="990">
        <f t="shared" si="8"/>
        <v>220327.88549638318</v>
      </c>
      <c r="S21" s="991">
        <f t="shared" si="9"/>
        <v>55469793.417444013</v>
      </c>
      <c r="T21" s="990">
        <f t="shared" si="10"/>
        <v>36055365.721338607</v>
      </c>
      <c r="U21" s="990">
        <f t="shared" si="11"/>
        <v>1883.9094919907272</v>
      </c>
      <c r="V21" s="990">
        <f t="shared" si="12"/>
        <v>1578.8958331055951</v>
      </c>
      <c r="W21" s="990">
        <f t="shared" si="13"/>
        <v>2461.0271199553385</v>
      </c>
      <c r="X21" s="990">
        <f t="shared" si="14"/>
        <v>882.13128684974345</v>
      </c>
      <c r="Y21" s="992">
        <f t="shared" si="15"/>
        <v>2472.4128482782544</v>
      </c>
      <c r="Z21" s="990">
        <f t="shared" si="16"/>
        <v>893.51701517265928</v>
      </c>
      <c r="AA21" s="990">
        <f t="shared" si="17"/>
        <v>30104269.907084092</v>
      </c>
      <c r="AB21" s="998">
        <f t="shared" si="18"/>
        <v>2985.7414893846008</v>
      </c>
      <c r="AC21" s="990">
        <f t="shared" si="19"/>
        <v>32079234.982530314</v>
      </c>
      <c r="AD21" s="990">
        <f t="shared" si="20"/>
        <v>3144.7274053374467</v>
      </c>
    </row>
    <row r="22" spans="2:30" x14ac:dyDescent="0.3">
      <c r="B22" s="784" t="s">
        <v>347</v>
      </c>
      <c r="C22" s="758">
        <f>IF('Bioenergy Calculator'!$H$75="No",'Biomass Data Assumptions'!J24,'Biomass Data Assumptions'!F24*'Biomass Data Assumptions'!$I$41)</f>
        <v>31571.004234</v>
      </c>
      <c r="D22" s="785">
        <f t="shared" si="1"/>
        <v>727395.93755136</v>
      </c>
      <c r="E22" s="785">
        <f t="shared" si="2"/>
        <v>640313.32530929579</v>
      </c>
      <c r="F22" s="758">
        <f t="shared" si="0"/>
        <v>4366.3586136086142</v>
      </c>
      <c r="G22" s="758">
        <f t="shared" si="3"/>
        <v>7152.1970780263782</v>
      </c>
      <c r="H22" s="758">
        <f t="shared" si="4"/>
        <v>2785.838464417764</v>
      </c>
      <c r="I22" s="758">
        <f t="shared" si="5"/>
        <v>7185.2860969088015</v>
      </c>
      <c r="J22" s="758">
        <f t="shared" si="6"/>
        <v>2818.9274833001873</v>
      </c>
      <c r="N22" s="784" t="s">
        <v>347</v>
      </c>
      <c r="O22" s="990">
        <f>'GHG - FW Power'!M22</f>
        <v>31571.004234</v>
      </c>
      <c r="P22" s="990">
        <f>'GHG - FW Power'!N22</f>
        <v>21047.336155999998</v>
      </c>
      <c r="Q22" s="990">
        <f t="shared" si="7"/>
        <v>1247484.0329005823</v>
      </c>
      <c r="R22" s="990">
        <f t="shared" si="8"/>
        <v>1098137.3529054422</v>
      </c>
      <c r="S22" s="991">
        <f t="shared" si="9"/>
        <v>276467284.07713801</v>
      </c>
      <c r="T22" s="990">
        <f t="shared" si="10"/>
        <v>179703734.65013972</v>
      </c>
      <c r="U22" s="990">
        <f t="shared" si="11"/>
        <v>9389.6030363441896</v>
      </c>
      <c r="V22" s="990">
        <f t="shared" si="12"/>
        <v>7869.3828825787632</v>
      </c>
      <c r="W22" s="990">
        <f t="shared" si="13"/>
        <v>12266.017988815238</v>
      </c>
      <c r="X22" s="990">
        <f t="shared" si="14"/>
        <v>4396.6351062364747</v>
      </c>
      <c r="Y22" s="992">
        <f t="shared" si="15"/>
        <v>12322.765656198593</v>
      </c>
      <c r="Z22" s="990">
        <f t="shared" si="16"/>
        <v>4453.38277361983</v>
      </c>
      <c r="AA22" s="990">
        <f t="shared" si="17"/>
        <v>150042847.24304208</v>
      </c>
      <c r="AB22" s="998">
        <f t="shared" si="18"/>
        <v>14881.249589564915</v>
      </c>
      <c r="AC22" s="990">
        <f t="shared" si="19"/>
        <v>159886280.88352337</v>
      </c>
      <c r="AD22" s="990">
        <f t="shared" si="20"/>
        <v>15673.652115011797</v>
      </c>
    </row>
    <row r="23" spans="2:30" x14ac:dyDescent="0.3">
      <c r="B23" s="784" t="s">
        <v>348</v>
      </c>
      <c r="C23" s="758">
        <f>IF('Bioenergy Calculator'!$H$75="No",'Biomass Data Assumptions'!J25,'Biomass Data Assumptions'!F25*'Biomass Data Assumptions'!$I$41)</f>
        <v>11913.24309</v>
      </c>
      <c r="D23" s="785">
        <f t="shared" si="1"/>
        <v>274481.12079359998</v>
      </c>
      <c r="E23" s="785">
        <f t="shared" si="2"/>
        <v>241620.70492394367</v>
      </c>
      <c r="F23" s="758">
        <f t="shared" si="0"/>
        <v>1647.6350006635266</v>
      </c>
      <c r="G23" s="758">
        <f t="shared" si="3"/>
        <v>2698.8644956169796</v>
      </c>
      <c r="H23" s="758">
        <f t="shared" si="4"/>
        <v>1051.229494953453</v>
      </c>
      <c r="I23" s="758">
        <f t="shared" si="5"/>
        <v>2711.3505579111711</v>
      </c>
      <c r="J23" s="758">
        <f t="shared" si="6"/>
        <v>1063.7155572476445</v>
      </c>
      <c r="N23" s="784" t="s">
        <v>348</v>
      </c>
      <c r="O23" s="990">
        <f>'GHG - FW Power'!M23</f>
        <v>11913.24309</v>
      </c>
      <c r="P23" s="990">
        <f>'GHG - FW Power'!N23</f>
        <v>7942.1620600000006</v>
      </c>
      <c r="Q23" s="990">
        <f t="shared" si="7"/>
        <v>470735.12216102402</v>
      </c>
      <c r="R23" s="990">
        <f t="shared" si="8"/>
        <v>414379.50894456345</v>
      </c>
      <c r="S23" s="991">
        <f t="shared" si="9"/>
        <v>104324269.73913001</v>
      </c>
      <c r="T23" s="990">
        <f t="shared" si="10"/>
        <v>67810775.330434501</v>
      </c>
      <c r="U23" s="990">
        <f t="shared" si="11"/>
        <v>3543.1442934622746</v>
      </c>
      <c r="V23" s="990">
        <f t="shared" si="12"/>
        <v>2969.4928470942646</v>
      </c>
      <c r="W23" s="990">
        <f t="shared" si="13"/>
        <v>4628.5526099831204</v>
      </c>
      <c r="X23" s="990">
        <f t="shared" si="14"/>
        <v>1659.0597628888559</v>
      </c>
      <c r="Y23" s="992">
        <f t="shared" si="15"/>
        <v>4649.9662068176594</v>
      </c>
      <c r="Z23" s="990">
        <f t="shared" si="16"/>
        <v>1680.4733597233949</v>
      </c>
      <c r="AA23" s="990">
        <f t="shared" si="17"/>
        <v>56618310.265755638</v>
      </c>
      <c r="AB23" s="998">
        <f t="shared" si="18"/>
        <v>5615.4040121576445</v>
      </c>
      <c r="AC23" s="990">
        <f t="shared" si="19"/>
        <v>60332706.454428278</v>
      </c>
      <c r="AD23" s="990">
        <f t="shared" si="20"/>
        <v>5914.4152137276042</v>
      </c>
    </row>
    <row r="24" spans="2:30" x14ac:dyDescent="0.3">
      <c r="B24" s="784" t="s">
        <v>349</v>
      </c>
      <c r="C24" s="758">
        <f>IF('Bioenergy Calculator'!$H$75="No",'Biomass Data Assumptions'!J26,'Biomass Data Assumptions'!F26*'Biomass Data Assumptions'!$I$41)</f>
        <v>4518.674509999998</v>
      </c>
      <c r="D24" s="785">
        <f t="shared" si="1"/>
        <v>104110.26071039995</v>
      </c>
      <c r="E24" s="785">
        <f t="shared" si="2"/>
        <v>91646.356259154883</v>
      </c>
      <c r="F24" s="758">
        <f t="shared" si="0"/>
        <v>624.94538414410101</v>
      </c>
      <c r="G24" s="758">
        <f t="shared" si="3"/>
        <v>1023.6750908344343</v>
      </c>
      <c r="H24" s="758">
        <f t="shared" si="4"/>
        <v>398.72970669033327</v>
      </c>
      <c r="I24" s="758">
        <f t="shared" si="5"/>
        <v>1028.4110347745352</v>
      </c>
      <c r="J24" s="758">
        <f t="shared" si="6"/>
        <v>403.4656506304342</v>
      </c>
      <c r="N24" s="784" t="s">
        <v>349</v>
      </c>
      <c r="O24" s="990">
        <f>'GHG - FW Power'!M24</f>
        <v>4518.674509999998</v>
      </c>
      <c r="P24" s="990">
        <f>'GHG - FW Power'!N24</f>
        <v>3012.4496733333317</v>
      </c>
      <c r="Q24" s="990">
        <f t="shared" si="7"/>
        <v>178549.09711833589</v>
      </c>
      <c r="R24" s="990">
        <f t="shared" si="8"/>
        <v>157173.50098445063</v>
      </c>
      <c r="S24" s="991">
        <f t="shared" si="9"/>
        <v>39570032.684069984</v>
      </c>
      <c r="T24" s="990">
        <f t="shared" si="10"/>
        <v>25720521.244645491</v>
      </c>
      <c r="U24" s="990">
        <f t="shared" si="11"/>
        <v>1343.9091004160757</v>
      </c>
      <c r="V24" s="990">
        <f t="shared" si="12"/>
        <v>1126.3240021565089</v>
      </c>
      <c r="W24" s="990">
        <f t="shared" si="13"/>
        <v>1755.6027807810547</v>
      </c>
      <c r="X24" s="990">
        <f t="shared" si="14"/>
        <v>629.27877862454579</v>
      </c>
      <c r="Y24" s="992">
        <f t="shared" si="15"/>
        <v>1763.724924638328</v>
      </c>
      <c r="Z24" s="990">
        <f t="shared" si="16"/>
        <v>637.40092248181918</v>
      </c>
      <c r="AA24" s="990">
        <f t="shared" si="17"/>
        <v>21475236.714668699</v>
      </c>
      <c r="AB24" s="998">
        <f t="shared" si="18"/>
        <v>2129.9139773608417</v>
      </c>
      <c r="AC24" s="990">
        <f t="shared" si="19"/>
        <v>22884101.391650304</v>
      </c>
      <c r="AD24" s="990">
        <f t="shared" si="20"/>
        <v>2243.3284594234797</v>
      </c>
    </row>
    <row r="25" spans="2:30" ht="15" thickBot="1" x14ac:dyDescent="0.35">
      <c r="B25" s="786" t="s">
        <v>350</v>
      </c>
      <c r="C25" s="787">
        <f>IF('Bioenergy Calculator'!$H$75="No",'Biomass Data Assumptions'!J27,'Biomass Data Assumptions'!F27*'Biomass Data Assumptions'!$I$41)</f>
        <v>2363.0571299999992</v>
      </c>
      <c r="D25" s="788">
        <f t="shared" si="1"/>
        <v>54444.836275199981</v>
      </c>
      <c r="E25" s="788">
        <f t="shared" si="2"/>
        <v>47926.792495774636</v>
      </c>
      <c r="F25" s="787">
        <f t="shared" si="0"/>
        <v>326.81744228183129</v>
      </c>
      <c r="G25" s="787">
        <f t="shared" si="3"/>
        <v>535.33458027268</v>
      </c>
      <c r="H25" s="787">
        <f t="shared" si="4"/>
        <v>208.51713799084871</v>
      </c>
      <c r="I25" s="758">
        <f t="shared" si="5"/>
        <v>537.8112592346564</v>
      </c>
      <c r="J25" s="758">
        <f t="shared" si="6"/>
        <v>210.99381695282511</v>
      </c>
      <c r="N25" s="786" t="s">
        <v>350</v>
      </c>
      <c r="O25" s="990">
        <f>'GHG - FW Power'!M25</f>
        <v>2363.0571299999992</v>
      </c>
      <c r="P25" s="990">
        <f>'GHG - FW Power'!N25</f>
        <v>1575.3714199999995</v>
      </c>
      <c r="Q25" s="990">
        <f t="shared" si="7"/>
        <v>93372.89421196797</v>
      </c>
      <c r="R25" s="990">
        <f t="shared" si="8"/>
        <v>82194.449130253503</v>
      </c>
      <c r="S25" s="991">
        <f t="shared" si="9"/>
        <v>20693291.287409995</v>
      </c>
      <c r="T25" s="990">
        <f t="shared" si="10"/>
        <v>13450639.336816497</v>
      </c>
      <c r="U25" s="990">
        <f t="shared" si="11"/>
        <v>702.80211039367259</v>
      </c>
      <c r="V25" s="990">
        <f t="shared" si="12"/>
        <v>589.01519861541749</v>
      </c>
      <c r="W25" s="990">
        <f t="shared" si="13"/>
        <v>918.09880516764622</v>
      </c>
      <c r="X25" s="990">
        <f t="shared" si="14"/>
        <v>329.08360655222873</v>
      </c>
      <c r="Y25" s="992">
        <f t="shared" si="15"/>
        <v>922.34630958743583</v>
      </c>
      <c r="Z25" s="990">
        <f t="shared" si="16"/>
        <v>333.33111097201834</v>
      </c>
      <c r="AA25" s="990">
        <f t="shared" si="17"/>
        <v>11230552.482753545</v>
      </c>
      <c r="AB25" s="998">
        <f t="shared" si="18"/>
        <v>1113.8461952394966</v>
      </c>
      <c r="AC25" s="990">
        <f t="shared" si="19"/>
        <v>11967323.346151389</v>
      </c>
      <c r="AD25" s="990">
        <f t="shared" si="20"/>
        <v>1173.1567076232207</v>
      </c>
    </row>
    <row r="26" spans="2:30" ht="15" thickTop="1" x14ac:dyDescent="0.3">
      <c r="B26" s="789" t="s">
        <v>351</v>
      </c>
      <c r="C26" s="790">
        <f>SUM(C5:C25)</f>
        <v>704611.81300999993</v>
      </c>
      <c r="D26" s="790">
        <f>SUM(D5:D25)</f>
        <v>16234256.171750398</v>
      </c>
      <c r="E26" s="790">
        <f>SUM(E5:E25)</f>
        <v>14290718.46104789</v>
      </c>
      <c r="F26" s="790">
        <f t="shared" ref="F26:H26" si="21">SUM(F5:F25)</f>
        <v>97449.794000322043</v>
      </c>
      <c r="G26" s="790">
        <f t="shared" si="21"/>
        <v>165712.44229926023</v>
      </c>
      <c r="H26" s="790">
        <f t="shared" si="21"/>
        <v>68262.648298938162</v>
      </c>
      <c r="I26" s="917">
        <f>SUM(I5:I25)</f>
        <v>160363.52300400048</v>
      </c>
      <c r="J26" s="917">
        <f>SUM(J5:J25)</f>
        <v>62913.729003678476</v>
      </c>
      <c r="N26" s="789" t="s">
        <v>351</v>
      </c>
      <c r="O26" s="990">
        <f t="shared" ref="O26:X26" si="22">SUM(O5:O25)</f>
        <v>704611.81300999993</v>
      </c>
      <c r="P26" s="990">
        <f t="shared" si="22"/>
        <v>469741.20867333328</v>
      </c>
      <c r="Q26" s="996">
        <f t="shared" si="22"/>
        <v>27841749.334551938</v>
      </c>
      <c r="R26" s="996">
        <f t="shared" si="22"/>
        <v>24508582.160697117</v>
      </c>
      <c r="S26" s="990">
        <f t="shared" si="22"/>
        <v>6170285646.5285702</v>
      </c>
      <c r="T26" s="990">
        <f t="shared" si="22"/>
        <v>4010685670.2435708</v>
      </c>
      <c r="U26" s="990">
        <f t="shared" si="22"/>
        <v>209560.17647856867</v>
      </c>
      <c r="V26" s="990">
        <f t="shared" si="22"/>
        <v>175631.41479649904</v>
      </c>
      <c r="W26" s="990">
        <f t="shared" si="22"/>
        <v>273756.929284012</v>
      </c>
      <c r="X26" s="990">
        <f t="shared" si="22"/>
        <v>98125.514487512846</v>
      </c>
      <c r="Y26" s="990">
        <f t="shared" ref="Y26:AD26" si="23">SUM(Y5:Y25)</f>
        <v>275023.44195186091</v>
      </c>
      <c r="Z26" s="990">
        <f t="shared" si="23"/>
        <v>99392.027155361866</v>
      </c>
      <c r="AA26" s="990">
        <f t="shared" si="23"/>
        <v>3348704458.100399</v>
      </c>
      <c r="AB26" s="997">
        <f t="shared" si="23"/>
        <v>332124.50815439766</v>
      </c>
      <c r="AC26" s="996">
        <f t="shared" si="23"/>
        <v>3568393371.7711816</v>
      </c>
      <c r="AD26" s="996">
        <f t="shared" si="23"/>
        <v>349809.60223472904</v>
      </c>
    </row>
    <row r="28" spans="2:30" x14ac:dyDescent="0.3">
      <c r="B28" s="725" t="s">
        <v>1087</v>
      </c>
      <c r="C28" s="723"/>
      <c r="D28" s="723"/>
      <c r="E28" s="723"/>
      <c r="F28" s="723"/>
      <c r="G28" s="723"/>
      <c r="H28" s="723"/>
      <c r="I28" s="723"/>
      <c r="J28" s="723"/>
      <c r="K28" s="723"/>
      <c r="L28" s="723"/>
      <c r="M28" s="723"/>
      <c r="N28" s="723"/>
      <c r="O28" s="723"/>
    </row>
    <row r="29" spans="2:30" x14ac:dyDescent="0.3">
      <c r="B29" s="726" t="s">
        <v>1099</v>
      </c>
      <c r="C29" s="723"/>
      <c r="D29" s="723"/>
      <c r="E29" s="723"/>
      <c r="F29" s="723"/>
      <c r="G29" s="723"/>
      <c r="H29" s="723"/>
      <c r="I29" s="723"/>
      <c r="J29" s="723"/>
      <c r="K29" s="723"/>
      <c r="L29" s="723"/>
      <c r="M29" s="723"/>
      <c r="N29" s="723"/>
      <c r="O29" s="723"/>
      <c r="W29" s="995" t="s">
        <v>1511</v>
      </c>
      <c r="Y29" s="995" t="s">
        <v>1515</v>
      </c>
      <c r="AC29" s="995" t="s">
        <v>1521</v>
      </c>
    </row>
    <row r="30" spans="2:30" x14ac:dyDescent="0.3">
      <c r="B30" s="726" t="s">
        <v>1275</v>
      </c>
      <c r="C30" s="723"/>
      <c r="D30" s="723"/>
      <c r="E30" s="723"/>
      <c r="F30" s="723"/>
      <c r="G30" s="723"/>
      <c r="H30" s="723"/>
      <c r="I30" s="723"/>
      <c r="J30" s="723"/>
      <c r="K30" s="723"/>
      <c r="L30" s="723"/>
      <c r="M30" s="723"/>
      <c r="N30" s="723"/>
      <c r="O30" s="723"/>
      <c r="W30" s="995" t="s">
        <v>1516</v>
      </c>
    </row>
    <row r="31" spans="2:30" x14ac:dyDescent="0.3">
      <c r="B31" s="726" t="s">
        <v>1276</v>
      </c>
      <c r="C31" s="723"/>
      <c r="D31" s="723"/>
      <c r="E31" s="723"/>
      <c r="F31" s="723"/>
      <c r="G31" s="723"/>
      <c r="H31" s="723"/>
      <c r="I31" s="723"/>
      <c r="J31" s="723"/>
      <c r="K31" s="723"/>
      <c r="L31" s="723"/>
      <c r="M31" s="723"/>
      <c r="N31" s="723"/>
      <c r="O31" s="723"/>
      <c r="W31" s="995" t="s">
        <v>1517</v>
      </c>
    </row>
    <row r="32" spans="2:30" x14ac:dyDescent="0.3">
      <c r="B32" s="726" t="s">
        <v>1277</v>
      </c>
      <c r="C32" s="723"/>
      <c r="D32" s="723"/>
      <c r="E32" s="723"/>
      <c r="F32" s="723"/>
      <c r="G32" s="723"/>
      <c r="H32" s="723"/>
      <c r="I32" s="723"/>
      <c r="J32" s="723"/>
      <c r="K32" s="723"/>
      <c r="L32" s="723"/>
      <c r="M32" s="723"/>
      <c r="N32" s="723"/>
      <c r="O32" s="723"/>
    </row>
    <row r="33" spans="2:23" x14ac:dyDescent="0.3">
      <c r="B33" s="726"/>
      <c r="C33" s="723"/>
      <c r="D33" s="723"/>
      <c r="E33" s="723"/>
      <c r="F33" s="723"/>
      <c r="G33" s="723"/>
      <c r="H33" s="723"/>
      <c r="I33" s="723"/>
      <c r="J33" s="723"/>
      <c r="K33" s="723"/>
      <c r="L33" s="723"/>
      <c r="M33" s="723"/>
      <c r="N33" s="723"/>
      <c r="O33" s="723"/>
      <c r="W33" s="995" t="s">
        <v>1519</v>
      </c>
    </row>
    <row r="34" spans="2:23" x14ac:dyDescent="0.3">
      <c r="B34" s="725" t="s">
        <v>1193</v>
      </c>
      <c r="C34" s="726"/>
      <c r="D34" s="723"/>
      <c r="E34" s="723"/>
      <c r="F34" s="723"/>
      <c r="G34" s="723"/>
      <c r="H34" s="723"/>
      <c r="I34" s="723"/>
      <c r="J34" s="723"/>
      <c r="K34" s="723"/>
      <c r="L34" s="723"/>
      <c r="M34" s="723"/>
      <c r="N34" s="723"/>
      <c r="O34" s="723"/>
      <c r="W34" s="995" t="s">
        <v>1520</v>
      </c>
    </row>
    <row r="35" spans="2:23" x14ac:dyDescent="0.3">
      <c r="B35" s="726" t="s">
        <v>1198</v>
      </c>
      <c r="C35" s="726"/>
      <c r="D35" s="723"/>
      <c r="E35" s="723"/>
      <c r="F35" s="723"/>
      <c r="G35" s="723"/>
      <c r="H35" s="723"/>
      <c r="I35" s="723"/>
      <c r="J35" s="723"/>
      <c r="K35" s="723"/>
      <c r="L35" s="723"/>
      <c r="M35" s="723"/>
      <c r="N35" s="723"/>
      <c r="O35" s="723"/>
    </row>
    <row r="36" spans="2:23" x14ac:dyDescent="0.3">
      <c r="B36" s="726" t="s">
        <v>1278</v>
      </c>
      <c r="C36" s="723"/>
      <c r="D36" s="723"/>
      <c r="E36" s="723"/>
      <c r="F36" s="723"/>
      <c r="G36" s="723"/>
      <c r="H36" s="723"/>
      <c r="I36" s="723"/>
      <c r="J36" s="723"/>
      <c r="K36" s="723"/>
      <c r="L36" s="723"/>
      <c r="M36" s="723"/>
      <c r="N36" s="723"/>
      <c r="O36" s="723"/>
    </row>
    <row r="37" spans="2:23" x14ac:dyDescent="0.3">
      <c r="B37" s="726"/>
      <c r="C37" s="725"/>
      <c r="D37" s="723"/>
      <c r="E37" s="723"/>
      <c r="F37" s="723"/>
      <c r="G37" s="723"/>
      <c r="H37" s="723"/>
      <c r="I37" s="723"/>
      <c r="J37" s="723"/>
      <c r="K37" s="723"/>
      <c r="L37" s="723"/>
      <c r="M37" s="723"/>
      <c r="N37" s="723"/>
      <c r="O37" s="723"/>
    </row>
    <row r="38" spans="2:23" ht="15" x14ac:dyDescent="0.35">
      <c r="B38" s="725" t="s">
        <v>1266</v>
      </c>
      <c r="C38" s="725"/>
      <c r="D38" s="723"/>
      <c r="E38" s="723"/>
      <c r="F38" s="723"/>
      <c r="G38" s="723"/>
      <c r="H38" s="723"/>
      <c r="I38" s="723"/>
      <c r="J38" s="723"/>
      <c r="K38" s="723"/>
      <c r="L38" s="723"/>
      <c r="M38" s="723"/>
      <c r="N38" s="723"/>
      <c r="O38" s="723"/>
    </row>
    <row r="39" spans="2:23" x14ac:dyDescent="0.3">
      <c r="B39" s="726" t="s">
        <v>1124</v>
      </c>
      <c r="C39" s="723"/>
      <c r="D39" s="723"/>
      <c r="E39" s="723"/>
      <c r="F39" s="723"/>
      <c r="G39" s="723"/>
      <c r="H39" s="723"/>
      <c r="I39" s="723"/>
      <c r="J39" s="723"/>
      <c r="K39" s="723"/>
      <c r="L39" s="723"/>
      <c r="M39" s="723"/>
      <c r="N39" s="723"/>
      <c r="O39" s="723"/>
    </row>
    <row r="40" spans="2:23" x14ac:dyDescent="0.3">
      <c r="B40" s="726" t="s">
        <v>1279</v>
      </c>
      <c r="C40" s="723"/>
      <c r="D40" s="723"/>
      <c r="E40" s="723"/>
      <c r="F40" s="723"/>
      <c r="G40" s="723"/>
      <c r="H40" s="723"/>
      <c r="I40" s="723"/>
      <c r="J40" s="723"/>
      <c r="K40" s="723"/>
      <c r="L40" s="723"/>
      <c r="M40" s="723"/>
      <c r="N40" s="723"/>
      <c r="O40" s="723"/>
    </row>
    <row r="41" spans="2:23" x14ac:dyDescent="0.3">
      <c r="B41" s="726" t="s">
        <v>1126</v>
      </c>
      <c r="C41" s="723"/>
      <c r="D41" s="723"/>
      <c r="E41" s="723"/>
      <c r="F41" s="723"/>
      <c r="G41" s="723"/>
      <c r="H41" s="723"/>
      <c r="I41" s="723"/>
      <c r="J41" s="723"/>
      <c r="K41" s="723"/>
      <c r="L41" s="723"/>
      <c r="M41" s="723"/>
      <c r="N41" s="723"/>
      <c r="O41" s="723"/>
    </row>
    <row r="42" spans="2:23" ht="15" x14ac:dyDescent="0.35">
      <c r="B42" s="726" t="s">
        <v>1268</v>
      </c>
      <c r="C42" s="723"/>
      <c r="D42" s="723"/>
      <c r="E42" s="723"/>
      <c r="F42" s="723"/>
      <c r="G42" s="723"/>
      <c r="H42" s="723"/>
      <c r="I42" s="723"/>
      <c r="J42" s="723"/>
      <c r="K42" s="723"/>
      <c r="L42" s="723"/>
      <c r="M42" s="723"/>
      <c r="N42" s="723"/>
      <c r="O42" s="723"/>
    </row>
    <row r="43" spans="2:23" x14ac:dyDescent="0.3">
      <c r="B43" s="726" t="s">
        <v>1077</v>
      </c>
      <c r="C43" s="723"/>
      <c r="D43" s="723"/>
      <c r="E43" s="723"/>
      <c r="F43" s="723"/>
      <c r="G43" s="723"/>
      <c r="H43" s="723"/>
      <c r="I43" s="723"/>
      <c r="J43" s="723"/>
      <c r="K43" s="723"/>
      <c r="L43" s="723"/>
      <c r="M43" s="723"/>
      <c r="N43" s="723"/>
      <c r="O43" s="723"/>
    </row>
    <row r="44" spans="2:23" x14ac:dyDescent="0.3">
      <c r="B44" s="726" t="s">
        <v>1075</v>
      </c>
      <c r="C44" s="723"/>
      <c r="D44" s="723"/>
      <c r="E44" s="723"/>
      <c r="F44" s="723"/>
      <c r="G44" s="723"/>
      <c r="H44" s="723"/>
      <c r="I44" s="723"/>
      <c r="J44" s="723"/>
      <c r="K44" s="723"/>
      <c r="L44" s="723"/>
      <c r="M44" s="723"/>
      <c r="N44" s="723"/>
      <c r="O44" s="723"/>
    </row>
    <row r="45" spans="2:23" x14ac:dyDescent="0.3">
      <c r="B45" s="726"/>
      <c r="C45" s="723"/>
      <c r="D45" s="723"/>
      <c r="E45" s="723"/>
      <c r="F45" s="723"/>
      <c r="G45" s="723"/>
      <c r="H45" s="723"/>
      <c r="I45" s="723"/>
      <c r="J45" s="723"/>
      <c r="K45" s="723"/>
      <c r="L45" s="723"/>
      <c r="M45" s="723"/>
      <c r="N45" s="723"/>
      <c r="O45" s="723"/>
    </row>
    <row r="46" spans="2:23" ht="15" x14ac:dyDescent="0.35">
      <c r="B46" s="725" t="s">
        <v>1249</v>
      </c>
      <c r="C46" s="723"/>
      <c r="D46" s="723"/>
      <c r="E46" s="723"/>
      <c r="F46" s="723"/>
      <c r="G46" s="723"/>
      <c r="H46" s="723"/>
      <c r="I46" s="723"/>
      <c r="J46" s="723"/>
      <c r="K46" s="723"/>
      <c r="L46" s="723"/>
      <c r="M46" s="723"/>
      <c r="N46" s="723"/>
      <c r="O46" s="723"/>
    </row>
    <row r="47" spans="2:23" x14ac:dyDescent="0.3">
      <c r="B47" s="726" t="s">
        <v>1088</v>
      </c>
      <c r="C47" s="723"/>
      <c r="D47" s="723"/>
      <c r="E47" s="723"/>
      <c r="F47" s="723"/>
      <c r="G47" s="723"/>
      <c r="H47" s="723"/>
      <c r="I47" s="723"/>
      <c r="J47" s="723"/>
      <c r="K47" s="723"/>
      <c r="L47" s="723"/>
      <c r="M47" s="723"/>
      <c r="N47" s="723"/>
      <c r="O47" s="723"/>
    </row>
    <row r="48" spans="2:23" ht="15" x14ac:dyDescent="0.35">
      <c r="B48" s="726" t="s">
        <v>1280</v>
      </c>
      <c r="C48" s="723"/>
      <c r="D48" s="723"/>
      <c r="E48" s="723"/>
      <c r="F48" s="723"/>
      <c r="G48" s="723"/>
      <c r="H48" s="723"/>
      <c r="I48" s="723"/>
      <c r="J48" s="723"/>
      <c r="K48" s="723"/>
      <c r="L48" s="723"/>
      <c r="M48" s="723"/>
      <c r="N48" s="723"/>
      <c r="O48" s="723"/>
    </row>
    <row r="49" spans="2:17" x14ac:dyDescent="0.3">
      <c r="B49" s="726" t="s">
        <v>1096</v>
      </c>
      <c r="C49" s="723"/>
      <c r="D49" s="723"/>
      <c r="E49" s="723"/>
      <c r="F49" s="723"/>
      <c r="G49" s="723"/>
      <c r="H49" s="723"/>
      <c r="I49" s="723"/>
      <c r="J49" s="723"/>
      <c r="K49" s="723"/>
      <c r="L49" s="723"/>
      <c r="M49" s="723"/>
      <c r="N49" s="723"/>
      <c r="O49" s="723"/>
    </row>
    <row r="50" spans="2:17" x14ac:dyDescent="0.3">
      <c r="B50" s="726"/>
      <c r="C50" s="723"/>
      <c r="D50" s="723"/>
      <c r="E50" s="723"/>
      <c r="F50" s="723"/>
      <c r="G50" s="723"/>
      <c r="H50" s="723"/>
      <c r="I50" s="723"/>
      <c r="J50" s="723"/>
      <c r="K50" s="723"/>
      <c r="L50" s="723"/>
      <c r="M50" s="723"/>
      <c r="N50" s="723"/>
      <c r="O50" s="723"/>
    </row>
    <row r="51" spans="2:17" ht="15" x14ac:dyDescent="0.35">
      <c r="B51" s="726" t="s">
        <v>1281</v>
      </c>
      <c r="C51" s="726"/>
      <c r="D51" s="726"/>
      <c r="E51" s="726"/>
      <c r="F51" s="726"/>
      <c r="G51" s="726"/>
      <c r="H51" s="726"/>
      <c r="I51" s="726"/>
      <c r="J51" s="726"/>
      <c r="K51" s="726"/>
      <c r="L51" s="726"/>
      <c r="M51" s="726"/>
      <c r="N51" s="726"/>
      <c r="O51" s="726"/>
    </row>
    <row r="52" spans="2:17" ht="15" x14ac:dyDescent="0.35">
      <c r="B52" s="728" t="s">
        <v>1080</v>
      </c>
      <c r="C52" s="729" t="s">
        <v>1270</v>
      </c>
      <c r="D52" s="729"/>
      <c r="E52" s="729"/>
      <c r="F52" s="729"/>
      <c r="G52" s="729"/>
      <c r="H52" s="729"/>
      <c r="I52" s="729"/>
      <c r="J52" s="729"/>
      <c r="K52" s="729"/>
      <c r="L52" s="729"/>
      <c r="M52" s="729"/>
      <c r="N52" s="729"/>
      <c r="O52" s="730"/>
      <c r="P52" s="665"/>
      <c r="Q52" s="665"/>
    </row>
    <row r="53" spans="2:17" x14ac:dyDescent="0.3">
      <c r="B53" s="733"/>
      <c r="C53" s="734"/>
      <c r="D53" s="734"/>
      <c r="E53" s="734"/>
      <c r="F53" s="734"/>
      <c r="G53" s="734"/>
      <c r="H53" s="734"/>
      <c r="I53" s="734"/>
      <c r="J53" s="734"/>
      <c r="K53" s="734"/>
      <c r="L53" s="734"/>
      <c r="M53" s="734"/>
      <c r="N53" s="734"/>
      <c r="O53" s="735"/>
      <c r="P53" s="665"/>
      <c r="Q53" s="665"/>
    </row>
    <row r="54" spans="2:17" x14ac:dyDescent="0.3">
      <c r="B54" s="736" t="s">
        <v>1081</v>
      </c>
      <c r="C54" s="737"/>
      <c r="D54" s="734"/>
      <c r="E54" s="734"/>
      <c r="F54" s="734"/>
      <c r="G54" s="734"/>
      <c r="H54" s="734"/>
      <c r="I54" s="734"/>
      <c r="J54" s="734"/>
      <c r="K54" s="734"/>
      <c r="L54" s="734"/>
      <c r="M54" s="734"/>
      <c r="N54" s="734"/>
      <c r="O54" s="735"/>
      <c r="P54" s="665"/>
      <c r="Q54" s="665"/>
    </row>
    <row r="55" spans="2:17" x14ac:dyDescent="0.3">
      <c r="B55" s="736"/>
      <c r="C55" s="737" t="s">
        <v>1127</v>
      </c>
      <c r="D55" s="734"/>
      <c r="E55" s="734"/>
      <c r="F55" s="734"/>
      <c r="G55" s="734"/>
      <c r="H55" s="734"/>
      <c r="I55" s="734"/>
      <c r="J55" s="734"/>
      <c r="K55" s="734"/>
      <c r="L55" s="734"/>
      <c r="M55" s="734"/>
      <c r="N55" s="734"/>
      <c r="O55" s="735"/>
      <c r="P55" s="665"/>
      <c r="Q55" s="665"/>
    </row>
    <row r="56" spans="2:17" x14ac:dyDescent="0.3">
      <c r="B56" s="736" t="s">
        <v>1083</v>
      </c>
      <c r="C56" s="737"/>
      <c r="D56" s="734"/>
      <c r="E56" s="734"/>
      <c r="F56" s="734"/>
      <c r="G56" s="734"/>
      <c r="H56" s="734"/>
      <c r="I56" s="734"/>
      <c r="J56" s="734"/>
      <c r="K56" s="734"/>
      <c r="L56" s="734"/>
      <c r="M56" s="734"/>
      <c r="N56" s="734"/>
      <c r="O56" s="735"/>
      <c r="P56" s="665"/>
      <c r="Q56" s="665"/>
    </row>
    <row r="57" spans="2:17" x14ac:dyDescent="0.3">
      <c r="B57" s="736"/>
      <c r="C57" s="737" t="s">
        <v>1128</v>
      </c>
      <c r="D57" s="734"/>
      <c r="E57" s="734"/>
      <c r="F57" s="734"/>
      <c r="G57" s="734"/>
      <c r="H57" s="734"/>
      <c r="I57" s="734"/>
      <c r="J57" s="734"/>
      <c r="K57" s="734"/>
      <c r="L57" s="734"/>
      <c r="M57" s="734"/>
      <c r="N57" s="734"/>
      <c r="O57" s="735"/>
      <c r="P57" s="665"/>
      <c r="Q57" s="665"/>
    </row>
    <row r="58" spans="2:17" ht="15" x14ac:dyDescent="0.35">
      <c r="B58" s="736" t="s">
        <v>1234</v>
      </c>
      <c r="C58" s="737"/>
      <c r="D58" s="734"/>
      <c r="E58" s="734"/>
      <c r="F58" s="734"/>
      <c r="G58" s="734"/>
      <c r="H58" s="734"/>
      <c r="I58" s="734"/>
      <c r="J58" s="734"/>
      <c r="K58" s="734"/>
      <c r="L58" s="734"/>
      <c r="M58" s="734"/>
      <c r="N58" s="734"/>
      <c r="O58" s="735"/>
      <c r="P58" s="665"/>
      <c r="Q58" s="665"/>
    </row>
    <row r="59" spans="2:17" ht="15" x14ac:dyDescent="0.35">
      <c r="B59" s="736"/>
      <c r="C59" s="737" t="s">
        <v>1271</v>
      </c>
      <c r="D59" s="734"/>
      <c r="E59" s="734"/>
      <c r="F59" s="734"/>
      <c r="G59" s="734"/>
      <c r="H59" s="734"/>
      <c r="I59" s="734"/>
      <c r="J59" s="734"/>
      <c r="K59" s="734"/>
      <c r="L59" s="734"/>
      <c r="M59" s="734"/>
      <c r="N59" s="734"/>
      <c r="O59" s="735"/>
      <c r="P59" s="665"/>
      <c r="Q59" s="665"/>
    </row>
    <row r="60" spans="2:17" ht="15" x14ac:dyDescent="0.35">
      <c r="B60" s="738" t="s">
        <v>1236</v>
      </c>
      <c r="C60" s="739"/>
      <c r="D60" s="739"/>
      <c r="E60" s="739"/>
      <c r="F60" s="739"/>
      <c r="G60" s="739"/>
      <c r="H60" s="739"/>
      <c r="I60" s="739"/>
      <c r="J60" s="739"/>
      <c r="K60" s="739"/>
      <c r="L60" s="739"/>
      <c r="M60" s="739"/>
      <c r="N60" s="739"/>
      <c r="O60" s="740"/>
      <c r="P60" s="665"/>
      <c r="Q60" s="665"/>
    </row>
    <row r="61" spans="2:17" x14ac:dyDescent="0.3">
      <c r="B61" s="723"/>
      <c r="C61" s="723"/>
      <c r="D61" s="723"/>
      <c r="E61" s="723"/>
      <c r="F61" s="723"/>
      <c r="G61" s="723"/>
      <c r="H61" s="723"/>
      <c r="I61" s="723"/>
      <c r="J61" s="723"/>
      <c r="K61" s="723"/>
      <c r="L61" s="723"/>
      <c r="M61" s="723"/>
      <c r="N61" s="723"/>
      <c r="O61" s="723"/>
    </row>
    <row r="62" spans="2:17" x14ac:dyDescent="0.3">
      <c r="B62" s="726" t="s">
        <v>1085</v>
      </c>
      <c r="C62" s="723"/>
      <c r="D62" s="723"/>
      <c r="E62" s="723"/>
      <c r="F62" s="723"/>
      <c r="G62" s="723"/>
      <c r="H62" s="723"/>
      <c r="I62" s="723"/>
      <c r="J62" s="723"/>
      <c r="K62" s="723"/>
      <c r="L62" s="723"/>
      <c r="M62" s="723"/>
      <c r="N62" s="723"/>
      <c r="O62" s="723"/>
    </row>
    <row r="63" spans="2:17" x14ac:dyDescent="0.3">
      <c r="B63" s="726" t="s">
        <v>1282</v>
      </c>
      <c r="C63" s="723"/>
      <c r="D63" s="723"/>
      <c r="E63" s="723"/>
      <c r="F63" s="723"/>
      <c r="G63" s="723"/>
      <c r="H63" s="723"/>
      <c r="I63" s="723"/>
      <c r="J63" s="723"/>
      <c r="K63" s="723"/>
      <c r="L63" s="723"/>
      <c r="M63" s="723"/>
      <c r="N63" s="723"/>
      <c r="O63" s="723"/>
    </row>
    <row r="64" spans="2:17" x14ac:dyDescent="0.3">
      <c r="B64" s="726" t="s">
        <v>1283</v>
      </c>
      <c r="C64" s="723"/>
      <c r="D64" s="723"/>
      <c r="E64" s="723"/>
      <c r="F64" s="723"/>
      <c r="G64" s="723"/>
      <c r="H64" s="723"/>
      <c r="I64" s="723"/>
      <c r="J64" s="723"/>
      <c r="K64" s="723"/>
      <c r="L64" s="723"/>
      <c r="M64" s="723"/>
      <c r="N64" s="723"/>
      <c r="O64" s="723"/>
    </row>
    <row r="65" spans="2:15" x14ac:dyDescent="0.3">
      <c r="B65" s="726" t="s">
        <v>1284</v>
      </c>
      <c r="C65" s="723"/>
      <c r="D65" s="723"/>
      <c r="E65" s="723"/>
      <c r="F65" s="723"/>
      <c r="G65" s="723"/>
      <c r="H65" s="723"/>
      <c r="I65" s="723"/>
      <c r="J65" s="723"/>
      <c r="K65" s="723"/>
      <c r="L65" s="723"/>
      <c r="M65" s="723"/>
      <c r="N65" s="723"/>
      <c r="O65" s="723"/>
    </row>
    <row r="66" spans="2:15" x14ac:dyDescent="0.3">
      <c r="B66" s="726" t="s">
        <v>1285</v>
      </c>
      <c r="C66" s="723"/>
      <c r="D66" s="723"/>
      <c r="E66" s="723"/>
      <c r="F66" s="723"/>
      <c r="G66" s="723"/>
      <c r="H66" s="723"/>
      <c r="I66" s="723"/>
      <c r="J66" s="723"/>
      <c r="K66" s="723"/>
      <c r="L66" s="723"/>
      <c r="M66" s="723"/>
      <c r="N66" s="723"/>
      <c r="O66" s="723"/>
    </row>
    <row r="67" spans="2:15" x14ac:dyDescent="0.3">
      <c r="B67" s="726" t="s">
        <v>1286</v>
      </c>
      <c r="C67" s="723"/>
      <c r="D67" s="723"/>
      <c r="E67" s="723"/>
      <c r="F67" s="723"/>
      <c r="G67" s="723"/>
      <c r="H67" s="723"/>
      <c r="I67" s="723"/>
      <c r="J67" s="723"/>
      <c r="K67" s="723"/>
      <c r="L67" s="723"/>
      <c r="M67" s="723"/>
      <c r="N67" s="723"/>
      <c r="O67" s="723"/>
    </row>
    <row r="68" spans="2:15" x14ac:dyDescent="0.3">
      <c r="B68" s="726" t="s">
        <v>1287</v>
      </c>
      <c r="C68" s="723"/>
      <c r="D68" s="723"/>
      <c r="E68" s="723"/>
      <c r="F68" s="723"/>
      <c r="G68" s="723"/>
      <c r="H68" s="723"/>
      <c r="I68" s="723"/>
      <c r="J68" s="723"/>
      <c r="K68" s="723"/>
      <c r="L68" s="723"/>
      <c r="M68" s="723"/>
      <c r="N68" s="723"/>
      <c r="O68" s="723"/>
    </row>
    <row r="69" spans="2:15" x14ac:dyDescent="0.3">
      <c r="B69" s="726" t="s">
        <v>1288</v>
      </c>
      <c r="C69" s="723"/>
      <c r="D69" s="723"/>
      <c r="E69" s="723"/>
      <c r="F69" s="723"/>
      <c r="G69" s="723"/>
      <c r="H69" s="723"/>
      <c r="I69" s="723"/>
      <c r="J69" s="723"/>
      <c r="K69" s="723"/>
      <c r="L69" s="723"/>
      <c r="M69" s="723"/>
      <c r="N69" s="723"/>
      <c r="O69" s="723"/>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topLeftCell="A4" workbookViewId="0">
      <selection activeCell="H26" sqref="H26"/>
    </sheetView>
  </sheetViews>
  <sheetFormatPr defaultRowHeight="13.2" x14ac:dyDescent="0.25"/>
  <cols>
    <col min="1" max="1" width="27.6640625" customWidth="1"/>
    <col min="2" max="2" width="17.88671875" customWidth="1"/>
    <col min="3" max="3" width="19.6640625" customWidth="1"/>
    <col min="4" max="4" width="25.44140625" customWidth="1"/>
    <col min="5" max="6" width="29.109375" customWidth="1"/>
    <col min="7" max="7" width="29" customWidth="1"/>
    <col min="8" max="8" width="19.5546875" customWidth="1"/>
    <col min="9" max="9" width="26.109375" customWidth="1"/>
    <col min="10" max="10" width="15.5546875" customWidth="1"/>
    <col min="11" max="11" width="16.33203125" customWidth="1"/>
  </cols>
  <sheetData>
    <row r="1" spans="1:11" x14ac:dyDescent="0.25">
      <c r="A1" s="384" t="s">
        <v>1407</v>
      </c>
    </row>
    <row r="4" spans="1:11" ht="66.75" customHeight="1" x14ac:dyDescent="0.25">
      <c r="A4" s="783" t="s">
        <v>322</v>
      </c>
      <c r="B4" s="641" t="s">
        <v>323</v>
      </c>
      <c r="C4" s="641" t="s">
        <v>1437</v>
      </c>
      <c r="D4" s="953" t="s">
        <v>1438</v>
      </c>
      <c r="E4" s="950" t="s">
        <v>1445</v>
      </c>
      <c r="F4" s="957" t="s">
        <v>1446</v>
      </c>
      <c r="G4" s="957" t="s">
        <v>1453</v>
      </c>
      <c r="H4" s="957" t="s">
        <v>1449</v>
      </c>
      <c r="I4" s="957" t="s">
        <v>1450</v>
      </c>
      <c r="J4" s="957" t="s">
        <v>1458</v>
      </c>
      <c r="K4" s="957" t="s">
        <v>1475</v>
      </c>
    </row>
    <row r="5" spans="1:11" x14ac:dyDescent="0.25">
      <c r="A5" s="784" t="s">
        <v>403</v>
      </c>
      <c r="B5" s="954">
        <f>'Biomass Data Assumptions'!R7</f>
        <v>2416031.2000000002</v>
      </c>
      <c r="C5" s="924">
        <f>B5*0.133</f>
        <v>321332.14960000006</v>
      </c>
      <c r="D5" s="924">
        <f>C5*0.128</f>
        <v>41130.515148800012</v>
      </c>
      <c r="E5" s="924">
        <f t="shared" ref="E5:E25" si="0">C5*0.9</f>
        <v>289198.93464000005</v>
      </c>
      <c r="F5" s="924">
        <f>E5*0.139</f>
        <v>40198.651914960014</v>
      </c>
      <c r="G5" s="952">
        <f>F5*0.0979</f>
        <v>3935.4480224745853</v>
      </c>
      <c r="H5" s="960">
        <f>D5*0.00001584/0.00094708</f>
        <v>687.91164416627134</v>
      </c>
      <c r="I5" s="960">
        <f>D5*0.00001176/0.00094708</f>
        <v>510.72228127495896</v>
      </c>
      <c r="J5" s="965">
        <f>F5*0.00009803/0.000947086</f>
        <v>4160.8405648732323</v>
      </c>
      <c r="K5" s="965">
        <f>D5*0.00008325/0.00094708</f>
        <v>3615.4447207602325</v>
      </c>
    </row>
    <row r="6" spans="1:11" x14ac:dyDescent="0.25">
      <c r="A6" s="784" t="s">
        <v>325</v>
      </c>
      <c r="B6" s="954">
        <f>'Biomass Data Assumptions'!R8</f>
        <v>7965020.8000000007</v>
      </c>
      <c r="C6" s="924">
        <f t="shared" ref="C6:C25" si="1">B6*0.125</f>
        <v>995627.60000000009</v>
      </c>
      <c r="D6" s="924">
        <f t="shared" ref="D6:D25" si="2">C6*0.128</f>
        <v>127440.33280000002</v>
      </c>
      <c r="E6" s="924">
        <f t="shared" si="0"/>
        <v>896064.84000000008</v>
      </c>
      <c r="F6" s="924">
        <f t="shared" ref="F6:F25" si="3">E6*0.139</f>
        <v>124553.01276000003</v>
      </c>
      <c r="G6" s="952">
        <f t="shared" ref="G6:G25" si="4">F6*0.0979</f>
        <v>12193.739949204002</v>
      </c>
      <c r="H6" s="960">
        <f t="shared" ref="H6:H25" si="5">D6*0.00001584/0.00094708</f>
        <v>2131.4512729146436</v>
      </c>
      <c r="I6" s="960">
        <f t="shared" ref="I6:I25" si="6">D6*0.00001176/0.00094708</f>
        <v>1582.4410965578411</v>
      </c>
      <c r="J6" s="965">
        <f t="shared" ref="J6:J25" si="7">F6*0.00009803/0.000947086</f>
        <v>12892.10466722431</v>
      </c>
      <c r="K6" s="965">
        <f t="shared" ref="K6:K25" si="8">D6*0.00008325/0.00094708</f>
        <v>11202.229701397984</v>
      </c>
    </row>
    <row r="7" spans="1:11" x14ac:dyDescent="0.25">
      <c r="A7" s="784" t="s">
        <v>328</v>
      </c>
      <c r="B7" s="954">
        <f>'Biomass Data Assumptions'!R9</f>
        <v>3948859.2</v>
      </c>
      <c r="C7" s="924">
        <f t="shared" si="1"/>
        <v>493607.4</v>
      </c>
      <c r="D7" s="924">
        <f t="shared" si="2"/>
        <v>63181.747200000005</v>
      </c>
      <c r="E7" s="924">
        <f t="shared" si="0"/>
        <v>444246.66000000003</v>
      </c>
      <c r="F7" s="924">
        <f t="shared" si="3"/>
        <v>61750.285740000007</v>
      </c>
      <c r="G7" s="952">
        <f t="shared" si="4"/>
        <v>6045.3529739460009</v>
      </c>
      <c r="H7" s="960">
        <f t="shared" si="5"/>
        <v>1056.7205258774341</v>
      </c>
      <c r="I7" s="960">
        <f t="shared" si="6"/>
        <v>784.53493587870094</v>
      </c>
      <c r="J7" s="965">
        <f t="shared" si="7"/>
        <v>6391.5848308307804</v>
      </c>
      <c r="K7" s="965">
        <f t="shared" si="8"/>
        <v>5553.7868547535591</v>
      </c>
    </row>
    <row r="8" spans="1:11" x14ac:dyDescent="0.25">
      <c r="A8" s="784" t="s">
        <v>331</v>
      </c>
      <c r="B8" s="954">
        <f>'Biomass Data Assumptions'!R10</f>
        <v>4520181.6000000006</v>
      </c>
      <c r="C8" s="924">
        <f t="shared" si="1"/>
        <v>565022.70000000007</v>
      </c>
      <c r="D8" s="924">
        <f t="shared" si="2"/>
        <v>72322.905600000013</v>
      </c>
      <c r="E8" s="924">
        <f t="shared" si="0"/>
        <v>508520.43000000005</v>
      </c>
      <c r="F8" s="924">
        <f t="shared" si="3"/>
        <v>70684.339770000021</v>
      </c>
      <c r="G8" s="952">
        <f t="shared" si="4"/>
        <v>6919.996863483002</v>
      </c>
      <c r="H8" s="960">
        <f t="shared" si="5"/>
        <v>1209.6072398361282</v>
      </c>
      <c r="I8" s="960">
        <f t="shared" si="6"/>
        <v>898.04173866621625</v>
      </c>
      <c r="J8" s="965">
        <f t="shared" si="7"/>
        <v>7316.3216726391292</v>
      </c>
      <c r="K8" s="965">
        <f t="shared" si="8"/>
        <v>6357.310777547832</v>
      </c>
    </row>
    <row r="9" spans="1:11" x14ac:dyDescent="0.25">
      <c r="A9" s="784" t="s">
        <v>333</v>
      </c>
      <c r="B9" s="954">
        <f>'Biomass Data Assumptions'!R11</f>
        <v>855932.00000000012</v>
      </c>
      <c r="C9" s="924">
        <f t="shared" si="1"/>
        <v>106991.50000000001</v>
      </c>
      <c r="D9" s="924">
        <f t="shared" si="2"/>
        <v>13694.912000000002</v>
      </c>
      <c r="E9" s="924">
        <f t="shared" si="0"/>
        <v>96292.35000000002</v>
      </c>
      <c r="F9" s="924">
        <f t="shared" si="3"/>
        <v>13384.636650000004</v>
      </c>
      <c r="G9" s="952">
        <f t="shared" si="4"/>
        <v>1310.3559280350005</v>
      </c>
      <c r="H9" s="960">
        <f t="shared" si="5"/>
        <v>229.0486612324197</v>
      </c>
      <c r="I9" s="960">
        <f t="shared" si="6"/>
        <v>170.0512787937661</v>
      </c>
      <c r="J9" s="965">
        <f t="shared" si="7"/>
        <v>1385.4031532506028</v>
      </c>
      <c r="K9" s="965">
        <f t="shared" si="8"/>
        <v>1203.806884318115</v>
      </c>
    </row>
    <row r="10" spans="1:11" x14ac:dyDescent="0.25">
      <c r="A10" s="784" t="s">
        <v>335</v>
      </c>
      <c r="B10" s="954">
        <f>'Biomass Data Assumptions'!R12</f>
        <v>1380702.4000000001</v>
      </c>
      <c r="C10" s="924">
        <f t="shared" si="1"/>
        <v>172587.80000000002</v>
      </c>
      <c r="D10" s="924">
        <f t="shared" si="2"/>
        <v>22091.238400000002</v>
      </c>
      <c r="E10" s="924">
        <f t="shared" si="0"/>
        <v>155329.02000000002</v>
      </c>
      <c r="F10" s="924">
        <f t="shared" si="3"/>
        <v>21590.733780000006</v>
      </c>
      <c r="G10" s="952">
        <f t="shared" si="4"/>
        <v>2113.7328370620007</v>
      </c>
      <c r="H10" s="960">
        <f t="shared" si="5"/>
        <v>369.47799156987799</v>
      </c>
      <c r="I10" s="960">
        <f t="shared" si="6"/>
        <v>274.30941798369724</v>
      </c>
      <c r="J10" s="965">
        <f t="shared" si="7"/>
        <v>2234.7913837322062</v>
      </c>
      <c r="K10" s="965">
        <f t="shared" si="8"/>
        <v>1941.8587625121429</v>
      </c>
    </row>
    <row r="11" spans="1:11" x14ac:dyDescent="0.25">
      <c r="A11" s="784" t="s">
        <v>336</v>
      </c>
      <c r="B11" s="954">
        <f>'Biomass Data Assumptions'!R13</f>
        <v>6898927.2000000002</v>
      </c>
      <c r="C11" s="924">
        <f t="shared" si="1"/>
        <v>862365.9</v>
      </c>
      <c r="D11" s="924">
        <f t="shared" si="2"/>
        <v>110382.8352</v>
      </c>
      <c r="E11" s="924">
        <f t="shared" si="0"/>
        <v>776129.31</v>
      </c>
      <c r="F11" s="924">
        <f t="shared" si="3"/>
        <v>107881.97409000002</v>
      </c>
      <c r="G11" s="952">
        <f t="shared" si="4"/>
        <v>10561.645263411001</v>
      </c>
      <c r="H11" s="960">
        <f t="shared" si="5"/>
        <v>1846.1630586307388</v>
      </c>
      <c r="I11" s="960">
        <f t="shared" si="6"/>
        <v>1370.6362101955485</v>
      </c>
      <c r="J11" s="965">
        <f t="shared" si="7"/>
        <v>11166.536006278946</v>
      </c>
      <c r="K11" s="965">
        <f t="shared" si="8"/>
        <v>9702.845620644508</v>
      </c>
    </row>
    <row r="12" spans="1:11" x14ac:dyDescent="0.25">
      <c r="A12" s="784" t="s">
        <v>337</v>
      </c>
      <c r="B12" s="954">
        <f>'Biomass Data Assumptions'!R14</f>
        <v>2536934.4000000004</v>
      </c>
      <c r="C12" s="924">
        <f t="shared" si="1"/>
        <v>317116.80000000005</v>
      </c>
      <c r="D12" s="924">
        <f t="shared" si="2"/>
        <v>40590.950400000009</v>
      </c>
      <c r="E12" s="924">
        <f t="shared" si="0"/>
        <v>285405.12000000005</v>
      </c>
      <c r="F12" s="924">
        <f t="shared" si="3"/>
        <v>39671.311680000013</v>
      </c>
      <c r="G12" s="952">
        <f t="shared" si="4"/>
        <v>3883.8214134720015</v>
      </c>
      <c r="H12" s="960">
        <f t="shared" si="5"/>
        <v>678.887374177472</v>
      </c>
      <c r="I12" s="960">
        <f t="shared" si="6"/>
        <v>504.0224444650928</v>
      </c>
      <c r="J12" s="965">
        <f t="shared" si="7"/>
        <v>4106.2571762125099</v>
      </c>
      <c r="K12" s="965">
        <f t="shared" si="8"/>
        <v>3568.0160290577364</v>
      </c>
    </row>
    <row r="13" spans="1:11" x14ac:dyDescent="0.25">
      <c r="A13" s="784" t="s">
        <v>338</v>
      </c>
      <c r="B13" s="954">
        <f>'Biomass Data Assumptions'!R15</f>
        <v>5581540.8000000007</v>
      </c>
      <c r="C13" s="924">
        <f t="shared" si="1"/>
        <v>697692.60000000009</v>
      </c>
      <c r="D13" s="924">
        <f t="shared" si="2"/>
        <v>89304.652800000011</v>
      </c>
      <c r="E13" s="924">
        <f t="shared" si="0"/>
        <v>627923.34000000008</v>
      </c>
      <c r="F13" s="924">
        <f t="shared" si="3"/>
        <v>87281.344260000013</v>
      </c>
      <c r="G13" s="952">
        <f t="shared" si="4"/>
        <v>8544.8436030540015</v>
      </c>
      <c r="H13" s="960">
        <f t="shared" si="5"/>
        <v>1493.628521721502</v>
      </c>
      <c r="I13" s="960">
        <f t="shared" si="6"/>
        <v>1108.9060237023273</v>
      </c>
      <c r="J13" s="965">
        <f t="shared" si="7"/>
        <v>9034.227280107405</v>
      </c>
      <c r="K13" s="965">
        <f t="shared" si="8"/>
        <v>7850.036264729486</v>
      </c>
    </row>
    <row r="14" spans="1:11" x14ac:dyDescent="0.25">
      <c r="A14" s="784" t="s">
        <v>339</v>
      </c>
      <c r="B14" s="954">
        <f>'Biomass Data Assumptions'!R16</f>
        <v>1129471.2000000002</v>
      </c>
      <c r="C14" s="924">
        <f t="shared" si="1"/>
        <v>141183.90000000002</v>
      </c>
      <c r="D14" s="924">
        <f t="shared" si="2"/>
        <v>18071.539200000003</v>
      </c>
      <c r="E14" s="924">
        <f t="shared" si="0"/>
        <v>127065.51000000002</v>
      </c>
      <c r="F14" s="924">
        <f t="shared" si="3"/>
        <v>17662.105890000006</v>
      </c>
      <c r="G14" s="952">
        <f t="shared" si="4"/>
        <v>1729.1201666310005</v>
      </c>
      <c r="H14" s="960">
        <f t="shared" si="5"/>
        <v>302.24815319508389</v>
      </c>
      <c r="I14" s="960">
        <f t="shared" si="6"/>
        <v>224.39635615998648</v>
      </c>
      <c r="J14" s="965">
        <f t="shared" si="7"/>
        <v>1828.1510236627937</v>
      </c>
      <c r="K14" s="965">
        <f t="shared" si="8"/>
        <v>1588.5201233264352</v>
      </c>
    </row>
    <row r="15" spans="1:11" x14ac:dyDescent="0.25">
      <c r="A15" s="784" t="s">
        <v>340</v>
      </c>
      <c r="B15" s="954">
        <f>'Biomass Data Assumptions'!R17</f>
        <v>3225314.4000000004</v>
      </c>
      <c r="C15" s="924">
        <f t="shared" si="1"/>
        <v>403164.30000000005</v>
      </c>
      <c r="D15" s="924">
        <f t="shared" si="2"/>
        <v>51605.030400000011</v>
      </c>
      <c r="E15" s="924">
        <f t="shared" si="0"/>
        <v>362847.87000000005</v>
      </c>
      <c r="F15" s="924">
        <f t="shared" si="3"/>
        <v>50435.853930000012</v>
      </c>
      <c r="G15" s="952">
        <f t="shared" si="4"/>
        <v>4937.6700997470016</v>
      </c>
      <c r="H15" s="960">
        <f t="shared" si="5"/>
        <v>863.09887394517909</v>
      </c>
      <c r="I15" s="960">
        <f t="shared" si="6"/>
        <v>640.78552762596621</v>
      </c>
      <c r="J15" s="965">
        <f t="shared" si="7"/>
        <v>5220.4623030621306</v>
      </c>
      <c r="K15" s="965">
        <f t="shared" si="8"/>
        <v>4536.1730590868792</v>
      </c>
    </row>
    <row r="16" spans="1:11" x14ac:dyDescent="0.25">
      <c r="A16" s="784" t="s">
        <v>341</v>
      </c>
      <c r="B16" s="954">
        <f>'Biomass Data Assumptions'!R18</f>
        <v>7126750.4000000004</v>
      </c>
      <c r="C16" s="924">
        <f t="shared" si="1"/>
        <v>890843.8</v>
      </c>
      <c r="D16" s="924">
        <f t="shared" si="2"/>
        <v>114028.00640000001</v>
      </c>
      <c r="E16" s="924">
        <f t="shared" si="0"/>
        <v>801759.42</v>
      </c>
      <c r="F16" s="924">
        <f t="shared" si="3"/>
        <v>111444.55938000002</v>
      </c>
      <c r="G16" s="952">
        <f t="shared" si="4"/>
        <v>10910.422363302003</v>
      </c>
      <c r="H16" s="960">
        <f t="shared" si="5"/>
        <v>1907.1288818009041</v>
      </c>
      <c r="I16" s="960">
        <f t="shared" si="6"/>
        <v>1415.8987152764287</v>
      </c>
      <c r="J16" s="965">
        <f t="shared" si="7"/>
        <v>11535.288406777632</v>
      </c>
      <c r="K16" s="965">
        <f t="shared" si="8"/>
        <v>10023.262589010434</v>
      </c>
    </row>
    <row r="17" spans="1:11" x14ac:dyDescent="0.25">
      <c r="A17" s="784" t="s">
        <v>342</v>
      </c>
      <c r="B17" s="954">
        <f>'Biomass Data Assumptions'!R19</f>
        <v>5547344</v>
      </c>
      <c r="C17" s="924">
        <f t="shared" si="1"/>
        <v>693418</v>
      </c>
      <c r="D17" s="924">
        <f t="shared" si="2"/>
        <v>88757.504000000001</v>
      </c>
      <c r="E17" s="924">
        <f t="shared" si="0"/>
        <v>624076.20000000007</v>
      </c>
      <c r="F17" s="924">
        <f t="shared" si="3"/>
        <v>86746.591800000024</v>
      </c>
      <c r="G17" s="952">
        <f t="shared" si="4"/>
        <v>8492.4913372200026</v>
      </c>
      <c r="H17" s="960">
        <f t="shared" si="5"/>
        <v>1484.4774077797019</v>
      </c>
      <c r="I17" s="960">
        <f t="shared" si="6"/>
        <v>1102.1120148667483</v>
      </c>
      <c r="J17" s="965">
        <f t="shared" si="7"/>
        <v>8978.8766745089706</v>
      </c>
      <c r="K17" s="965">
        <f t="shared" si="8"/>
        <v>7801.9409215694559</v>
      </c>
    </row>
    <row r="18" spans="1:11" x14ac:dyDescent="0.25">
      <c r="A18" s="784" t="s">
        <v>343</v>
      </c>
      <c r="B18" s="954">
        <f>'Biomass Data Assumptions'!R20</f>
        <v>4332028.8000000007</v>
      </c>
      <c r="C18" s="924">
        <f t="shared" si="1"/>
        <v>541503.60000000009</v>
      </c>
      <c r="D18" s="924">
        <f t="shared" si="2"/>
        <v>69312.460800000015</v>
      </c>
      <c r="E18" s="924">
        <f t="shared" si="0"/>
        <v>487353.24000000011</v>
      </c>
      <c r="F18" s="924">
        <f t="shared" si="3"/>
        <v>67742.100360000026</v>
      </c>
      <c r="G18" s="952">
        <f t="shared" si="4"/>
        <v>6631.9516252440026</v>
      </c>
      <c r="H18" s="960">
        <f t="shared" si="5"/>
        <v>1159.2572740127553</v>
      </c>
      <c r="I18" s="960">
        <f t="shared" si="6"/>
        <v>860.66070343371223</v>
      </c>
      <c r="J18" s="965">
        <f t="shared" si="7"/>
        <v>7011.7793930971447</v>
      </c>
      <c r="K18" s="965">
        <f t="shared" si="8"/>
        <v>6092.6873776238554</v>
      </c>
    </row>
    <row r="19" spans="1:11" x14ac:dyDescent="0.25">
      <c r="A19" s="784" t="s">
        <v>344</v>
      </c>
      <c r="B19" s="954">
        <f>'Biomass Data Assumptions'!R21</f>
        <v>5073789.6000000006</v>
      </c>
      <c r="C19" s="924">
        <f t="shared" si="1"/>
        <v>634223.70000000007</v>
      </c>
      <c r="D19" s="924">
        <f t="shared" si="2"/>
        <v>81180.633600000016</v>
      </c>
      <c r="E19" s="924">
        <f t="shared" si="0"/>
        <v>570801.33000000007</v>
      </c>
      <c r="F19" s="924">
        <f t="shared" si="3"/>
        <v>79341.384870000024</v>
      </c>
      <c r="G19" s="952">
        <f t="shared" si="4"/>
        <v>7767.5215787730021</v>
      </c>
      <c r="H19" s="960">
        <f t="shared" si="5"/>
        <v>1357.7535543185372</v>
      </c>
      <c r="I19" s="960">
        <f t="shared" si="6"/>
        <v>1008.0291539637624</v>
      </c>
      <c r="J19" s="965">
        <f t="shared" si="7"/>
        <v>8212.3861600806067</v>
      </c>
      <c r="K19" s="965">
        <f t="shared" si="8"/>
        <v>7135.9206690036763</v>
      </c>
    </row>
    <row r="20" spans="1:11" x14ac:dyDescent="0.25">
      <c r="A20" s="784" t="s">
        <v>345</v>
      </c>
      <c r="B20" s="954">
        <f>'Biomass Data Assumptions'!R22</f>
        <v>4410788.8000000007</v>
      </c>
      <c r="C20" s="924">
        <f t="shared" si="1"/>
        <v>551348.60000000009</v>
      </c>
      <c r="D20" s="924">
        <f t="shared" si="2"/>
        <v>70572.620800000019</v>
      </c>
      <c r="E20" s="924">
        <f t="shared" si="0"/>
        <v>496213.74000000011</v>
      </c>
      <c r="F20" s="924">
        <f t="shared" si="3"/>
        <v>68973.709860000017</v>
      </c>
      <c r="G20" s="952">
        <f t="shared" si="4"/>
        <v>6752.5261952940018</v>
      </c>
      <c r="H20" s="960">
        <f t="shared" si="5"/>
        <v>1180.3335657726911</v>
      </c>
      <c r="I20" s="960">
        <f t="shared" si="6"/>
        <v>876.30825337669489</v>
      </c>
      <c r="J20" s="965">
        <f t="shared" si="7"/>
        <v>7139.2595578181936</v>
      </c>
      <c r="K20" s="965">
        <f t="shared" si="8"/>
        <v>6203.4576610212462</v>
      </c>
    </row>
    <row r="21" spans="1:11" x14ac:dyDescent="0.25">
      <c r="A21" s="784" t="s">
        <v>346</v>
      </c>
      <c r="B21" s="954">
        <f>'Biomass Data Assumptions'!R23</f>
        <v>581530.4</v>
      </c>
      <c r="C21" s="924">
        <f t="shared" si="1"/>
        <v>72691.3</v>
      </c>
      <c r="D21" s="924">
        <f t="shared" si="2"/>
        <v>9304.4863999999998</v>
      </c>
      <c r="E21" s="924">
        <f t="shared" si="0"/>
        <v>65422.170000000006</v>
      </c>
      <c r="F21" s="924">
        <f t="shared" si="3"/>
        <v>9093.681630000001</v>
      </c>
      <c r="G21" s="952">
        <f t="shared" si="4"/>
        <v>890.27143157700016</v>
      </c>
      <c r="H21" s="960">
        <f t="shared" si="5"/>
        <v>155.61838976221651</v>
      </c>
      <c r="I21" s="960">
        <f t="shared" si="6"/>
        <v>115.53486512649405</v>
      </c>
      <c r="J21" s="965">
        <f t="shared" si="7"/>
        <v>941.25941064370079</v>
      </c>
      <c r="K21" s="965">
        <f t="shared" si="8"/>
        <v>817.88074164801287</v>
      </c>
    </row>
    <row r="22" spans="1:11" x14ac:dyDescent="0.25">
      <c r="A22" s="784" t="s">
        <v>347</v>
      </c>
      <c r="B22" s="954">
        <f>'Biomass Data Assumptions'!R24</f>
        <v>2846307.2</v>
      </c>
      <c r="C22" s="924">
        <f t="shared" si="1"/>
        <v>355788.4</v>
      </c>
      <c r="D22" s="924">
        <f t="shared" si="2"/>
        <v>45540.915200000003</v>
      </c>
      <c r="E22" s="924">
        <f t="shared" si="0"/>
        <v>320209.56000000006</v>
      </c>
      <c r="F22" s="924">
        <f t="shared" si="3"/>
        <v>44509.128840000012</v>
      </c>
      <c r="G22" s="952">
        <f t="shared" si="4"/>
        <v>4357.4437134360014</v>
      </c>
      <c r="H22" s="960">
        <f t="shared" si="5"/>
        <v>761.67599016767338</v>
      </c>
      <c r="I22" s="960">
        <f t="shared" si="6"/>
        <v>565.48671997296958</v>
      </c>
      <c r="J22" s="965">
        <f t="shared" si="7"/>
        <v>4607.0049606743214</v>
      </c>
      <c r="K22" s="965">
        <f t="shared" si="8"/>
        <v>4003.1266528698743</v>
      </c>
    </row>
    <row r="23" spans="1:11" x14ac:dyDescent="0.25">
      <c r="A23" s="784" t="s">
        <v>348</v>
      </c>
      <c r="B23" s="954">
        <f>'Biomass Data Assumptions'!R25</f>
        <v>1313532</v>
      </c>
      <c r="C23" s="924">
        <f t="shared" si="1"/>
        <v>164191.5</v>
      </c>
      <c r="D23" s="924">
        <f t="shared" si="2"/>
        <v>21016.511999999999</v>
      </c>
      <c r="E23" s="924">
        <f t="shared" si="0"/>
        <v>147772.35</v>
      </c>
      <c r="F23" s="924">
        <f t="shared" si="3"/>
        <v>20540.356650000002</v>
      </c>
      <c r="G23" s="952">
        <f t="shared" si="4"/>
        <v>2010.9009160350001</v>
      </c>
      <c r="H23" s="960">
        <f t="shared" si="5"/>
        <v>351.50309380411369</v>
      </c>
      <c r="I23" s="960">
        <f t="shared" si="6"/>
        <v>260.96441812729654</v>
      </c>
      <c r="J23" s="965">
        <f t="shared" si="7"/>
        <v>2126.0700320768124</v>
      </c>
      <c r="K23" s="965">
        <f t="shared" si="8"/>
        <v>1847.3884191409384</v>
      </c>
    </row>
    <row r="24" spans="1:11" x14ac:dyDescent="0.25">
      <c r="A24" s="784" t="s">
        <v>349</v>
      </c>
      <c r="B24" s="954">
        <f>'Biomass Data Assumptions'!R26</f>
        <v>4721191.2</v>
      </c>
      <c r="C24" s="924">
        <f t="shared" si="1"/>
        <v>590148.9</v>
      </c>
      <c r="D24" s="924">
        <f t="shared" si="2"/>
        <v>75539.059200000003</v>
      </c>
      <c r="E24" s="924">
        <f t="shared" si="0"/>
        <v>531134.01</v>
      </c>
      <c r="F24" s="924">
        <f t="shared" si="3"/>
        <v>73827.627390000009</v>
      </c>
      <c r="G24" s="952">
        <f t="shared" si="4"/>
        <v>7227.7247214810013</v>
      </c>
      <c r="H24" s="960">
        <f t="shared" si="5"/>
        <v>1263.3977042361787</v>
      </c>
      <c r="I24" s="960">
        <f t="shared" si="6"/>
        <v>937.97708344807199</v>
      </c>
      <c r="J24" s="965">
        <f t="shared" si="7"/>
        <v>7641.6738427573646</v>
      </c>
      <c r="K24" s="965">
        <f t="shared" si="8"/>
        <v>6640.0163432867348</v>
      </c>
    </row>
    <row r="25" spans="1:11" ht="13.8" thickBot="1" x14ac:dyDescent="0.3">
      <c r="A25" s="786" t="s">
        <v>350</v>
      </c>
      <c r="B25" s="954">
        <f>'Biomass Data Assumptions'!R27</f>
        <v>956489.60000000009</v>
      </c>
      <c r="C25" s="924">
        <f t="shared" si="1"/>
        <v>119561.20000000001</v>
      </c>
      <c r="D25" s="924">
        <f t="shared" si="2"/>
        <v>15303.833600000002</v>
      </c>
      <c r="E25" s="924">
        <f t="shared" si="0"/>
        <v>107605.08000000002</v>
      </c>
      <c r="F25" s="924">
        <f t="shared" si="3"/>
        <v>14957.106120000004</v>
      </c>
      <c r="G25" s="952">
        <f t="shared" si="4"/>
        <v>1464.3006891480004</v>
      </c>
      <c r="H25" s="960">
        <f t="shared" si="5"/>
        <v>255.95802279004945</v>
      </c>
      <c r="I25" s="960">
        <f t="shared" si="6"/>
        <v>190.02944116230941</v>
      </c>
      <c r="J25" s="965">
        <f t="shared" si="7"/>
        <v>1548.1646998726624</v>
      </c>
      <c r="K25" s="965">
        <f t="shared" si="8"/>
        <v>1345.2339265954304</v>
      </c>
    </row>
    <row r="26" spans="1:11" ht="13.8" thickTop="1" x14ac:dyDescent="0.25">
      <c r="A26" s="789" t="s">
        <v>351</v>
      </c>
      <c r="B26" s="954">
        <f>SUM(B5:B25)</f>
        <v>77368667.200000003</v>
      </c>
      <c r="C26" s="949">
        <f t="shared" ref="C26:D26" si="9">SUM(C5:C25)</f>
        <v>9690411.6496000011</v>
      </c>
      <c r="D26" s="924">
        <f t="shared" si="9"/>
        <v>1240372.6911488001</v>
      </c>
      <c r="E26" s="949">
        <f>SUM(E5:E25)</f>
        <v>8721370.4846400004</v>
      </c>
      <c r="F26" s="924">
        <f>SUM(F5:F25)</f>
        <v>1212270.4973649601</v>
      </c>
      <c r="G26" s="949">
        <f>SUM(G5:G25)</f>
        <v>118681.28169202965</v>
      </c>
      <c r="H26" s="958">
        <f>SUM(H5:H25)</f>
        <v>20745.347201711567</v>
      </c>
      <c r="I26" s="959">
        <f t="shared" ref="I26" si="10">SUM(I5:I25)</f>
        <v>15401.848680058589</v>
      </c>
      <c r="J26" s="959">
        <f t="shared" ref="J26:K26" si="11">SUM(J5:J25)</f>
        <v>125478.44320018146</v>
      </c>
      <c r="K26" s="959">
        <f t="shared" si="11"/>
        <v>109030.94409990459</v>
      </c>
    </row>
    <row r="30" spans="1:11" x14ac:dyDescent="0.25">
      <c r="A30" s="384" t="s">
        <v>1433</v>
      </c>
      <c r="E30" s="384" t="s">
        <v>1451</v>
      </c>
    </row>
    <row r="31" spans="1:11" x14ac:dyDescent="0.25">
      <c r="F31" s="384" t="s">
        <v>1454</v>
      </c>
    </row>
    <row r="32" spans="1:11" x14ac:dyDescent="0.25">
      <c r="A32" s="384" t="s">
        <v>1434</v>
      </c>
      <c r="F32" s="384" t="s">
        <v>1452</v>
      </c>
    </row>
    <row r="33" spans="1:5" x14ac:dyDescent="0.25">
      <c r="A33" s="384" t="s">
        <v>1435</v>
      </c>
      <c r="E33" s="384" t="s">
        <v>1456</v>
      </c>
    </row>
    <row r="34" spans="1:5" x14ac:dyDescent="0.25">
      <c r="E34" s="384" t="s">
        <v>1457</v>
      </c>
    </row>
    <row r="35" spans="1:5" x14ac:dyDescent="0.25">
      <c r="A35" s="384" t="s">
        <v>1436</v>
      </c>
      <c r="E35" s="384" t="s">
        <v>1455</v>
      </c>
    </row>
    <row r="36" spans="1:5" x14ac:dyDescent="0.25">
      <c r="A36" s="384" t="s">
        <v>1439</v>
      </c>
    </row>
    <row r="37" spans="1:5" x14ac:dyDescent="0.25">
      <c r="E37" s="384" t="s">
        <v>1476</v>
      </c>
    </row>
    <row r="38" spans="1:5" x14ac:dyDescent="0.25">
      <c r="A38" s="384" t="s">
        <v>1447</v>
      </c>
    </row>
    <row r="40" spans="1:5" x14ac:dyDescent="0.25">
      <c r="A40" s="384" t="s">
        <v>1448</v>
      </c>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topLeftCell="J1" workbookViewId="0">
      <selection activeCell="M36" sqref="M36"/>
    </sheetView>
  </sheetViews>
  <sheetFormatPr defaultRowHeight="13.2" x14ac:dyDescent="0.25"/>
  <cols>
    <col min="1" max="1" width="23.109375" customWidth="1"/>
    <col min="2" max="2" width="26.5546875" customWidth="1"/>
    <col min="3" max="3" width="15.6640625" customWidth="1"/>
    <col min="4" max="4" width="21.44140625" customWidth="1"/>
    <col min="5" max="5" width="15.44140625" customWidth="1"/>
    <col min="6" max="6" width="14.44140625" customWidth="1"/>
    <col min="7" max="7" width="25.44140625" customWidth="1"/>
    <col min="8" max="8" width="15.109375" customWidth="1"/>
    <col min="9" max="9" width="16.6640625" customWidth="1"/>
    <col min="10" max="10" width="20" customWidth="1"/>
    <col min="11" max="11" width="15.5546875" customWidth="1"/>
    <col min="12" max="12" width="23.6640625" customWidth="1"/>
    <col min="13" max="13" width="17.5546875" customWidth="1"/>
    <col min="14" max="15" width="20.44140625" customWidth="1"/>
    <col min="16" max="16" width="17.109375" customWidth="1"/>
    <col min="17" max="17" width="22.109375" customWidth="1"/>
    <col min="18" max="18" width="15.44140625" customWidth="1"/>
  </cols>
  <sheetData>
    <row r="1" spans="1:18" x14ac:dyDescent="0.25">
      <c r="A1" s="384" t="s">
        <v>1407</v>
      </c>
    </row>
    <row r="2" spans="1:18" x14ac:dyDescent="0.25">
      <c r="C2" s="384" t="s">
        <v>1427</v>
      </c>
    </row>
    <row r="4" spans="1:18" ht="69" customHeight="1" x14ac:dyDescent="0.25">
      <c r="A4" s="783" t="s">
        <v>322</v>
      </c>
      <c r="B4" s="177" t="s">
        <v>146</v>
      </c>
      <c r="C4" s="171" t="s">
        <v>201</v>
      </c>
      <c r="D4" s="171" t="s">
        <v>202</v>
      </c>
      <c r="E4" s="178" t="s">
        <v>1406</v>
      </c>
      <c r="F4" s="178" t="s">
        <v>1468</v>
      </c>
      <c r="G4" s="941" t="s">
        <v>1408</v>
      </c>
      <c r="H4" s="941" t="s">
        <v>1411</v>
      </c>
      <c r="I4" s="941" t="s">
        <v>1413</v>
      </c>
      <c r="J4" s="941" t="s">
        <v>1416</v>
      </c>
      <c r="K4" s="948" t="s">
        <v>1429</v>
      </c>
      <c r="L4" s="948" t="s">
        <v>1460</v>
      </c>
      <c r="M4" s="948" t="s">
        <v>1462</v>
      </c>
      <c r="N4" s="948" t="s">
        <v>1463</v>
      </c>
      <c r="O4" s="948" t="s">
        <v>1464</v>
      </c>
      <c r="P4" s="948" t="s">
        <v>1465</v>
      </c>
      <c r="Q4" s="948" t="s">
        <v>1466</v>
      </c>
      <c r="R4" s="948" t="s">
        <v>1469</v>
      </c>
    </row>
    <row r="5" spans="1:18" x14ac:dyDescent="0.25">
      <c r="A5" s="784" t="s">
        <v>403</v>
      </c>
      <c r="B5" s="447">
        <v>561</v>
      </c>
      <c r="C5" s="429">
        <v>186.29</v>
      </c>
      <c r="D5" s="937">
        <f>C5</f>
        <v>186.29</v>
      </c>
      <c r="E5" s="937">
        <f>D5*0.5</f>
        <v>93.144999999999996</v>
      </c>
      <c r="F5" s="937">
        <f>E5*0.568*1000</f>
        <v>52906.359999999993</v>
      </c>
      <c r="G5" s="937">
        <f>F5*15.6</f>
        <v>825339.2159999999</v>
      </c>
      <c r="H5" s="937">
        <f>G5*0.24</f>
        <v>198081.41183999996</v>
      </c>
      <c r="I5" s="937">
        <f>H5*0.2929115</f>
        <v>58020.323464172143</v>
      </c>
      <c r="J5" s="833">
        <f>I5/7446</f>
        <v>7.7921465839608031</v>
      </c>
      <c r="K5" s="924">
        <f>G5*92.8/1000</f>
        <v>76591.479244799993</v>
      </c>
      <c r="L5" s="924">
        <f>F5*65.3</f>
        <v>3454785.3079999993</v>
      </c>
      <c r="M5" s="924">
        <f>L5*89/1055.87</f>
        <v>291206.20191122009</v>
      </c>
      <c r="N5" s="924">
        <f>M5*0.0000214/0.00094708</f>
        <v>6580.0277916333471</v>
      </c>
      <c r="O5" s="924">
        <f>L5*0.96</f>
        <v>3316593.8956799991</v>
      </c>
      <c r="P5" s="956">
        <f>O5*0.125</f>
        <v>414574.23695999989</v>
      </c>
      <c r="Q5" s="924">
        <f>P5*0.0974</f>
        <v>40379.53067990399</v>
      </c>
      <c r="R5" s="924">
        <f>M5*0.00009452/0.00094708</f>
        <v>29062.814339494573</v>
      </c>
    </row>
    <row r="6" spans="1:18" x14ac:dyDescent="0.25">
      <c r="A6" s="784" t="s">
        <v>325</v>
      </c>
      <c r="B6" s="447">
        <v>234</v>
      </c>
      <c r="C6" s="429">
        <v>23.31</v>
      </c>
      <c r="D6" s="937">
        <f t="shared" ref="D6:D25" si="0">C6</f>
        <v>23.31</v>
      </c>
      <c r="E6" s="937">
        <f t="shared" ref="E6:E25" si="1">D6*0.5</f>
        <v>11.654999999999999</v>
      </c>
      <c r="F6" s="937">
        <f t="shared" ref="F6:F25" si="2">E6*0.568*1000</f>
        <v>6620.0399999999991</v>
      </c>
      <c r="G6" s="937">
        <f t="shared" ref="G6:G25" si="3">F6*15.6</f>
        <v>103272.62399999998</v>
      </c>
      <c r="H6" s="937">
        <f t="shared" ref="H6:H25" si="4">G6*0.24</f>
        <v>24785.429759999995</v>
      </c>
      <c r="I6" s="937">
        <f t="shared" ref="I6:I25" si="5">H6*0.2929115</f>
        <v>7259.9374091462387</v>
      </c>
      <c r="J6" s="833">
        <f t="shared" ref="J6:J25" si="6">I6/7446</f>
        <v>0.97501173907416583</v>
      </c>
      <c r="K6" s="924">
        <f t="shared" ref="K6:K25" si="7">G6*92.8/1000</f>
        <v>9583.6995071999972</v>
      </c>
      <c r="L6" s="924">
        <f t="shared" ref="L6:L25" si="8">F6*65.3</f>
        <v>432288.61199999991</v>
      </c>
      <c r="M6" s="924">
        <f t="shared" ref="M6:M25" si="9">L6*89/1055.87</f>
        <v>36437.900942350854</v>
      </c>
      <c r="N6" s="924">
        <f t="shared" ref="N6:N25" si="10">M6*0.0000214/0.00094708</f>
        <v>823.34235773779221</v>
      </c>
      <c r="O6" s="924">
        <f t="shared" ref="O6:O25" si="11">L6*0.96</f>
        <v>414997.06751999987</v>
      </c>
      <c r="P6" s="956">
        <f t="shared" ref="P6:P25" si="12">O6*0.125</f>
        <v>51874.633439999983</v>
      </c>
      <c r="Q6" s="924">
        <f t="shared" ref="Q6:Q25" si="13">P6*0.0974</f>
        <v>5052.589297055998</v>
      </c>
      <c r="R6" s="924">
        <f t="shared" ref="R6:R25" si="14">M6*0.00009452/0.00094708</f>
        <v>3636.556993148417</v>
      </c>
    </row>
    <row r="7" spans="1:18" x14ac:dyDescent="0.25">
      <c r="A7" s="784" t="s">
        <v>328</v>
      </c>
      <c r="B7" s="447">
        <v>805</v>
      </c>
      <c r="C7" s="429">
        <v>254.446</v>
      </c>
      <c r="D7" s="937">
        <f t="shared" si="0"/>
        <v>254.446</v>
      </c>
      <c r="E7" s="937">
        <f t="shared" si="1"/>
        <v>127.223</v>
      </c>
      <c r="F7" s="937">
        <f t="shared" si="2"/>
        <v>72262.66399999999</v>
      </c>
      <c r="G7" s="937">
        <f t="shared" si="3"/>
        <v>1127297.5583999997</v>
      </c>
      <c r="H7" s="937">
        <f t="shared" si="4"/>
        <v>270551.41401599994</v>
      </c>
      <c r="I7" s="937">
        <f t="shared" si="5"/>
        <v>79247.620506547566</v>
      </c>
      <c r="J7" s="833">
        <f t="shared" si="6"/>
        <v>10.642978848582805</v>
      </c>
      <c r="K7" s="924">
        <f t="shared" si="7"/>
        <v>104613.21341951998</v>
      </c>
      <c r="L7" s="924">
        <f t="shared" si="8"/>
        <v>4718751.9591999995</v>
      </c>
      <c r="M7" s="924">
        <f t="shared" si="9"/>
        <v>397746.81008912082</v>
      </c>
      <c r="N7" s="924">
        <f t="shared" si="10"/>
        <v>8987.3946613878288</v>
      </c>
      <c r="O7" s="924">
        <f t="shared" si="11"/>
        <v>4530001.8808319997</v>
      </c>
      <c r="P7" s="956">
        <f t="shared" si="12"/>
        <v>566250.23510399996</v>
      </c>
      <c r="Q7" s="924">
        <f t="shared" si="13"/>
        <v>55152.772899129595</v>
      </c>
      <c r="R7" s="924">
        <f t="shared" si="14"/>
        <v>39695.726326840078</v>
      </c>
    </row>
    <row r="8" spans="1:18" x14ac:dyDescent="0.25">
      <c r="A8" s="784" t="s">
        <v>331</v>
      </c>
      <c r="B8" s="447">
        <v>222</v>
      </c>
      <c r="C8" s="429">
        <v>46.698999999999998</v>
      </c>
      <c r="D8" s="937">
        <f t="shared" si="0"/>
        <v>46.698999999999998</v>
      </c>
      <c r="E8" s="937">
        <f t="shared" si="1"/>
        <v>23.349499999999999</v>
      </c>
      <c r="F8" s="937">
        <f t="shared" si="2"/>
        <v>13262.515999999998</v>
      </c>
      <c r="G8" s="937">
        <f t="shared" si="3"/>
        <v>206895.24959999995</v>
      </c>
      <c r="H8" s="937">
        <f t="shared" si="4"/>
        <v>49654.85990399999</v>
      </c>
      <c r="I8" s="937">
        <f t="shared" si="5"/>
        <v>14544.479496770493</v>
      </c>
      <c r="J8" s="833">
        <f t="shared" si="6"/>
        <v>1.9533278937376435</v>
      </c>
      <c r="K8" s="924">
        <f t="shared" si="7"/>
        <v>19199.879162879995</v>
      </c>
      <c r="L8" s="924">
        <f t="shared" si="8"/>
        <v>866042.2947999998</v>
      </c>
      <c r="M8" s="924">
        <f t="shared" si="9"/>
        <v>72999.293698277237</v>
      </c>
      <c r="N8" s="924">
        <f t="shared" si="10"/>
        <v>1649.4751078505858</v>
      </c>
      <c r="O8" s="924">
        <f t="shared" si="11"/>
        <v>831400.60300799983</v>
      </c>
      <c r="P8" s="956">
        <f t="shared" si="12"/>
        <v>103925.07537599998</v>
      </c>
      <c r="Q8" s="924">
        <f t="shared" si="13"/>
        <v>10122.302341622399</v>
      </c>
      <c r="R8" s="924">
        <f t="shared" si="14"/>
        <v>7285.4386539269799</v>
      </c>
    </row>
    <row r="9" spans="1:18" x14ac:dyDescent="0.25">
      <c r="A9" s="784" t="s">
        <v>333</v>
      </c>
      <c r="B9" s="447">
        <v>255</v>
      </c>
      <c r="C9" s="429">
        <v>53.075000000000003</v>
      </c>
      <c r="D9" s="937">
        <f t="shared" si="0"/>
        <v>53.075000000000003</v>
      </c>
      <c r="E9" s="937">
        <f t="shared" si="1"/>
        <v>26.537500000000001</v>
      </c>
      <c r="F9" s="937">
        <f t="shared" si="2"/>
        <v>15073.3</v>
      </c>
      <c r="G9" s="937">
        <f t="shared" si="3"/>
        <v>235143.47999999998</v>
      </c>
      <c r="H9" s="937">
        <f t="shared" si="4"/>
        <v>56434.435199999993</v>
      </c>
      <c r="I9" s="937">
        <f t="shared" si="5"/>
        <v>16530.295066084796</v>
      </c>
      <c r="J9" s="833">
        <f t="shared" si="6"/>
        <v>2.2200235114269131</v>
      </c>
      <c r="K9" s="924">
        <f t="shared" si="7"/>
        <v>21821.314943999998</v>
      </c>
      <c r="L9" s="924">
        <f t="shared" si="8"/>
        <v>984286.48999999987</v>
      </c>
      <c r="M9" s="924">
        <f t="shared" si="9"/>
        <v>82966.177285082435</v>
      </c>
      <c r="N9" s="924">
        <f t="shared" si="10"/>
        <v>1874.6844975089368</v>
      </c>
      <c r="O9" s="924">
        <f t="shared" si="11"/>
        <v>944915.03039999981</v>
      </c>
      <c r="P9" s="956">
        <f t="shared" si="12"/>
        <v>118114.37879999998</v>
      </c>
      <c r="Q9" s="924">
        <f t="shared" si="13"/>
        <v>11504.340495119997</v>
      </c>
      <c r="R9" s="924">
        <f t="shared" si="14"/>
        <v>8280.1485375955472</v>
      </c>
    </row>
    <row r="10" spans="1:18" x14ac:dyDescent="0.25">
      <c r="A10" s="784" t="s">
        <v>335</v>
      </c>
      <c r="B10" s="447">
        <v>489</v>
      </c>
      <c r="C10" s="429">
        <v>147.511</v>
      </c>
      <c r="D10" s="937">
        <f t="shared" si="0"/>
        <v>147.511</v>
      </c>
      <c r="E10" s="937">
        <f t="shared" si="1"/>
        <v>73.755499999999998</v>
      </c>
      <c r="F10" s="937">
        <f t="shared" si="2"/>
        <v>41893.123999999996</v>
      </c>
      <c r="G10" s="937">
        <f t="shared" si="3"/>
        <v>653532.73439999996</v>
      </c>
      <c r="H10" s="937">
        <f t="shared" si="4"/>
        <v>156847.85625599997</v>
      </c>
      <c r="I10" s="937">
        <f t="shared" si="5"/>
        <v>45942.540847729331</v>
      </c>
      <c r="J10" s="833">
        <f t="shared" si="6"/>
        <v>6.1700968100630309</v>
      </c>
      <c r="K10" s="924">
        <f t="shared" si="7"/>
        <v>60647.837752319989</v>
      </c>
      <c r="L10" s="924">
        <f t="shared" si="8"/>
        <v>2735620.9971999996</v>
      </c>
      <c r="M10" s="924">
        <f t="shared" si="9"/>
        <v>230587.35332076863</v>
      </c>
      <c r="N10" s="924">
        <f t="shared" si="10"/>
        <v>5210.2983497322803</v>
      </c>
      <c r="O10" s="924">
        <f t="shared" si="11"/>
        <v>2626196.1573119997</v>
      </c>
      <c r="P10" s="956">
        <f t="shared" si="12"/>
        <v>328274.51966399996</v>
      </c>
      <c r="Q10" s="924">
        <f t="shared" si="13"/>
        <v>31973.938215273596</v>
      </c>
      <c r="R10" s="924">
        <f t="shared" si="14"/>
        <v>23012.962617602581</v>
      </c>
    </row>
    <row r="11" spans="1:18" x14ac:dyDescent="0.25">
      <c r="A11" s="784" t="s">
        <v>336</v>
      </c>
      <c r="B11" s="447">
        <v>126</v>
      </c>
      <c r="C11" s="429">
        <v>0</v>
      </c>
      <c r="D11" s="937">
        <f t="shared" si="0"/>
        <v>0</v>
      </c>
      <c r="E11" s="937">
        <f t="shared" si="1"/>
        <v>0</v>
      </c>
      <c r="F11" s="937">
        <f t="shared" si="2"/>
        <v>0</v>
      </c>
      <c r="G11" s="937">
        <f t="shared" si="3"/>
        <v>0</v>
      </c>
      <c r="H11" s="937">
        <f t="shared" si="4"/>
        <v>0</v>
      </c>
      <c r="I11" s="937">
        <f t="shared" si="5"/>
        <v>0</v>
      </c>
      <c r="J11" s="833">
        <f t="shared" si="6"/>
        <v>0</v>
      </c>
      <c r="K11" s="924">
        <f t="shared" si="7"/>
        <v>0</v>
      </c>
      <c r="L11" s="924">
        <f t="shared" si="8"/>
        <v>0</v>
      </c>
      <c r="M11" s="924">
        <f t="shared" si="9"/>
        <v>0</v>
      </c>
      <c r="N11" s="924">
        <f t="shared" si="10"/>
        <v>0</v>
      </c>
      <c r="O11" s="924">
        <f t="shared" si="11"/>
        <v>0</v>
      </c>
      <c r="P11" s="956">
        <f t="shared" si="12"/>
        <v>0</v>
      </c>
      <c r="Q11" s="924">
        <f t="shared" si="13"/>
        <v>0</v>
      </c>
      <c r="R11" s="924">
        <f t="shared" si="14"/>
        <v>0</v>
      </c>
    </row>
    <row r="12" spans="1:18" x14ac:dyDescent="0.25">
      <c r="A12" s="784" t="s">
        <v>337</v>
      </c>
      <c r="B12" s="447">
        <v>325</v>
      </c>
      <c r="C12" s="429">
        <v>29.373000000000001</v>
      </c>
      <c r="D12" s="937">
        <f t="shared" si="0"/>
        <v>29.373000000000001</v>
      </c>
      <c r="E12" s="937">
        <f t="shared" si="1"/>
        <v>14.686500000000001</v>
      </c>
      <c r="F12" s="937">
        <f t="shared" si="2"/>
        <v>8341.9320000000007</v>
      </c>
      <c r="G12" s="937">
        <f t="shared" si="3"/>
        <v>130134.13920000001</v>
      </c>
      <c r="H12" s="937">
        <f t="shared" si="4"/>
        <v>31232.193407999999</v>
      </c>
      <c r="I12" s="937">
        <f t="shared" si="5"/>
        <v>9148.268619427392</v>
      </c>
      <c r="J12" s="833">
        <f t="shared" si="6"/>
        <v>1.2286151785424915</v>
      </c>
      <c r="K12" s="924">
        <f t="shared" si="7"/>
        <v>12076.448117760001</v>
      </c>
      <c r="L12" s="924">
        <f t="shared" si="8"/>
        <v>544728.15960000001</v>
      </c>
      <c r="M12" s="924">
        <f t="shared" si="9"/>
        <v>45915.506837394765</v>
      </c>
      <c r="N12" s="924">
        <f t="shared" si="10"/>
        <v>1037.4961421635426</v>
      </c>
      <c r="O12" s="924">
        <f t="shared" si="11"/>
        <v>522939.03321600001</v>
      </c>
      <c r="P12" s="956">
        <f t="shared" si="12"/>
        <v>65367.379152000001</v>
      </c>
      <c r="Q12" s="924">
        <f t="shared" si="13"/>
        <v>6366.7827294048002</v>
      </c>
      <c r="R12" s="924">
        <f t="shared" si="14"/>
        <v>4582.4362316494417</v>
      </c>
    </row>
    <row r="13" spans="1:18" x14ac:dyDescent="0.25">
      <c r="A13" s="784" t="s">
        <v>338</v>
      </c>
      <c r="B13" s="447">
        <v>47</v>
      </c>
      <c r="C13" s="429">
        <v>4.0339999999999998</v>
      </c>
      <c r="D13" s="937">
        <f t="shared" si="0"/>
        <v>4.0339999999999998</v>
      </c>
      <c r="E13" s="937">
        <f t="shared" si="1"/>
        <v>2.0169999999999999</v>
      </c>
      <c r="F13" s="937">
        <f t="shared" si="2"/>
        <v>1145.6559999999997</v>
      </c>
      <c r="G13" s="937">
        <f t="shared" si="3"/>
        <v>17872.233599999996</v>
      </c>
      <c r="H13" s="937">
        <f t="shared" si="4"/>
        <v>4289.3360639999992</v>
      </c>
      <c r="I13" s="937">
        <f t="shared" si="5"/>
        <v>1256.3958605103358</v>
      </c>
      <c r="J13" s="833">
        <f t="shared" si="6"/>
        <v>0.16873433528207571</v>
      </c>
      <c r="K13" s="924">
        <f t="shared" si="7"/>
        <v>1658.5432780799997</v>
      </c>
      <c r="L13" s="924">
        <f t="shared" si="8"/>
        <v>74811.336799999975</v>
      </c>
      <c r="M13" s="924">
        <f t="shared" si="9"/>
        <v>6305.8984299203485</v>
      </c>
      <c r="N13" s="924">
        <f t="shared" si="10"/>
        <v>142.48661823741969</v>
      </c>
      <c r="O13" s="924">
        <f t="shared" si="11"/>
        <v>71818.883327999967</v>
      </c>
      <c r="P13" s="956">
        <f t="shared" si="12"/>
        <v>8977.3604159999959</v>
      </c>
      <c r="Q13" s="924">
        <f t="shared" si="13"/>
        <v>874.39490451839958</v>
      </c>
      <c r="R13" s="924">
        <f t="shared" si="14"/>
        <v>629.33809139256596</v>
      </c>
    </row>
    <row r="14" spans="1:18" x14ac:dyDescent="0.25">
      <c r="A14" s="784" t="s">
        <v>339</v>
      </c>
      <c r="B14" s="447">
        <v>430</v>
      </c>
      <c r="C14" s="429">
        <v>102.52200000000001</v>
      </c>
      <c r="D14" s="937">
        <f t="shared" si="0"/>
        <v>102.52200000000001</v>
      </c>
      <c r="E14" s="937">
        <f t="shared" si="1"/>
        <v>51.261000000000003</v>
      </c>
      <c r="F14" s="937">
        <f t="shared" si="2"/>
        <v>29116.248</v>
      </c>
      <c r="G14" s="937">
        <f t="shared" si="3"/>
        <v>454213.46879999997</v>
      </c>
      <c r="H14" s="937">
        <f t="shared" si="4"/>
        <v>109011.23251199999</v>
      </c>
      <c r="I14" s="937">
        <f t="shared" si="5"/>
        <v>31930.643631938685</v>
      </c>
      <c r="J14" s="833">
        <f t="shared" si="6"/>
        <v>4.2882948740180886</v>
      </c>
      <c r="K14" s="924">
        <f t="shared" si="7"/>
        <v>42151.009904639999</v>
      </c>
      <c r="L14" s="924">
        <f t="shared" si="8"/>
        <v>1901290.9944</v>
      </c>
      <c r="M14" s="924">
        <f t="shared" si="9"/>
        <v>160261.11027077198</v>
      </c>
      <c r="N14" s="924">
        <f t="shared" si="10"/>
        <v>3621.2228743026149</v>
      </c>
      <c r="O14" s="924">
        <f t="shared" si="11"/>
        <v>1825239.3546239999</v>
      </c>
      <c r="P14" s="956">
        <f t="shared" si="12"/>
        <v>228154.91932799999</v>
      </c>
      <c r="Q14" s="924">
        <f t="shared" si="13"/>
        <v>22222.289142547201</v>
      </c>
      <c r="R14" s="924">
        <f t="shared" si="14"/>
        <v>15994.298414910427</v>
      </c>
    </row>
    <row r="15" spans="1:18" x14ac:dyDescent="0.25">
      <c r="A15" s="784" t="s">
        <v>340</v>
      </c>
      <c r="B15" s="447">
        <v>226</v>
      </c>
      <c r="C15" s="429">
        <v>43.234000000000002</v>
      </c>
      <c r="D15" s="937">
        <f t="shared" si="0"/>
        <v>43.234000000000002</v>
      </c>
      <c r="E15" s="937">
        <f t="shared" si="1"/>
        <v>21.617000000000001</v>
      </c>
      <c r="F15" s="937">
        <f t="shared" si="2"/>
        <v>12278.456</v>
      </c>
      <c r="G15" s="937">
        <f t="shared" si="3"/>
        <v>191543.9136</v>
      </c>
      <c r="H15" s="937">
        <f t="shared" si="4"/>
        <v>45970.539263999999</v>
      </c>
      <c r="I15" s="937">
        <f t="shared" si="5"/>
        <v>13465.299611627135</v>
      </c>
      <c r="J15" s="833">
        <f t="shared" si="6"/>
        <v>1.8083937163077002</v>
      </c>
      <c r="K15" s="924">
        <f t="shared" si="7"/>
        <v>17775.27518208</v>
      </c>
      <c r="L15" s="924">
        <f t="shared" si="8"/>
        <v>801783.17680000002</v>
      </c>
      <c r="M15" s="924">
        <f t="shared" si="9"/>
        <v>67582.848963603479</v>
      </c>
      <c r="N15" s="924">
        <f t="shared" si="10"/>
        <v>1527.0863789976711</v>
      </c>
      <c r="O15" s="924">
        <f t="shared" si="11"/>
        <v>769711.849728</v>
      </c>
      <c r="P15" s="956">
        <f t="shared" si="12"/>
        <v>96213.981216</v>
      </c>
      <c r="Q15" s="924">
        <f t="shared" si="13"/>
        <v>9371.2417704384006</v>
      </c>
      <c r="R15" s="924">
        <f t="shared" si="14"/>
        <v>6744.8693711616761</v>
      </c>
    </row>
    <row r="16" spans="1:18" x14ac:dyDescent="0.25">
      <c r="A16" s="784" t="s">
        <v>341</v>
      </c>
      <c r="B16" s="447">
        <v>311</v>
      </c>
      <c r="C16" s="429">
        <v>50.677999999999997</v>
      </c>
      <c r="D16" s="937">
        <f t="shared" si="0"/>
        <v>50.677999999999997</v>
      </c>
      <c r="E16" s="937">
        <f t="shared" si="1"/>
        <v>25.338999999999999</v>
      </c>
      <c r="F16" s="937">
        <f t="shared" si="2"/>
        <v>14392.551999999998</v>
      </c>
      <c r="G16" s="937">
        <f t="shared" si="3"/>
        <v>224523.81119999997</v>
      </c>
      <c r="H16" s="937">
        <f t="shared" si="4"/>
        <v>53885.714687999993</v>
      </c>
      <c r="I16" s="937">
        <f t="shared" si="5"/>
        <v>15783.74551783411</v>
      </c>
      <c r="J16" s="833">
        <f t="shared" si="6"/>
        <v>2.1197616865208313</v>
      </c>
      <c r="K16" s="924">
        <f t="shared" si="7"/>
        <v>20835.809679359994</v>
      </c>
      <c r="L16" s="924">
        <f t="shared" si="8"/>
        <v>939833.64559999981</v>
      </c>
      <c r="M16" s="924">
        <f t="shared" si="9"/>
        <v>79219.216814948799</v>
      </c>
      <c r="N16" s="924">
        <f t="shared" si="10"/>
        <v>1790.0190478522452</v>
      </c>
      <c r="O16" s="924">
        <f t="shared" si="11"/>
        <v>902240.29977599974</v>
      </c>
      <c r="P16" s="956">
        <f t="shared" si="12"/>
        <v>112780.03747199997</v>
      </c>
      <c r="Q16" s="924">
        <f t="shared" si="13"/>
        <v>10984.775649772797</v>
      </c>
      <c r="R16" s="924">
        <f t="shared" si="14"/>
        <v>7906.1962805137473</v>
      </c>
    </row>
    <row r="17" spans="1:18" x14ac:dyDescent="0.25">
      <c r="A17" s="784" t="s">
        <v>342</v>
      </c>
      <c r="B17" s="447">
        <v>472</v>
      </c>
      <c r="C17" s="429">
        <v>78.971000000000004</v>
      </c>
      <c r="D17" s="937">
        <f t="shared" si="0"/>
        <v>78.971000000000004</v>
      </c>
      <c r="E17" s="937">
        <f t="shared" si="1"/>
        <v>39.485500000000002</v>
      </c>
      <c r="F17" s="937">
        <f t="shared" si="2"/>
        <v>22427.763999999999</v>
      </c>
      <c r="G17" s="937">
        <f t="shared" si="3"/>
        <v>349873.11839999998</v>
      </c>
      <c r="H17" s="937">
        <f t="shared" si="4"/>
        <v>83969.548415999991</v>
      </c>
      <c r="I17" s="937">
        <f t="shared" si="5"/>
        <v>24595.646380853181</v>
      </c>
      <c r="J17" s="833">
        <f t="shared" si="6"/>
        <v>3.3032025759942494</v>
      </c>
      <c r="K17" s="924">
        <f t="shared" si="7"/>
        <v>32468.225387519997</v>
      </c>
      <c r="L17" s="924">
        <f t="shared" si="8"/>
        <v>1464532.9892</v>
      </c>
      <c r="M17" s="924">
        <f t="shared" si="9"/>
        <v>123446.48113764006</v>
      </c>
      <c r="N17" s="924">
        <f t="shared" si="10"/>
        <v>2789.368053749944</v>
      </c>
      <c r="O17" s="924">
        <f t="shared" si="11"/>
        <v>1405951.6696319999</v>
      </c>
      <c r="P17" s="956">
        <f t="shared" si="12"/>
        <v>175743.95870399999</v>
      </c>
      <c r="Q17" s="924">
        <f t="shared" si="13"/>
        <v>17117.461577769598</v>
      </c>
      <c r="R17" s="924">
        <f t="shared" si="14"/>
        <v>12320.143385067511</v>
      </c>
    </row>
    <row r="18" spans="1:18" x14ac:dyDescent="0.25">
      <c r="A18" s="784" t="s">
        <v>343</v>
      </c>
      <c r="B18" s="447">
        <v>469</v>
      </c>
      <c r="C18" s="429">
        <v>132.13200000000001</v>
      </c>
      <c r="D18" s="937">
        <f t="shared" si="0"/>
        <v>132.13200000000001</v>
      </c>
      <c r="E18" s="937">
        <f t="shared" si="1"/>
        <v>66.066000000000003</v>
      </c>
      <c r="F18" s="937">
        <f t="shared" si="2"/>
        <v>37525.487999999998</v>
      </c>
      <c r="G18" s="937">
        <f t="shared" si="3"/>
        <v>585397.6128</v>
      </c>
      <c r="H18" s="937">
        <f t="shared" si="4"/>
        <v>140495.42707199999</v>
      </c>
      <c r="I18" s="937">
        <f t="shared" si="5"/>
        <v>41152.726286800127</v>
      </c>
      <c r="J18" s="833">
        <f t="shared" si="6"/>
        <v>5.526823299328516</v>
      </c>
      <c r="K18" s="924">
        <f t="shared" si="7"/>
        <v>54324.898467840001</v>
      </c>
      <c r="L18" s="924">
        <f t="shared" si="8"/>
        <v>2450414.3663999997</v>
      </c>
      <c r="M18" s="924">
        <f t="shared" si="9"/>
        <v>206547.09254889333</v>
      </c>
      <c r="N18" s="924">
        <f t="shared" si="10"/>
        <v>4667.0901935911616</v>
      </c>
      <c r="O18" s="924">
        <f t="shared" si="11"/>
        <v>2352397.7917439998</v>
      </c>
      <c r="P18" s="956">
        <f t="shared" si="12"/>
        <v>294049.72396799998</v>
      </c>
      <c r="Q18" s="924">
        <f t="shared" si="13"/>
        <v>28640.443114483198</v>
      </c>
      <c r="R18" s="924">
        <f t="shared" si="14"/>
        <v>20613.708649450309</v>
      </c>
    </row>
    <row r="19" spans="1:18" x14ac:dyDescent="0.25">
      <c r="A19" s="784" t="s">
        <v>344</v>
      </c>
      <c r="B19" s="447">
        <v>636</v>
      </c>
      <c r="C19" s="429">
        <v>223.42</v>
      </c>
      <c r="D19" s="937">
        <f t="shared" si="0"/>
        <v>223.42</v>
      </c>
      <c r="E19" s="937">
        <f t="shared" si="1"/>
        <v>111.71</v>
      </c>
      <c r="F19" s="937">
        <f t="shared" si="2"/>
        <v>63451.279999999992</v>
      </c>
      <c r="G19" s="937">
        <f t="shared" si="3"/>
        <v>989839.96799999988</v>
      </c>
      <c r="H19" s="937">
        <f t="shared" si="4"/>
        <v>237561.59231999997</v>
      </c>
      <c r="I19" s="937">
        <f t="shared" si="5"/>
        <v>69584.522348839673</v>
      </c>
      <c r="J19" s="833">
        <f t="shared" si="6"/>
        <v>9.3452219109373722</v>
      </c>
      <c r="K19" s="924">
        <f t="shared" si="7"/>
        <v>91857.149030399989</v>
      </c>
      <c r="L19" s="924">
        <f t="shared" si="8"/>
        <v>4143368.5839999993</v>
      </c>
      <c r="M19" s="924">
        <f t="shared" si="9"/>
        <v>349247.35429172148</v>
      </c>
      <c r="N19" s="924">
        <f t="shared" si="10"/>
        <v>7891.5122078840641</v>
      </c>
      <c r="O19" s="924">
        <f t="shared" si="11"/>
        <v>3977633.8406399991</v>
      </c>
      <c r="P19" s="956">
        <f t="shared" si="12"/>
        <v>497204.23007999989</v>
      </c>
      <c r="Q19" s="924">
        <f t="shared" si="13"/>
        <v>48427.692009791986</v>
      </c>
      <c r="R19" s="924">
        <f t="shared" si="14"/>
        <v>34855.408125663635</v>
      </c>
    </row>
    <row r="20" spans="1:18" x14ac:dyDescent="0.25">
      <c r="A20" s="784" t="s">
        <v>345</v>
      </c>
      <c r="B20" s="447">
        <v>185</v>
      </c>
      <c r="C20" s="429">
        <v>70.396000000000001</v>
      </c>
      <c r="D20" s="937">
        <f t="shared" si="0"/>
        <v>70.396000000000001</v>
      </c>
      <c r="E20" s="937">
        <f t="shared" si="1"/>
        <v>35.198</v>
      </c>
      <c r="F20" s="937">
        <f t="shared" si="2"/>
        <v>19992.464</v>
      </c>
      <c r="G20" s="937">
        <f t="shared" si="3"/>
        <v>311882.43839999998</v>
      </c>
      <c r="H20" s="937">
        <f t="shared" si="4"/>
        <v>74851.785215999989</v>
      </c>
      <c r="I20" s="937">
        <f t="shared" si="5"/>
        <v>21924.948685296382</v>
      </c>
      <c r="J20" s="833">
        <f t="shared" si="6"/>
        <v>2.9445270863948942</v>
      </c>
      <c r="K20" s="924">
        <f t="shared" si="7"/>
        <v>28942.690283519998</v>
      </c>
      <c r="L20" s="924">
        <f t="shared" si="8"/>
        <v>1305507.8991999999</v>
      </c>
      <c r="M20" s="924">
        <f t="shared" si="9"/>
        <v>110042.14820839686</v>
      </c>
      <c r="N20" s="924">
        <f t="shared" si="10"/>
        <v>2486.4868560836389</v>
      </c>
      <c r="O20" s="924">
        <f t="shared" si="11"/>
        <v>1253287.5832319998</v>
      </c>
      <c r="P20" s="956">
        <f t="shared" si="12"/>
        <v>156660.94790399997</v>
      </c>
      <c r="Q20" s="924">
        <f t="shared" si="13"/>
        <v>15258.776325849598</v>
      </c>
      <c r="R20" s="924">
        <f t="shared" si="14"/>
        <v>10982.370917618015</v>
      </c>
    </row>
    <row r="21" spans="1:18" x14ac:dyDescent="0.25">
      <c r="A21" s="784" t="s">
        <v>346</v>
      </c>
      <c r="B21" s="447">
        <v>338</v>
      </c>
      <c r="C21" s="429">
        <v>64.085999999999999</v>
      </c>
      <c r="D21" s="937">
        <f t="shared" si="0"/>
        <v>64.085999999999999</v>
      </c>
      <c r="E21" s="937">
        <f t="shared" si="1"/>
        <v>32.042999999999999</v>
      </c>
      <c r="F21" s="937">
        <f t="shared" si="2"/>
        <v>18200.423999999999</v>
      </c>
      <c r="G21" s="937">
        <f t="shared" si="3"/>
        <v>283926.61439999996</v>
      </c>
      <c r="H21" s="937">
        <f t="shared" si="4"/>
        <v>68142.387455999982</v>
      </c>
      <c r="I21" s="937">
        <f t="shared" si="5"/>
        <v>19959.688923318139</v>
      </c>
      <c r="J21" s="833">
        <f t="shared" si="6"/>
        <v>2.6805921197042895</v>
      </c>
      <c r="K21" s="924">
        <f t="shared" si="7"/>
        <v>26348.389816319996</v>
      </c>
      <c r="L21" s="924">
        <f t="shared" si="8"/>
        <v>1188487.6871999998</v>
      </c>
      <c r="M21" s="924">
        <f t="shared" si="9"/>
        <v>100178.43499749021</v>
      </c>
      <c r="N21" s="924">
        <f t="shared" si="10"/>
        <v>2263.6086803082003</v>
      </c>
      <c r="O21" s="924">
        <f t="shared" si="11"/>
        <v>1140948.1797119998</v>
      </c>
      <c r="P21" s="956">
        <f t="shared" si="12"/>
        <v>142618.52246399998</v>
      </c>
      <c r="Q21" s="924">
        <f t="shared" si="13"/>
        <v>13891.044087993598</v>
      </c>
      <c r="R21" s="924">
        <f t="shared" si="14"/>
        <v>9997.9575917164075</v>
      </c>
    </row>
    <row r="22" spans="1:18" x14ac:dyDescent="0.25">
      <c r="A22" s="784" t="s">
        <v>347</v>
      </c>
      <c r="B22" s="447">
        <v>305</v>
      </c>
      <c r="C22" s="429">
        <v>35.904000000000003</v>
      </c>
      <c r="D22" s="937">
        <f t="shared" si="0"/>
        <v>35.904000000000003</v>
      </c>
      <c r="E22" s="937">
        <f t="shared" si="1"/>
        <v>17.952000000000002</v>
      </c>
      <c r="F22" s="937">
        <f t="shared" si="2"/>
        <v>10196.735999999999</v>
      </c>
      <c r="G22" s="937">
        <f t="shared" si="3"/>
        <v>159069.08159999998</v>
      </c>
      <c r="H22" s="937">
        <f t="shared" si="4"/>
        <v>38176.579583999992</v>
      </c>
      <c r="I22" s="937">
        <f t="shared" si="5"/>
        <v>11182.359190818814</v>
      </c>
      <c r="J22" s="833">
        <f t="shared" si="6"/>
        <v>1.5017941432740818</v>
      </c>
      <c r="K22" s="924">
        <f t="shared" si="7"/>
        <v>14761.610772479999</v>
      </c>
      <c r="L22" s="924">
        <f t="shared" si="8"/>
        <v>665846.86079999991</v>
      </c>
      <c r="M22" s="924">
        <f t="shared" si="9"/>
        <v>56124.68448881017</v>
      </c>
      <c r="N22" s="924">
        <f t="shared" si="10"/>
        <v>1268.1803523044912</v>
      </c>
      <c r="O22" s="924">
        <f t="shared" si="11"/>
        <v>639212.98636799993</v>
      </c>
      <c r="P22" s="956">
        <f t="shared" si="12"/>
        <v>79901.623295999991</v>
      </c>
      <c r="Q22" s="924">
        <f t="shared" si="13"/>
        <v>7782.4181090303991</v>
      </c>
      <c r="R22" s="924">
        <f t="shared" si="14"/>
        <v>5601.3274252252577</v>
      </c>
    </row>
    <row r="23" spans="1:18" x14ac:dyDescent="0.25">
      <c r="A23" s="784" t="s">
        <v>348</v>
      </c>
      <c r="B23" s="447">
        <v>521</v>
      </c>
      <c r="C23" s="429">
        <v>179.09200000000001</v>
      </c>
      <c r="D23" s="937">
        <f t="shared" si="0"/>
        <v>179.09200000000001</v>
      </c>
      <c r="E23" s="937">
        <f t="shared" si="1"/>
        <v>89.546000000000006</v>
      </c>
      <c r="F23" s="937">
        <f t="shared" si="2"/>
        <v>50862.127999999997</v>
      </c>
      <c r="G23" s="937">
        <f t="shared" si="3"/>
        <v>793449.19679999992</v>
      </c>
      <c r="H23" s="937">
        <f t="shared" si="4"/>
        <v>190427.80723199996</v>
      </c>
      <c r="I23" s="937">
        <f t="shared" si="5"/>
        <v>55778.494658035954</v>
      </c>
      <c r="J23" s="833">
        <f t="shared" si="6"/>
        <v>7.4910683129245168</v>
      </c>
      <c r="K23" s="924">
        <f t="shared" si="7"/>
        <v>73632.085463039999</v>
      </c>
      <c r="L23" s="924">
        <f t="shared" si="8"/>
        <v>3321296.9583999999</v>
      </c>
      <c r="M23" s="924">
        <f t="shared" si="9"/>
        <v>279954.37818822393</v>
      </c>
      <c r="N23" s="924">
        <f t="shared" si="10"/>
        <v>6325.7841927059926</v>
      </c>
      <c r="O23" s="924">
        <f t="shared" si="11"/>
        <v>3188445.0800639996</v>
      </c>
      <c r="P23" s="956">
        <f t="shared" si="12"/>
        <v>398555.63500799995</v>
      </c>
      <c r="Q23" s="924">
        <f t="shared" si="13"/>
        <v>38819.318849779193</v>
      </c>
      <c r="R23" s="924">
        <f t="shared" si="14"/>
        <v>27939.86550909208</v>
      </c>
    </row>
    <row r="24" spans="1:18" x14ac:dyDescent="0.25">
      <c r="A24" s="784" t="s">
        <v>349</v>
      </c>
      <c r="B24" s="447">
        <v>103</v>
      </c>
      <c r="C24" s="429">
        <v>0</v>
      </c>
      <c r="D24" s="937">
        <f t="shared" si="0"/>
        <v>0</v>
      </c>
      <c r="E24" s="937">
        <f t="shared" si="1"/>
        <v>0</v>
      </c>
      <c r="F24" s="937">
        <f t="shared" si="2"/>
        <v>0</v>
      </c>
      <c r="G24" s="937">
        <f t="shared" si="3"/>
        <v>0</v>
      </c>
      <c r="H24" s="937">
        <f t="shared" si="4"/>
        <v>0</v>
      </c>
      <c r="I24" s="937">
        <f t="shared" si="5"/>
        <v>0</v>
      </c>
      <c r="J24" s="833">
        <f t="shared" si="6"/>
        <v>0</v>
      </c>
      <c r="K24" s="924">
        <f t="shared" si="7"/>
        <v>0</v>
      </c>
      <c r="L24" s="924">
        <f t="shared" si="8"/>
        <v>0</v>
      </c>
      <c r="M24" s="924">
        <f t="shared" si="9"/>
        <v>0</v>
      </c>
      <c r="N24" s="924">
        <f t="shared" si="10"/>
        <v>0</v>
      </c>
      <c r="O24" s="924">
        <f t="shared" si="11"/>
        <v>0</v>
      </c>
      <c r="P24" s="956">
        <f t="shared" si="12"/>
        <v>0</v>
      </c>
      <c r="Q24" s="924">
        <f t="shared" si="13"/>
        <v>0</v>
      </c>
      <c r="R24" s="924">
        <f t="shared" si="14"/>
        <v>0</v>
      </c>
    </row>
    <row r="25" spans="1:18" ht="13.8" thickBot="1" x14ac:dyDescent="0.3">
      <c r="A25" s="786" t="s">
        <v>350</v>
      </c>
      <c r="B25" s="448">
        <v>358</v>
      </c>
      <c r="C25" s="449">
        <v>107.679</v>
      </c>
      <c r="D25" s="937">
        <f t="shared" si="0"/>
        <v>107.679</v>
      </c>
      <c r="E25" s="937">
        <f t="shared" si="1"/>
        <v>53.839500000000001</v>
      </c>
      <c r="F25" s="937">
        <f t="shared" si="2"/>
        <v>30580.835999999999</v>
      </c>
      <c r="G25" s="937">
        <f t="shared" si="3"/>
        <v>477061.0416</v>
      </c>
      <c r="H25" s="937">
        <f t="shared" si="4"/>
        <v>114494.64998399999</v>
      </c>
      <c r="I25" s="937">
        <f t="shared" si="5"/>
        <v>33536.799668788415</v>
      </c>
      <c r="J25" s="833">
        <f t="shared" si="6"/>
        <v>4.5040021043229137</v>
      </c>
      <c r="K25" s="924">
        <f t="shared" si="7"/>
        <v>44271.264660480003</v>
      </c>
      <c r="L25" s="924">
        <f t="shared" si="8"/>
        <v>1996928.5907999999</v>
      </c>
      <c r="M25" s="924">
        <f t="shared" si="9"/>
        <v>168322.46827848128</v>
      </c>
      <c r="N25" s="924">
        <f t="shared" si="10"/>
        <v>3803.3754499720185</v>
      </c>
      <c r="O25" s="924">
        <f t="shared" si="11"/>
        <v>1917051.4471679998</v>
      </c>
      <c r="P25" s="956">
        <f t="shared" si="12"/>
        <v>239631.43089599998</v>
      </c>
      <c r="Q25" s="924">
        <f t="shared" si="13"/>
        <v>23340.101369270396</v>
      </c>
      <c r="R25" s="924">
        <f t="shared" si="14"/>
        <v>16798.833996792298</v>
      </c>
    </row>
    <row r="26" spans="1:18" ht="14.4" thickTop="1" thickBot="1" x14ac:dyDescent="0.3">
      <c r="A26" s="789" t="s">
        <v>351</v>
      </c>
      <c r="B26" s="451">
        <f t="shared" ref="B26" si="15">SUM(B5:B25)</f>
        <v>7418</v>
      </c>
      <c r="C26" s="452">
        <f t="shared" ref="C26:O26" si="16">SUM(C5:C25)</f>
        <v>1832.8520000000003</v>
      </c>
      <c r="D26" s="937">
        <f t="shared" si="16"/>
        <v>1832.8520000000003</v>
      </c>
      <c r="E26" s="937">
        <f t="shared" si="16"/>
        <v>916.42600000000016</v>
      </c>
      <c r="F26" s="939">
        <f t="shared" si="16"/>
        <v>520529.96799999988</v>
      </c>
      <c r="G26" s="937">
        <f t="shared" si="16"/>
        <v>8120267.5007999996</v>
      </c>
      <c r="H26" s="807">
        <f t="shared" si="16"/>
        <v>1948864.200192</v>
      </c>
      <c r="I26" s="937">
        <f t="shared" si="16"/>
        <v>570844.73617453885</v>
      </c>
      <c r="J26" s="934">
        <f t="shared" si="16"/>
        <v>76.664616730397356</v>
      </c>
      <c r="K26" s="934">
        <f t="shared" si="16"/>
        <v>753560.82407424005</v>
      </c>
      <c r="L26" s="964">
        <f t="shared" si="16"/>
        <v>33990606.910399996</v>
      </c>
      <c r="M26" s="934">
        <f t="shared" si="16"/>
        <v>2865091.3607031167</v>
      </c>
      <c r="N26" s="964">
        <f t="shared" si="16"/>
        <v>64738.939814003781</v>
      </c>
      <c r="O26" s="964">
        <f t="shared" si="16"/>
        <v>32630982.633983996</v>
      </c>
      <c r="P26" s="934">
        <f>SUM(P5:P25)</f>
        <v>4078872.8292479995</v>
      </c>
      <c r="Q26" s="964">
        <f>SUM(Q5:Q25)</f>
        <v>397282.21356875519</v>
      </c>
      <c r="R26" s="964">
        <f t="shared" ref="R26" si="17">SUM(R5:R25)</f>
        <v>285940.40145886154</v>
      </c>
    </row>
    <row r="29" spans="1:18" x14ac:dyDescent="0.25">
      <c r="A29" s="384" t="s">
        <v>1409</v>
      </c>
      <c r="C29" s="384" t="s">
        <v>1428</v>
      </c>
    </row>
    <row r="30" spans="1:18" x14ac:dyDescent="0.25">
      <c r="A30" s="474" t="s">
        <v>1410</v>
      </c>
      <c r="C30" s="384" t="s">
        <v>1432</v>
      </c>
      <c r="M30" s="384" t="s">
        <v>1470</v>
      </c>
    </row>
    <row r="31" spans="1:18" x14ac:dyDescent="0.25">
      <c r="H31" s="384" t="s">
        <v>154</v>
      </c>
      <c r="M31" s="384" t="s">
        <v>1471</v>
      </c>
    </row>
    <row r="32" spans="1:18" x14ac:dyDescent="0.25">
      <c r="A32" s="384" t="s">
        <v>1412</v>
      </c>
      <c r="C32" s="384" t="s">
        <v>1461</v>
      </c>
      <c r="M32" s="384" t="s">
        <v>1472</v>
      </c>
    </row>
    <row r="33" spans="1:13" x14ac:dyDescent="0.25">
      <c r="A33" s="384" t="s">
        <v>1414</v>
      </c>
      <c r="C33" s="384" t="s">
        <v>1467</v>
      </c>
      <c r="M33" s="384" t="s">
        <v>1473</v>
      </c>
    </row>
    <row r="34" spans="1:13" x14ac:dyDescent="0.25">
      <c r="A34" s="384" t="s">
        <v>1415</v>
      </c>
    </row>
    <row r="35" spans="1:13" x14ac:dyDescent="0.25">
      <c r="M35" s="384" t="s">
        <v>1474</v>
      </c>
    </row>
  </sheetData>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85"/>
  <sheetViews>
    <sheetView workbookViewId="0">
      <selection activeCell="D25" sqref="D25"/>
    </sheetView>
  </sheetViews>
  <sheetFormatPr defaultRowHeight="14.4" x14ac:dyDescent="0.3"/>
  <cols>
    <col min="1" max="1" width="13" customWidth="1"/>
    <col min="2" max="2" width="15.6640625" style="650" customWidth="1"/>
    <col min="3" max="3" width="13.88671875" customWidth="1"/>
    <col min="4" max="4" width="19.109375" customWidth="1"/>
    <col min="5" max="5" width="20.6640625" customWidth="1"/>
    <col min="6" max="6" width="18" customWidth="1"/>
    <col min="7" max="7" width="18.33203125" customWidth="1"/>
    <col min="8" max="8" width="22.33203125" customWidth="1"/>
    <col min="9" max="9" width="21.44140625" customWidth="1"/>
    <col min="10" max="11" width="18.88671875" customWidth="1"/>
    <col min="12" max="12" width="18.109375" customWidth="1"/>
    <col min="13" max="14" width="17.88671875" customWidth="1"/>
    <col min="15" max="15" width="19.5546875" customWidth="1"/>
    <col min="16" max="16" width="20.33203125" customWidth="1"/>
  </cols>
  <sheetData>
    <row r="1" spans="2:16" ht="13.2" x14ac:dyDescent="0.25">
      <c r="B1" s="741" t="s">
        <v>1125</v>
      </c>
    </row>
    <row r="2" spans="2:16" ht="13.2" x14ac:dyDescent="0.25">
      <c r="B2" s="774" t="s">
        <v>1405</v>
      </c>
    </row>
    <row r="3" spans="2:16" ht="13.2" x14ac:dyDescent="0.25">
      <c r="B3" s="724"/>
    </row>
    <row r="4" spans="2:16" ht="88.5" customHeight="1" x14ac:dyDescent="0.25">
      <c r="B4" s="919" t="s">
        <v>322</v>
      </c>
      <c r="C4" s="920" t="s">
        <v>1399</v>
      </c>
      <c r="D4" s="921" t="s">
        <v>1385</v>
      </c>
      <c r="E4" s="921" t="s">
        <v>1384</v>
      </c>
      <c r="F4" s="921" t="s">
        <v>1386</v>
      </c>
      <c r="G4" s="921" t="s">
        <v>1387</v>
      </c>
      <c r="H4" s="921" t="s">
        <v>1400</v>
      </c>
      <c r="I4" s="921" t="s">
        <v>1401</v>
      </c>
      <c r="J4" s="936" t="s">
        <v>1402</v>
      </c>
      <c r="K4" s="936" t="s">
        <v>1403</v>
      </c>
      <c r="L4" s="921" t="s">
        <v>1385</v>
      </c>
      <c r="M4" s="921" t="s">
        <v>1404</v>
      </c>
      <c r="N4" s="921" t="s">
        <v>1430</v>
      </c>
      <c r="O4" s="936" t="s">
        <v>1431</v>
      </c>
      <c r="P4" s="936" t="s">
        <v>1442</v>
      </c>
    </row>
    <row r="5" spans="2:16" ht="13.2" x14ac:dyDescent="0.25">
      <c r="B5" s="784" t="s">
        <v>403</v>
      </c>
      <c r="C5" s="935">
        <f>IF('Bioenergy Calculator'!$H$75="No",'Biomass Data Assumptions'!I7,'Biomass Data Assumptions'!F7*'Biomass Data Assumptions'!$I$41)</f>
        <v>237557.64</v>
      </c>
      <c r="D5" s="922">
        <f>C5*700/1000</f>
        <v>166290.348</v>
      </c>
      <c r="E5" s="922">
        <f>D5/7446</f>
        <v>22.332842868654311</v>
      </c>
      <c r="F5" s="922">
        <f>C5*900/1000</f>
        <v>213801.87599999999</v>
      </c>
      <c r="G5" s="924">
        <f>F5/7446</f>
        <v>28.713655116841256</v>
      </c>
      <c r="H5" s="833">
        <f>C5*0.4</f>
        <v>95023.056000000011</v>
      </c>
      <c r="I5" s="938">
        <f>C5*0.62*0.06</f>
        <v>8837.1442079999997</v>
      </c>
      <c r="J5" s="938">
        <f>C5*0.38*2.82</f>
        <v>254566.767024</v>
      </c>
      <c r="K5" s="937">
        <f>IF('Bioenergy Calculator'!$H$75="No",'Biomass Data Assumptions'!H7,'Biomass Data Assumptions'!F7*'Biomass Data Assumptions'!$I$41)</f>
        <v>4265.8999999999996</v>
      </c>
      <c r="L5" s="937">
        <f>K5*600/1000</f>
        <v>2559.54</v>
      </c>
      <c r="M5" s="833">
        <f>L5/7446</f>
        <v>0.34374697824335215</v>
      </c>
      <c r="N5" s="924">
        <f>C5* 9.95</f>
        <v>2363698.5180000002</v>
      </c>
      <c r="O5" s="924">
        <f>N5*0.0907</f>
        <v>214387.45558260003</v>
      </c>
      <c r="P5" s="952">
        <f>C5*0.995</f>
        <v>236369.8518</v>
      </c>
    </row>
    <row r="6" spans="2:16" ht="13.2" x14ac:dyDescent="0.25">
      <c r="B6" s="784" t="s">
        <v>325</v>
      </c>
      <c r="C6" s="935">
        <f>IF('Bioenergy Calculator'!$H$75="No",'Biomass Data Assumptions'!I8,'Biomass Data Assumptions'!F8*'Biomass Data Assumptions'!$I$41)</f>
        <v>546419.4</v>
      </c>
      <c r="D6" s="922">
        <f t="shared" ref="D6:D25" si="0">C6*600/1000</f>
        <v>327851.64</v>
      </c>
      <c r="E6" s="922">
        <f t="shared" ref="E6:E25" si="1">D6/7446</f>
        <v>44.030572119258665</v>
      </c>
      <c r="F6" s="922">
        <f t="shared" ref="F6:F25" si="2">C6*900/1000</f>
        <v>491777.46</v>
      </c>
      <c r="G6" s="924">
        <f t="shared" ref="G6:G25" si="3">F6/7446</f>
        <v>66.045858178887997</v>
      </c>
      <c r="H6" s="833">
        <f t="shared" ref="H6:H25" si="4">C6*0.4</f>
        <v>218567.76</v>
      </c>
      <c r="I6" s="938">
        <f t="shared" ref="I6:I25" si="5">C6*0.62*0.06</f>
        <v>20326.80168</v>
      </c>
      <c r="J6" s="938">
        <f t="shared" ref="J6:J25" si="6">C6*0.38*2.82</f>
        <v>585543.02903999994</v>
      </c>
      <c r="K6" s="937">
        <f>IF('Bioenergy Calculator'!$H$75="No",'Biomass Data Assumptions'!H8,'Biomass Data Assumptions'!F8*'Biomass Data Assumptions'!$I$41)</f>
        <v>63469.9</v>
      </c>
      <c r="L6" s="937">
        <f t="shared" ref="L6:L25" si="7">K6*600/1000</f>
        <v>38081.94</v>
      </c>
      <c r="M6" s="833">
        <f t="shared" ref="M6:M25" si="8">L6/7446</f>
        <v>5.1144157937147465</v>
      </c>
      <c r="N6" s="924">
        <f t="shared" ref="N6:N25" si="9">C6* 9.95</f>
        <v>5436873.0300000003</v>
      </c>
      <c r="O6" s="924">
        <f t="shared" ref="O6:O25" si="10">N6*0.0907</f>
        <v>493124.38382100005</v>
      </c>
      <c r="P6" s="952">
        <f t="shared" ref="P6:P25" si="11">C6*0.995</f>
        <v>543687.30300000007</v>
      </c>
    </row>
    <row r="7" spans="2:16" ht="13.2" x14ac:dyDescent="0.25">
      <c r="B7" s="784" t="s">
        <v>328</v>
      </c>
      <c r="C7" s="935">
        <f>IF('Bioenergy Calculator'!$H$75="No",'Biomass Data Assumptions'!I9,'Biomass Data Assumptions'!F9*'Biomass Data Assumptions'!$I$41)</f>
        <v>266576.26999999996</v>
      </c>
      <c r="D7" s="922">
        <f t="shared" si="0"/>
        <v>159945.76199999996</v>
      </c>
      <c r="E7" s="922">
        <f t="shared" si="1"/>
        <v>21.480763094278803</v>
      </c>
      <c r="F7" s="922">
        <f t="shared" si="2"/>
        <v>239918.64299999998</v>
      </c>
      <c r="G7" s="924">
        <f t="shared" si="3"/>
        <v>32.221144641418206</v>
      </c>
      <c r="H7" s="833">
        <f t="shared" si="4"/>
        <v>106630.50799999999</v>
      </c>
      <c r="I7" s="938">
        <f t="shared" si="5"/>
        <v>9916.6372439999977</v>
      </c>
      <c r="J7" s="938">
        <f t="shared" si="6"/>
        <v>285663.13093199994</v>
      </c>
      <c r="K7" s="937">
        <f>IF('Bioenergy Calculator'!$H$75="No",'Biomass Data Assumptions'!H9,'Biomass Data Assumptions'!F9*'Biomass Data Assumptions'!$I$41)</f>
        <v>48181.7</v>
      </c>
      <c r="L7" s="937">
        <f t="shared" si="7"/>
        <v>28909.02</v>
      </c>
      <c r="M7" s="833">
        <f t="shared" si="8"/>
        <v>3.8824899274778404</v>
      </c>
      <c r="N7" s="924">
        <f t="shared" si="9"/>
        <v>2652433.8864999996</v>
      </c>
      <c r="O7" s="924">
        <f t="shared" si="10"/>
        <v>240575.75350554998</v>
      </c>
      <c r="P7" s="952">
        <f t="shared" si="11"/>
        <v>265243.38864999998</v>
      </c>
    </row>
    <row r="8" spans="2:16" ht="13.2" x14ac:dyDescent="0.25">
      <c r="B8" s="784" t="s">
        <v>331</v>
      </c>
      <c r="C8" s="935">
        <f>IF('Bioenergy Calculator'!$H$75="No",'Biomass Data Assumptions'!I10,'Biomass Data Assumptions'!F10*'Biomass Data Assumptions'!$I$41)</f>
        <v>84631.789999999979</v>
      </c>
      <c r="D8" s="922">
        <f t="shared" si="0"/>
        <v>50779.073999999986</v>
      </c>
      <c r="E8" s="922">
        <f t="shared" si="1"/>
        <v>6.8196446414182095</v>
      </c>
      <c r="F8" s="922">
        <f t="shared" si="2"/>
        <v>76168.61099999999</v>
      </c>
      <c r="G8" s="924">
        <f t="shared" si="3"/>
        <v>10.229466962127315</v>
      </c>
      <c r="H8" s="833">
        <f t="shared" si="4"/>
        <v>33852.715999999993</v>
      </c>
      <c r="I8" s="938">
        <f t="shared" si="5"/>
        <v>3148.3025879999991</v>
      </c>
      <c r="J8" s="938">
        <f t="shared" si="6"/>
        <v>90691.426163999975</v>
      </c>
      <c r="K8" s="937">
        <f>IF('Bioenergy Calculator'!$H$75="No",'Biomass Data Assumptions'!H10,'Biomass Data Assumptions'!F10*'Biomass Data Assumptions'!$I$41)</f>
        <v>279236.40000000002</v>
      </c>
      <c r="L8" s="937">
        <f t="shared" si="7"/>
        <v>167541.84</v>
      </c>
      <c r="M8" s="833">
        <f t="shared" si="8"/>
        <v>22.50091861402095</v>
      </c>
      <c r="N8" s="924">
        <f t="shared" si="9"/>
        <v>842086.31049999979</v>
      </c>
      <c r="O8" s="924">
        <f t="shared" si="10"/>
        <v>76377.228362349982</v>
      </c>
      <c r="P8" s="952">
        <f t="shared" si="11"/>
        <v>84208.631049999982</v>
      </c>
    </row>
    <row r="9" spans="2:16" ht="13.2" x14ac:dyDescent="0.25">
      <c r="B9" s="784" t="s">
        <v>333</v>
      </c>
      <c r="C9" s="935">
        <f>IF('Bioenergy Calculator'!$H$75="No",'Biomass Data Assumptions'!I11,'Biomass Data Assumptions'!F11*'Biomass Data Assumptions'!$I$41)</f>
        <v>91009.32</v>
      </c>
      <c r="D9" s="922">
        <f t="shared" si="0"/>
        <v>54605.592000000004</v>
      </c>
      <c r="E9" s="922">
        <f t="shared" si="1"/>
        <v>7.3335471394037075</v>
      </c>
      <c r="F9" s="922">
        <f t="shared" si="2"/>
        <v>81908.388000000006</v>
      </c>
      <c r="G9" s="924">
        <f t="shared" si="3"/>
        <v>11.00032070910556</v>
      </c>
      <c r="H9" s="833">
        <f t="shared" si="4"/>
        <v>36403.728000000003</v>
      </c>
      <c r="I9" s="938">
        <f t="shared" si="5"/>
        <v>3385.5467039999999</v>
      </c>
      <c r="J9" s="938">
        <f t="shared" si="6"/>
        <v>97525.587312000003</v>
      </c>
      <c r="K9" s="937">
        <f>IF('Bioenergy Calculator'!$H$75="No",'Biomass Data Assumptions'!H11,'Biomass Data Assumptions'!F11*'Biomass Data Assumptions'!$I$41)</f>
        <v>15.7</v>
      </c>
      <c r="L9" s="937">
        <f t="shared" si="7"/>
        <v>9.42</v>
      </c>
      <c r="M9" s="833">
        <f t="shared" si="8"/>
        <v>1.265108783239323E-3</v>
      </c>
      <c r="N9" s="924">
        <f t="shared" si="9"/>
        <v>905542.73400000005</v>
      </c>
      <c r="O9" s="924">
        <f t="shared" si="10"/>
        <v>82132.725973800014</v>
      </c>
      <c r="P9" s="952">
        <f t="shared" si="11"/>
        <v>90554.273400000005</v>
      </c>
    </row>
    <row r="10" spans="2:16" ht="13.2" x14ac:dyDescent="0.25">
      <c r="B10" s="784" t="s">
        <v>335</v>
      </c>
      <c r="C10" s="935">
        <f>IF('Bioenergy Calculator'!$H$75="No",'Biomass Data Assumptions'!I12,'Biomass Data Assumptions'!F12*'Biomass Data Assumptions'!$I$41)</f>
        <v>113785.04000000001</v>
      </c>
      <c r="D10" s="922">
        <f t="shared" si="0"/>
        <v>68271.024000000005</v>
      </c>
      <c r="E10" s="922">
        <f t="shared" si="1"/>
        <v>9.1688186946011285</v>
      </c>
      <c r="F10" s="922">
        <f t="shared" si="2"/>
        <v>102406.53599999999</v>
      </c>
      <c r="G10" s="924">
        <f t="shared" si="3"/>
        <v>13.753228041901691</v>
      </c>
      <c r="H10" s="833">
        <f t="shared" si="4"/>
        <v>45514.016000000003</v>
      </c>
      <c r="I10" s="938">
        <f t="shared" si="5"/>
        <v>4232.8034880000005</v>
      </c>
      <c r="J10" s="938">
        <f t="shared" si="6"/>
        <v>121932.04886400001</v>
      </c>
      <c r="K10" s="937">
        <f>IF('Bioenergy Calculator'!$H$75="No",'Biomass Data Assumptions'!H12,'Biomass Data Assumptions'!F12*'Biomass Data Assumptions'!$I$41)</f>
        <v>165.2</v>
      </c>
      <c r="L10" s="937">
        <f t="shared" si="7"/>
        <v>99.12</v>
      </c>
      <c r="M10" s="833">
        <f t="shared" si="8"/>
        <v>1.331184528605963E-2</v>
      </c>
      <c r="N10" s="924">
        <f t="shared" si="9"/>
        <v>1132161.148</v>
      </c>
      <c r="O10" s="924">
        <f t="shared" si="10"/>
        <v>102687.01612360001</v>
      </c>
      <c r="P10" s="952">
        <f t="shared" si="11"/>
        <v>113216.11480000001</v>
      </c>
    </row>
    <row r="11" spans="2:16" ht="13.2" x14ac:dyDescent="0.25">
      <c r="B11" s="784" t="s">
        <v>336</v>
      </c>
      <c r="C11" s="935">
        <f>IF('Bioenergy Calculator'!$H$75="No",'Biomass Data Assumptions'!I13,'Biomass Data Assumptions'!F13*'Biomass Data Assumptions'!$I$41)</f>
        <v>101272.90999999997</v>
      </c>
      <c r="D11" s="922">
        <f t="shared" si="0"/>
        <v>60763.745999999985</v>
      </c>
      <c r="E11" s="922">
        <f t="shared" si="1"/>
        <v>8.1605890410958892</v>
      </c>
      <c r="F11" s="922">
        <f t="shared" si="2"/>
        <v>91145.618999999977</v>
      </c>
      <c r="G11" s="924">
        <f t="shared" si="3"/>
        <v>12.240883561643832</v>
      </c>
      <c r="H11" s="833">
        <f t="shared" si="4"/>
        <v>40509.16399999999</v>
      </c>
      <c r="I11" s="938">
        <f t="shared" si="5"/>
        <v>3767.3522519999988</v>
      </c>
      <c r="J11" s="938">
        <f t="shared" si="6"/>
        <v>108524.05035599996</v>
      </c>
      <c r="K11" s="937">
        <f>IF('Bioenergy Calculator'!$H$75="No",'Biomass Data Assumptions'!H13,'Biomass Data Assumptions'!F13*'Biomass Data Assumptions'!$I$41)</f>
        <v>352844.7</v>
      </c>
      <c r="L11" s="937">
        <f t="shared" si="7"/>
        <v>211706.82</v>
      </c>
      <c r="M11" s="833">
        <f t="shared" si="8"/>
        <v>28.43228847703465</v>
      </c>
      <c r="N11" s="924">
        <f t="shared" si="9"/>
        <v>1007665.4544999996</v>
      </c>
      <c r="O11" s="924">
        <f t="shared" si="10"/>
        <v>91395.256723149971</v>
      </c>
      <c r="P11" s="952">
        <f t="shared" si="11"/>
        <v>100766.54544999998</v>
      </c>
    </row>
    <row r="12" spans="2:16" ht="13.2" x14ac:dyDescent="0.25">
      <c r="B12" s="784" t="s">
        <v>337</v>
      </c>
      <c r="C12" s="935">
        <f>IF('Bioenergy Calculator'!$H$75="No",'Biomass Data Assumptions'!I14,'Biomass Data Assumptions'!F14*'Biomass Data Assumptions'!$I$41)</f>
        <v>25379.160000000003</v>
      </c>
      <c r="D12" s="922">
        <f t="shared" si="0"/>
        <v>15227.496000000001</v>
      </c>
      <c r="E12" s="922">
        <f t="shared" si="1"/>
        <v>2.0450572119258665</v>
      </c>
      <c r="F12" s="922">
        <f t="shared" si="2"/>
        <v>22841.244000000002</v>
      </c>
      <c r="G12" s="924">
        <f t="shared" si="3"/>
        <v>3.0675858178887996</v>
      </c>
      <c r="H12" s="833">
        <f t="shared" si="4"/>
        <v>10151.664000000002</v>
      </c>
      <c r="I12" s="938">
        <f t="shared" si="5"/>
        <v>944.10475200000008</v>
      </c>
      <c r="J12" s="938">
        <f t="shared" si="6"/>
        <v>27196.307856000003</v>
      </c>
      <c r="K12" s="937">
        <f>IF('Bioenergy Calculator'!$H$75="No",'Biomass Data Assumptions'!H14,'Biomass Data Assumptions'!F14*'Biomass Data Assumptions'!$I$41)</f>
        <v>158659</v>
      </c>
      <c r="L12" s="937">
        <f t="shared" si="7"/>
        <v>95195.4</v>
      </c>
      <c r="M12" s="833">
        <f t="shared" si="8"/>
        <v>12.784770346494762</v>
      </c>
      <c r="N12" s="924">
        <f t="shared" si="9"/>
        <v>252522.64200000002</v>
      </c>
      <c r="O12" s="924">
        <f t="shared" si="10"/>
        <v>22903.803629400001</v>
      </c>
      <c r="P12" s="952">
        <f t="shared" si="11"/>
        <v>25252.264200000005</v>
      </c>
    </row>
    <row r="13" spans="2:16" ht="13.2" x14ac:dyDescent="0.25">
      <c r="B13" s="784" t="s">
        <v>338</v>
      </c>
      <c r="C13" s="935">
        <f>IF('Bioenergy Calculator'!$H$75="No",'Biomass Data Assumptions'!I15,'Biomass Data Assumptions'!F15*'Biomass Data Assumptions'!$I$41)</f>
        <v>368946.44</v>
      </c>
      <c r="D13" s="922">
        <f t="shared" si="0"/>
        <v>221367.864</v>
      </c>
      <c r="E13" s="922">
        <f t="shared" si="1"/>
        <v>29.729769540692988</v>
      </c>
      <c r="F13" s="922">
        <f t="shared" si="2"/>
        <v>332051.79599999997</v>
      </c>
      <c r="G13" s="924">
        <f t="shared" si="3"/>
        <v>44.594654311039484</v>
      </c>
      <c r="H13" s="833">
        <f t="shared" si="4"/>
        <v>147578.576</v>
      </c>
      <c r="I13" s="938">
        <f t="shared" si="5"/>
        <v>13724.807567999998</v>
      </c>
      <c r="J13" s="938">
        <f t="shared" si="6"/>
        <v>395363.00510399998</v>
      </c>
      <c r="K13" s="937">
        <f>IF('Bioenergy Calculator'!$H$75="No",'Biomass Data Assumptions'!H15,'Biomass Data Assumptions'!F15*'Biomass Data Assumptions'!$I$41)</f>
        <v>935.4</v>
      </c>
      <c r="L13" s="937">
        <f t="shared" si="7"/>
        <v>561.24</v>
      </c>
      <c r="M13" s="833">
        <f t="shared" si="8"/>
        <v>7.5374697824335216E-2</v>
      </c>
      <c r="N13" s="924">
        <f t="shared" si="9"/>
        <v>3671017.0779999997</v>
      </c>
      <c r="O13" s="924">
        <f t="shared" si="10"/>
        <v>332961.24897459999</v>
      </c>
      <c r="P13" s="952">
        <f t="shared" si="11"/>
        <v>367101.70779999997</v>
      </c>
    </row>
    <row r="14" spans="2:16" ht="13.2" x14ac:dyDescent="0.25">
      <c r="B14" s="784" t="s">
        <v>339</v>
      </c>
      <c r="C14" s="935">
        <f>IF('Bioenergy Calculator'!$H$75="No",'Biomass Data Assumptions'!I16,'Biomass Data Assumptions'!F16*'Biomass Data Assumptions'!$I$41)</f>
        <v>49066.770000000004</v>
      </c>
      <c r="D14" s="922">
        <f t="shared" si="0"/>
        <v>29440.062000000005</v>
      </c>
      <c r="E14" s="922">
        <f t="shared" si="1"/>
        <v>3.9538090249798556</v>
      </c>
      <c r="F14" s="922">
        <f t="shared" si="2"/>
        <v>44160.093000000001</v>
      </c>
      <c r="G14" s="924">
        <f t="shared" si="3"/>
        <v>5.9307135374697824</v>
      </c>
      <c r="H14" s="833">
        <f t="shared" si="4"/>
        <v>19626.708000000002</v>
      </c>
      <c r="I14" s="938">
        <f t="shared" si="5"/>
        <v>1825.283844</v>
      </c>
      <c r="J14" s="938">
        <f t="shared" si="6"/>
        <v>52579.950732000005</v>
      </c>
      <c r="K14" s="937">
        <f>IF('Bioenergy Calculator'!$H$75="No",'Biomass Data Assumptions'!H16,'Biomass Data Assumptions'!F16*'Biomass Data Assumptions'!$I$41)</f>
        <v>27109.3</v>
      </c>
      <c r="L14" s="937">
        <f t="shared" si="7"/>
        <v>16265.58</v>
      </c>
      <c r="M14" s="833">
        <f t="shared" si="8"/>
        <v>2.1844721998388397</v>
      </c>
      <c r="N14" s="924">
        <f t="shared" si="9"/>
        <v>488214.3615</v>
      </c>
      <c r="O14" s="924">
        <f t="shared" si="10"/>
        <v>44281.042588050004</v>
      </c>
      <c r="P14" s="952">
        <f t="shared" si="11"/>
        <v>48821.436150000001</v>
      </c>
    </row>
    <row r="15" spans="2:16" ht="13.2" x14ac:dyDescent="0.25">
      <c r="B15" s="784" t="s">
        <v>340</v>
      </c>
      <c r="C15" s="935">
        <f>IF('Bioenergy Calculator'!$H$75="No",'Biomass Data Assumptions'!I17,'Biomass Data Assumptions'!F17*'Biomass Data Assumptions'!$I$41)</f>
        <v>235768.83</v>
      </c>
      <c r="D15" s="922">
        <f t="shared" si="0"/>
        <v>141461.29800000001</v>
      </c>
      <c r="E15" s="922">
        <f t="shared" si="1"/>
        <v>18.99829411764706</v>
      </c>
      <c r="F15" s="922">
        <f t="shared" si="2"/>
        <v>212191.94699999999</v>
      </c>
      <c r="G15" s="924">
        <f t="shared" si="3"/>
        <v>28.497441176470588</v>
      </c>
      <c r="H15" s="833">
        <f t="shared" si="4"/>
        <v>94307.532000000007</v>
      </c>
      <c r="I15" s="938">
        <f t="shared" si="5"/>
        <v>8770.6004759999996</v>
      </c>
      <c r="J15" s="938">
        <f t="shared" si="6"/>
        <v>252649.87822799999</v>
      </c>
      <c r="K15" s="937">
        <f>IF('Bioenergy Calculator'!$H$75="No",'Biomass Data Assumptions'!H17,'Biomass Data Assumptions'!F17*'Biomass Data Assumptions'!$I$41)</f>
        <v>120.7</v>
      </c>
      <c r="L15" s="937">
        <f t="shared" si="7"/>
        <v>72.42</v>
      </c>
      <c r="M15" s="833">
        <f t="shared" si="8"/>
        <v>9.726027397260275E-3</v>
      </c>
      <c r="N15" s="924">
        <f t="shared" si="9"/>
        <v>2345899.8584999996</v>
      </c>
      <c r="O15" s="924">
        <f t="shared" si="10"/>
        <v>212773.11716594998</v>
      </c>
      <c r="P15" s="952">
        <f t="shared" si="11"/>
        <v>234589.98585</v>
      </c>
    </row>
    <row r="16" spans="2:16" ht="13.2" x14ac:dyDescent="0.25">
      <c r="B16" s="784" t="s">
        <v>341</v>
      </c>
      <c r="C16" s="935">
        <f>IF('Bioenergy Calculator'!$H$75="No",'Biomass Data Assumptions'!I18,'Biomass Data Assumptions'!F18*'Biomass Data Assumptions'!$I$41)</f>
        <v>534640.15</v>
      </c>
      <c r="D16" s="922">
        <f t="shared" si="0"/>
        <v>320784.09000000003</v>
      </c>
      <c r="E16" s="922">
        <f t="shared" si="1"/>
        <v>43.081398066075749</v>
      </c>
      <c r="F16" s="922">
        <f t="shared" si="2"/>
        <v>481176.13500000001</v>
      </c>
      <c r="G16" s="924">
        <f t="shared" si="3"/>
        <v>64.622097099113617</v>
      </c>
      <c r="H16" s="833">
        <f t="shared" si="4"/>
        <v>213856.06000000003</v>
      </c>
      <c r="I16" s="938">
        <f t="shared" si="5"/>
        <v>19888.613580000001</v>
      </c>
      <c r="J16" s="938">
        <f t="shared" si="6"/>
        <v>572920.38474000001</v>
      </c>
      <c r="K16" s="937">
        <f>IF('Bioenergy Calculator'!$H$75="No",'Biomass Data Assumptions'!H18,'Biomass Data Assumptions'!F18*'Biomass Data Assumptions'!$I$41)</f>
        <v>18671.900000000001</v>
      </c>
      <c r="L16" s="937">
        <f t="shared" si="7"/>
        <v>11203.14</v>
      </c>
      <c r="M16" s="833">
        <f t="shared" si="8"/>
        <v>1.5045850120870266</v>
      </c>
      <c r="N16" s="924">
        <f t="shared" si="9"/>
        <v>5319669.4924999997</v>
      </c>
      <c r="O16" s="924">
        <f t="shared" si="10"/>
        <v>482494.02296974999</v>
      </c>
      <c r="P16" s="952">
        <f t="shared" si="11"/>
        <v>531966.94925000006</v>
      </c>
    </row>
    <row r="17" spans="2:23" ht="13.2" x14ac:dyDescent="0.25">
      <c r="B17" s="784" t="s">
        <v>342</v>
      </c>
      <c r="C17" s="935">
        <f>IF('Bioenergy Calculator'!$H$75="No",'Biomass Data Assumptions'!I19,'Biomass Data Assumptions'!F19*'Biomass Data Assumptions'!$I$41)</f>
        <v>429744.57</v>
      </c>
      <c r="D17" s="922">
        <f t="shared" si="0"/>
        <v>257846.742</v>
      </c>
      <c r="E17" s="922">
        <f t="shared" si="1"/>
        <v>34.628893634165998</v>
      </c>
      <c r="F17" s="922">
        <f t="shared" si="2"/>
        <v>386770.11300000001</v>
      </c>
      <c r="G17" s="924">
        <f t="shared" si="3"/>
        <v>51.943340451248993</v>
      </c>
      <c r="H17" s="833">
        <f t="shared" si="4"/>
        <v>171897.82800000001</v>
      </c>
      <c r="I17" s="938">
        <f t="shared" si="5"/>
        <v>15986.498003999999</v>
      </c>
      <c r="J17" s="938">
        <f t="shared" si="6"/>
        <v>460514.281212</v>
      </c>
      <c r="K17" s="937">
        <f>IF('Bioenergy Calculator'!$H$75="No",'Biomass Data Assumptions'!H19,'Biomass Data Assumptions'!F19*'Biomass Data Assumptions'!$I$41)</f>
        <v>344.1</v>
      </c>
      <c r="L17" s="937">
        <f t="shared" si="7"/>
        <v>206.46</v>
      </c>
      <c r="M17" s="833">
        <f t="shared" si="8"/>
        <v>2.7727639000805802E-2</v>
      </c>
      <c r="N17" s="924">
        <f t="shared" si="9"/>
        <v>4275958.4715</v>
      </c>
      <c r="O17" s="924">
        <f t="shared" si="10"/>
        <v>387829.43336505</v>
      </c>
      <c r="P17" s="952">
        <f t="shared" si="11"/>
        <v>427595.84714999999</v>
      </c>
    </row>
    <row r="18" spans="2:23" ht="13.2" x14ac:dyDescent="0.25">
      <c r="B18" s="784" t="s">
        <v>343</v>
      </c>
      <c r="C18" s="935">
        <f>IF('Bioenergy Calculator'!$H$75="No",'Biomass Data Assumptions'!I20,'Biomass Data Assumptions'!F20*'Biomass Data Assumptions'!$I$41)</f>
        <v>283217.56</v>
      </c>
      <c r="D18" s="922">
        <f t="shared" si="0"/>
        <v>169930.53599999999</v>
      </c>
      <c r="E18" s="922">
        <f t="shared" si="1"/>
        <v>22.821721192586622</v>
      </c>
      <c r="F18" s="922">
        <f t="shared" si="2"/>
        <v>254895.804</v>
      </c>
      <c r="G18" s="924">
        <f t="shared" si="3"/>
        <v>34.232581788879934</v>
      </c>
      <c r="H18" s="833">
        <f t="shared" si="4"/>
        <v>113287.024</v>
      </c>
      <c r="I18" s="938">
        <f t="shared" si="5"/>
        <v>10535.693232</v>
      </c>
      <c r="J18" s="938">
        <f t="shared" si="6"/>
        <v>303495.93729599996</v>
      </c>
      <c r="K18" s="937">
        <f>IF('Bioenergy Calculator'!$H$75="No",'Biomass Data Assumptions'!H20,'Biomass Data Assumptions'!F20*'Biomass Data Assumptions'!$I$41)</f>
        <v>12709.6</v>
      </c>
      <c r="L18" s="937">
        <f t="shared" si="7"/>
        <v>7625.76</v>
      </c>
      <c r="M18" s="833">
        <f t="shared" si="8"/>
        <v>1.0241418211120066</v>
      </c>
      <c r="N18" s="924">
        <f t="shared" si="9"/>
        <v>2818014.7219999996</v>
      </c>
      <c r="O18" s="924">
        <f t="shared" si="10"/>
        <v>255593.93528539996</v>
      </c>
      <c r="P18" s="952">
        <f t="shared" si="11"/>
        <v>281801.47220000002</v>
      </c>
    </row>
    <row r="19" spans="2:23" ht="13.2" x14ac:dyDescent="0.25">
      <c r="B19" s="784" t="s">
        <v>344</v>
      </c>
      <c r="C19" s="935">
        <f>IF('Bioenergy Calculator'!$H$75="No",'Biomass Data Assumptions'!I21,'Biomass Data Assumptions'!F21*'Biomass Data Assumptions'!$I$41)</f>
        <v>391583.01999999996</v>
      </c>
      <c r="D19" s="922">
        <f t="shared" si="0"/>
        <v>234949.81199999998</v>
      </c>
      <c r="E19" s="922">
        <f t="shared" si="1"/>
        <v>31.553829170024169</v>
      </c>
      <c r="F19" s="922">
        <f t="shared" si="2"/>
        <v>352424.71799999994</v>
      </c>
      <c r="G19" s="924">
        <f t="shared" si="3"/>
        <v>47.330743755036252</v>
      </c>
      <c r="H19" s="833">
        <f t="shared" si="4"/>
        <v>156633.20799999998</v>
      </c>
      <c r="I19" s="938">
        <f t="shared" si="5"/>
        <v>14566.888343999997</v>
      </c>
      <c r="J19" s="938">
        <f t="shared" si="6"/>
        <v>419620.36423199996</v>
      </c>
      <c r="K19" s="937">
        <f>IF('Bioenergy Calculator'!$H$75="No",'Biomass Data Assumptions'!H21,'Biomass Data Assumptions'!F21*'Biomass Data Assumptions'!$I$41)</f>
        <v>156.9</v>
      </c>
      <c r="L19" s="937">
        <f t="shared" si="7"/>
        <v>94.14</v>
      </c>
      <c r="M19" s="833">
        <f t="shared" si="8"/>
        <v>1.2643029814665592E-2</v>
      </c>
      <c r="N19" s="924">
        <f t="shared" si="9"/>
        <v>3896251.0489999992</v>
      </c>
      <c r="O19" s="924">
        <f t="shared" si="10"/>
        <v>353389.97014429996</v>
      </c>
      <c r="P19" s="952">
        <f t="shared" si="11"/>
        <v>389625.10489999998</v>
      </c>
    </row>
    <row r="20" spans="2:23" ht="13.2" x14ac:dyDescent="0.25">
      <c r="B20" s="784" t="s">
        <v>345</v>
      </c>
      <c r="C20" s="935">
        <f>IF('Bioenergy Calculator'!$H$75="No",'Biomass Data Assumptions'!I22,'Biomass Data Assumptions'!F22*'Biomass Data Assumptions'!$I$41)</f>
        <v>335922.6</v>
      </c>
      <c r="D20" s="922">
        <f t="shared" si="0"/>
        <v>201553.56</v>
      </c>
      <c r="E20" s="922">
        <f t="shared" si="1"/>
        <v>27.068702659145849</v>
      </c>
      <c r="F20" s="922">
        <f t="shared" si="2"/>
        <v>302330.34000000003</v>
      </c>
      <c r="G20" s="924">
        <f t="shared" si="3"/>
        <v>40.603053988718777</v>
      </c>
      <c r="H20" s="833">
        <f t="shared" si="4"/>
        <v>134369.04</v>
      </c>
      <c r="I20" s="938">
        <f t="shared" si="5"/>
        <v>12496.32072</v>
      </c>
      <c r="J20" s="938">
        <f t="shared" si="6"/>
        <v>359974.65815999993</v>
      </c>
      <c r="K20" s="937">
        <f>IF('Bioenergy Calculator'!$H$75="No",'Biomass Data Assumptions'!H22,'Biomass Data Assumptions'!F22*'Biomass Data Assumptions'!$I$41)</f>
        <v>75330.5</v>
      </c>
      <c r="L20" s="937">
        <f t="shared" si="7"/>
        <v>45198.3</v>
      </c>
      <c r="M20" s="833">
        <f t="shared" si="8"/>
        <v>6.0701450443190978</v>
      </c>
      <c r="N20" s="924">
        <f t="shared" si="9"/>
        <v>3342429.8699999996</v>
      </c>
      <c r="O20" s="924">
        <f t="shared" si="10"/>
        <v>303158.38920899999</v>
      </c>
      <c r="P20" s="952">
        <f t="shared" si="11"/>
        <v>334242.98699999996</v>
      </c>
    </row>
    <row r="21" spans="2:23" ht="13.2" x14ac:dyDescent="0.25">
      <c r="B21" s="784" t="s">
        <v>346</v>
      </c>
      <c r="C21" s="935">
        <f>IF('Bioenergy Calculator'!$H$75="No",'Biomass Data Assumptions'!I23,'Biomass Data Assumptions'!F23*'Biomass Data Assumptions'!$I$41)</f>
        <v>40040.060000000005</v>
      </c>
      <c r="D21" s="922">
        <f t="shared" si="0"/>
        <v>24024.036000000004</v>
      </c>
      <c r="E21" s="922">
        <f t="shared" si="1"/>
        <v>3.2264351329572931</v>
      </c>
      <c r="F21" s="922">
        <f t="shared" si="2"/>
        <v>36036.054000000011</v>
      </c>
      <c r="G21" s="924">
        <f t="shared" si="3"/>
        <v>4.8396526994359403</v>
      </c>
      <c r="H21" s="833">
        <f t="shared" si="4"/>
        <v>16016.024000000003</v>
      </c>
      <c r="I21" s="938">
        <f t="shared" si="5"/>
        <v>1489.4902320000001</v>
      </c>
      <c r="J21" s="938">
        <f t="shared" si="6"/>
        <v>42906.928295999998</v>
      </c>
      <c r="K21" s="937">
        <f>IF('Bioenergy Calculator'!$H$75="No",'Biomass Data Assumptions'!H23,'Biomass Data Assumptions'!F23*'Biomass Data Assumptions'!$I$41)</f>
        <v>113.7</v>
      </c>
      <c r="L21" s="937">
        <f t="shared" si="7"/>
        <v>68.22</v>
      </c>
      <c r="M21" s="833">
        <f t="shared" si="8"/>
        <v>9.1619661563255433E-3</v>
      </c>
      <c r="N21" s="924">
        <f t="shared" si="9"/>
        <v>398398.59700000001</v>
      </c>
      <c r="O21" s="924">
        <f t="shared" si="10"/>
        <v>36134.752747900005</v>
      </c>
      <c r="P21" s="952">
        <f t="shared" si="11"/>
        <v>39839.859700000008</v>
      </c>
    </row>
    <row r="22" spans="2:23" ht="13.2" x14ac:dyDescent="0.25">
      <c r="B22" s="784" t="s">
        <v>347</v>
      </c>
      <c r="C22" s="935">
        <f>IF('Bioenergy Calculator'!$H$75="No",'Biomass Data Assumptions'!I24,'Biomass Data Assumptions'!F24*'Biomass Data Assumptions'!$I$41)</f>
        <v>199563.87</v>
      </c>
      <c r="D22" s="922">
        <f t="shared" si="0"/>
        <v>119738.322</v>
      </c>
      <c r="E22" s="922">
        <f t="shared" si="1"/>
        <v>16.080892022562448</v>
      </c>
      <c r="F22" s="922">
        <f t="shared" si="2"/>
        <v>179607.48300000001</v>
      </c>
      <c r="G22" s="924">
        <f t="shared" si="3"/>
        <v>24.121338033843674</v>
      </c>
      <c r="H22" s="833">
        <f t="shared" si="4"/>
        <v>79825.54800000001</v>
      </c>
      <c r="I22" s="938">
        <f t="shared" si="5"/>
        <v>7423.7759639999995</v>
      </c>
      <c r="J22" s="938">
        <f t="shared" si="6"/>
        <v>213852.64309199998</v>
      </c>
      <c r="K22" s="937">
        <f>IF('Bioenergy Calculator'!$H$75="No",'Biomass Data Assumptions'!H24,'Biomass Data Assumptions'!F24*'Biomass Data Assumptions'!$I$41)</f>
        <v>46828.9</v>
      </c>
      <c r="L22" s="937">
        <f t="shared" si="7"/>
        <v>28097.34</v>
      </c>
      <c r="M22" s="833">
        <f t="shared" si="8"/>
        <v>3.7734810636583402</v>
      </c>
      <c r="N22" s="924">
        <f t="shared" si="9"/>
        <v>1985660.5064999999</v>
      </c>
      <c r="O22" s="924">
        <f t="shared" si="10"/>
        <v>180099.40793955</v>
      </c>
      <c r="P22" s="952">
        <f t="shared" si="11"/>
        <v>198566.05064999999</v>
      </c>
    </row>
    <row r="23" spans="2:23" ht="13.2" x14ac:dyDescent="0.25">
      <c r="B23" s="784" t="s">
        <v>348</v>
      </c>
      <c r="C23" s="935">
        <f>IF('Bioenergy Calculator'!$H$75="No",'Biomass Data Assumptions'!I25,'Biomass Data Assumptions'!F25*'Biomass Data Assumptions'!$I$41)</f>
        <v>75304.95</v>
      </c>
      <c r="D23" s="922">
        <f t="shared" si="0"/>
        <v>45182.97</v>
      </c>
      <c r="E23" s="922">
        <f t="shared" si="1"/>
        <v>6.0680862207896862</v>
      </c>
      <c r="F23" s="922">
        <f t="shared" si="2"/>
        <v>67774.455000000002</v>
      </c>
      <c r="G23" s="924">
        <f t="shared" si="3"/>
        <v>9.1021293311845284</v>
      </c>
      <c r="H23" s="833">
        <f t="shared" si="4"/>
        <v>30121.98</v>
      </c>
      <c r="I23" s="938">
        <f t="shared" si="5"/>
        <v>2801.3441399999997</v>
      </c>
      <c r="J23" s="938">
        <f t="shared" si="6"/>
        <v>80696.784419999982</v>
      </c>
      <c r="K23" s="937">
        <f>IF('Bioenergy Calculator'!$H$75="No",'Biomass Data Assumptions'!H25,'Biomass Data Assumptions'!F25*'Biomass Data Assumptions'!$I$41)</f>
        <v>2975.8</v>
      </c>
      <c r="L23" s="937">
        <f t="shared" si="7"/>
        <v>1785.48</v>
      </c>
      <c r="M23" s="833">
        <f t="shared" si="8"/>
        <v>0.23979049153908139</v>
      </c>
      <c r="N23" s="924">
        <f t="shared" si="9"/>
        <v>749284.25249999994</v>
      </c>
      <c r="O23" s="924">
        <f t="shared" si="10"/>
        <v>67960.081701749994</v>
      </c>
      <c r="P23" s="952">
        <f t="shared" si="11"/>
        <v>74928.42525</v>
      </c>
    </row>
    <row r="24" spans="2:23" ht="13.2" x14ac:dyDescent="0.25">
      <c r="B24" s="784" t="s">
        <v>349</v>
      </c>
      <c r="C24" s="935">
        <f>IF('Bioenergy Calculator'!$H$75="No",'Biomass Data Assumptions'!I26,'Biomass Data Assumptions'!F26*'Biomass Data Assumptions'!$I$41)</f>
        <v>28563.049999999988</v>
      </c>
      <c r="D24" s="922">
        <f t="shared" si="0"/>
        <v>17137.829999999991</v>
      </c>
      <c r="E24" s="922">
        <f t="shared" si="1"/>
        <v>2.3016156325543902</v>
      </c>
      <c r="F24" s="922">
        <f t="shared" si="2"/>
        <v>25706.744999999988</v>
      </c>
      <c r="G24" s="924">
        <f t="shared" si="3"/>
        <v>3.4524234488315857</v>
      </c>
      <c r="H24" s="833">
        <f t="shared" si="4"/>
        <v>11425.219999999996</v>
      </c>
      <c r="I24" s="938">
        <f t="shared" si="5"/>
        <v>1062.5454599999996</v>
      </c>
      <c r="J24" s="938">
        <f t="shared" si="6"/>
        <v>30608.164379999984</v>
      </c>
      <c r="K24" s="937">
        <f>IF('Bioenergy Calculator'!$H$75="No",'Biomass Data Assumptions'!H26,'Biomass Data Assumptions'!F26*'Biomass Data Assumptions'!$I$41)</f>
        <v>319855</v>
      </c>
      <c r="L24" s="937">
        <f t="shared" si="7"/>
        <v>191913</v>
      </c>
      <c r="M24" s="833">
        <f t="shared" si="8"/>
        <v>25.773972602739725</v>
      </c>
      <c r="N24" s="924">
        <f t="shared" si="9"/>
        <v>284202.34749999986</v>
      </c>
      <c r="O24" s="924">
        <f t="shared" si="10"/>
        <v>25777.152918249987</v>
      </c>
      <c r="P24" s="952">
        <f t="shared" si="11"/>
        <v>28420.234749999989</v>
      </c>
    </row>
    <row r="25" spans="2:23" ht="13.2" x14ac:dyDescent="0.25">
      <c r="B25" s="784" t="s">
        <v>350</v>
      </c>
      <c r="C25" s="935">
        <f>IF('Bioenergy Calculator'!$H$75="No",'Biomass Data Assumptions'!I27,'Biomass Data Assumptions'!F27*'Biomass Data Assumptions'!$I$41)</f>
        <v>14937.149999999994</v>
      </c>
      <c r="D25" s="922">
        <f t="shared" si="0"/>
        <v>8962.2899999999954</v>
      </c>
      <c r="E25" s="922">
        <f t="shared" si="1"/>
        <v>1.2036381950040285</v>
      </c>
      <c r="F25" s="922">
        <f t="shared" si="2"/>
        <v>13443.434999999994</v>
      </c>
      <c r="G25" s="924">
        <f t="shared" si="3"/>
        <v>1.8054572925060428</v>
      </c>
      <c r="H25" s="833">
        <f t="shared" si="4"/>
        <v>5974.8599999999979</v>
      </c>
      <c r="I25" s="938">
        <f t="shared" si="5"/>
        <v>555.66197999999974</v>
      </c>
      <c r="J25" s="938">
        <f t="shared" si="6"/>
        <v>16006.649939999992</v>
      </c>
      <c r="K25" s="937">
        <f>IF('Bioenergy Calculator'!$H$75="No",'Biomass Data Assumptions'!H27,'Biomass Data Assumptions'!F27*'Biomass Data Assumptions'!$I$41)</f>
        <v>51546.8</v>
      </c>
      <c r="L25" s="937">
        <f t="shared" si="7"/>
        <v>30928.080000000002</v>
      </c>
      <c r="M25" s="833">
        <f t="shared" si="8"/>
        <v>4.1536502820306209</v>
      </c>
      <c r="N25" s="924">
        <f t="shared" si="9"/>
        <v>148624.64249999993</v>
      </c>
      <c r="O25" s="924">
        <f t="shared" si="10"/>
        <v>13480.255074749994</v>
      </c>
      <c r="P25" s="952">
        <f t="shared" si="11"/>
        <v>14862.464249999994</v>
      </c>
    </row>
    <row r="26" spans="2:23" ht="13.2" x14ac:dyDescent="0.25">
      <c r="B26" s="923" t="s">
        <v>351</v>
      </c>
      <c r="C26" s="924">
        <f t="shared" ref="C26:N26" si="12">SUM(C5:C25)</f>
        <v>4453930.55</v>
      </c>
      <c r="D26" s="924">
        <f t="shared" si="12"/>
        <v>2696114.0940000005</v>
      </c>
      <c r="E26" s="925">
        <f t="shared" si="12"/>
        <v>362.08891941982273</v>
      </c>
      <c r="F26" s="922">
        <f t="shared" si="12"/>
        <v>4008537.4950000001</v>
      </c>
      <c r="G26" s="925">
        <f t="shared" si="12"/>
        <v>538.3477699435939</v>
      </c>
      <c r="H26" s="934">
        <f t="shared" si="12"/>
        <v>1781572.22</v>
      </c>
      <c r="I26" s="940">
        <f t="shared" si="12"/>
        <v>165686.21646</v>
      </c>
      <c r="J26" s="940">
        <f t="shared" si="12"/>
        <v>4772831.9773800001</v>
      </c>
      <c r="K26" s="939">
        <f t="shared" si="12"/>
        <v>1463537.1</v>
      </c>
      <c r="L26" s="937">
        <f t="shared" si="12"/>
        <v>878122.25999999989</v>
      </c>
      <c r="M26" s="939">
        <f t="shared" si="12"/>
        <v>117.93207896857372</v>
      </c>
      <c r="N26" s="939">
        <f t="shared" si="12"/>
        <v>44316608.972499989</v>
      </c>
      <c r="O26" s="949">
        <f>SUM(O5:O25)</f>
        <v>4019516.4338057493</v>
      </c>
      <c r="P26" s="949">
        <f>SUM(P5:P25)</f>
        <v>4431660.8972500004</v>
      </c>
    </row>
    <row r="28" spans="2:23" x14ac:dyDescent="0.3">
      <c r="C28" s="927"/>
      <c r="D28" s="927"/>
      <c r="E28" s="927"/>
      <c r="F28" s="927"/>
      <c r="G28" s="927"/>
      <c r="H28" s="927"/>
      <c r="I28" s="927"/>
      <c r="J28" s="927"/>
      <c r="K28" s="927"/>
      <c r="L28" s="927"/>
      <c r="M28" s="927"/>
      <c r="N28" s="927"/>
      <c r="O28" s="927"/>
      <c r="P28" s="927"/>
      <c r="Q28" s="927"/>
      <c r="R28" s="927"/>
      <c r="S28" s="927"/>
      <c r="T28" s="927"/>
      <c r="U28" s="927"/>
      <c r="V28" s="927"/>
      <c r="W28" s="927"/>
    </row>
    <row r="29" spans="2:23" ht="13.2" x14ac:dyDescent="0.25">
      <c r="B29" s="916"/>
      <c r="C29" s="927"/>
      <c r="D29" s="927"/>
      <c r="E29" s="927"/>
      <c r="F29" s="927"/>
      <c r="G29" s="927"/>
      <c r="H29" s="927"/>
      <c r="I29" s="927"/>
      <c r="J29" s="927"/>
      <c r="K29" s="927"/>
      <c r="L29" s="927"/>
      <c r="M29" s="927"/>
      <c r="N29" s="927"/>
      <c r="O29" s="927"/>
      <c r="P29" s="927"/>
      <c r="Q29" s="927"/>
      <c r="R29" s="927"/>
      <c r="S29" s="927"/>
      <c r="T29" s="927"/>
      <c r="U29" s="927"/>
      <c r="V29" s="927"/>
      <c r="W29" s="927"/>
    </row>
    <row r="30" spans="2:23" ht="13.2" x14ac:dyDescent="0.25">
      <c r="B30" s="916"/>
      <c r="C30" s="926"/>
      <c r="D30" s="927"/>
      <c r="E30" s="927"/>
      <c r="F30" s="927"/>
      <c r="G30" s="951" t="s">
        <v>1440</v>
      </c>
      <c r="H30" s="927"/>
      <c r="I30" s="927"/>
      <c r="J30" s="927"/>
      <c r="K30" s="927"/>
      <c r="L30" s="927"/>
      <c r="M30" s="927"/>
      <c r="N30" s="927"/>
      <c r="O30" s="927"/>
      <c r="P30" s="927"/>
      <c r="Q30" s="927"/>
      <c r="R30" s="927"/>
      <c r="S30" s="927"/>
      <c r="T30" s="927"/>
      <c r="U30" s="927"/>
      <c r="V30" s="927"/>
      <c r="W30" s="927"/>
    </row>
    <row r="31" spans="2:23" ht="13.2" x14ac:dyDescent="0.25">
      <c r="B31" s="916"/>
      <c r="C31" s="927"/>
      <c r="D31" s="927"/>
      <c r="E31" s="927"/>
      <c r="F31" s="927"/>
      <c r="G31" s="951" t="s">
        <v>1441</v>
      </c>
      <c r="H31" s="927"/>
      <c r="I31" s="927"/>
      <c r="J31" s="927"/>
      <c r="K31" s="927"/>
      <c r="L31" s="927"/>
      <c r="M31" s="927"/>
      <c r="N31" s="927"/>
      <c r="O31" s="927"/>
      <c r="P31" s="927"/>
      <c r="Q31" s="927"/>
      <c r="R31" s="927"/>
      <c r="S31" s="927"/>
      <c r="T31" s="927"/>
      <c r="U31" s="927"/>
      <c r="V31" s="927"/>
      <c r="W31" s="927"/>
    </row>
    <row r="32" spans="2:23" ht="13.2" x14ac:dyDescent="0.25">
      <c r="B32" s="916"/>
      <c r="C32" s="927"/>
      <c r="D32" s="927"/>
      <c r="E32" s="927"/>
      <c r="F32" s="927"/>
      <c r="G32" s="927"/>
      <c r="H32" s="927"/>
      <c r="I32" s="927"/>
      <c r="J32" s="927"/>
      <c r="K32" s="927"/>
      <c r="L32" s="927"/>
      <c r="M32" s="927"/>
      <c r="N32" s="927"/>
      <c r="O32" s="927"/>
      <c r="P32" s="927"/>
      <c r="Q32" s="927"/>
      <c r="R32" s="927"/>
      <c r="S32" s="927"/>
      <c r="T32" s="927"/>
      <c r="U32" s="927"/>
      <c r="V32" s="927"/>
      <c r="W32" s="927"/>
    </row>
    <row r="33" spans="2:23" ht="13.2" x14ac:dyDescent="0.25">
      <c r="B33" s="916"/>
      <c r="C33" s="927"/>
      <c r="D33" s="927"/>
      <c r="E33" s="927"/>
      <c r="F33" s="927"/>
      <c r="G33" s="927"/>
      <c r="H33" s="927"/>
      <c r="I33" s="927"/>
      <c r="J33" s="927"/>
      <c r="K33" s="927"/>
      <c r="L33" s="927"/>
      <c r="M33" s="927"/>
      <c r="N33" s="927"/>
      <c r="O33" s="927"/>
      <c r="P33" s="927"/>
      <c r="Q33" s="927"/>
      <c r="R33" s="927"/>
      <c r="S33" s="927"/>
      <c r="T33" s="927"/>
      <c r="U33" s="927"/>
      <c r="V33" s="927"/>
      <c r="W33" s="927"/>
    </row>
    <row r="34" spans="2:23" ht="13.2" x14ac:dyDescent="0.25">
      <c r="B34" s="916"/>
      <c r="C34" s="927"/>
      <c r="D34" s="927"/>
      <c r="E34" s="927"/>
      <c r="F34" s="927"/>
      <c r="G34" s="927"/>
      <c r="H34" s="927"/>
      <c r="I34" s="927"/>
      <c r="J34" s="927"/>
      <c r="K34" s="927"/>
      <c r="L34" s="927"/>
      <c r="M34" s="927"/>
      <c r="N34" s="927"/>
      <c r="O34" s="927"/>
      <c r="P34" s="927"/>
      <c r="Q34" s="927"/>
      <c r="R34" s="927"/>
      <c r="S34" s="927"/>
      <c r="T34" s="927"/>
      <c r="U34" s="927"/>
      <c r="V34" s="927"/>
      <c r="W34" s="927"/>
    </row>
    <row r="35" spans="2:23" ht="15" x14ac:dyDescent="0.35">
      <c r="B35" s="926" t="s">
        <v>1388</v>
      </c>
      <c r="C35" s="927"/>
      <c r="D35" s="927"/>
      <c r="E35" s="927"/>
      <c r="F35" s="927"/>
      <c r="G35" s="927"/>
      <c r="H35" s="927"/>
      <c r="I35" s="927"/>
      <c r="J35" s="927"/>
      <c r="K35" s="927"/>
      <c r="L35" s="927"/>
      <c r="M35" s="927"/>
      <c r="N35" s="927"/>
      <c r="O35" s="927"/>
      <c r="P35" s="927"/>
      <c r="Q35" s="927"/>
      <c r="R35" s="927"/>
      <c r="S35" s="927"/>
      <c r="T35" s="927"/>
      <c r="U35" s="927"/>
      <c r="V35" s="927"/>
      <c r="W35" s="927"/>
    </row>
    <row r="36" spans="2:23" ht="13.2" x14ac:dyDescent="0.25">
      <c r="B36" s="916" t="s">
        <v>1124</v>
      </c>
      <c r="C36" s="927"/>
      <c r="D36" s="927"/>
      <c r="E36" s="927"/>
      <c r="F36" s="927"/>
      <c r="G36" s="927"/>
      <c r="H36" s="927"/>
      <c r="I36" s="927"/>
      <c r="J36" s="927"/>
      <c r="K36" s="927"/>
      <c r="L36" s="927"/>
      <c r="M36" s="927"/>
      <c r="N36" s="927"/>
      <c r="O36" s="927"/>
      <c r="P36" s="927"/>
      <c r="Q36" s="927"/>
      <c r="R36" s="927"/>
      <c r="S36" s="927"/>
      <c r="T36" s="927"/>
      <c r="U36" s="927"/>
      <c r="V36" s="927"/>
      <c r="W36" s="927"/>
    </row>
    <row r="37" spans="2:23" ht="13.8" x14ac:dyDescent="0.25">
      <c r="B37" s="916" t="s">
        <v>1389</v>
      </c>
      <c r="C37" s="927"/>
      <c r="D37" s="927"/>
      <c r="E37" s="927"/>
      <c r="F37" s="927"/>
      <c r="G37" s="927"/>
      <c r="H37" s="927"/>
      <c r="I37" s="927"/>
      <c r="J37" s="927"/>
      <c r="K37" s="927"/>
      <c r="L37" s="927"/>
      <c r="M37" s="927"/>
      <c r="N37" s="927"/>
      <c r="O37" s="927"/>
      <c r="P37" s="927"/>
      <c r="Q37" s="927"/>
      <c r="R37" s="927"/>
      <c r="S37" s="927"/>
      <c r="T37" s="927"/>
      <c r="U37" s="927"/>
      <c r="V37" s="927"/>
      <c r="W37" s="927"/>
    </row>
    <row r="38" spans="2:23" ht="13.2" x14ac:dyDescent="0.25">
      <c r="B38" s="916" t="s">
        <v>1126</v>
      </c>
      <c r="C38" s="927"/>
      <c r="D38" s="927"/>
      <c r="E38" s="927"/>
      <c r="F38" s="927"/>
      <c r="G38" s="927"/>
      <c r="H38" s="927"/>
      <c r="I38" s="927"/>
      <c r="J38" s="927"/>
      <c r="K38" s="927"/>
      <c r="L38" s="927"/>
      <c r="M38" s="927"/>
      <c r="N38" s="927"/>
      <c r="O38" s="927"/>
      <c r="P38" s="927"/>
      <c r="Q38" s="927"/>
      <c r="R38" s="927"/>
      <c r="S38" s="927"/>
      <c r="T38" s="927"/>
      <c r="U38" s="927"/>
      <c r="V38" s="927"/>
      <c r="W38" s="927"/>
    </row>
    <row r="39" spans="2:23" ht="15" x14ac:dyDescent="0.35">
      <c r="B39" s="916" t="s">
        <v>1390</v>
      </c>
      <c r="C39" s="927"/>
      <c r="D39" s="927"/>
      <c r="E39" s="927"/>
      <c r="F39" s="927"/>
      <c r="G39" s="927"/>
      <c r="H39" s="927"/>
      <c r="I39" s="927"/>
      <c r="J39" s="927"/>
      <c r="K39" s="927"/>
      <c r="L39" s="927"/>
      <c r="M39" s="927"/>
      <c r="N39" s="927"/>
      <c r="O39" s="927"/>
      <c r="P39" s="927"/>
      <c r="Q39" s="927"/>
      <c r="R39" s="927"/>
      <c r="S39" s="927"/>
      <c r="T39" s="927"/>
      <c r="U39" s="927"/>
      <c r="V39" s="927"/>
      <c r="W39" s="927"/>
    </row>
    <row r="40" spans="2:23" ht="13.2" x14ac:dyDescent="0.25">
      <c r="B40" s="916" t="s">
        <v>1077</v>
      </c>
      <c r="C40" s="927"/>
      <c r="D40" s="927"/>
      <c r="E40" s="927"/>
      <c r="F40" s="927"/>
      <c r="G40" s="927"/>
      <c r="H40" s="927"/>
      <c r="I40" s="927"/>
      <c r="J40" s="927"/>
      <c r="K40" s="927"/>
      <c r="L40" s="927"/>
      <c r="M40" s="927"/>
      <c r="N40" s="927"/>
      <c r="O40" s="927"/>
      <c r="P40" s="927"/>
      <c r="Q40" s="927"/>
      <c r="R40" s="927"/>
      <c r="S40" s="927"/>
      <c r="T40" s="927"/>
      <c r="U40" s="927"/>
      <c r="V40" s="927"/>
      <c r="W40" s="927"/>
    </row>
    <row r="41" spans="2:23" ht="13.2" x14ac:dyDescent="0.25">
      <c r="B41" s="916" t="s">
        <v>1075</v>
      </c>
      <c r="C41" s="927"/>
      <c r="D41" s="927"/>
      <c r="E41" s="927"/>
      <c r="F41" s="927"/>
      <c r="G41" s="927"/>
      <c r="H41" s="927"/>
      <c r="I41" s="927"/>
      <c r="J41" s="927"/>
      <c r="K41" s="927"/>
      <c r="L41" s="927"/>
      <c r="M41" s="927"/>
      <c r="N41" s="927"/>
      <c r="O41" s="927"/>
      <c r="P41" s="927"/>
      <c r="Q41" s="927"/>
      <c r="R41" s="927"/>
      <c r="S41" s="927"/>
      <c r="T41" s="927"/>
      <c r="U41" s="927"/>
      <c r="V41" s="927"/>
      <c r="W41" s="927"/>
    </row>
    <row r="42" spans="2:23" ht="13.2" x14ac:dyDescent="0.25">
      <c r="B42" s="916"/>
      <c r="C42" s="927"/>
      <c r="D42" s="927"/>
      <c r="E42" s="927"/>
      <c r="F42" s="927"/>
      <c r="G42" s="927"/>
      <c r="H42" s="927"/>
      <c r="I42" s="927"/>
      <c r="J42" s="927"/>
      <c r="K42" s="927"/>
      <c r="L42" s="927"/>
      <c r="M42" s="927"/>
      <c r="N42" s="927"/>
      <c r="O42" s="927"/>
      <c r="P42" s="927"/>
      <c r="Q42" s="927"/>
      <c r="R42" s="927"/>
      <c r="S42" s="927"/>
      <c r="T42" s="927"/>
      <c r="U42" s="927"/>
      <c r="V42" s="927"/>
      <c r="W42" s="927"/>
    </row>
    <row r="43" spans="2:23" ht="15" x14ac:dyDescent="0.35">
      <c r="B43" s="916" t="s">
        <v>1391</v>
      </c>
      <c r="C43" s="927"/>
      <c r="D43" s="927"/>
      <c r="E43" s="927"/>
      <c r="F43" s="927"/>
      <c r="G43" s="927"/>
      <c r="H43" s="927"/>
      <c r="I43" s="927"/>
      <c r="J43" s="927"/>
      <c r="K43" s="927"/>
      <c r="L43" s="927"/>
      <c r="M43" s="927"/>
      <c r="N43" s="927"/>
      <c r="O43" s="927"/>
      <c r="P43" s="927"/>
      <c r="Q43" s="927"/>
      <c r="R43" s="927"/>
      <c r="S43" s="927"/>
      <c r="T43" s="927"/>
      <c r="U43" s="927"/>
      <c r="V43" s="927"/>
      <c r="W43" s="927"/>
    </row>
    <row r="44" spans="2:23" ht="13.2" x14ac:dyDescent="0.25">
      <c r="B44" s="928" t="s">
        <v>1080</v>
      </c>
      <c r="C44" s="927"/>
      <c r="D44" s="927"/>
      <c r="E44" s="927"/>
      <c r="F44" s="927"/>
      <c r="G44" s="927"/>
      <c r="H44" s="927"/>
      <c r="I44" s="927"/>
      <c r="J44" s="927"/>
      <c r="K44" s="927"/>
      <c r="L44" s="927"/>
      <c r="M44" s="927"/>
      <c r="N44" s="927"/>
      <c r="O44" s="927"/>
      <c r="P44" s="927"/>
      <c r="Q44" s="927"/>
      <c r="R44" s="927"/>
      <c r="S44" s="927"/>
      <c r="T44" s="927"/>
      <c r="U44" s="927"/>
      <c r="V44" s="927"/>
      <c r="W44" s="927"/>
    </row>
    <row r="45" spans="2:23" ht="13.2" x14ac:dyDescent="0.25">
      <c r="B45" s="929"/>
      <c r="C45" s="927"/>
      <c r="D45" s="927"/>
      <c r="E45" s="927"/>
      <c r="F45" s="927"/>
      <c r="G45" s="927"/>
      <c r="H45" s="927"/>
      <c r="I45" s="927"/>
      <c r="J45" s="927"/>
      <c r="K45" s="927"/>
      <c r="L45" s="927"/>
      <c r="M45" s="927"/>
      <c r="N45" s="927"/>
      <c r="O45" s="927"/>
      <c r="P45" s="927"/>
      <c r="Q45" s="927"/>
      <c r="R45" s="927"/>
      <c r="S45" s="927"/>
      <c r="T45" s="927"/>
      <c r="U45" s="927"/>
      <c r="V45" s="927"/>
      <c r="W45" s="927"/>
    </row>
    <row r="46" spans="2:23" ht="13.2" x14ac:dyDescent="0.25">
      <c r="B46" s="929" t="s">
        <v>1081</v>
      </c>
      <c r="C46" s="927"/>
      <c r="D46" s="927"/>
      <c r="E46" s="927"/>
      <c r="F46" s="927"/>
      <c r="G46" s="927"/>
      <c r="H46" s="927"/>
      <c r="I46" s="927"/>
      <c r="J46" s="927"/>
      <c r="K46" s="927"/>
      <c r="L46" s="927"/>
      <c r="M46" s="927"/>
      <c r="N46" s="927"/>
      <c r="O46" s="927"/>
      <c r="P46" s="927"/>
      <c r="Q46" s="927"/>
      <c r="R46" s="927"/>
      <c r="S46" s="927"/>
      <c r="T46" s="927"/>
      <c r="U46" s="927"/>
      <c r="V46" s="927"/>
      <c r="W46" s="927"/>
    </row>
    <row r="47" spans="2:23" ht="13.2" x14ac:dyDescent="0.25">
      <c r="B47" s="929"/>
      <c r="C47" s="927"/>
      <c r="D47" s="927"/>
      <c r="E47" s="927"/>
      <c r="F47" s="927"/>
      <c r="G47" s="927"/>
      <c r="H47" s="927"/>
      <c r="I47" s="927"/>
      <c r="J47" s="927"/>
      <c r="K47" s="927"/>
      <c r="L47" s="927"/>
      <c r="M47" s="927"/>
      <c r="N47" s="927"/>
      <c r="O47" s="927"/>
      <c r="P47" s="927"/>
      <c r="Q47" s="927"/>
      <c r="R47" s="927"/>
      <c r="S47" s="927"/>
      <c r="T47" s="927"/>
      <c r="U47" s="927"/>
      <c r="V47" s="927"/>
      <c r="W47" s="927"/>
    </row>
    <row r="48" spans="2:23" ht="13.2" x14ac:dyDescent="0.25">
      <c r="B48" s="929" t="s">
        <v>1083</v>
      </c>
      <c r="C48" s="927"/>
      <c r="D48" s="927"/>
      <c r="E48" s="927"/>
      <c r="F48" s="927"/>
      <c r="G48" s="927"/>
      <c r="H48" s="927"/>
      <c r="I48" s="927"/>
      <c r="J48" s="927"/>
      <c r="K48" s="927"/>
      <c r="L48" s="927"/>
      <c r="M48" s="927"/>
      <c r="N48" s="927"/>
      <c r="O48" s="927"/>
      <c r="P48" s="927"/>
      <c r="Q48" s="927"/>
      <c r="R48" s="927"/>
      <c r="S48" s="927"/>
      <c r="T48" s="927"/>
      <c r="U48" s="927"/>
      <c r="V48" s="927"/>
      <c r="W48" s="927"/>
    </row>
    <row r="49" spans="2:23" ht="13.2" x14ac:dyDescent="0.25">
      <c r="B49" s="929"/>
      <c r="C49" s="927"/>
      <c r="D49" s="927"/>
      <c r="E49" s="927"/>
      <c r="F49" s="927"/>
      <c r="G49" s="927"/>
      <c r="H49" s="927"/>
      <c r="I49" s="927"/>
      <c r="J49" s="927"/>
      <c r="K49" s="927"/>
      <c r="L49" s="927"/>
      <c r="M49" s="927"/>
      <c r="N49" s="927"/>
      <c r="O49" s="927"/>
      <c r="P49" s="927"/>
      <c r="Q49" s="927"/>
      <c r="R49" s="927"/>
      <c r="S49" s="927"/>
      <c r="T49" s="927"/>
      <c r="U49" s="927"/>
      <c r="V49" s="927"/>
      <c r="W49" s="927"/>
    </row>
    <row r="50" spans="2:23" ht="15" x14ac:dyDescent="0.35">
      <c r="B50" s="929" t="s">
        <v>1392</v>
      </c>
      <c r="C50" s="927"/>
      <c r="D50" s="927"/>
      <c r="E50" s="927"/>
      <c r="F50" s="927"/>
      <c r="G50" s="927"/>
      <c r="H50" s="927"/>
      <c r="I50" s="927"/>
      <c r="J50" s="927"/>
      <c r="K50" s="927"/>
      <c r="L50" s="927"/>
      <c r="M50" s="927"/>
      <c r="N50" s="927"/>
      <c r="O50" s="927"/>
      <c r="P50" s="927"/>
      <c r="Q50" s="927"/>
      <c r="R50" s="927"/>
      <c r="S50" s="927"/>
      <c r="T50" s="927"/>
      <c r="U50" s="927"/>
      <c r="V50" s="927"/>
      <c r="W50" s="927"/>
    </row>
    <row r="51" spans="2:23" ht="13.2" x14ac:dyDescent="0.25">
      <c r="B51" s="929"/>
      <c r="C51" s="927"/>
      <c r="D51" s="927"/>
      <c r="E51" s="927"/>
      <c r="F51" s="927"/>
      <c r="G51" s="927"/>
      <c r="H51" s="927"/>
      <c r="I51" s="927"/>
      <c r="J51" s="927"/>
      <c r="K51" s="927"/>
      <c r="L51" s="927"/>
      <c r="M51" s="927"/>
      <c r="N51" s="927"/>
      <c r="O51" s="927"/>
      <c r="P51" s="927"/>
      <c r="Q51" s="927"/>
      <c r="R51" s="927"/>
      <c r="S51" s="927"/>
      <c r="T51" s="927"/>
      <c r="U51" s="927"/>
      <c r="V51" s="927"/>
      <c r="W51" s="927"/>
    </row>
    <row r="52" spans="2:23" ht="15" x14ac:dyDescent="0.35">
      <c r="B52" s="930" t="s">
        <v>1393</v>
      </c>
      <c r="C52" s="927"/>
      <c r="D52" s="927"/>
      <c r="E52" s="927"/>
      <c r="F52" s="927"/>
      <c r="G52" s="927"/>
      <c r="H52" s="927"/>
      <c r="I52" s="927"/>
      <c r="J52" s="927"/>
      <c r="K52" s="927"/>
      <c r="L52" s="927"/>
      <c r="M52" s="927"/>
      <c r="N52" s="927"/>
      <c r="O52" s="927"/>
      <c r="P52" s="927"/>
      <c r="Q52" s="927"/>
      <c r="R52" s="927"/>
      <c r="S52" s="927"/>
      <c r="T52" s="927"/>
      <c r="U52" s="927"/>
      <c r="V52" s="927"/>
      <c r="W52" s="927"/>
    </row>
    <row r="53" spans="2:23" ht="13.2" x14ac:dyDescent="0.25">
      <c r="B53" s="916"/>
      <c r="C53" s="927"/>
      <c r="D53" s="927"/>
      <c r="E53" s="927"/>
      <c r="F53" s="927"/>
      <c r="G53" s="927"/>
      <c r="H53" s="927"/>
      <c r="I53" s="927"/>
      <c r="J53" s="927"/>
      <c r="K53" s="927"/>
      <c r="L53" s="927"/>
      <c r="M53" s="927"/>
      <c r="N53" s="927"/>
      <c r="O53" s="927"/>
      <c r="P53" s="927"/>
      <c r="Q53" s="927"/>
      <c r="R53" s="927"/>
      <c r="S53" s="927"/>
      <c r="T53" s="927"/>
      <c r="U53" s="927"/>
      <c r="V53" s="927"/>
      <c r="W53" s="927"/>
    </row>
    <row r="54" spans="2:23" ht="13.2" x14ac:dyDescent="0.25">
      <c r="B54" s="916" t="s">
        <v>1085</v>
      </c>
      <c r="C54" s="927"/>
      <c r="D54" s="927"/>
      <c r="E54" s="927"/>
      <c r="F54" s="927"/>
      <c r="G54" s="927"/>
      <c r="H54" s="927"/>
      <c r="I54" s="927"/>
      <c r="J54" s="927"/>
      <c r="K54" s="927"/>
      <c r="L54" s="927"/>
      <c r="M54" s="927"/>
      <c r="N54" s="927"/>
      <c r="O54" s="927"/>
      <c r="P54" s="927"/>
      <c r="Q54" s="927"/>
      <c r="R54" s="927"/>
      <c r="S54" s="927"/>
      <c r="T54" s="927"/>
      <c r="U54" s="927"/>
      <c r="V54" s="927"/>
      <c r="W54" s="927"/>
    </row>
    <row r="55" spans="2:23" ht="13.8" x14ac:dyDescent="0.25">
      <c r="B55" s="916" t="s">
        <v>1394</v>
      </c>
      <c r="C55" s="927"/>
      <c r="D55" s="927"/>
      <c r="E55" s="927"/>
      <c r="F55" s="927"/>
      <c r="G55" s="927"/>
      <c r="H55" s="927"/>
      <c r="I55" s="927"/>
      <c r="J55" s="927"/>
      <c r="K55" s="927"/>
      <c r="L55" s="927"/>
      <c r="M55" s="927"/>
      <c r="N55" s="927"/>
      <c r="O55" s="927"/>
      <c r="P55" s="927"/>
      <c r="Q55" s="927"/>
      <c r="R55" s="927"/>
      <c r="S55" s="927"/>
      <c r="T55" s="927"/>
      <c r="U55" s="927"/>
      <c r="V55" s="927"/>
      <c r="W55" s="927"/>
    </row>
    <row r="56" spans="2:23" ht="13.8" x14ac:dyDescent="0.25">
      <c r="B56" s="931" t="s">
        <v>1395</v>
      </c>
      <c r="C56" s="927"/>
      <c r="D56" s="927"/>
      <c r="E56" s="927"/>
      <c r="F56" s="927"/>
      <c r="G56" s="927"/>
      <c r="H56" s="927"/>
      <c r="I56" s="927"/>
      <c r="J56" s="927"/>
      <c r="K56" s="927"/>
      <c r="L56" s="927"/>
      <c r="M56" s="927"/>
      <c r="N56" s="927"/>
      <c r="O56" s="927"/>
      <c r="P56" s="927"/>
      <c r="Q56" s="927"/>
      <c r="R56" s="927"/>
      <c r="S56" s="927"/>
      <c r="T56" s="927"/>
      <c r="U56" s="927"/>
      <c r="V56" s="927"/>
      <c r="W56" s="927"/>
    </row>
    <row r="57" spans="2:23" ht="13.8" x14ac:dyDescent="0.25">
      <c r="B57" s="931" t="s">
        <v>1396</v>
      </c>
      <c r="C57" s="927"/>
      <c r="D57" s="927"/>
      <c r="E57" s="927"/>
      <c r="F57" s="927"/>
      <c r="G57" s="927"/>
      <c r="H57" s="927"/>
      <c r="I57" s="927"/>
      <c r="J57" s="927"/>
      <c r="K57" s="927"/>
      <c r="L57" s="927"/>
      <c r="M57" s="927"/>
      <c r="N57" s="927"/>
      <c r="O57" s="927"/>
      <c r="P57" s="927"/>
      <c r="Q57" s="927"/>
      <c r="R57" s="927"/>
      <c r="S57" s="927"/>
      <c r="T57" s="927"/>
      <c r="U57" s="927"/>
      <c r="V57" s="927"/>
      <c r="W57" s="927"/>
    </row>
    <row r="58" spans="2:23" ht="13.8" x14ac:dyDescent="0.25">
      <c r="B58" s="931" t="s">
        <v>1397</v>
      </c>
      <c r="C58" s="927"/>
      <c r="D58" s="927"/>
      <c r="E58" s="927"/>
      <c r="F58" s="927"/>
      <c r="G58" s="927"/>
      <c r="H58" s="927"/>
      <c r="I58" s="927"/>
      <c r="J58" s="927"/>
      <c r="K58" s="927"/>
      <c r="L58" s="927"/>
      <c r="M58" s="927"/>
      <c r="N58" s="927"/>
      <c r="O58" s="927"/>
      <c r="P58" s="927"/>
      <c r="Q58" s="927"/>
      <c r="R58" s="927"/>
      <c r="S58" s="927"/>
      <c r="T58" s="927"/>
      <c r="U58" s="927"/>
      <c r="V58" s="927"/>
      <c r="W58" s="927"/>
    </row>
    <row r="59" spans="2:23" ht="13.8" x14ac:dyDescent="0.25">
      <c r="B59" s="931" t="s">
        <v>1398</v>
      </c>
      <c r="C59" s="927"/>
      <c r="D59" s="927"/>
      <c r="E59" s="927"/>
      <c r="F59" s="927"/>
      <c r="G59" s="927"/>
      <c r="H59" s="927"/>
      <c r="I59" s="927"/>
      <c r="J59" s="927"/>
      <c r="K59" s="927"/>
      <c r="L59" s="927"/>
      <c r="M59" s="927"/>
      <c r="N59" s="927"/>
      <c r="O59" s="927"/>
      <c r="P59" s="927"/>
      <c r="Q59" s="927"/>
      <c r="R59" s="927"/>
      <c r="S59" s="927"/>
      <c r="T59" s="927"/>
      <c r="U59" s="927"/>
      <c r="V59" s="927"/>
      <c r="W59" s="927"/>
    </row>
    <row r="60" spans="2:23" x14ac:dyDescent="0.3">
      <c r="B60" s="932"/>
      <c r="C60" s="927"/>
      <c r="D60" s="927"/>
      <c r="E60" s="927"/>
      <c r="F60" s="927"/>
      <c r="G60" s="927"/>
      <c r="H60" s="927"/>
      <c r="I60" s="927"/>
      <c r="J60" s="927"/>
      <c r="K60" s="927"/>
      <c r="L60" s="927"/>
      <c r="M60" s="927"/>
      <c r="N60" s="927"/>
      <c r="O60" s="927"/>
      <c r="P60" s="927"/>
      <c r="Q60" s="927"/>
      <c r="R60" s="927"/>
      <c r="S60" s="927"/>
      <c r="T60" s="927"/>
      <c r="U60" s="927"/>
      <c r="V60" s="927"/>
      <c r="W60" s="927"/>
    </row>
    <row r="61" spans="2:23" x14ac:dyDescent="0.3">
      <c r="B61" s="932"/>
      <c r="C61" s="927"/>
      <c r="D61" s="927"/>
      <c r="E61" s="927"/>
      <c r="F61" s="927"/>
      <c r="G61" s="927"/>
      <c r="H61" s="927"/>
      <c r="I61" s="927"/>
      <c r="J61" s="927"/>
      <c r="K61" s="927"/>
      <c r="L61" s="927"/>
      <c r="M61" s="927"/>
      <c r="N61" s="927"/>
      <c r="O61" s="927"/>
      <c r="P61" s="927"/>
      <c r="Q61" s="927"/>
      <c r="R61" s="927"/>
      <c r="S61" s="927"/>
      <c r="T61" s="927"/>
      <c r="U61" s="927"/>
      <c r="V61" s="927"/>
      <c r="W61" s="927"/>
    </row>
    <row r="62" spans="2:23" x14ac:dyDescent="0.3">
      <c r="B62" s="932"/>
      <c r="C62" s="927"/>
      <c r="D62" s="927"/>
      <c r="E62" s="927"/>
      <c r="F62" s="927"/>
      <c r="G62" s="927"/>
      <c r="H62" s="927"/>
      <c r="I62" s="927"/>
      <c r="J62" s="927"/>
      <c r="K62" s="927"/>
      <c r="L62" s="927"/>
      <c r="M62" s="927"/>
      <c r="N62" s="927"/>
      <c r="O62" s="927"/>
      <c r="P62" s="927"/>
      <c r="Q62" s="927"/>
      <c r="R62" s="927"/>
      <c r="S62" s="927"/>
      <c r="T62" s="927"/>
      <c r="U62" s="927"/>
      <c r="V62" s="927"/>
      <c r="W62" s="927"/>
    </row>
    <row r="63" spans="2:23" x14ac:dyDescent="0.3">
      <c r="B63" s="932"/>
      <c r="C63" s="927"/>
      <c r="D63" s="927"/>
      <c r="E63" s="927"/>
      <c r="F63" s="927"/>
      <c r="G63" s="927"/>
      <c r="H63" s="927"/>
      <c r="I63" s="927"/>
      <c r="J63" s="927"/>
      <c r="K63" s="927"/>
      <c r="L63" s="927"/>
      <c r="M63" s="927"/>
      <c r="N63" s="927"/>
      <c r="O63" s="927"/>
      <c r="P63" s="927"/>
      <c r="Q63" s="927"/>
      <c r="R63" s="927"/>
      <c r="S63" s="927"/>
      <c r="T63" s="927"/>
      <c r="U63" s="927"/>
      <c r="V63" s="927"/>
      <c r="W63" s="927"/>
    </row>
    <row r="64" spans="2:23" x14ac:dyDescent="0.3">
      <c r="B64" s="933"/>
      <c r="C64" s="927"/>
      <c r="D64" s="927"/>
      <c r="E64" s="927"/>
      <c r="F64" s="927"/>
      <c r="G64" s="927"/>
      <c r="H64" s="927"/>
      <c r="I64" s="927"/>
      <c r="J64" s="927"/>
      <c r="K64" s="927"/>
      <c r="L64" s="927"/>
      <c r="M64" s="927"/>
      <c r="N64" s="927"/>
      <c r="O64" s="927"/>
      <c r="P64" s="927"/>
      <c r="Q64" s="927"/>
      <c r="R64" s="927"/>
      <c r="S64" s="927"/>
      <c r="T64" s="927"/>
      <c r="U64" s="927"/>
      <c r="V64" s="927"/>
      <c r="W64" s="927"/>
    </row>
    <row r="65" spans="2:23" x14ac:dyDescent="0.3">
      <c r="B65" s="933"/>
      <c r="C65" s="927"/>
      <c r="D65" s="927"/>
      <c r="E65" s="927"/>
      <c r="F65" s="927"/>
      <c r="G65" s="927"/>
      <c r="H65" s="927"/>
      <c r="I65" s="927"/>
      <c r="J65" s="927"/>
      <c r="K65" s="927"/>
      <c r="L65" s="927"/>
      <c r="M65" s="927"/>
      <c r="N65" s="927"/>
      <c r="O65" s="927"/>
      <c r="P65" s="927"/>
      <c r="Q65" s="927"/>
      <c r="R65" s="927"/>
      <c r="S65" s="927"/>
      <c r="T65" s="927"/>
      <c r="U65" s="927"/>
      <c r="V65" s="927"/>
      <c r="W65" s="927"/>
    </row>
    <row r="66" spans="2:23" x14ac:dyDescent="0.3">
      <c r="B66" s="933"/>
      <c r="C66" s="927"/>
      <c r="D66" s="927"/>
      <c r="E66" s="927"/>
      <c r="F66" s="927"/>
      <c r="G66" s="927"/>
      <c r="H66" s="927"/>
      <c r="I66" s="927"/>
      <c r="J66" s="927"/>
      <c r="K66" s="927"/>
      <c r="L66" s="927"/>
      <c r="M66" s="927"/>
      <c r="N66" s="927"/>
      <c r="O66" s="927"/>
      <c r="P66" s="927"/>
      <c r="Q66" s="927"/>
      <c r="R66" s="927"/>
      <c r="S66" s="927"/>
      <c r="T66" s="927"/>
      <c r="U66" s="927"/>
      <c r="V66" s="927"/>
      <c r="W66" s="927"/>
    </row>
    <row r="67" spans="2:23" x14ac:dyDescent="0.3">
      <c r="B67" s="933"/>
      <c r="C67" s="927"/>
      <c r="D67" s="927"/>
      <c r="E67" s="927"/>
      <c r="F67" s="927"/>
      <c r="G67" s="927"/>
      <c r="H67" s="927"/>
      <c r="I67" s="927"/>
      <c r="J67" s="927"/>
      <c r="K67" s="927"/>
      <c r="L67" s="927"/>
      <c r="M67" s="927"/>
      <c r="N67" s="927"/>
      <c r="O67" s="927"/>
      <c r="P67" s="927"/>
      <c r="Q67" s="927"/>
      <c r="R67" s="927"/>
      <c r="S67" s="927"/>
      <c r="T67" s="927"/>
      <c r="U67" s="927"/>
      <c r="V67" s="927"/>
      <c r="W67" s="927"/>
    </row>
    <row r="68" spans="2:23" x14ac:dyDescent="0.3">
      <c r="B68" s="933"/>
      <c r="C68" s="927"/>
      <c r="D68" s="927"/>
      <c r="E68" s="927"/>
      <c r="F68" s="927"/>
      <c r="G68" s="927"/>
      <c r="H68" s="927"/>
      <c r="I68" s="927"/>
      <c r="J68" s="927"/>
      <c r="K68" s="927"/>
      <c r="L68" s="927"/>
      <c r="M68" s="927"/>
      <c r="N68" s="927"/>
      <c r="O68" s="927"/>
      <c r="P68" s="927"/>
      <c r="Q68" s="927"/>
      <c r="R68" s="927"/>
      <c r="S68" s="927"/>
      <c r="T68" s="927"/>
      <c r="U68" s="927"/>
      <c r="V68" s="927"/>
      <c r="W68" s="927"/>
    </row>
    <row r="69" spans="2:23" x14ac:dyDescent="0.3">
      <c r="B69" s="933"/>
      <c r="C69" s="927"/>
      <c r="D69" s="927"/>
      <c r="E69" s="927"/>
      <c r="F69" s="927"/>
      <c r="G69" s="927"/>
      <c r="H69" s="927"/>
      <c r="I69" s="927"/>
      <c r="J69" s="927"/>
      <c r="K69" s="927"/>
      <c r="L69" s="927"/>
      <c r="M69" s="927"/>
      <c r="N69" s="927"/>
      <c r="O69" s="927"/>
      <c r="P69" s="927"/>
      <c r="Q69" s="927"/>
      <c r="R69" s="927"/>
      <c r="S69" s="927"/>
      <c r="T69" s="927"/>
      <c r="U69" s="927"/>
      <c r="V69" s="927"/>
      <c r="W69" s="927"/>
    </row>
    <row r="70" spans="2:23" x14ac:dyDescent="0.3">
      <c r="B70" s="933"/>
      <c r="C70" s="927"/>
      <c r="D70" s="927"/>
      <c r="E70" s="927"/>
      <c r="F70" s="927"/>
      <c r="G70" s="927"/>
      <c r="H70" s="927"/>
      <c r="I70" s="927"/>
      <c r="J70" s="927"/>
      <c r="K70" s="927"/>
      <c r="L70" s="927"/>
      <c r="M70" s="927"/>
      <c r="N70" s="927"/>
      <c r="O70" s="927"/>
      <c r="P70" s="927"/>
      <c r="Q70" s="927"/>
      <c r="R70" s="927"/>
      <c r="S70" s="927"/>
      <c r="T70" s="927"/>
      <c r="U70" s="927"/>
      <c r="V70" s="927"/>
      <c r="W70" s="927"/>
    </row>
    <row r="71" spans="2:23" x14ac:dyDescent="0.3">
      <c r="B71" s="933"/>
      <c r="C71" s="927"/>
      <c r="D71" s="927"/>
      <c r="E71" s="927"/>
      <c r="F71" s="927"/>
      <c r="G71" s="927"/>
      <c r="H71" s="927"/>
      <c r="I71" s="927"/>
      <c r="J71" s="927"/>
      <c r="K71" s="927"/>
      <c r="L71" s="927"/>
      <c r="M71" s="927"/>
      <c r="N71" s="927"/>
      <c r="O71" s="927"/>
      <c r="P71" s="927"/>
      <c r="Q71" s="927"/>
      <c r="R71" s="927"/>
      <c r="S71" s="927"/>
      <c r="T71" s="927"/>
      <c r="U71" s="927"/>
      <c r="V71" s="927"/>
      <c r="W71" s="927"/>
    </row>
    <row r="72" spans="2:23" x14ac:dyDescent="0.3">
      <c r="B72" s="933"/>
      <c r="C72" s="927"/>
      <c r="D72" s="927"/>
      <c r="E72" s="927"/>
      <c r="F72" s="927"/>
      <c r="G72" s="927"/>
      <c r="H72" s="927"/>
      <c r="I72" s="927"/>
      <c r="J72" s="927"/>
      <c r="K72" s="927"/>
      <c r="L72" s="927"/>
      <c r="M72" s="927"/>
      <c r="N72" s="927"/>
      <c r="O72" s="927"/>
      <c r="P72" s="927"/>
      <c r="Q72" s="927"/>
      <c r="R72" s="927"/>
      <c r="S72" s="927"/>
      <c r="T72" s="927"/>
      <c r="U72" s="927"/>
      <c r="V72" s="927"/>
      <c r="W72" s="927"/>
    </row>
    <row r="73" spans="2:23" x14ac:dyDescent="0.3">
      <c r="B73" s="933"/>
      <c r="C73" s="927"/>
      <c r="D73" s="927"/>
      <c r="E73" s="927"/>
      <c r="F73" s="927"/>
      <c r="G73" s="927"/>
      <c r="H73" s="927"/>
      <c r="I73" s="927"/>
      <c r="J73" s="927"/>
      <c r="K73" s="927"/>
      <c r="L73" s="927"/>
      <c r="M73" s="927"/>
      <c r="N73" s="927"/>
      <c r="O73" s="927"/>
      <c r="P73" s="927"/>
      <c r="Q73" s="927"/>
      <c r="R73" s="927"/>
      <c r="S73" s="927"/>
      <c r="T73" s="927"/>
      <c r="U73" s="927"/>
      <c r="V73" s="927"/>
      <c r="W73" s="927"/>
    </row>
    <row r="74" spans="2:23" x14ac:dyDescent="0.3">
      <c r="B74" s="933"/>
      <c r="C74" s="927"/>
      <c r="D74" s="927"/>
      <c r="E74" s="927"/>
      <c r="F74" s="927"/>
      <c r="G74" s="927"/>
      <c r="H74" s="927"/>
      <c r="I74" s="927"/>
      <c r="J74" s="927"/>
      <c r="K74" s="927"/>
      <c r="L74" s="927"/>
      <c r="M74" s="927"/>
      <c r="N74" s="927"/>
      <c r="O74" s="927"/>
      <c r="P74" s="927"/>
      <c r="Q74" s="927"/>
      <c r="R74" s="927"/>
      <c r="S74" s="927"/>
      <c r="T74" s="927"/>
      <c r="U74" s="927"/>
      <c r="V74" s="927"/>
      <c r="W74" s="927"/>
    </row>
    <row r="75" spans="2:23" x14ac:dyDescent="0.3">
      <c r="B75" s="933"/>
      <c r="C75" s="927"/>
      <c r="D75" s="927"/>
      <c r="E75" s="927"/>
      <c r="F75" s="927"/>
      <c r="G75" s="927"/>
      <c r="H75" s="927"/>
      <c r="I75" s="927"/>
      <c r="J75" s="927"/>
      <c r="K75" s="927"/>
      <c r="L75" s="927"/>
      <c r="M75" s="927"/>
      <c r="N75" s="927"/>
      <c r="O75" s="927"/>
      <c r="P75" s="927"/>
      <c r="Q75" s="927"/>
      <c r="R75" s="927"/>
      <c r="S75" s="927"/>
      <c r="T75" s="927"/>
      <c r="U75" s="927"/>
      <c r="V75" s="927"/>
      <c r="W75" s="927"/>
    </row>
    <row r="76" spans="2:23" x14ac:dyDescent="0.3">
      <c r="B76" s="933"/>
      <c r="C76" s="927"/>
      <c r="D76" s="927"/>
      <c r="E76" s="927"/>
      <c r="F76" s="927"/>
      <c r="G76" s="927"/>
      <c r="H76" s="927"/>
      <c r="I76" s="927"/>
      <c r="J76" s="927"/>
      <c r="K76" s="927"/>
      <c r="L76" s="927"/>
      <c r="M76" s="927"/>
      <c r="N76" s="927"/>
      <c r="O76" s="927"/>
      <c r="P76" s="927"/>
      <c r="Q76" s="927"/>
      <c r="R76" s="927"/>
      <c r="S76" s="927"/>
      <c r="T76" s="927"/>
      <c r="U76" s="927"/>
      <c r="V76" s="927"/>
      <c r="W76" s="927"/>
    </row>
    <row r="77" spans="2:23" x14ac:dyDescent="0.3">
      <c r="B77" s="933"/>
      <c r="C77" s="927"/>
      <c r="D77" s="927"/>
      <c r="E77" s="927"/>
      <c r="F77" s="927"/>
      <c r="G77" s="927"/>
      <c r="H77" s="927"/>
      <c r="I77" s="927"/>
      <c r="J77" s="927"/>
      <c r="K77" s="927"/>
      <c r="L77" s="927"/>
      <c r="M77" s="927"/>
      <c r="N77" s="927"/>
      <c r="O77" s="927"/>
      <c r="P77" s="927"/>
      <c r="Q77" s="927"/>
      <c r="R77" s="927"/>
      <c r="S77" s="927"/>
      <c r="T77" s="927"/>
      <c r="U77" s="927"/>
      <c r="V77" s="927"/>
      <c r="W77" s="927"/>
    </row>
    <row r="78" spans="2:23" x14ac:dyDescent="0.3">
      <c r="B78" s="933"/>
      <c r="C78" s="927"/>
      <c r="D78" s="927"/>
      <c r="E78" s="927"/>
      <c r="F78" s="927"/>
      <c r="G78" s="927"/>
      <c r="H78" s="927"/>
      <c r="I78" s="927"/>
      <c r="J78" s="927"/>
      <c r="K78" s="927"/>
      <c r="L78" s="927"/>
      <c r="M78" s="927"/>
      <c r="N78" s="927"/>
      <c r="O78" s="927"/>
      <c r="P78" s="927"/>
      <c r="Q78" s="927"/>
      <c r="R78" s="927"/>
      <c r="S78" s="927"/>
      <c r="T78" s="927"/>
      <c r="U78" s="927"/>
      <c r="V78" s="927"/>
      <c r="W78" s="927"/>
    </row>
    <row r="79" spans="2:23" x14ac:dyDescent="0.3">
      <c r="B79" s="933"/>
      <c r="C79" s="927"/>
      <c r="D79" s="927"/>
      <c r="E79" s="927"/>
      <c r="F79" s="927"/>
      <c r="G79" s="927"/>
      <c r="H79" s="927"/>
      <c r="I79" s="927"/>
      <c r="J79" s="927"/>
      <c r="K79" s="927"/>
      <c r="L79" s="927"/>
      <c r="M79" s="927"/>
      <c r="N79" s="927"/>
      <c r="O79" s="927"/>
      <c r="P79" s="927"/>
      <c r="Q79" s="927"/>
      <c r="R79" s="927"/>
      <c r="S79" s="927"/>
      <c r="T79" s="927"/>
      <c r="U79" s="927"/>
      <c r="V79" s="927"/>
      <c r="W79" s="927"/>
    </row>
    <row r="80" spans="2:23" x14ac:dyDescent="0.3">
      <c r="B80" s="933"/>
      <c r="C80" s="927"/>
      <c r="D80" s="927"/>
      <c r="E80" s="927"/>
      <c r="F80" s="927"/>
      <c r="G80" s="927"/>
      <c r="H80" s="927"/>
      <c r="I80" s="927"/>
      <c r="J80" s="927"/>
      <c r="K80" s="927"/>
      <c r="L80" s="927"/>
      <c r="M80" s="927"/>
      <c r="N80" s="927"/>
      <c r="O80" s="927"/>
      <c r="P80" s="927"/>
      <c r="Q80" s="927"/>
      <c r="R80" s="927"/>
      <c r="S80" s="927"/>
      <c r="T80" s="927"/>
      <c r="U80" s="927"/>
      <c r="V80" s="927"/>
      <c r="W80" s="927"/>
    </row>
    <row r="81" spans="2:23" x14ac:dyDescent="0.3">
      <c r="B81" s="933"/>
      <c r="C81" s="927"/>
      <c r="D81" s="927"/>
      <c r="E81" s="927"/>
      <c r="F81" s="927"/>
      <c r="G81" s="927"/>
      <c r="H81" s="927"/>
      <c r="I81" s="927"/>
      <c r="J81" s="927"/>
      <c r="K81" s="927"/>
      <c r="L81" s="927"/>
      <c r="M81" s="927"/>
      <c r="N81" s="927"/>
      <c r="O81" s="927"/>
      <c r="P81" s="927"/>
      <c r="Q81" s="927"/>
      <c r="R81" s="927"/>
      <c r="S81" s="927"/>
      <c r="T81" s="927"/>
      <c r="U81" s="927"/>
      <c r="V81" s="927"/>
      <c r="W81" s="927"/>
    </row>
    <row r="82" spans="2:23" x14ac:dyDescent="0.3">
      <c r="B82" s="933"/>
      <c r="C82" s="927"/>
      <c r="D82" s="927"/>
      <c r="E82" s="927"/>
      <c r="F82" s="927"/>
      <c r="G82" s="927"/>
      <c r="H82" s="927"/>
      <c r="I82" s="927"/>
      <c r="J82" s="927"/>
      <c r="K82" s="927"/>
      <c r="L82" s="927"/>
      <c r="M82" s="927"/>
      <c r="N82" s="927"/>
      <c r="O82" s="927"/>
      <c r="P82" s="927"/>
      <c r="Q82" s="927"/>
      <c r="R82" s="927"/>
      <c r="S82" s="927"/>
      <c r="T82" s="927"/>
      <c r="U82" s="927"/>
      <c r="V82" s="927"/>
      <c r="W82" s="927"/>
    </row>
    <row r="83" spans="2:23" x14ac:dyDescent="0.3">
      <c r="B83" s="933"/>
      <c r="C83" s="927"/>
      <c r="D83" s="927"/>
      <c r="E83" s="927"/>
      <c r="F83" s="927"/>
      <c r="G83" s="927"/>
      <c r="H83" s="927"/>
      <c r="I83" s="927"/>
      <c r="J83" s="927"/>
      <c r="K83" s="927"/>
      <c r="L83" s="927"/>
      <c r="M83" s="927"/>
      <c r="N83" s="927"/>
      <c r="O83" s="927"/>
      <c r="P83" s="927"/>
      <c r="Q83" s="927"/>
      <c r="R83" s="927"/>
      <c r="S83" s="927"/>
      <c r="T83" s="927"/>
      <c r="U83" s="927"/>
      <c r="V83" s="927"/>
      <c r="W83" s="927"/>
    </row>
    <row r="84" spans="2:23" x14ac:dyDescent="0.3">
      <c r="B84" s="933"/>
      <c r="C84" s="927"/>
      <c r="D84" s="927"/>
      <c r="E84" s="927"/>
      <c r="F84" s="927"/>
      <c r="G84" s="927"/>
      <c r="H84" s="927"/>
      <c r="I84" s="927"/>
      <c r="J84" s="927"/>
      <c r="K84" s="927"/>
      <c r="L84" s="927"/>
      <c r="M84" s="927"/>
      <c r="N84" s="927"/>
      <c r="O84" s="927"/>
      <c r="P84" s="927"/>
      <c r="Q84" s="927"/>
      <c r="R84" s="927"/>
      <c r="S84" s="927"/>
      <c r="T84" s="927"/>
      <c r="U84" s="927"/>
      <c r="V84" s="927"/>
      <c r="W84" s="927"/>
    </row>
    <row r="85" spans="2:23" x14ac:dyDescent="0.3">
      <c r="B85" s="933"/>
      <c r="C85" s="927"/>
      <c r="D85" s="927"/>
      <c r="E85" s="927"/>
      <c r="F85" s="927"/>
      <c r="G85" s="927"/>
      <c r="H85" s="927"/>
      <c r="I85" s="927"/>
      <c r="J85" s="927"/>
      <c r="K85" s="927"/>
      <c r="L85" s="927"/>
      <c r="M85" s="927"/>
      <c r="N85" s="927"/>
      <c r="O85" s="927"/>
      <c r="P85" s="927"/>
      <c r="Q85" s="927"/>
      <c r="R85" s="927"/>
      <c r="S85" s="927"/>
      <c r="T85" s="927"/>
      <c r="U85" s="927"/>
      <c r="V85" s="927"/>
      <c r="W85" s="927"/>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8"/>
  <sheetViews>
    <sheetView topLeftCell="A13" workbookViewId="0">
      <selection activeCell="D9" sqref="D9"/>
    </sheetView>
  </sheetViews>
  <sheetFormatPr defaultRowHeight="13.2" x14ac:dyDescent="0.25"/>
  <cols>
    <col min="1" max="1" width="109" style="301" customWidth="1"/>
  </cols>
  <sheetData>
    <row r="1" spans="1:1" ht="17.399999999999999" x14ac:dyDescent="0.3">
      <c r="A1" s="415" t="s">
        <v>2</v>
      </c>
    </row>
    <row r="2" spans="1:1" ht="15.6" x14ac:dyDescent="0.3">
      <c r="A2" s="414" t="s">
        <v>4</v>
      </c>
    </row>
    <row r="3" spans="1:1" ht="15.6" x14ac:dyDescent="0.3">
      <c r="A3" s="1028">
        <v>41821</v>
      </c>
    </row>
    <row r="4" spans="1:1" ht="15.6" x14ac:dyDescent="0.3">
      <c r="A4" s="413"/>
    </row>
    <row r="5" spans="1:1" ht="17.399999999999999" x14ac:dyDescent="0.3">
      <c r="A5" s="416" t="s">
        <v>8</v>
      </c>
    </row>
    <row r="6" spans="1:1" ht="15.6" x14ac:dyDescent="0.3">
      <c r="A6" s="413"/>
    </row>
    <row r="7" spans="1:1" ht="15.6" x14ac:dyDescent="0.3">
      <c r="A7" s="413" t="s">
        <v>9</v>
      </c>
    </row>
    <row r="8" spans="1:1" ht="15.6" x14ac:dyDescent="0.3">
      <c r="A8" s="413"/>
    </row>
    <row r="9" spans="1:1" ht="151.5" customHeight="1" x14ac:dyDescent="0.3">
      <c r="A9" s="416" t="s">
        <v>1546</v>
      </c>
    </row>
    <row r="10" spans="1:1" ht="15.6" x14ac:dyDescent="0.3">
      <c r="A10" s="413"/>
    </row>
    <row r="11" spans="1:1" ht="46.8" x14ac:dyDescent="0.3">
      <c r="A11" s="413" t="s">
        <v>1547</v>
      </c>
    </row>
    <row r="12" spans="1:1" ht="15.6" x14ac:dyDescent="0.3">
      <c r="A12" s="413"/>
    </row>
    <row r="13" spans="1:1" ht="134.25" customHeight="1" x14ac:dyDescent="0.3">
      <c r="A13" s="419" t="s">
        <v>590</v>
      </c>
    </row>
    <row r="14" spans="1:1" ht="15.6" x14ac:dyDescent="0.3">
      <c r="A14" s="413"/>
    </row>
    <row r="15" spans="1:1" ht="78" x14ac:dyDescent="0.3">
      <c r="A15" s="416" t="s">
        <v>1548</v>
      </c>
    </row>
    <row r="16" spans="1:1" ht="15.6" x14ac:dyDescent="0.3">
      <c r="A16" s="413"/>
    </row>
    <row r="17" spans="1:1" ht="165" customHeight="1" x14ac:dyDescent="0.3">
      <c r="A17" s="416" t="s">
        <v>0</v>
      </c>
    </row>
    <row r="18" spans="1:1" ht="15.6" x14ac:dyDescent="0.3">
      <c r="A18" s="413"/>
    </row>
    <row r="19" spans="1:1" ht="78" x14ac:dyDescent="0.3">
      <c r="A19" s="416" t="s">
        <v>10</v>
      </c>
    </row>
    <row r="20" spans="1:1" ht="15.6" x14ac:dyDescent="0.3">
      <c r="A20" s="413"/>
    </row>
    <row r="21" spans="1:1" ht="62.4" x14ac:dyDescent="0.3">
      <c r="A21" s="416" t="s">
        <v>1549</v>
      </c>
    </row>
    <row r="22" spans="1:1" ht="15.6" x14ac:dyDescent="0.3">
      <c r="A22" s="417"/>
    </row>
    <row r="23" spans="1:1" ht="46.8" x14ac:dyDescent="0.3">
      <c r="A23" s="416" t="s">
        <v>11</v>
      </c>
    </row>
    <row r="24" spans="1:1" ht="15.6" x14ac:dyDescent="0.3">
      <c r="A24" s="413"/>
    </row>
    <row r="25" spans="1:1" ht="78" x14ac:dyDescent="0.3">
      <c r="A25" s="416" t="s">
        <v>12</v>
      </c>
    </row>
    <row r="26" spans="1:1" ht="15.6" x14ac:dyDescent="0.3">
      <c r="A26" s="413"/>
    </row>
    <row r="27" spans="1:1" ht="93.6" x14ac:dyDescent="0.3">
      <c r="A27" s="416" t="s">
        <v>1</v>
      </c>
    </row>
    <row r="28" spans="1:1" ht="15.6" x14ac:dyDescent="0.3">
      <c r="A28" s="413"/>
    </row>
    <row r="29" spans="1:1" ht="60.75" customHeight="1" x14ac:dyDescent="0.3">
      <c r="A29" s="416" t="s">
        <v>13</v>
      </c>
    </row>
    <row r="30" spans="1:1" ht="15.6" x14ac:dyDescent="0.3">
      <c r="A30" s="413"/>
    </row>
    <row r="31" spans="1:1" ht="78" x14ac:dyDescent="0.3">
      <c r="A31" s="416" t="s">
        <v>1550</v>
      </c>
    </row>
    <row r="32" spans="1:1" ht="15.6" x14ac:dyDescent="0.3">
      <c r="A32" s="416" t="s">
        <v>1552</v>
      </c>
    </row>
    <row r="33" spans="1:1" ht="46.8" x14ac:dyDescent="0.3">
      <c r="A33" s="416" t="s">
        <v>1551</v>
      </c>
    </row>
    <row r="34" spans="1:1" ht="15.6" x14ac:dyDescent="0.3">
      <c r="A34" s="413"/>
    </row>
    <row r="35" spans="1:1" ht="78" x14ac:dyDescent="0.3">
      <c r="A35" s="416" t="s">
        <v>144</v>
      </c>
    </row>
    <row r="36" spans="1:1" ht="15.6" x14ac:dyDescent="0.3">
      <c r="A36" s="416"/>
    </row>
    <row r="37" spans="1:1" ht="15.6" x14ac:dyDescent="0.3">
      <c r="A37" s="416"/>
    </row>
    <row r="38" spans="1:1" ht="15.6" x14ac:dyDescent="0.3">
      <c r="A38" s="416" t="s">
        <v>589</v>
      </c>
    </row>
    <row r="39" spans="1:1" ht="15.6" x14ac:dyDescent="0.3">
      <c r="A39" s="413"/>
    </row>
    <row r="40" spans="1:1" ht="145.80000000000001" x14ac:dyDescent="0.3">
      <c r="A40" s="413" t="s">
        <v>588</v>
      </c>
    </row>
    <row r="41" spans="1:1" ht="15.6" x14ac:dyDescent="0.3">
      <c r="A41" s="417"/>
    </row>
    <row r="42" spans="1:1" ht="109.2" x14ac:dyDescent="0.3">
      <c r="A42" s="420" t="s">
        <v>142</v>
      </c>
    </row>
    <row r="43" spans="1:1" ht="15.6" x14ac:dyDescent="0.3">
      <c r="A43" s="420"/>
    </row>
    <row r="44" spans="1:1" ht="93.6" x14ac:dyDescent="0.3">
      <c r="A44" s="420" t="s">
        <v>143</v>
      </c>
    </row>
    <row r="45" spans="1:1" ht="15.6" x14ac:dyDescent="0.3">
      <c r="A45" s="420"/>
    </row>
    <row r="46" spans="1:1" ht="31.2" x14ac:dyDescent="0.3">
      <c r="A46" s="413" t="s">
        <v>587</v>
      </c>
    </row>
    <row r="47" spans="1:1" ht="53.25" customHeight="1" x14ac:dyDescent="0.3">
      <c r="A47" s="418" t="s">
        <v>3</v>
      </c>
    </row>
    <row r="48" spans="1:1" ht="33" x14ac:dyDescent="0.3">
      <c r="A48" s="418" t="s">
        <v>5</v>
      </c>
    </row>
    <row r="49" spans="1:1" ht="48.6" x14ac:dyDescent="0.3">
      <c r="A49" s="418" t="s">
        <v>6</v>
      </c>
    </row>
    <row r="50" spans="1:1" ht="33" x14ac:dyDescent="0.3">
      <c r="A50" s="418" t="s">
        <v>7</v>
      </c>
    </row>
    <row r="51" spans="1:1" ht="15.6" x14ac:dyDescent="0.3">
      <c r="A51" s="413"/>
    </row>
    <row r="52" spans="1:1" ht="144" x14ac:dyDescent="0.3">
      <c r="A52" s="413" t="s">
        <v>422</v>
      </c>
    </row>
    <row r="55" spans="1:1" ht="52.8" x14ac:dyDescent="0.25">
      <c r="A55" s="301" t="s">
        <v>423</v>
      </c>
    </row>
    <row r="56" spans="1:1" x14ac:dyDescent="0.25">
      <c r="A56" s="395"/>
    </row>
    <row r="57" spans="1:1" ht="26.4" x14ac:dyDescent="0.25">
      <c r="A57" s="301" t="s">
        <v>14</v>
      </c>
    </row>
    <row r="58" spans="1:1" x14ac:dyDescent="0.25">
      <c r="A58" s="395"/>
    </row>
  </sheetData>
  <phoneticPr fontId="0" type="noConversion"/>
  <pageMargins left="0.75" right="0.47" top="1" bottom="1" header="0.5" footer="0.5"/>
  <pageSetup orientation="landscape" r:id="rId1"/>
  <headerFooter alignWithMargins="0">
    <oddFooter>&amp;L7/02/07&amp;C&amp;A&amp;RNJAES Report 2007-1 ©2007 
  New Jersey Agricultural Experiment Station</oddFooter>
  </headerFooter>
  <rowBreaks count="2" manualBreakCount="2">
    <brk id="37" max="16383" man="1"/>
    <brk id="45"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8"/>
  <sheetViews>
    <sheetView workbookViewId="0">
      <selection activeCell="K33" sqref="K33"/>
    </sheetView>
  </sheetViews>
  <sheetFormatPr defaultRowHeight="13.2" x14ac:dyDescent="0.25"/>
  <cols>
    <col min="2" max="2" width="15.6640625" customWidth="1"/>
    <col min="3" max="3" width="16.6640625" customWidth="1"/>
    <col min="4" max="4" width="29" customWidth="1"/>
  </cols>
  <sheetData>
    <row r="1" spans="2:12" x14ac:dyDescent="0.25">
      <c r="B1" s="20" t="s">
        <v>1125</v>
      </c>
      <c r="C1" s="384"/>
      <c r="D1" s="384"/>
      <c r="E1" s="384"/>
      <c r="F1" s="384"/>
      <c r="G1" s="384"/>
    </row>
    <row r="2" spans="2:12" x14ac:dyDescent="0.25">
      <c r="B2" s="80" t="s">
        <v>1222</v>
      </c>
      <c r="C2" s="384"/>
      <c r="D2" s="384"/>
      <c r="E2" s="384"/>
      <c r="F2" s="384"/>
      <c r="G2" s="384"/>
    </row>
    <row r="3" spans="2:12" x14ac:dyDescent="0.25">
      <c r="B3" s="384"/>
      <c r="C3" s="384"/>
      <c r="D3" s="384"/>
      <c r="E3" s="384"/>
      <c r="F3" s="384"/>
      <c r="G3" s="384"/>
    </row>
    <row r="4" spans="2:12" x14ac:dyDescent="0.25">
      <c r="B4" s="384"/>
      <c r="C4" s="722"/>
      <c r="D4" s="722"/>
      <c r="E4" s="722"/>
      <c r="F4" s="722"/>
      <c r="G4" s="722"/>
    </row>
    <row r="5" spans="2:12" ht="30" customHeight="1" x14ac:dyDescent="0.25">
      <c r="B5" s="783" t="s">
        <v>322</v>
      </c>
      <c r="C5" s="694" t="s">
        <v>1223</v>
      </c>
      <c r="D5" s="694" t="s">
        <v>1069</v>
      </c>
      <c r="E5" s="962" t="s">
        <v>174</v>
      </c>
      <c r="F5" s="800"/>
      <c r="G5" s="800"/>
    </row>
    <row r="6" spans="2:12" x14ac:dyDescent="0.25">
      <c r="B6" s="784" t="s">
        <v>403</v>
      </c>
      <c r="C6" s="803">
        <f>'Biomass Data Assumptions'!AE7</f>
        <v>9628.0164639999985</v>
      </c>
      <c r="D6" s="833">
        <f>C6*(6000*2000)*(1/3412)*0.24/1000</f>
        <v>8126.8134279953092</v>
      </c>
      <c r="E6" s="952">
        <f>D6/7446</f>
        <v>1.091433444533348</v>
      </c>
      <c r="F6" s="130"/>
      <c r="G6" s="130"/>
    </row>
    <row r="7" spans="2:12" x14ac:dyDescent="0.25">
      <c r="B7" s="784" t="s">
        <v>325</v>
      </c>
      <c r="C7" s="803">
        <f>'Biomass Data Assumptions'!AE8</f>
        <v>6059.0673769999976</v>
      </c>
      <c r="D7" s="833">
        <f t="shared" ref="D7:D26" si="0">C7*(6000*2000)*(1/3412)*0.24/1000</f>
        <v>5114.3358867995285</v>
      </c>
      <c r="E7" s="952">
        <f t="shared" ref="E7:E26" si="1">D7/7446</f>
        <v>0.68685682068218212</v>
      </c>
      <c r="F7" s="130"/>
      <c r="G7" s="130"/>
    </row>
    <row r="8" spans="2:12" x14ac:dyDescent="0.25">
      <c r="B8" s="784" t="s">
        <v>328</v>
      </c>
      <c r="C8" s="803">
        <f>'Biomass Data Assumptions'!AE9</f>
        <v>1094.7040610000004</v>
      </c>
      <c r="D8" s="833">
        <f t="shared" si="0"/>
        <v>924.01749580304829</v>
      </c>
      <c r="E8" s="952">
        <f t="shared" si="1"/>
        <v>0.12409582269715932</v>
      </c>
      <c r="F8" s="130"/>
      <c r="G8" s="130"/>
      <c r="L8" s="961"/>
    </row>
    <row r="9" spans="2:12" x14ac:dyDescent="0.25">
      <c r="B9" s="784" t="s">
        <v>331</v>
      </c>
      <c r="C9" s="803">
        <f>'Biomass Data Assumptions'!AE10</f>
        <v>5855.2502579999982</v>
      </c>
      <c r="D9" s="833">
        <f t="shared" si="0"/>
        <v>4942.2979903399746</v>
      </c>
      <c r="E9" s="952">
        <f t="shared" si="1"/>
        <v>0.66375208035723543</v>
      </c>
      <c r="F9" s="130"/>
      <c r="G9" s="130"/>
    </row>
    <row r="10" spans="2:12" x14ac:dyDescent="0.25">
      <c r="B10" s="784" t="s">
        <v>333</v>
      </c>
      <c r="C10" s="803">
        <f>'Biomass Data Assumptions'!AE11</f>
        <v>1.102310000000216</v>
      </c>
      <c r="D10" s="833">
        <f t="shared" si="0"/>
        <v>0.93043751465434388</v>
      </c>
      <c r="E10" s="952">
        <f t="shared" si="1"/>
        <v>1.2495803312575127E-4</v>
      </c>
      <c r="F10" s="130"/>
      <c r="G10" s="130"/>
    </row>
    <row r="11" spans="2:12" x14ac:dyDescent="0.25">
      <c r="B11" s="784" t="s">
        <v>335</v>
      </c>
      <c r="C11" s="803">
        <f>'Biomass Data Assumptions'!AE12</f>
        <v>1018.0935159999997</v>
      </c>
      <c r="D11" s="833">
        <f t="shared" si="0"/>
        <v>859.35208853458346</v>
      </c>
      <c r="E11" s="952">
        <f t="shared" si="1"/>
        <v>0.11541123939492123</v>
      </c>
      <c r="F11" s="130"/>
      <c r="G11" s="130"/>
    </row>
    <row r="12" spans="2:12" x14ac:dyDescent="0.25">
      <c r="B12" s="784" t="s">
        <v>336</v>
      </c>
      <c r="C12" s="803">
        <f>'Biomass Data Assumptions'!AE13</f>
        <v>8770.639746000008</v>
      </c>
      <c r="D12" s="833">
        <f t="shared" si="0"/>
        <v>7403.1191290973093</v>
      </c>
      <c r="E12" s="952">
        <f t="shared" si="1"/>
        <v>0.99424108636815867</v>
      </c>
      <c r="F12" s="130"/>
      <c r="G12" s="130"/>
    </row>
    <row r="13" spans="2:12" x14ac:dyDescent="0.25">
      <c r="B13" s="784" t="s">
        <v>337</v>
      </c>
      <c r="C13" s="803">
        <f>'Biomass Data Assumptions'!AE14</f>
        <v>10267.356263999998</v>
      </c>
      <c r="D13" s="833">
        <f t="shared" si="0"/>
        <v>8666.4671864947231</v>
      </c>
      <c r="E13" s="952">
        <f t="shared" si="1"/>
        <v>1.1639091037462697</v>
      </c>
      <c r="F13" s="130"/>
      <c r="G13" s="130"/>
    </row>
    <row r="14" spans="2:12" x14ac:dyDescent="0.25">
      <c r="B14" s="784" t="s">
        <v>338</v>
      </c>
      <c r="C14" s="803">
        <f>'Biomass Data Assumptions'!AE15</f>
        <v>1009.9364219999998</v>
      </c>
      <c r="D14" s="833">
        <f t="shared" si="0"/>
        <v>852.4668509261428</v>
      </c>
      <c r="E14" s="952">
        <f t="shared" si="1"/>
        <v>0.11448654994979086</v>
      </c>
      <c r="F14" s="130"/>
      <c r="G14" s="130"/>
    </row>
    <row r="15" spans="2:12" x14ac:dyDescent="0.25">
      <c r="B15" s="784" t="s">
        <v>339</v>
      </c>
      <c r="C15" s="803">
        <f>'Biomass Data Assumptions'!AE16</f>
        <v>1808.0088619999999</v>
      </c>
      <c r="D15" s="833">
        <f t="shared" si="0"/>
        <v>1526.1036115357558</v>
      </c>
      <c r="E15" s="952">
        <f t="shared" si="1"/>
        <v>0.20495616593281707</v>
      </c>
      <c r="F15" s="130"/>
      <c r="G15" s="130"/>
    </row>
    <row r="16" spans="2:12" x14ac:dyDescent="0.25">
      <c r="B16" s="784" t="s">
        <v>340</v>
      </c>
      <c r="C16" s="803">
        <f>'Biomass Data Assumptions'!AE17</f>
        <v>13427.348341000001</v>
      </c>
      <c r="D16" s="833">
        <f t="shared" si="0"/>
        <v>11333.752409753808</v>
      </c>
      <c r="E16" s="952">
        <f t="shared" si="1"/>
        <v>1.5221262973077905</v>
      </c>
      <c r="F16" s="130"/>
      <c r="G16" s="130"/>
    </row>
    <row r="17" spans="2:7" x14ac:dyDescent="0.25">
      <c r="B17" s="784" t="s">
        <v>341</v>
      </c>
      <c r="C17" s="803">
        <f>'Biomass Data Assumptions'!AE18</f>
        <v>40303.650299000001</v>
      </c>
      <c r="D17" s="833">
        <f t="shared" si="0"/>
        <v>34019.493804548649</v>
      </c>
      <c r="E17" s="952">
        <f t="shared" si="1"/>
        <v>4.5688280693726364</v>
      </c>
      <c r="F17" s="130"/>
      <c r="G17" s="130"/>
    </row>
    <row r="18" spans="2:7" x14ac:dyDescent="0.25">
      <c r="B18" s="784" t="s">
        <v>342</v>
      </c>
      <c r="C18" s="803">
        <f>'Biomass Data Assumptions'!AE19</f>
        <v>7739.7594339999987</v>
      </c>
      <c r="D18" s="833">
        <f t="shared" si="0"/>
        <v>6532.97396539273</v>
      </c>
      <c r="E18" s="952">
        <f t="shared" si="1"/>
        <v>0.87738033378897795</v>
      </c>
      <c r="F18" s="130"/>
      <c r="G18" s="130"/>
    </row>
    <row r="19" spans="2:7" x14ac:dyDescent="0.25">
      <c r="B19" s="784" t="s">
        <v>343</v>
      </c>
      <c r="C19" s="803">
        <f>'Biomass Data Assumptions'!AE20</f>
        <v>10760.750219999998</v>
      </c>
      <c r="D19" s="833">
        <f t="shared" si="0"/>
        <v>9082.9310180539251</v>
      </c>
      <c r="E19" s="952">
        <f t="shared" si="1"/>
        <v>1.2198403193733447</v>
      </c>
      <c r="F19" s="130"/>
      <c r="G19" s="130"/>
    </row>
    <row r="20" spans="2:7" x14ac:dyDescent="0.25">
      <c r="B20" s="784" t="s">
        <v>344</v>
      </c>
      <c r="C20" s="803">
        <f>'Biomass Data Assumptions'!AE21</f>
        <v>2.976237000000765</v>
      </c>
      <c r="D20" s="833">
        <f t="shared" si="0"/>
        <v>2.512181289566882</v>
      </c>
      <c r="E20" s="952">
        <f t="shared" si="1"/>
        <v>3.3738668943954903E-4</v>
      </c>
      <c r="F20" s="130"/>
      <c r="G20" s="130"/>
    </row>
    <row r="21" spans="2:7" x14ac:dyDescent="0.25">
      <c r="B21" s="784" t="s">
        <v>345</v>
      </c>
      <c r="C21" s="803">
        <f>'Biomass Data Assumptions'!AE22</f>
        <v>1749.1455079999998</v>
      </c>
      <c r="D21" s="833">
        <f t="shared" si="0"/>
        <v>1476.4182482532235</v>
      </c>
      <c r="E21" s="952">
        <f t="shared" si="1"/>
        <v>0.19828340696390323</v>
      </c>
      <c r="F21" s="130"/>
      <c r="G21" s="130"/>
    </row>
    <row r="22" spans="2:7" x14ac:dyDescent="0.25">
      <c r="B22" s="784" t="s">
        <v>346</v>
      </c>
      <c r="C22" s="803">
        <f>'Biomass Data Assumptions'!AE23</f>
        <v>292.88376700000003</v>
      </c>
      <c r="D22" s="833">
        <f t="shared" si="0"/>
        <v>247.21724764361079</v>
      </c>
      <c r="E22" s="952">
        <f t="shared" si="1"/>
        <v>3.3201349401505612E-2</v>
      </c>
      <c r="F22" s="130"/>
      <c r="G22" s="130"/>
    </row>
    <row r="23" spans="2:7" x14ac:dyDescent="0.25">
      <c r="B23" s="784" t="s">
        <v>347</v>
      </c>
      <c r="C23" s="803">
        <f>'Biomass Data Assumptions'!AE24</f>
        <v>5930.7584929999994</v>
      </c>
      <c r="D23" s="833">
        <f t="shared" si="0"/>
        <v>5006.0329600937848</v>
      </c>
      <c r="E23" s="952">
        <f t="shared" si="1"/>
        <v>0.67231170562634768</v>
      </c>
      <c r="F23" s="130"/>
      <c r="G23" s="130"/>
    </row>
    <row r="24" spans="2:7" x14ac:dyDescent="0.25">
      <c r="B24" s="784" t="s">
        <v>348</v>
      </c>
      <c r="C24" s="803">
        <f>'Biomass Data Assumptions'!AE25</f>
        <v>209.99005499999998</v>
      </c>
      <c r="D24" s="833">
        <f t="shared" si="0"/>
        <v>177.24834654161779</v>
      </c>
      <c r="E24" s="952">
        <f t="shared" si="1"/>
        <v>2.3804505310450953E-2</v>
      </c>
      <c r="F24" s="130"/>
      <c r="G24" s="130"/>
    </row>
    <row r="25" spans="2:7" x14ac:dyDescent="0.25">
      <c r="B25" s="784" t="s">
        <v>349</v>
      </c>
      <c r="C25" s="803">
        <f>'Biomass Data Assumptions'!AE26</f>
        <v>1084.7832709999984</v>
      </c>
      <c r="D25" s="833">
        <f t="shared" si="0"/>
        <v>915.64355817115927</v>
      </c>
      <c r="E25" s="952">
        <f t="shared" si="1"/>
        <v>0.12297120039902756</v>
      </c>
      <c r="F25" s="130"/>
      <c r="G25" s="130"/>
    </row>
    <row r="26" spans="2:7" ht="13.8" thickBot="1" x14ac:dyDescent="0.3">
      <c r="B26" s="786" t="s">
        <v>350</v>
      </c>
      <c r="C26" s="804">
        <f>'Biomass Data Assumptions'!AE27</f>
        <v>156.08709600000009</v>
      </c>
      <c r="D26" s="834">
        <f t="shared" si="0"/>
        <v>131.74995207502937</v>
      </c>
      <c r="E26" s="952">
        <f t="shared" si="1"/>
        <v>1.7694057490602922E-2</v>
      </c>
      <c r="F26" s="802"/>
      <c r="G26" s="802"/>
    </row>
    <row r="27" spans="2:7" ht="13.8" thickTop="1" x14ac:dyDescent="0.25">
      <c r="B27" s="789" t="s">
        <v>351</v>
      </c>
      <c r="C27" s="805">
        <f>SUM(C6:C26)</f>
        <v>127170.30800100001</v>
      </c>
      <c r="D27" s="835">
        <f>SUM(D6:D26)</f>
        <v>107341.87779685811</v>
      </c>
      <c r="E27" s="963">
        <f t="shared" ref="E27" si="2">SUM(E6:E26)</f>
        <v>14.416045903419034</v>
      </c>
      <c r="F27" s="801"/>
      <c r="G27" s="801"/>
    </row>
    <row r="29" spans="2:7" x14ac:dyDescent="0.25">
      <c r="B29" s="851" t="s">
        <v>1331</v>
      </c>
    </row>
    <row r="30" spans="2:7" x14ac:dyDescent="0.25">
      <c r="B30" s="384" t="s">
        <v>1339</v>
      </c>
    </row>
    <row r="31" spans="2:7" ht="15.6" x14ac:dyDescent="0.25">
      <c r="B31" s="384" t="s">
        <v>1340</v>
      </c>
    </row>
    <row r="32" spans="2:7" x14ac:dyDescent="0.25">
      <c r="B32" t="s">
        <v>1332</v>
      </c>
    </row>
    <row r="33" spans="2:2" ht="15.6" x14ac:dyDescent="0.25">
      <c r="B33" s="850" t="s">
        <v>1341</v>
      </c>
    </row>
    <row r="34" spans="2:2" x14ac:dyDescent="0.25">
      <c r="B34" s="384" t="s">
        <v>1338</v>
      </c>
    </row>
    <row r="35" spans="2:2" x14ac:dyDescent="0.25">
      <c r="B35" s="384" t="s">
        <v>1459</v>
      </c>
    </row>
    <row r="36" spans="2:2" x14ac:dyDescent="0.25">
      <c r="B36" s="384" t="s">
        <v>1085</v>
      </c>
    </row>
    <row r="37" spans="2:2" ht="15.6" x14ac:dyDescent="0.25">
      <c r="B37" s="384" t="s">
        <v>1342</v>
      </c>
    </row>
    <row r="38" spans="2:2" ht="15.6" x14ac:dyDescent="0.25">
      <c r="B38" s="384" t="s">
        <v>1343</v>
      </c>
    </row>
  </sheetData>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E66"/>
  <sheetViews>
    <sheetView workbookViewId="0">
      <selection activeCell="D32" sqref="D32"/>
    </sheetView>
  </sheetViews>
  <sheetFormatPr defaultColWidth="8.88671875" defaultRowHeight="13.2" x14ac:dyDescent="0.25"/>
  <cols>
    <col min="1" max="1" width="30.44140625" customWidth="1"/>
    <col min="2" max="3" width="50.33203125" customWidth="1"/>
    <col min="4" max="4" width="31" customWidth="1"/>
  </cols>
  <sheetData>
    <row r="1" spans="1:4" ht="18" x14ac:dyDescent="0.35">
      <c r="A1" s="1191" t="s">
        <v>1018</v>
      </c>
      <c r="B1" s="1191"/>
      <c r="C1" s="1191"/>
      <c r="D1" s="580"/>
    </row>
    <row r="2" spans="1:4" x14ac:dyDescent="0.25">
      <c r="A2" s="375" t="s">
        <v>39</v>
      </c>
      <c r="B2" s="375" t="s">
        <v>40</v>
      </c>
      <c r="C2" s="375" t="s">
        <v>1019</v>
      </c>
      <c r="D2" s="577"/>
    </row>
    <row r="3" spans="1:4" x14ac:dyDescent="0.25">
      <c r="A3" s="377" t="s">
        <v>43</v>
      </c>
      <c r="B3" s="378" t="s">
        <v>44</v>
      </c>
      <c r="C3" s="379" t="s">
        <v>45</v>
      </c>
      <c r="D3" s="578"/>
    </row>
    <row r="4" spans="1:4" x14ac:dyDescent="0.25">
      <c r="A4" s="377" t="s">
        <v>1100</v>
      </c>
      <c r="B4" s="378" t="s">
        <v>48</v>
      </c>
      <c r="C4" s="379" t="s">
        <v>1101</v>
      </c>
      <c r="D4" s="578"/>
    </row>
    <row r="5" spans="1:4" x14ac:dyDescent="0.25">
      <c r="A5" s="377" t="s">
        <v>47</v>
      </c>
      <c r="B5" s="378" t="s">
        <v>1102</v>
      </c>
      <c r="C5" s="379" t="s">
        <v>49</v>
      </c>
      <c r="D5" s="578"/>
    </row>
    <row r="6" spans="1:4" x14ac:dyDescent="0.25">
      <c r="A6" s="377" t="s">
        <v>59</v>
      </c>
      <c r="B6" s="386" t="s">
        <v>1132</v>
      </c>
      <c r="C6" s="379" t="s">
        <v>60</v>
      </c>
      <c r="D6" s="578"/>
    </row>
    <row r="7" spans="1:4" x14ac:dyDescent="0.25">
      <c r="A7" s="378" t="s">
        <v>53</v>
      </c>
      <c r="B7" s="378" t="s">
        <v>54</v>
      </c>
      <c r="C7" s="379" t="s">
        <v>55</v>
      </c>
      <c r="D7" s="578"/>
    </row>
    <row r="8" spans="1:4" x14ac:dyDescent="0.25">
      <c r="A8" s="378" t="s">
        <v>56</v>
      </c>
      <c r="B8" s="378" t="s">
        <v>57</v>
      </c>
      <c r="C8" s="379" t="s">
        <v>58</v>
      </c>
      <c r="D8" s="578"/>
    </row>
    <row r="9" spans="1:4" x14ac:dyDescent="0.25">
      <c r="A9" s="393" t="s">
        <v>69</v>
      </c>
      <c r="B9" s="378" t="s">
        <v>70</v>
      </c>
      <c r="C9" s="379" t="s">
        <v>71</v>
      </c>
      <c r="D9" s="579"/>
    </row>
    <row r="10" spans="1:4" x14ac:dyDescent="0.25">
      <c r="A10" s="393" t="s">
        <v>78</v>
      </c>
      <c r="B10" s="378" t="s">
        <v>1310</v>
      </c>
      <c r="C10" s="379" t="s">
        <v>80</v>
      </c>
      <c r="D10" s="579"/>
    </row>
    <row r="11" spans="1:4" x14ac:dyDescent="0.25">
      <c r="A11" s="393" t="s">
        <v>81</v>
      </c>
      <c r="B11" s="378" t="s">
        <v>82</v>
      </c>
      <c r="C11" s="379" t="s">
        <v>83</v>
      </c>
      <c r="D11" s="579"/>
    </row>
    <row r="12" spans="1:4" x14ac:dyDescent="0.25">
      <c r="A12" s="377" t="s">
        <v>62</v>
      </c>
      <c r="B12" s="378" t="s">
        <v>63</v>
      </c>
      <c r="C12" s="379" t="s">
        <v>64</v>
      </c>
      <c r="D12" s="579"/>
    </row>
    <row r="13" spans="1:4" x14ac:dyDescent="0.25">
      <c r="A13" s="378" t="s">
        <v>66</v>
      </c>
      <c r="B13" s="378" t="s">
        <v>67</v>
      </c>
      <c r="C13" s="379" t="s">
        <v>68</v>
      </c>
      <c r="D13" s="579"/>
    </row>
    <row r="14" spans="1:4" x14ac:dyDescent="0.25">
      <c r="D14" s="579"/>
    </row>
    <row r="15" spans="1:4" x14ac:dyDescent="0.25">
      <c r="A15" s="652" t="s">
        <v>1104</v>
      </c>
      <c r="B15" s="378" t="s">
        <v>1136</v>
      </c>
      <c r="C15" s="379" t="s">
        <v>1135</v>
      </c>
    </row>
    <row r="16" spans="1:4" x14ac:dyDescent="0.25">
      <c r="A16" s="652" t="s">
        <v>1103</v>
      </c>
      <c r="B16" s="378" t="s">
        <v>1136</v>
      </c>
      <c r="C16" s="379"/>
      <c r="D16" s="579"/>
    </row>
    <row r="17" spans="1:4" x14ac:dyDescent="0.25">
      <c r="A17" s="378"/>
      <c r="B17" s="378"/>
      <c r="C17" s="379"/>
      <c r="D17" s="579"/>
    </row>
    <row r="18" spans="1:4" x14ac:dyDescent="0.25">
      <c r="A18" s="378" t="s">
        <v>1026</v>
      </c>
      <c r="B18" s="378" t="s">
        <v>1027</v>
      </c>
      <c r="C18" s="379" t="s">
        <v>1028</v>
      </c>
      <c r="D18" s="579"/>
    </row>
    <row r="19" spans="1:4" x14ac:dyDescent="0.25">
      <c r="A19" s="378" t="s">
        <v>1029</v>
      </c>
      <c r="B19" s="378" t="s">
        <v>1030</v>
      </c>
      <c r="C19" s="379" t="s">
        <v>1031</v>
      </c>
      <c r="D19" s="579"/>
    </row>
    <row r="20" spans="1:4" x14ac:dyDescent="0.25">
      <c r="A20" s="378" t="s">
        <v>1292</v>
      </c>
      <c r="B20" s="383" t="s">
        <v>1110</v>
      </c>
      <c r="C20" s="379" t="s">
        <v>74</v>
      </c>
      <c r="D20" s="579"/>
    </row>
    <row r="21" spans="1:4" x14ac:dyDescent="0.25">
      <c r="A21" s="378" t="s">
        <v>1105</v>
      </c>
      <c r="B21" s="378" t="s">
        <v>1111</v>
      </c>
      <c r="C21" s="653" t="s">
        <v>1106</v>
      </c>
      <c r="D21" s="579"/>
    </row>
    <row r="22" spans="1:4" x14ac:dyDescent="0.25">
      <c r="A22" s="378" t="s">
        <v>1107</v>
      </c>
      <c r="B22" s="378" t="s">
        <v>1112</v>
      </c>
      <c r="C22" s="379" t="s">
        <v>1108</v>
      </c>
      <c r="D22" s="579"/>
    </row>
    <row r="23" spans="1:4" x14ac:dyDescent="0.25">
      <c r="A23" s="378" t="s">
        <v>1109</v>
      </c>
      <c r="B23" s="378" t="s">
        <v>1113</v>
      </c>
      <c r="C23" s="379" t="s">
        <v>1114</v>
      </c>
      <c r="D23" s="579"/>
    </row>
    <row r="24" spans="1:4" x14ac:dyDescent="0.25">
      <c r="A24" s="378" t="s">
        <v>1115</v>
      </c>
      <c r="B24" s="378" t="s">
        <v>1116</v>
      </c>
      <c r="C24" s="653" t="s">
        <v>1117</v>
      </c>
      <c r="D24" s="579"/>
    </row>
    <row r="25" spans="1:4" x14ac:dyDescent="0.25">
      <c r="A25" s="378" t="s">
        <v>1118</v>
      </c>
      <c r="B25" s="378" t="s">
        <v>1119</v>
      </c>
      <c r="C25" s="653" t="s">
        <v>1120</v>
      </c>
      <c r="D25" s="579"/>
    </row>
    <row r="26" spans="1:4" x14ac:dyDescent="0.25">
      <c r="A26" s="378" t="s">
        <v>1121</v>
      </c>
      <c r="B26" s="378" t="s">
        <v>1123</v>
      </c>
      <c r="C26" s="379" t="s">
        <v>1122</v>
      </c>
      <c r="D26" s="579"/>
    </row>
    <row r="27" spans="1:4" x14ac:dyDescent="0.25">
      <c r="A27" s="378" t="s">
        <v>1129</v>
      </c>
      <c r="B27" s="378" t="s">
        <v>1130</v>
      </c>
      <c r="C27" s="653" t="s">
        <v>1131</v>
      </c>
      <c r="D27" s="579"/>
    </row>
    <row r="28" spans="1:4" x14ac:dyDescent="0.25">
      <c r="A28" s="378" t="s">
        <v>1137</v>
      </c>
      <c r="B28" s="378" t="s">
        <v>1138</v>
      </c>
      <c r="C28" s="378" t="s">
        <v>1139</v>
      </c>
      <c r="D28" s="579"/>
    </row>
    <row r="29" spans="1:4" x14ac:dyDescent="0.25">
      <c r="A29" s="378" t="s">
        <v>1189</v>
      </c>
      <c r="B29" s="378" t="s">
        <v>1190</v>
      </c>
      <c r="C29" s="379" t="s">
        <v>1191</v>
      </c>
      <c r="D29" s="579"/>
    </row>
    <row r="30" spans="1:4" x14ac:dyDescent="0.25">
      <c r="A30" s="378" t="s">
        <v>1199</v>
      </c>
      <c r="B30" s="378" t="s">
        <v>1200</v>
      </c>
      <c r="C30" s="379" t="s">
        <v>1201</v>
      </c>
      <c r="D30" s="579"/>
    </row>
    <row r="31" spans="1:4" x14ac:dyDescent="0.25">
      <c r="A31" s="378" t="s">
        <v>1302</v>
      </c>
      <c r="B31" s="378" t="s">
        <v>1303</v>
      </c>
      <c r="C31" s="379" t="s">
        <v>1304</v>
      </c>
      <c r="D31" s="579"/>
    </row>
    <row r="32" spans="1:4" x14ac:dyDescent="0.25">
      <c r="A32" s="378" t="s">
        <v>1203</v>
      </c>
      <c r="B32" s="378" t="s">
        <v>1308</v>
      </c>
      <c r="C32" s="379" t="s">
        <v>1204</v>
      </c>
      <c r="D32" s="579"/>
    </row>
    <row r="33" spans="1:57" x14ac:dyDescent="0.25">
      <c r="A33" s="378" t="s">
        <v>1322</v>
      </c>
      <c r="B33" s="378" t="s">
        <v>1327</v>
      </c>
      <c r="C33" s="379" t="s">
        <v>1323</v>
      </c>
      <c r="D33" s="579"/>
    </row>
    <row r="34" spans="1:57" x14ac:dyDescent="0.25">
      <c r="A34" s="378" t="s">
        <v>1326</v>
      </c>
      <c r="B34" s="378" t="s">
        <v>1328</v>
      </c>
      <c r="C34" s="653" t="s">
        <v>1329</v>
      </c>
      <c r="D34" s="579"/>
    </row>
    <row r="35" spans="1:57" x14ac:dyDescent="0.25">
      <c r="A35" s="579"/>
      <c r="B35" s="579"/>
      <c r="C35" s="581"/>
    </row>
    <row r="36" spans="1:57" ht="18" x14ac:dyDescent="0.35">
      <c r="A36" s="1191" t="s">
        <v>1017</v>
      </c>
      <c r="B36" s="1191"/>
      <c r="C36" s="1191"/>
      <c r="D36" s="1191"/>
    </row>
    <row r="37" spans="1:57" s="376" customFormat="1" ht="15.75" customHeight="1" x14ac:dyDescent="0.3">
      <c r="A37" s="550"/>
      <c r="B37" s="375" t="s">
        <v>39</v>
      </c>
      <c r="C37" s="375" t="s">
        <v>40</v>
      </c>
      <c r="D37" s="375" t="s">
        <v>41</v>
      </c>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row>
    <row r="38" spans="1:57" s="380" customFormat="1" ht="15.75" customHeight="1" x14ac:dyDescent="0.25">
      <c r="A38" s="377" t="s">
        <v>42</v>
      </c>
      <c r="B38" s="377" t="s">
        <v>43</v>
      </c>
      <c r="C38" s="378" t="s">
        <v>44</v>
      </c>
      <c r="D38" s="379" t="s">
        <v>45</v>
      </c>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row>
    <row r="39" spans="1:57" s="380" customFormat="1" ht="15.75" customHeight="1" x14ac:dyDescent="0.25">
      <c r="A39" s="377" t="s">
        <v>46</v>
      </c>
      <c r="B39" s="377" t="s">
        <v>47</v>
      </c>
      <c r="C39" s="378" t="s">
        <v>48</v>
      </c>
      <c r="D39" s="379" t="s">
        <v>49</v>
      </c>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row>
    <row r="40" spans="1:57" s="380" customFormat="1" ht="15.75" customHeight="1" x14ac:dyDescent="0.3">
      <c r="A40" s="381" t="s">
        <v>50</v>
      </c>
      <c r="B40" s="378" t="s">
        <v>137</v>
      </c>
      <c r="C40" s="378" t="s">
        <v>51</v>
      </c>
      <c r="D40" s="379" t="s">
        <v>52</v>
      </c>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row>
    <row r="41" spans="1:57" s="380" customFormat="1" ht="15.75" customHeight="1" x14ac:dyDescent="0.25">
      <c r="A41" s="377"/>
      <c r="B41" s="378" t="s">
        <v>53</v>
      </c>
      <c r="C41" s="378" t="s">
        <v>54</v>
      </c>
      <c r="D41" s="379" t="s">
        <v>55</v>
      </c>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row>
    <row r="42" spans="1:57" s="380" customFormat="1" ht="15.75" customHeight="1" x14ac:dyDescent="0.25">
      <c r="A42" s="377"/>
      <c r="B42" s="378" t="s">
        <v>56</v>
      </c>
      <c r="C42" s="378" t="s">
        <v>57</v>
      </c>
      <c r="D42" s="379" t="s">
        <v>58</v>
      </c>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row>
    <row r="43" spans="1:57" s="382" customFormat="1" ht="15.75" customHeight="1" x14ac:dyDescent="0.3">
      <c r="A43" s="377"/>
      <c r="B43" s="378" t="s">
        <v>59</v>
      </c>
      <c r="C43" s="378" t="s">
        <v>579</v>
      </c>
      <c r="D43" s="379" t="s">
        <v>60</v>
      </c>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row>
    <row r="44" spans="1:57" s="382" customFormat="1" ht="15.75" customHeight="1" x14ac:dyDescent="0.3">
      <c r="A44" s="377"/>
      <c r="B44" s="393" t="s">
        <v>24</v>
      </c>
      <c r="C44" s="378" t="s">
        <v>27</v>
      </c>
      <c r="D44" s="379" t="s">
        <v>26</v>
      </c>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row>
    <row r="45" spans="1:57" s="382" customFormat="1" ht="15.75" customHeight="1" x14ac:dyDescent="0.3">
      <c r="A45" s="377"/>
      <c r="B45" s="393" t="s">
        <v>15</v>
      </c>
      <c r="C45" s="378" t="s">
        <v>16</v>
      </c>
      <c r="D45" s="379" t="s">
        <v>17</v>
      </c>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row>
    <row r="46" spans="1:57" s="380" customFormat="1" ht="15.75" customHeight="1" x14ac:dyDescent="0.25">
      <c r="A46" s="377" t="s">
        <v>61</v>
      </c>
      <c r="B46" s="377" t="s">
        <v>62</v>
      </c>
      <c r="C46" s="378" t="s">
        <v>63</v>
      </c>
      <c r="D46" s="379" t="s">
        <v>64</v>
      </c>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row>
    <row r="47" spans="1:57" s="380" customFormat="1" ht="15.75" customHeight="1" x14ac:dyDescent="0.3">
      <c r="A47" s="381" t="s">
        <v>65</v>
      </c>
      <c r="B47" s="378" t="s">
        <v>66</v>
      </c>
      <c r="C47" s="378" t="s">
        <v>67</v>
      </c>
      <c r="D47" s="379" t="s">
        <v>68</v>
      </c>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row>
    <row r="48" spans="1:57" s="380" customFormat="1" ht="15.75" customHeight="1" x14ac:dyDescent="0.25">
      <c r="A48" s="377"/>
      <c r="B48" s="378" t="s">
        <v>69</v>
      </c>
      <c r="C48" s="378" t="s">
        <v>70</v>
      </c>
      <c r="D48" s="379" t="s">
        <v>71</v>
      </c>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row>
    <row r="49" spans="1:57" s="382" customFormat="1" ht="15.75" customHeight="1" x14ac:dyDescent="0.3">
      <c r="A49" s="377"/>
      <c r="B49" s="378" t="s">
        <v>72</v>
      </c>
      <c r="C49" s="383" t="s">
        <v>73</v>
      </c>
      <c r="D49" s="379" t="s">
        <v>74</v>
      </c>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row>
    <row r="50" spans="1:57" x14ac:dyDescent="0.25">
      <c r="A50" s="1"/>
      <c r="B50" s="378" t="s">
        <v>75</v>
      </c>
      <c r="C50" s="378" t="s">
        <v>76</v>
      </c>
      <c r="D50" s="379" t="s">
        <v>77</v>
      </c>
    </row>
    <row r="51" spans="1:57" s="382" customFormat="1" ht="15.75" customHeight="1" x14ac:dyDescent="0.3">
      <c r="A51" s="377"/>
      <c r="B51" s="378" t="s">
        <v>78</v>
      </c>
      <c r="C51" s="378" t="s">
        <v>79</v>
      </c>
      <c r="D51" s="379" t="s">
        <v>80</v>
      </c>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row>
    <row r="52" spans="1:57" s="380" customFormat="1" ht="15.75" customHeight="1" x14ac:dyDescent="0.25">
      <c r="A52" s="377"/>
      <c r="B52" s="378" t="s">
        <v>81</v>
      </c>
      <c r="C52" s="378" t="s">
        <v>82</v>
      </c>
      <c r="D52" s="379" t="s">
        <v>83</v>
      </c>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row>
    <row r="53" spans="1:57" s="380" customFormat="1" ht="15.75" customHeight="1" x14ac:dyDescent="0.25">
      <c r="A53" s="377" t="s">
        <v>84</v>
      </c>
      <c r="B53" s="377" t="s">
        <v>85</v>
      </c>
      <c r="C53" s="378" t="s">
        <v>86</v>
      </c>
      <c r="D53" s="379" t="s">
        <v>87</v>
      </c>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row>
    <row r="54" spans="1:57" s="380" customFormat="1" ht="15.75" customHeight="1" x14ac:dyDescent="0.3">
      <c r="A54" s="381" t="s">
        <v>28</v>
      </c>
      <c r="B54" s="378" t="s">
        <v>29</v>
      </c>
      <c r="C54" s="378" t="s">
        <v>30</v>
      </c>
      <c r="D54" s="379" t="s">
        <v>31</v>
      </c>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row>
    <row r="55" spans="1:57" s="380" customFormat="1" ht="15.75" customHeight="1" x14ac:dyDescent="0.25">
      <c r="A55" s="377" t="s">
        <v>32</v>
      </c>
      <c r="B55" s="377" t="s">
        <v>43</v>
      </c>
      <c r="C55" s="378" t="s">
        <v>44</v>
      </c>
      <c r="D55" s="379" t="s">
        <v>45</v>
      </c>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row>
    <row r="56" spans="1:57" s="384" customFormat="1" ht="15.75" customHeight="1" x14ac:dyDescent="0.3">
      <c r="A56" s="381" t="s">
        <v>33</v>
      </c>
      <c r="B56" s="378" t="s">
        <v>62</v>
      </c>
      <c r="C56" s="378" t="s">
        <v>63</v>
      </c>
      <c r="D56" s="379" t="s">
        <v>64</v>
      </c>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row>
    <row r="57" spans="1:57" s="384" customFormat="1" ht="15.75" customHeight="1" x14ac:dyDescent="0.25">
      <c r="A57" s="130"/>
      <c r="B57" s="378" t="s">
        <v>47</v>
      </c>
      <c r="C57" s="378" t="s">
        <v>48</v>
      </c>
      <c r="D57" s="379" t="s">
        <v>49</v>
      </c>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row>
    <row r="58" spans="1:57" s="384" customFormat="1" ht="15.75" customHeight="1" x14ac:dyDescent="0.25">
      <c r="A58"/>
      <c r="B58" s="386"/>
      <c r="C58" s="386"/>
      <c r="D58" s="386"/>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row>
    <row r="59" spans="1:57" s="386" customFormat="1" ht="15.75" customHeight="1" x14ac:dyDescent="0.25">
      <c r="A59" s="385" t="s">
        <v>34</v>
      </c>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row>
    <row r="60" spans="1:57" s="386" customFormat="1" ht="15.75" customHeight="1" x14ac:dyDescent="0.25">
      <c r="A60" s="385" t="s">
        <v>35</v>
      </c>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row>
    <row r="61" spans="1:57" s="386" customFormat="1" ht="15.75" customHeight="1" x14ac:dyDescent="0.25">
      <c r="A61" s="385" t="s">
        <v>36</v>
      </c>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row>
    <row r="62" spans="1:57" s="386" customFormat="1" ht="15.75" customHeight="1" x14ac:dyDescent="0.25">
      <c r="A62" s="385" t="s">
        <v>37</v>
      </c>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row>
    <row r="63" spans="1:57" s="386" customFormat="1" ht="15.75" customHeight="1" x14ac:dyDescent="0.25">
      <c r="A63" s="385" t="s">
        <v>25</v>
      </c>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row>
    <row r="64" spans="1:57" s="387" customFormat="1" ht="13.8" x14ac:dyDescent="0.25">
      <c r="A64" s="386"/>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row>
    <row r="65" spans="2:57" s="387" customFormat="1" ht="13.8" x14ac:dyDescent="0.2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row>
    <row r="66" spans="2:57" s="387" customFormat="1" ht="13.8" x14ac:dyDescent="0.25">
      <c r="B66"/>
      <c r="C66" s="384"/>
      <c r="D66" s="384"/>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row>
  </sheetData>
  <mergeCells count="2">
    <mergeCell ref="A36:D36"/>
    <mergeCell ref="A1:C1"/>
  </mergeCells>
  <phoneticPr fontId="0" type="noConversion"/>
  <hyperlinks>
    <hyperlink ref="D38" r:id="rId1"/>
    <hyperlink ref="D53" r:id="rId2"/>
    <hyperlink ref="D54" r:id="rId3"/>
    <hyperlink ref="D47" r:id="rId4"/>
    <hyperlink ref="D52" r:id="rId5"/>
    <hyperlink ref="D42" r:id="rId6"/>
    <hyperlink ref="D39" r:id="rId7"/>
    <hyperlink ref="D50" r:id="rId8"/>
    <hyperlink ref="D46" r:id="rId9"/>
    <hyperlink ref="D48" r:id="rId10"/>
    <hyperlink ref="D40" r:id="rId11"/>
    <hyperlink ref="D51" r:id="rId12"/>
    <hyperlink ref="D41" r:id="rId13" display="mailto:fennell@envsci.rutgers.edu"/>
    <hyperlink ref="D49" r:id="rId14"/>
    <hyperlink ref="D43" r:id="rId15"/>
    <hyperlink ref="D55" r:id="rId16"/>
    <hyperlink ref="D56" r:id="rId17"/>
    <hyperlink ref="D57" r:id="rId18"/>
    <hyperlink ref="D44" r:id="rId19"/>
    <hyperlink ref="D45" r:id="rId20"/>
    <hyperlink ref="C3" r:id="rId21"/>
    <hyperlink ref="C13" r:id="rId22"/>
    <hyperlink ref="C8" r:id="rId23"/>
    <hyperlink ref="C4" r:id="rId24"/>
    <hyperlink ref="C12" r:id="rId25"/>
    <hyperlink ref="C5" r:id="rId26"/>
    <hyperlink ref="C7" r:id="rId27" display="mailto:fennell@envsci.rutgers.edu"/>
    <hyperlink ref="C20" r:id="rId28"/>
    <hyperlink ref="C18" r:id="rId29" display="joseph.davis@"/>
    <hyperlink ref="C19" r:id="rId30"/>
    <hyperlink ref="C22" r:id="rId31"/>
    <hyperlink ref="C23" r:id="rId32"/>
    <hyperlink ref="C26" r:id="rId33"/>
    <hyperlink ref="C15" r:id="rId34"/>
    <hyperlink ref="C29" r:id="rId35"/>
    <hyperlink ref="C30" r:id="rId36"/>
    <hyperlink ref="C32" r:id="rId37"/>
    <hyperlink ref="C31" r:id="rId38"/>
    <hyperlink ref="C33" r:id="rId39"/>
  </hyperlinks>
  <pageMargins left="0.19" right="0.21" top="1.39" bottom="1" header="0.48" footer="0.5"/>
  <pageSetup orientation="landscape" r:id="rId40"/>
  <headerFooter alignWithMargins="0">
    <oddHeader>&amp;L&amp;P&amp;C&amp;"Times New Roman,Bold"&amp;14NJAES BPU Project
Team Members and Contact Information</oddHeader>
    <oddFooter>&amp;R&amp;"Arial,Italic"NJAES Report 2007-1 ©2007
New Jersey Agricultural Experiment Station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S203"/>
  <sheetViews>
    <sheetView topLeftCell="A124" zoomScaleNormal="100" workbookViewId="0">
      <selection activeCell="B150" sqref="B150"/>
    </sheetView>
  </sheetViews>
  <sheetFormatPr defaultColWidth="9.109375" defaultRowHeight="13.2" x14ac:dyDescent="0.25"/>
  <cols>
    <col min="1" max="1" width="28.6640625" style="5" customWidth="1"/>
    <col min="2" max="2" width="42.5546875" style="5" customWidth="1"/>
    <col min="3" max="3" width="23.6640625" style="5" customWidth="1"/>
    <col min="4" max="4" width="18.6640625" style="5" customWidth="1"/>
    <col min="5" max="16" width="14.6640625" style="5" customWidth="1"/>
    <col min="17" max="17" width="45.6640625" style="5" customWidth="1"/>
    <col min="18" max="18" width="34.44140625" style="5" customWidth="1"/>
    <col min="19" max="19" width="19.33203125" style="5" customWidth="1"/>
    <col min="20" max="20" width="14" style="5" customWidth="1"/>
    <col min="21" max="16384" width="9.109375" style="5"/>
  </cols>
  <sheetData>
    <row r="1" spans="1:17" s="406" customFormat="1" ht="15.6" x14ac:dyDescent="0.3">
      <c r="A1" s="407" t="s">
        <v>566</v>
      </c>
      <c r="E1" s="412" t="s">
        <v>433</v>
      </c>
      <c r="I1" s="1192" t="str">
        <f>'Bioenergy Calculator'!B3</f>
        <v>None</v>
      </c>
      <c r="J1" s="1193"/>
      <c r="K1" s="1193"/>
      <c r="L1" s="1194"/>
      <c r="M1" s="1195" t="str">
        <f>'Bioenergy Calculator'!B4</f>
        <v>None</v>
      </c>
      <c r="N1" s="1195"/>
      <c r="O1" s="1195"/>
      <c r="P1" s="1196"/>
    </row>
    <row r="3" spans="1:17" s="6" customFormat="1" ht="24.75" customHeight="1" x14ac:dyDescent="0.25">
      <c r="A3" s="1062" t="s">
        <v>567</v>
      </c>
      <c r="B3" s="1062" t="s">
        <v>506</v>
      </c>
      <c r="C3" s="1062" t="s">
        <v>1035</v>
      </c>
      <c r="D3" s="1062" t="s">
        <v>1051</v>
      </c>
      <c r="E3" s="1083" t="s">
        <v>523</v>
      </c>
      <c r="F3" s="1144"/>
      <c r="G3" s="1144"/>
      <c r="H3" s="1199"/>
      <c r="I3" s="1072" t="s">
        <v>275</v>
      </c>
      <c r="J3" s="1073"/>
      <c r="K3" s="1074"/>
      <c r="L3" s="1075"/>
      <c r="M3" s="1083" t="s">
        <v>274</v>
      </c>
      <c r="N3" s="1084"/>
      <c r="O3" s="1197"/>
      <c r="P3" s="1198"/>
      <c r="Q3" s="1060" t="s">
        <v>570</v>
      </c>
    </row>
    <row r="4" spans="1:17" s="6" customFormat="1" x14ac:dyDescent="0.25">
      <c r="A4" s="1063"/>
      <c r="B4" s="1063"/>
      <c r="C4" s="1063"/>
      <c r="D4" s="1071"/>
      <c r="E4" s="22">
        <v>2010</v>
      </c>
      <c r="F4" s="22">
        <v>2015</v>
      </c>
      <c r="G4" s="22">
        <v>2020</v>
      </c>
      <c r="H4" s="22">
        <v>2025</v>
      </c>
      <c r="I4" s="22">
        <v>2010</v>
      </c>
      <c r="J4" s="22">
        <v>2015</v>
      </c>
      <c r="K4" s="22">
        <v>2020</v>
      </c>
      <c r="L4" s="22">
        <v>2025</v>
      </c>
      <c r="M4" s="22">
        <v>2010</v>
      </c>
      <c r="N4" s="22">
        <v>2015</v>
      </c>
      <c r="O4" s="22">
        <v>2020</v>
      </c>
      <c r="P4" s="22">
        <v>2025</v>
      </c>
      <c r="Q4" s="1061"/>
    </row>
    <row r="5" spans="1:17" x14ac:dyDescent="0.25">
      <c r="A5" s="1064" t="s">
        <v>513</v>
      </c>
      <c r="B5" s="1" t="s">
        <v>511</v>
      </c>
      <c r="C5" s="7"/>
      <c r="D5" s="7"/>
      <c r="E5" s="7"/>
      <c r="F5" s="7"/>
      <c r="G5" s="7"/>
      <c r="H5" s="7"/>
      <c r="I5" s="7"/>
      <c r="J5" s="7"/>
      <c r="K5" s="7"/>
      <c r="L5" s="7"/>
      <c r="M5" s="7"/>
      <c r="N5" s="7"/>
      <c r="O5" s="7"/>
      <c r="P5" s="7"/>
      <c r="Q5" s="7"/>
    </row>
    <row r="6" spans="1:17" x14ac:dyDescent="0.25">
      <c r="A6" s="1064"/>
      <c r="B6" s="11" t="str">
        <f>IF('Prac. Rec. Assumptions'!$B$56='Prac. Rec. Assumptions'!$V$3,A74,IF('Prac. Rec. Assumptions'!B57="No",A74,"Sorghum- Converted to Energy Crop"))</f>
        <v>Sorghum</v>
      </c>
      <c r="C6" s="294">
        <f>IF('Prac. Rec. Assumptions'!$B$56='Prac. Rec. Assumptions'!$V$3,D74,IF('Prac. Rec. Assumptions'!B57="No",D74,0))</f>
        <v>170.04119999999998</v>
      </c>
      <c r="D6" s="294" t="s">
        <v>431</v>
      </c>
      <c r="E6" s="294">
        <f>C6*'Prac. Rec. Assumptions'!B4</f>
        <v>0</v>
      </c>
      <c r="F6" s="294">
        <f>$E6</f>
        <v>0</v>
      </c>
      <c r="G6" s="294">
        <f>$E6</f>
        <v>0</v>
      </c>
      <c r="H6" s="294">
        <f>$E6</f>
        <v>0</v>
      </c>
      <c r="I6" s="71" t="str">
        <f>IF('Conversion Tables'!F7="NA","NA",$D6/'Conversion Tables'!F7)</f>
        <v>NA</v>
      </c>
      <c r="J6" s="71" t="str">
        <f>IF('Conversion Tables'!G7="NA","NA",$D6/'Conversion Tables'!G7)</f>
        <v>NA</v>
      </c>
      <c r="K6" s="71" t="str">
        <f>IF('Conversion Tables'!H7="NA","NA",$D6/'Conversion Tables'!H7)</f>
        <v>NA</v>
      </c>
      <c r="L6" s="71" t="str">
        <f>IF('Conversion Tables'!I7="NA","NA",$D6/'Conversion Tables'!I7)</f>
        <v>NA</v>
      </c>
      <c r="M6" s="16" t="str">
        <f>IF('Conversion Tables'!K7="NA","NA",$C74*'Conversion Tables'!K7)</f>
        <v>NA</v>
      </c>
      <c r="N6" s="16" t="str">
        <f>IF('Conversion Tables'!L7="NA","NA",$C74*'Conversion Tables'!L7)</f>
        <v>NA</v>
      </c>
      <c r="O6" s="16" t="str">
        <f>IF('Conversion Tables'!M7="NA","NA",$C74*'Conversion Tables'!M7)</f>
        <v>NA</v>
      </c>
      <c r="P6" s="16" t="str">
        <f>IF('Conversion Tables'!N7="NA","NA",$C74*'Conversion Tables'!N7)</f>
        <v>NA</v>
      </c>
      <c r="Q6" s="15"/>
    </row>
    <row r="7" spans="1:17" x14ac:dyDescent="0.25">
      <c r="A7" s="1064"/>
      <c r="B7" s="11" t="str">
        <f>IF('Prac. Rec. Assumptions'!$B$56='Prac. Rec. Assumptions'!$V$3,A75,IF('Prac. Rec. Assumptions'!B59="No",A75,"Rye- Converted to Energy Crop"))</f>
        <v>Rye</v>
      </c>
      <c r="C7" s="294">
        <f>IF('Prac. Rec. Assumptions'!$B$56='Prac. Rec. Assumptions'!$V$3,D75,IF('Prac. Rec. Assumptions'!B59="No",D75,0))</f>
        <v>272.12640000000005</v>
      </c>
      <c r="D7" s="294" t="s">
        <v>431</v>
      </c>
      <c r="E7" s="294">
        <f>C7*'Prac. Rec. Assumptions'!B5</f>
        <v>0</v>
      </c>
      <c r="F7" s="294">
        <f t="shared" ref="F7:H10" si="0">$E7</f>
        <v>0</v>
      </c>
      <c r="G7" s="294">
        <f t="shared" si="0"/>
        <v>0</v>
      </c>
      <c r="H7" s="294">
        <f t="shared" si="0"/>
        <v>0</v>
      </c>
      <c r="I7" s="71" t="str">
        <f>IF('Conversion Tables'!F8="NA","NA",$D7/'Conversion Tables'!F8)</f>
        <v>NA</v>
      </c>
      <c r="J7" s="71" t="str">
        <f>IF('Conversion Tables'!G8="NA","NA",$D7/'Conversion Tables'!G8)</f>
        <v>NA</v>
      </c>
      <c r="K7" s="71" t="str">
        <f>IF('Conversion Tables'!H8="NA","NA",$D7/'Conversion Tables'!H8)</f>
        <v>NA</v>
      </c>
      <c r="L7" s="71" t="str">
        <f>IF('Conversion Tables'!I8="NA","NA",$D7/'Conversion Tables'!I8)</f>
        <v>NA</v>
      </c>
      <c r="M7" s="16" t="str">
        <f>IF('Conversion Tables'!K8="NA","NA",$C75*'Conversion Tables'!K8)</f>
        <v>NA</v>
      </c>
      <c r="N7" s="16" t="str">
        <f>IF('Conversion Tables'!L8="NA","NA",$C75*'Conversion Tables'!L8)</f>
        <v>NA</v>
      </c>
      <c r="O7" s="16" t="str">
        <f>IF('Conversion Tables'!M8="NA","NA",$C75*'Conversion Tables'!M8)</f>
        <v>NA</v>
      </c>
      <c r="P7" s="16" t="str">
        <f>IF('Conversion Tables'!N8="NA","NA",$C75*'Conversion Tables'!N8)</f>
        <v>NA</v>
      </c>
      <c r="Q7" s="15"/>
    </row>
    <row r="8" spans="1:17" x14ac:dyDescent="0.25">
      <c r="A8" s="1064"/>
      <c r="B8" s="11" t="str">
        <f>IF('Prac. Rec. Assumptions'!$B$56='Prac. Rec. Assumptions'!$V$3,A76,IF('Prac. Rec. Assumptions'!B60="No",A76,"Corn for Grain- Converted to Energy Crop"))</f>
        <v>Corn for Grain</v>
      </c>
      <c r="C8" s="294">
        <f>IF('Prac. Rec. Assumptions'!$B$56='Prac. Rec. Assumptions'!$V$3,D76,IF('Prac. Rec. Assumptions'!B60="No",D76,0))</f>
        <v>1750</v>
      </c>
      <c r="D8" s="294" t="s">
        <v>431</v>
      </c>
      <c r="E8" s="294">
        <f>C8*'Prac. Rec. Assumptions'!B6</f>
        <v>0</v>
      </c>
      <c r="F8" s="294">
        <f t="shared" si="0"/>
        <v>0</v>
      </c>
      <c r="G8" s="294">
        <f t="shared" si="0"/>
        <v>0</v>
      </c>
      <c r="H8" s="294">
        <f t="shared" si="0"/>
        <v>0</v>
      </c>
      <c r="I8" s="71" t="str">
        <f>IF('Conversion Tables'!F9="NA","NA",$D8/'Conversion Tables'!F9)</f>
        <v>NA</v>
      </c>
      <c r="J8" s="71" t="str">
        <f>IF('Conversion Tables'!G9="NA","NA",$D8/'Conversion Tables'!G9)</f>
        <v>NA</v>
      </c>
      <c r="K8" s="71" t="str">
        <f>IF('Conversion Tables'!H9="NA","NA",$D8/'Conversion Tables'!H9)</f>
        <v>NA</v>
      </c>
      <c r="L8" s="71" t="str">
        <f>IF('Conversion Tables'!I9="NA","NA",$D8/'Conversion Tables'!I9)</f>
        <v>NA</v>
      </c>
      <c r="M8" s="16" t="str">
        <f>IF('Conversion Tables'!K9="NA","NA",$C76*'Conversion Tables'!K9)</f>
        <v>NA</v>
      </c>
      <c r="N8" s="16" t="str">
        <f>IF('Conversion Tables'!L9="NA","NA",$C76*'Conversion Tables'!L9)</f>
        <v>NA</v>
      </c>
      <c r="O8" s="16" t="str">
        <f>IF('Conversion Tables'!M9="NA","NA",$C76*'Conversion Tables'!M9)</f>
        <v>NA</v>
      </c>
      <c r="P8" s="16" t="str">
        <f>IF('Conversion Tables'!N9="NA","NA",$C76*'Conversion Tables'!N9)</f>
        <v>NA</v>
      </c>
      <c r="Q8" s="15"/>
    </row>
    <row r="9" spans="1:17" x14ac:dyDescent="0.25">
      <c r="A9" s="1064"/>
      <c r="B9" s="11" t="str">
        <f>IF('Prac. Rec. Assumptions'!$B$56='Prac. Rec. Assumptions'!$V$3,A78,IF('Prac. Rec. Assumptions'!B64="No",A78,"Wheat- Converted to Energy Crop"))</f>
        <v>Wheat</v>
      </c>
      <c r="C9" s="294">
        <f>IF('Prac. Rec. Assumptions'!$B$56='Prac. Rec. Assumptions'!$V$3,D78,IF('Prac. Rec. Assumptions'!B64="No",D78,0))</f>
        <v>356.4</v>
      </c>
      <c r="D9" s="294" t="s">
        <v>431</v>
      </c>
      <c r="E9" s="294">
        <f>C9*'Prac. Rec. Assumptions'!B7</f>
        <v>0</v>
      </c>
      <c r="F9" s="294">
        <f t="shared" si="0"/>
        <v>0</v>
      </c>
      <c r="G9" s="294">
        <f t="shared" si="0"/>
        <v>0</v>
      </c>
      <c r="H9" s="294">
        <f t="shared" si="0"/>
        <v>0</v>
      </c>
      <c r="I9" s="71" t="str">
        <f>IF('Conversion Tables'!F10="NA","NA",$D9/'Conversion Tables'!F10)</f>
        <v>NA</v>
      </c>
      <c r="J9" s="71" t="str">
        <f>IF('Conversion Tables'!G10="NA","NA",$D9/'Conversion Tables'!G10)</f>
        <v>NA</v>
      </c>
      <c r="K9" s="71" t="str">
        <f>IF('Conversion Tables'!H10="NA","NA",$D9/'Conversion Tables'!H10)</f>
        <v>NA</v>
      </c>
      <c r="L9" s="71" t="str">
        <f>IF('Conversion Tables'!I10="NA","NA",$D9/'Conversion Tables'!I10)</f>
        <v>NA</v>
      </c>
      <c r="M9" s="16" t="str">
        <f>IF('Conversion Tables'!K10="NA","NA",$C78*'Conversion Tables'!K10)</f>
        <v>NA</v>
      </c>
      <c r="N9" s="16" t="str">
        <f>IF('Conversion Tables'!L10="NA","NA",$C78*'Conversion Tables'!L10)</f>
        <v>NA</v>
      </c>
      <c r="O9" s="16" t="str">
        <f>IF('Conversion Tables'!M10="NA","NA",$C78*'Conversion Tables'!M10)</f>
        <v>NA</v>
      </c>
      <c r="P9" s="16" t="str">
        <f>IF('Conversion Tables'!N10="NA","NA",$C78*'Conversion Tables'!N10)</f>
        <v>NA</v>
      </c>
      <c r="Q9" s="15"/>
    </row>
    <row r="10" spans="1:17" x14ac:dyDescent="0.25">
      <c r="A10" s="1064"/>
      <c r="B10" s="129" t="s">
        <v>301</v>
      </c>
      <c r="C10" s="294"/>
      <c r="D10" s="294" t="s">
        <v>431</v>
      </c>
      <c r="E10" s="294">
        <f>C10*'Prac. Rec. Assumptions'!B8</f>
        <v>0</v>
      </c>
      <c r="F10" s="294">
        <f t="shared" si="0"/>
        <v>0</v>
      </c>
      <c r="G10" s="294">
        <f t="shared" si="0"/>
        <v>0</v>
      </c>
      <c r="H10" s="294">
        <f t="shared" si="0"/>
        <v>0</v>
      </c>
      <c r="I10" s="71" t="str">
        <f>IF('Conversion Tables'!F11="NA","NA",$D10/'Conversion Tables'!F11)</f>
        <v>NA</v>
      </c>
      <c r="J10" s="71" t="str">
        <f>IF('Conversion Tables'!G11="NA","NA",$D10/'Conversion Tables'!G11)</f>
        <v>NA</v>
      </c>
      <c r="K10" s="71" t="str">
        <f>IF('Conversion Tables'!H11="NA","NA",$D10/'Conversion Tables'!H11)</f>
        <v>NA</v>
      </c>
      <c r="L10" s="71" t="str">
        <f>IF('Conversion Tables'!I11="NA","NA",$D10/'Conversion Tables'!I11)</f>
        <v>NA</v>
      </c>
      <c r="M10" s="16" t="str">
        <f>IF('Conversion Tables'!K11="NA","NA",E10*'Conversion Tables'!K11)</f>
        <v>NA</v>
      </c>
      <c r="N10" s="16" t="str">
        <f>IF('Conversion Tables'!L11="NA","NA",F10*'Conversion Tables'!L11)</f>
        <v>NA</v>
      </c>
      <c r="O10" s="16" t="str">
        <f>IF('Conversion Tables'!M11="NA","NA",G10*'Conversion Tables'!M11)</f>
        <v>NA</v>
      </c>
      <c r="P10" s="16" t="str">
        <f>IF('Conversion Tables'!N11="NA","NA",H10*'Conversion Tables'!N11)</f>
        <v>NA</v>
      </c>
      <c r="Q10" s="7"/>
    </row>
    <row r="11" spans="1:17" x14ac:dyDescent="0.25">
      <c r="A11" s="1065"/>
      <c r="B11" s="9" t="s">
        <v>524</v>
      </c>
      <c r="C11" s="295">
        <f t="shared" ref="C11:P11" si="1">SUM(C5:C10)</f>
        <v>2548.5675999999999</v>
      </c>
      <c r="D11" s="295">
        <f t="shared" si="1"/>
        <v>0</v>
      </c>
      <c r="E11" s="295">
        <f t="shared" si="1"/>
        <v>0</v>
      </c>
      <c r="F11" s="295">
        <f t="shared" si="1"/>
        <v>0</v>
      </c>
      <c r="G11" s="295">
        <f t="shared" si="1"/>
        <v>0</v>
      </c>
      <c r="H11" s="295">
        <f t="shared" si="1"/>
        <v>0</v>
      </c>
      <c r="I11" s="19">
        <f t="shared" si="1"/>
        <v>0</v>
      </c>
      <c r="J11" s="19">
        <f t="shared" si="1"/>
        <v>0</v>
      </c>
      <c r="K11" s="19">
        <f t="shared" si="1"/>
        <v>0</v>
      </c>
      <c r="L11" s="19">
        <f t="shared" si="1"/>
        <v>0</v>
      </c>
      <c r="M11" s="19">
        <f t="shared" si="1"/>
        <v>0</v>
      </c>
      <c r="N11" s="19">
        <f t="shared" si="1"/>
        <v>0</v>
      </c>
      <c r="O11" s="19">
        <f t="shared" si="1"/>
        <v>0</v>
      </c>
      <c r="P11" s="19">
        <f t="shared" si="1"/>
        <v>0</v>
      </c>
      <c r="Q11" s="19"/>
    </row>
    <row r="12" spans="1:17" x14ac:dyDescent="0.25">
      <c r="A12" s="8"/>
      <c r="C12" s="296"/>
      <c r="D12" s="296"/>
      <c r="E12" s="296"/>
      <c r="F12" s="296"/>
      <c r="G12" s="296"/>
      <c r="H12" s="296"/>
      <c r="I12" s="28"/>
      <c r="J12" s="28"/>
      <c r="K12" s="28"/>
      <c r="L12" s="28"/>
      <c r="M12" s="28"/>
      <c r="N12" s="28"/>
      <c r="O12" s="28"/>
      <c r="P12" s="28"/>
    </row>
    <row r="13" spans="1:17" x14ac:dyDescent="0.25">
      <c r="A13" s="1206" t="s">
        <v>514</v>
      </c>
      <c r="B13" s="1" t="s">
        <v>507</v>
      </c>
      <c r="C13" s="294">
        <f>D90</f>
        <v>0</v>
      </c>
      <c r="D13" s="294">
        <f>E13*'Conversion Tables'!C12</f>
        <v>0</v>
      </c>
      <c r="E13" s="294">
        <f>C13*'Prac. Rec. Assumptions'!B9</f>
        <v>0</v>
      </c>
      <c r="F13" s="294">
        <f>$E13</f>
        <v>0</v>
      </c>
      <c r="G13" s="294">
        <f>$E13</f>
        <v>0</v>
      </c>
      <c r="H13" s="294">
        <f>$E13</f>
        <v>0</v>
      </c>
      <c r="I13" s="16" t="str">
        <f>IF('Conversion Tables'!F12="NA","NA",(E13*'Conversion Tables'!$C12)/'Conversion Tables'!F12)</f>
        <v>NA</v>
      </c>
      <c r="J13" s="16" t="str">
        <f>IF('Conversion Tables'!G12="NA","NA",(F13*'Conversion Tables'!$C12)/'Conversion Tables'!G12)</f>
        <v>NA</v>
      </c>
      <c r="K13" s="16" t="str">
        <f>IF('Conversion Tables'!H12="NA","NA",(G13*'Conversion Tables'!$C12)/'Conversion Tables'!H12)</f>
        <v>NA</v>
      </c>
      <c r="L13" s="16" t="str">
        <f>IF('Conversion Tables'!I12="NA","NA",(H13*'Conversion Tables'!$C12)/'Conversion Tables'!I12)</f>
        <v>NA</v>
      </c>
      <c r="M13" s="16" t="str">
        <f>IF('Conversion Tables'!K12="NA","NA",E13*'Conversion Tables'!K12)</f>
        <v>NA</v>
      </c>
      <c r="N13" s="16" t="str">
        <f>IF('Conversion Tables'!L12="NA","NA",F13*'Conversion Tables'!L12)</f>
        <v>NA</v>
      </c>
      <c r="O13" s="16" t="str">
        <f>IF('Conversion Tables'!M12="NA","NA",G13*'Conversion Tables'!M12)</f>
        <v>NA</v>
      </c>
      <c r="P13" s="16" t="str">
        <f>IF('Conversion Tables'!N12="NA","NA",H13*'Conversion Tables'!N12)</f>
        <v>NA</v>
      </c>
      <c r="Q13" s="7"/>
    </row>
    <row r="14" spans="1:17" x14ac:dyDescent="0.25">
      <c r="A14" s="1207"/>
      <c r="B14" s="1" t="s">
        <v>504</v>
      </c>
      <c r="C14" s="294"/>
      <c r="D14" s="294"/>
      <c r="E14" s="294"/>
      <c r="F14" s="294"/>
      <c r="G14" s="294"/>
      <c r="H14" s="294"/>
      <c r="I14" s="16"/>
      <c r="J14" s="16"/>
      <c r="K14" s="16"/>
      <c r="L14" s="16"/>
      <c r="M14" s="16"/>
      <c r="N14" s="16"/>
      <c r="O14" s="16"/>
      <c r="P14" s="16"/>
      <c r="Q14" s="7"/>
    </row>
    <row r="15" spans="1:17" x14ac:dyDescent="0.25">
      <c r="A15" s="1207"/>
      <c r="B15" s="11" t="str">
        <f>IF('Prac. Rec. Assumptions'!$B$56='Prac. Rec. Assumptions'!$V$3,A81,IF('Prac. Rec. Assumptions'!B57="No",A81,"Sweet Corn- Converted to Energy Crop"))</f>
        <v>Sweet Corn</v>
      </c>
      <c r="C15" s="294">
        <f>IF('Prac. Rec. Assumptions'!$B$56='Prac. Rec. Assumptions'!$V$3,D81,IF('Prac. Rec. Assumptions'!B58="No",D81,0))</f>
        <v>250.75</v>
      </c>
      <c r="D15" s="294">
        <f>E15*'Conversion Tables'!C14</f>
        <v>3155.8392000000003</v>
      </c>
      <c r="E15" s="294">
        <f>C15*'Prac. Rec. Assumptions'!B11</f>
        <v>200.60000000000002</v>
      </c>
      <c r="F15" s="294">
        <f>$E15</f>
        <v>200.60000000000002</v>
      </c>
      <c r="G15" s="294">
        <f>$E15</f>
        <v>200.60000000000002</v>
      </c>
      <c r="H15" s="294">
        <f>$E15</f>
        <v>200.60000000000002</v>
      </c>
      <c r="I15" s="16" t="str">
        <f>IF('Conversion Tables'!F14="NA","NA",(E15*'Conversion Tables'!$C14)/'Conversion Tables'!F14)</f>
        <v>NA</v>
      </c>
      <c r="J15" s="16" t="str">
        <f>IF('Conversion Tables'!G14="NA","NA",(F15*'Conversion Tables'!$C14)/'Conversion Tables'!G14)</f>
        <v>NA</v>
      </c>
      <c r="K15" s="16" t="str">
        <f>IF('Conversion Tables'!H14="NA","NA",(G15*'Conversion Tables'!$C14)/'Conversion Tables'!H14)</f>
        <v>NA</v>
      </c>
      <c r="L15" s="16" t="str">
        <f>IF('Conversion Tables'!I14="NA","NA",(H15*'Conversion Tables'!$C14)/'Conversion Tables'!I14)</f>
        <v>NA</v>
      </c>
      <c r="M15" s="16" t="str">
        <f>IF('Conversion Tables'!K14="NA","NA",E15*'Conversion Tables'!K14)</f>
        <v>NA</v>
      </c>
      <c r="N15" s="16" t="str">
        <f>IF('Conversion Tables'!L14="NA","NA",F15*'Conversion Tables'!L14)</f>
        <v>NA</v>
      </c>
      <c r="O15" s="16" t="str">
        <f>IF('Conversion Tables'!M14="NA","NA",G15*'Conversion Tables'!M14)</f>
        <v>NA</v>
      </c>
      <c r="P15" s="16" t="str">
        <f>IF('Conversion Tables'!N14="NA","NA",H15*'Conversion Tables'!N14)</f>
        <v>NA</v>
      </c>
      <c r="Q15" s="15"/>
    </row>
    <row r="16" spans="1:17" x14ac:dyDescent="0.25">
      <c r="A16" s="1207"/>
      <c r="B16" s="11" t="str">
        <f>IF('Prac. Rec. Assumptions'!$B$56='Prac. Rec. Assumptions'!$V$3,A82,IF('Prac. Rec. Assumptions'!B58="No",A82,"Rye- Converted to Energy Crop"))</f>
        <v>Rye</v>
      </c>
      <c r="C16" s="294">
        <f>IF('Prac. Rec. Assumptions'!$B$56='Prac. Rec. Assumptions'!$V$3,D82,IF('Prac. Rec. Assumptions'!B59="No",D82,0))</f>
        <v>1109.25</v>
      </c>
      <c r="D16" s="294">
        <f>E16*'Conversion Tables'!C15</f>
        <v>0</v>
      </c>
      <c r="E16" s="294">
        <f>C16*'Prac. Rec. Assumptions'!B12</f>
        <v>0</v>
      </c>
      <c r="F16" s="294">
        <f t="shared" ref="F16:H23" si="2">$E16</f>
        <v>0</v>
      </c>
      <c r="G16" s="294">
        <f t="shared" si="2"/>
        <v>0</v>
      </c>
      <c r="H16" s="294">
        <f t="shared" si="2"/>
        <v>0</v>
      </c>
      <c r="I16" s="16" t="str">
        <f>IF('Conversion Tables'!F15="NA","NA",(E16*'Conversion Tables'!$C15)/'Conversion Tables'!F15)</f>
        <v>NA</v>
      </c>
      <c r="J16" s="16" t="str">
        <f>IF('Conversion Tables'!G15="NA","NA",(F16*'Conversion Tables'!$C15)/'Conversion Tables'!G15)</f>
        <v>NA</v>
      </c>
      <c r="K16" s="16" t="str">
        <f>IF('Conversion Tables'!H15="NA","NA",(G16*'Conversion Tables'!$C15)/'Conversion Tables'!H15)</f>
        <v>NA</v>
      </c>
      <c r="L16" s="16" t="str">
        <f>IF('Conversion Tables'!I15="NA","NA",(H16*'Conversion Tables'!$C15)/'Conversion Tables'!I15)</f>
        <v>NA</v>
      </c>
      <c r="M16" s="16" t="str">
        <f>IF('Conversion Tables'!K15="NA","NA",E16*'Conversion Tables'!K15)</f>
        <v>NA</v>
      </c>
      <c r="N16" s="16" t="str">
        <f>IF('Conversion Tables'!L15="NA","NA",F16*'Conversion Tables'!L15)</f>
        <v>NA</v>
      </c>
      <c r="O16" s="16" t="str">
        <f>IF('Conversion Tables'!M15="NA","NA",G16*'Conversion Tables'!M15)</f>
        <v>NA</v>
      </c>
      <c r="P16" s="16" t="str">
        <f>IF('Conversion Tables'!N15="NA","NA",H16*'Conversion Tables'!N15)</f>
        <v>NA</v>
      </c>
      <c r="Q16" s="15"/>
    </row>
    <row r="17" spans="1:17" x14ac:dyDescent="0.25">
      <c r="A17" s="1207"/>
      <c r="B17" s="11" t="str">
        <f>IF('Prac. Rec. Assumptions'!$B$56='Prac. Rec. Assumptions'!$V$3,A83,IF('Prac. Rec. Assumptions'!B59="No",A83,"Corn for Grain- Converted to Energy Crop"))</f>
        <v>Corn for Grain</v>
      </c>
      <c r="C17" s="294">
        <f>IF('Prac. Rec. Assumptions'!$B$56='Prac. Rec. Assumptions'!$V$3,D83,IF('Prac. Rec. Assumptions'!B60="No",D83,0))</f>
        <v>0</v>
      </c>
      <c r="D17" s="294">
        <f>E17*'Conversion Tables'!C16</f>
        <v>0</v>
      </c>
      <c r="E17" s="294">
        <f>C17*'Prac. Rec. Assumptions'!B13</f>
        <v>0</v>
      </c>
      <c r="F17" s="294">
        <f t="shared" si="2"/>
        <v>0</v>
      </c>
      <c r="G17" s="294">
        <f t="shared" si="2"/>
        <v>0</v>
      </c>
      <c r="H17" s="294">
        <f t="shared" si="2"/>
        <v>0</v>
      </c>
      <c r="I17" s="16" t="str">
        <f>IF('Conversion Tables'!F16="NA","NA",(E17*'Conversion Tables'!$C16)/'Conversion Tables'!F16)</f>
        <v>NA</v>
      </c>
      <c r="J17" s="16" t="str">
        <f>IF('Conversion Tables'!G16="NA","NA",(F17*'Conversion Tables'!$C16)/'Conversion Tables'!G16)</f>
        <v>NA</v>
      </c>
      <c r="K17" s="16" t="str">
        <f>IF('Conversion Tables'!H16="NA","NA",(G17*'Conversion Tables'!$C16)/'Conversion Tables'!H16)</f>
        <v>NA</v>
      </c>
      <c r="L17" s="16" t="str">
        <f>IF('Conversion Tables'!I16="NA","NA",(H17*'Conversion Tables'!$C16)/'Conversion Tables'!I16)</f>
        <v>NA</v>
      </c>
      <c r="M17" s="16" t="str">
        <f>IF('Conversion Tables'!K16="NA","NA",E17*'Conversion Tables'!K16)</f>
        <v>NA</v>
      </c>
      <c r="N17" s="16" t="str">
        <f>IF('Conversion Tables'!L16="NA","NA",F17*'Conversion Tables'!L16)</f>
        <v>NA</v>
      </c>
      <c r="O17" s="16" t="str">
        <f>IF('Conversion Tables'!M16="NA","NA",G17*'Conversion Tables'!M16)</f>
        <v>NA</v>
      </c>
      <c r="P17" s="16" t="str">
        <f>IF('Conversion Tables'!N16="NA","NA",H17*'Conversion Tables'!N16)</f>
        <v>NA</v>
      </c>
      <c r="Q17" s="15"/>
    </row>
    <row r="18" spans="1:17" x14ac:dyDescent="0.25">
      <c r="A18" s="1207"/>
      <c r="B18" s="11" t="str">
        <f>IF('Prac. Rec. Assumptions'!$B$56='Prac. Rec. Assumptions'!$V$3,A84,IF('Prac. Rec. Assumptions'!B60="No",A84,"Corn for Silage- Converted to Energy Crop"))</f>
        <v>Corn for Silage</v>
      </c>
      <c r="C18" s="294">
        <f>IF('Prac. Rec. Assumptions'!$B$56='Prac. Rec. Assumptions'!$V$3,D84,IF('Prac. Rec. Assumptions'!B61="No",D84,0))</f>
        <v>286.99999999999994</v>
      </c>
      <c r="D18" s="294">
        <f>E18*'Conversion Tables'!C17</f>
        <v>3386.3129999999987</v>
      </c>
      <c r="E18" s="294">
        <f>C18*'Prac. Rec. Assumptions'!B14</f>
        <v>215.24999999999994</v>
      </c>
      <c r="F18" s="294">
        <f t="shared" si="2"/>
        <v>215.24999999999994</v>
      </c>
      <c r="G18" s="294">
        <f t="shared" si="2"/>
        <v>215.24999999999994</v>
      </c>
      <c r="H18" s="294">
        <f t="shared" si="2"/>
        <v>215.24999999999994</v>
      </c>
      <c r="I18" s="16" t="str">
        <f>IF('Conversion Tables'!F17="NA","NA",(E18*'Conversion Tables'!$C17)/'Conversion Tables'!F17)</f>
        <v>NA</v>
      </c>
      <c r="J18" s="16" t="str">
        <f>IF('Conversion Tables'!G17="NA","NA",(F18*'Conversion Tables'!$C17)/'Conversion Tables'!G17)</f>
        <v>NA</v>
      </c>
      <c r="K18" s="16" t="str">
        <f>IF('Conversion Tables'!H17="NA","NA",(G18*'Conversion Tables'!$C17)/'Conversion Tables'!H17)</f>
        <v>NA</v>
      </c>
      <c r="L18" s="16" t="str">
        <f>IF('Conversion Tables'!I17="NA","NA",(H18*'Conversion Tables'!$C17)/'Conversion Tables'!I17)</f>
        <v>NA</v>
      </c>
      <c r="M18" s="16" t="str">
        <f>IF('Conversion Tables'!K17="NA","NA",E18*'Conversion Tables'!K17)</f>
        <v>NA</v>
      </c>
      <c r="N18" s="16" t="str">
        <f>IF('Conversion Tables'!L17="NA","NA",F18*'Conversion Tables'!L17)</f>
        <v>NA</v>
      </c>
      <c r="O18" s="16" t="str">
        <f>IF('Conversion Tables'!M17="NA","NA",G18*'Conversion Tables'!M17)</f>
        <v>NA</v>
      </c>
      <c r="P18" s="16" t="str">
        <f>IF('Conversion Tables'!N17="NA","NA",H18*'Conversion Tables'!N17)</f>
        <v>NA</v>
      </c>
      <c r="Q18" s="15"/>
    </row>
    <row r="19" spans="1:17" x14ac:dyDescent="0.25">
      <c r="A19" s="1207"/>
      <c r="B19" s="11" t="str">
        <f>IF('Prac. Rec. Assumptions'!$B$56='Prac. Rec. Assumptions'!$V$3,A85,IF('Prac. Rec. Assumptions'!B61="No",A85,"Alfalfa Hay- Converted to Energy Crop"))</f>
        <v>Alfalfa Hay</v>
      </c>
      <c r="C19" s="294">
        <f>IF('Prac. Rec. Assumptions'!$B$56='Prac. Rec. Assumptions'!$V$3,D85,IF('Prac. Rec. Assumptions'!B62="No",D85,0))</f>
        <v>848.6400000000001</v>
      </c>
      <c r="D19" s="294">
        <f>E19*'Conversion Tables'!C18</f>
        <v>0</v>
      </c>
      <c r="E19" s="294">
        <f>C19*'Prac. Rec. Assumptions'!B15</f>
        <v>0</v>
      </c>
      <c r="F19" s="294">
        <f t="shared" si="2"/>
        <v>0</v>
      </c>
      <c r="G19" s="294">
        <f t="shared" si="2"/>
        <v>0</v>
      </c>
      <c r="H19" s="294">
        <f t="shared" si="2"/>
        <v>0</v>
      </c>
      <c r="I19" s="16" t="str">
        <f>IF('Conversion Tables'!F18="NA","NA",(E19*'Conversion Tables'!$C18)/'Conversion Tables'!F18)</f>
        <v>NA</v>
      </c>
      <c r="J19" s="16" t="str">
        <f>IF('Conversion Tables'!G18="NA","NA",(F19*'Conversion Tables'!$C18)/'Conversion Tables'!G18)</f>
        <v>NA</v>
      </c>
      <c r="K19" s="16" t="str">
        <f>IF('Conversion Tables'!H18="NA","NA",(G19*'Conversion Tables'!$C18)/'Conversion Tables'!H18)</f>
        <v>NA</v>
      </c>
      <c r="L19" s="16" t="str">
        <f>IF('Conversion Tables'!I18="NA","NA",(H19*'Conversion Tables'!$C18)/'Conversion Tables'!I18)</f>
        <v>NA</v>
      </c>
      <c r="M19" s="16" t="str">
        <f>IF('Conversion Tables'!K18="NA","NA",E19*'Conversion Tables'!K18)</f>
        <v>NA</v>
      </c>
      <c r="N19" s="16" t="str">
        <f>IF('Conversion Tables'!L18="NA","NA",F19*'Conversion Tables'!L18)</f>
        <v>NA</v>
      </c>
      <c r="O19" s="16" t="str">
        <f>IF('Conversion Tables'!M18="NA","NA",G19*'Conversion Tables'!M18)</f>
        <v>NA</v>
      </c>
      <c r="P19" s="16" t="str">
        <f>IF('Conversion Tables'!N18="NA","NA",H19*'Conversion Tables'!N18)</f>
        <v>NA</v>
      </c>
      <c r="Q19" s="15"/>
    </row>
    <row r="20" spans="1:17" x14ac:dyDescent="0.25">
      <c r="A20" s="1207"/>
      <c r="B20" s="11" t="str">
        <f>IF('Prac. Rec. Assumptions'!$B$56='Prac. Rec. Assumptions'!$V$3,A86,IF('Prac. Rec. Assumptions'!B62="No",A86,"Other Hay- Converted to Energy Crop"))</f>
        <v>Other Hay</v>
      </c>
      <c r="C20" s="294">
        <f>IF('Prac. Rec. Assumptions'!$B$56='Prac. Rec. Assumptions'!$V$3,D86,IF('Prac. Rec. Assumptions'!B63="No",D86,0))</f>
        <v>855.43999999999994</v>
      </c>
      <c r="D20" s="294">
        <f>E20*'Conversion Tables'!C19</f>
        <v>6672.4319999999998</v>
      </c>
      <c r="E20" s="294">
        <f>C20*'Prac. Rec. Assumptions'!B16</f>
        <v>427.71999999999997</v>
      </c>
      <c r="F20" s="294">
        <f t="shared" si="2"/>
        <v>427.71999999999997</v>
      </c>
      <c r="G20" s="294">
        <f t="shared" si="2"/>
        <v>427.71999999999997</v>
      </c>
      <c r="H20" s="294">
        <f t="shared" si="2"/>
        <v>427.71999999999997</v>
      </c>
      <c r="I20" s="16" t="str">
        <f>IF('Conversion Tables'!F19="NA","NA",(E20*'Conversion Tables'!$C19)/'Conversion Tables'!F19)</f>
        <v>NA</v>
      </c>
      <c r="J20" s="16" t="str">
        <f>IF('Conversion Tables'!G19="NA","NA",(F20*'Conversion Tables'!$C19)/'Conversion Tables'!G19)</f>
        <v>NA</v>
      </c>
      <c r="K20" s="16" t="str">
        <f>IF('Conversion Tables'!H19="NA","NA",(G20*'Conversion Tables'!$C19)/'Conversion Tables'!H19)</f>
        <v>NA</v>
      </c>
      <c r="L20" s="16" t="str">
        <f>IF('Conversion Tables'!I19="NA","NA",(H20*'Conversion Tables'!$C19)/'Conversion Tables'!I19)</f>
        <v>NA</v>
      </c>
      <c r="M20" s="16" t="str">
        <f>IF('Conversion Tables'!K19="NA","NA",E20*'Conversion Tables'!K19)</f>
        <v>NA</v>
      </c>
      <c r="N20" s="16" t="str">
        <f>IF('Conversion Tables'!L19="NA","NA",F20*'Conversion Tables'!L19)</f>
        <v>NA</v>
      </c>
      <c r="O20" s="16" t="str">
        <f>IF('Conversion Tables'!M19="NA","NA",G20*'Conversion Tables'!M19)</f>
        <v>NA</v>
      </c>
      <c r="P20" s="16" t="str">
        <f>IF('Conversion Tables'!N19="NA","NA",H20*'Conversion Tables'!N19)</f>
        <v>NA</v>
      </c>
      <c r="Q20" s="15"/>
    </row>
    <row r="21" spans="1:17" x14ac:dyDescent="0.25">
      <c r="A21" s="1207"/>
      <c r="B21" s="11" t="str">
        <f>IF('Prac. Rec. Assumptions'!$B$56='Prac. Rec. Assumptions'!$V$3,A87,IF('Prac. Rec. Assumptions'!B63="No",A87,"Wheat- Converted to Energy Crop"))</f>
        <v>Wheat</v>
      </c>
      <c r="C21" s="294">
        <f>IF('Prac. Rec. Assumptions'!$B$56='Prac. Rec. Assumptions'!$V$3,D87,IF('Prac. Rec. Assumptions'!B64="No",D87,0))</f>
        <v>330.22499999999997</v>
      </c>
      <c r="D21" s="294">
        <f>E21*'Conversion Tables'!C20</f>
        <v>0</v>
      </c>
      <c r="E21" s="294">
        <f>C21*'Prac. Rec. Assumptions'!B17</f>
        <v>0</v>
      </c>
      <c r="F21" s="294">
        <f t="shared" si="2"/>
        <v>0</v>
      </c>
      <c r="G21" s="294">
        <f t="shared" si="2"/>
        <v>0</v>
      </c>
      <c r="H21" s="294">
        <f t="shared" si="2"/>
        <v>0</v>
      </c>
      <c r="I21" s="16" t="str">
        <f>IF('Conversion Tables'!F20="NA","NA",(E21*'Conversion Tables'!$C20)/'Conversion Tables'!F20)</f>
        <v>NA</v>
      </c>
      <c r="J21" s="16" t="str">
        <f>IF('Conversion Tables'!G20="NA","NA",(F21*'Conversion Tables'!$C20)/'Conversion Tables'!G20)</f>
        <v>NA</v>
      </c>
      <c r="K21" s="16" t="str">
        <f>IF('Conversion Tables'!H20="NA","NA",(G21*'Conversion Tables'!$C20)/'Conversion Tables'!H20)</f>
        <v>NA</v>
      </c>
      <c r="L21" s="16" t="str">
        <f>IF('Conversion Tables'!I20="NA","NA",(H21*'Conversion Tables'!$C20)/'Conversion Tables'!I20)</f>
        <v>NA</v>
      </c>
      <c r="M21" s="16" t="str">
        <f>IF('Conversion Tables'!K20="NA","NA",E21*'Conversion Tables'!K20)</f>
        <v>NA</v>
      </c>
      <c r="N21" s="16" t="str">
        <f>IF('Conversion Tables'!L20="NA","NA",F21*'Conversion Tables'!L20)</f>
        <v>NA</v>
      </c>
      <c r="O21" s="16" t="str">
        <f>IF('Conversion Tables'!M20="NA","NA",G21*'Conversion Tables'!M20)</f>
        <v>NA</v>
      </c>
      <c r="P21" s="16" t="str">
        <f>IF('Conversion Tables'!N20="NA","NA",H21*'Conversion Tables'!N20)</f>
        <v>NA</v>
      </c>
      <c r="Q21" s="15"/>
    </row>
    <row r="22" spans="1:17" x14ac:dyDescent="0.25">
      <c r="A22" s="1207"/>
      <c r="B22" s="148" t="s">
        <v>205</v>
      </c>
      <c r="C22" s="294">
        <f>'Biomass Data Assumptions'!P7*1000*'Energy Content Assumptions'!C18</f>
        <v>93145</v>
      </c>
      <c r="D22" s="294">
        <f>E22*'Conversion Tables'!C21</f>
        <v>726531</v>
      </c>
      <c r="E22" s="294">
        <f>C22*'Prac. Rec. Assumptions'!B18</f>
        <v>46572.5</v>
      </c>
      <c r="F22" s="294">
        <f t="shared" si="2"/>
        <v>46572.5</v>
      </c>
      <c r="G22" s="294">
        <f t="shared" si="2"/>
        <v>46572.5</v>
      </c>
      <c r="H22" s="294">
        <f t="shared" si="2"/>
        <v>46572.5</v>
      </c>
      <c r="I22" s="16" t="str">
        <f>IF('Conversion Tables'!F21="NA","NA",(E22*'Conversion Tables'!$C21)/'Conversion Tables'!F21)</f>
        <v>NA</v>
      </c>
      <c r="J22" s="16" t="str">
        <f>IF('Conversion Tables'!G21="NA","NA",(F22*'Conversion Tables'!$C21)/'Conversion Tables'!G21)</f>
        <v>NA</v>
      </c>
      <c r="K22" s="16" t="str">
        <f>IF('Conversion Tables'!H21="NA","NA",(G22*'Conversion Tables'!$C21)/'Conversion Tables'!H21)</f>
        <v>NA</v>
      </c>
      <c r="L22" s="16" t="str">
        <f>IF('Conversion Tables'!I21="NA","NA",(H22*'Conversion Tables'!$C21)/'Conversion Tables'!I21)</f>
        <v>NA</v>
      </c>
      <c r="M22" s="16" t="str">
        <f>IF('Conversion Tables'!K21="NA","NA",E22*'Conversion Tables'!K21)</f>
        <v>NA</v>
      </c>
      <c r="N22" s="16" t="str">
        <f>IF('Conversion Tables'!L21="NA","NA",F22*'Conversion Tables'!L21)</f>
        <v>NA</v>
      </c>
      <c r="O22" s="16" t="str">
        <f>IF('Conversion Tables'!M21="NA","NA",G22*'Conversion Tables'!M21)</f>
        <v>NA</v>
      </c>
      <c r="P22" s="16" t="str">
        <f>IF('Conversion Tables'!N21="NA","NA",H22*'Conversion Tables'!N21)</f>
        <v>NA</v>
      </c>
      <c r="Q22" s="15"/>
    </row>
    <row r="23" spans="1:17" x14ac:dyDescent="0.25">
      <c r="A23" s="1207"/>
      <c r="B23" s="2" t="s">
        <v>302</v>
      </c>
      <c r="C23" s="294">
        <f>B133</f>
        <v>256.13</v>
      </c>
      <c r="D23" s="294">
        <f>E23*'Conversion Tables'!C22</f>
        <v>4184.1396799999993</v>
      </c>
      <c r="E23" s="294">
        <f>C23*'Prac. Rec. Assumptions'!B19</f>
        <v>256.13</v>
      </c>
      <c r="F23" s="297">
        <f t="shared" si="2"/>
        <v>256.13</v>
      </c>
      <c r="G23" s="297">
        <f t="shared" si="2"/>
        <v>256.13</v>
      </c>
      <c r="H23" s="297">
        <f t="shared" si="2"/>
        <v>256.13</v>
      </c>
      <c r="I23" s="16" t="str">
        <f>IF('Conversion Tables'!F22="NA","NA",(E23*'Conversion Tables'!$C22)/'Conversion Tables'!F22)</f>
        <v>NA</v>
      </c>
      <c r="J23" s="16" t="str">
        <f>IF('Conversion Tables'!G22="NA","NA",(F23*'Conversion Tables'!$C22)/'Conversion Tables'!G22)</f>
        <v>NA</v>
      </c>
      <c r="K23" s="16" t="str">
        <f>IF('Conversion Tables'!H22="NA","NA",(G23*'Conversion Tables'!$C22)/'Conversion Tables'!H22)</f>
        <v>NA</v>
      </c>
      <c r="L23" s="16" t="str">
        <f>IF('Conversion Tables'!I22="NA","NA",(H23*'Conversion Tables'!$C22)/'Conversion Tables'!I22)</f>
        <v>NA</v>
      </c>
      <c r="M23" s="16" t="str">
        <f>IF('Conversion Tables'!K22="NA","NA",E23*'Conversion Tables'!K22)</f>
        <v>NA</v>
      </c>
      <c r="N23" s="16" t="str">
        <f>IF('Conversion Tables'!L22="NA","NA",F23*'Conversion Tables'!L22)</f>
        <v>NA</v>
      </c>
      <c r="O23" s="16" t="str">
        <f>IF('Conversion Tables'!M22="NA","NA",G23*'Conversion Tables'!M22)</f>
        <v>NA</v>
      </c>
      <c r="P23" s="16" t="str">
        <f>IF('Conversion Tables'!N22="NA","NA",H23*'Conversion Tables'!N22)</f>
        <v>NA</v>
      </c>
      <c r="Q23" s="7"/>
    </row>
    <row r="24" spans="1:17" x14ac:dyDescent="0.25">
      <c r="A24" s="1207"/>
      <c r="B24" s="1" t="s">
        <v>518</v>
      </c>
      <c r="C24" s="294"/>
      <c r="D24" s="294"/>
      <c r="E24" s="294"/>
      <c r="F24" s="294"/>
      <c r="G24" s="294"/>
      <c r="H24" s="294"/>
      <c r="I24" s="16"/>
      <c r="J24" s="16"/>
      <c r="K24" s="16"/>
      <c r="L24" s="16"/>
      <c r="M24" s="16"/>
      <c r="N24" s="16"/>
      <c r="O24" s="16"/>
      <c r="P24" s="16"/>
      <c r="Q24" s="7"/>
    </row>
    <row r="25" spans="1:17" x14ac:dyDescent="0.25">
      <c r="A25" s="1207"/>
      <c r="B25" s="11" t="s">
        <v>559</v>
      </c>
      <c r="C25" s="294">
        <f>C128</f>
        <v>6324.6</v>
      </c>
      <c r="D25" s="294">
        <f>E25*'Conversion Tables'!C24</f>
        <v>111945.42</v>
      </c>
      <c r="E25" s="294">
        <f>C25*'Prac. Rec. Assumptions'!B21</f>
        <v>6324.6</v>
      </c>
      <c r="F25" s="294">
        <f>($C25*(1+'Biomass Data Assumptions'!G$92))*'Prac. Rec. Assumptions'!$B21</f>
        <v>6523.2662971175178</v>
      </c>
      <c r="G25" s="294">
        <f>($C25*(1+'Biomass Data Assumptions'!H$92))*'Prac. Rec. Assumptions'!$B21</f>
        <v>6726.6070953436802</v>
      </c>
      <c r="H25" s="294">
        <f>($C25*(1+'Biomass Data Assumptions'!I$92))*'Prac. Rec. Assumptions'!$B21</f>
        <v>6953.3203991130822</v>
      </c>
      <c r="I25" s="16" t="str">
        <f>IF('Conversion Tables'!F24="NA","NA",(E25*'Conversion Tables'!$C24)/'Conversion Tables'!F24)</f>
        <v>NA</v>
      </c>
      <c r="J25" s="16" t="str">
        <f>IF('Conversion Tables'!G24="NA","NA",(F25*'Conversion Tables'!$C24)/'Conversion Tables'!G24)</f>
        <v>NA</v>
      </c>
      <c r="K25" s="16" t="str">
        <f>IF('Conversion Tables'!H24="NA","NA",(G25*'Conversion Tables'!$C24)/'Conversion Tables'!H24)</f>
        <v>NA</v>
      </c>
      <c r="L25" s="16" t="str">
        <f>IF('Conversion Tables'!I24="NA","NA",(H25*'Conversion Tables'!$C24)/'Conversion Tables'!I24)</f>
        <v>NA</v>
      </c>
      <c r="M25" s="16" t="str">
        <f>IF('Conversion Tables'!K24="NA","NA",E25*'Conversion Tables'!K24)</f>
        <v>NA</v>
      </c>
      <c r="N25" s="16" t="str">
        <f>IF('Conversion Tables'!L24="NA","NA",F25*'Conversion Tables'!L24)</f>
        <v>NA</v>
      </c>
      <c r="O25" s="16" t="str">
        <f>IF('Conversion Tables'!M24="NA","NA",G25*'Conversion Tables'!M24)</f>
        <v>NA</v>
      </c>
      <c r="P25" s="16" t="str">
        <f>IF('Conversion Tables'!N24="NA","NA",H25*'Conversion Tables'!N24)</f>
        <v>NA</v>
      </c>
      <c r="Q25" s="13"/>
    </row>
    <row r="26" spans="1:17" x14ac:dyDescent="0.25">
      <c r="A26" s="1207"/>
      <c r="B26" s="11" t="s">
        <v>560</v>
      </c>
      <c r="C26" s="294">
        <f>C129</f>
        <v>3115.3033333333333</v>
      </c>
      <c r="D26" s="294">
        <f>E26*'Conversion Tables'!C25</f>
        <v>48598.731999999996</v>
      </c>
      <c r="E26" s="294">
        <f>C26*'Prac. Rec. Assumptions'!B22</f>
        <v>3115.3033333333333</v>
      </c>
      <c r="F26" s="294">
        <f>($C26*(1+'Biomass Data Assumptions'!G$92))*'Prac. Rec. Assumptions'!$B22</f>
        <v>3213.1602377432869</v>
      </c>
      <c r="G26" s="294">
        <f>($C26*(1+'Biomass Data Assumptions'!H$92))*'Prac. Rec. Assumptions'!$B22</f>
        <v>3313.3196575511206</v>
      </c>
      <c r="H26" s="294">
        <f>($C26*(1+'Biomass Data Assumptions'!I$92))*'Prac. Rec. Assumptions'!$B22</f>
        <v>3424.9916543483614</v>
      </c>
      <c r="I26" s="16" t="str">
        <f>IF('Conversion Tables'!F25="NA","NA",(E26*'Conversion Tables'!$C25)/'Conversion Tables'!F25)</f>
        <v>NA</v>
      </c>
      <c r="J26" s="16" t="str">
        <f>IF('Conversion Tables'!G25="NA","NA",(F26*'Conversion Tables'!$C25)/'Conversion Tables'!G25)</f>
        <v>NA</v>
      </c>
      <c r="K26" s="16" t="str">
        <f>IF('Conversion Tables'!H25="NA","NA",(G26*'Conversion Tables'!$C25)/'Conversion Tables'!H25)</f>
        <v>NA</v>
      </c>
      <c r="L26" s="16" t="str">
        <f>IF('Conversion Tables'!I25="NA","NA",(H26*'Conversion Tables'!$C25)/'Conversion Tables'!I25)</f>
        <v>NA</v>
      </c>
      <c r="M26" s="16" t="str">
        <f>IF('Conversion Tables'!K25="NA","NA",E26*'Conversion Tables'!K25)</f>
        <v>NA</v>
      </c>
      <c r="N26" s="16" t="str">
        <f>IF('Conversion Tables'!L25="NA","NA",F26*'Conversion Tables'!L25)</f>
        <v>NA</v>
      </c>
      <c r="O26" s="16" t="str">
        <f>IF('Conversion Tables'!M25="NA","NA",G26*'Conversion Tables'!M25)</f>
        <v>NA</v>
      </c>
      <c r="P26" s="16" t="str">
        <f>IF('Conversion Tables'!N25="NA","NA",H26*'Conversion Tables'!N25)</f>
        <v>NA</v>
      </c>
      <c r="Q26" s="13"/>
    </row>
    <row r="27" spans="1:17" x14ac:dyDescent="0.25">
      <c r="A27" s="1207"/>
      <c r="B27" s="11" t="s">
        <v>561</v>
      </c>
      <c r="C27" s="294">
        <f>C130</f>
        <v>11268.019999999999</v>
      </c>
      <c r="D27" s="294">
        <f>E27*'Conversion Tables'!C26</f>
        <v>175781.11199999996</v>
      </c>
      <c r="E27" s="294">
        <f>C27*'Prac. Rec. Assumptions'!B23</f>
        <v>11268.019999999999</v>
      </c>
      <c r="F27" s="294">
        <f>($C27*(1+'Biomass Data Assumptions'!G$92))*'Prac. Rec. Assumptions'!$B23</f>
        <v>11621.96741315595</v>
      </c>
      <c r="G27" s="294">
        <f>($C27*(1+'Biomass Data Assumptions'!H$92))*'Prac. Rec. Assumptions'!$B23</f>
        <v>11984.243000739096</v>
      </c>
      <c r="H27" s="294">
        <f>($C27*(1+'Biomass Data Assumptions'!I$92))*'Prac. Rec. Assumptions'!$B23</f>
        <v>12388.159460458239</v>
      </c>
      <c r="I27" s="16" t="str">
        <f>IF('Conversion Tables'!F26="NA","NA",(E27*'Conversion Tables'!$C26)/'Conversion Tables'!F26)</f>
        <v>NA</v>
      </c>
      <c r="J27" s="16" t="str">
        <f>IF('Conversion Tables'!G26="NA","NA",(F27*'Conversion Tables'!$C26)/'Conversion Tables'!G26)</f>
        <v>NA</v>
      </c>
      <c r="K27" s="16" t="str">
        <f>IF('Conversion Tables'!H26="NA","NA",(G27*'Conversion Tables'!$C26)/'Conversion Tables'!H26)</f>
        <v>NA</v>
      </c>
      <c r="L27" s="16" t="str">
        <f>IF('Conversion Tables'!I26="NA","NA",(H27*'Conversion Tables'!$C26)/'Conversion Tables'!I26)</f>
        <v>NA</v>
      </c>
      <c r="M27" s="16" t="str">
        <f>IF('Conversion Tables'!K26="NA","NA",E27*'Conversion Tables'!K26)</f>
        <v>NA</v>
      </c>
      <c r="N27" s="16" t="str">
        <f>IF('Conversion Tables'!L26="NA","NA",F27*'Conversion Tables'!L26)</f>
        <v>NA</v>
      </c>
      <c r="O27" s="16" t="str">
        <f>IF('Conversion Tables'!M26="NA","NA",G27*'Conversion Tables'!M26)</f>
        <v>NA</v>
      </c>
      <c r="P27" s="16" t="str">
        <f>IF('Conversion Tables'!N26="NA","NA",H27*'Conversion Tables'!N26)</f>
        <v>NA</v>
      </c>
      <c r="Q27" s="13"/>
    </row>
    <row r="28" spans="1:17" x14ac:dyDescent="0.25">
      <c r="A28" s="1207"/>
      <c r="B28" s="11" t="s">
        <v>562</v>
      </c>
      <c r="C28" s="294">
        <f>C131</f>
        <v>606.79999999999995</v>
      </c>
      <c r="D28" s="294">
        <f>E28*'Conversion Tables'!C27</f>
        <v>10740.359999999999</v>
      </c>
      <c r="E28" s="294">
        <f>C28*'Prac. Rec. Assumptions'!B24</f>
        <v>606.79999999999995</v>
      </c>
      <c r="F28" s="294">
        <f>($C28*(1+'Biomass Data Assumptions'!G$92))*'Prac. Rec. Assumptions'!$B24</f>
        <v>625.86060606060607</v>
      </c>
      <c r="G28" s="294">
        <f>($C28*(1+'Biomass Data Assumptions'!H$92))*'Prac. Rec. Assumptions'!$B24</f>
        <v>645.36969696969686</v>
      </c>
      <c r="H28" s="294">
        <f>($C28*(1+'Biomass Data Assumptions'!I$92))*'Prac. Rec. Assumptions'!$B24</f>
        <v>667.12121212121201</v>
      </c>
      <c r="I28" s="16" t="str">
        <f>IF('Conversion Tables'!F27="NA","NA",(E28*'Conversion Tables'!$C27)/'Conversion Tables'!F27)</f>
        <v>NA</v>
      </c>
      <c r="J28" s="16" t="str">
        <f>IF('Conversion Tables'!G27="NA","NA",(F28*'Conversion Tables'!$C27)/'Conversion Tables'!G27)</f>
        <v>NA</v>
      </c>
      <c r="K28" s="16" t="str">
        <f>IF('Conversion Tables'!H27="NA","NA",(G28*'Conversion Tables'!$C27)/'Conversion Tables'!H27)</f>
        <v>NA</v>
      </c>
      <c r="L28" s="16" t="str">
        <f>IF('Conversion Tables'!I27="NA","NA",(H28*'Conversion Tables'!$C27)/'Conversion Tables'!I27)</f>
        <v>NA</v>
      </c>
      <c r="M28" s="16" t="str">
        <f>IF('Conversion Tables'!K27="NA","NA",E28*'Conversion Tables'!K27)</f>
        <v>NA</v>
      </c>
      <c r="N28" s="16" t="str">
        <f>IF('Conversion Tables'!L27="NA","NA",F28*'Conversion Tables'!L27)</f>
        <v>NA</v>
      </c>
      <c r="O28" s="16" t="str">
        <f>IF('Conversion Tables'!M27="NA","NA",G28*'Conversion Tables'!M27)</f>
        <v>NA</v>
      </c>
      <c r="P28" s="16" t="str">
        <f>IF('Conversion Tables'!N27="NA","NA",H28*'Conversion Tables'!N27)</f>
        <v>NA</v>
      </c>
      <c r="Q28" s="13"/>
    </row>
    <row r="29" spans="1:17" x14ac:dyDescent="0.25">
      <c r="A29" s="1208"/>
      <c r="B29" s="9" t="s">
        <v>524</v>
      </c>
      <c r="C29" s="295">
        <f t="shared" ref="C29:P29" si="3">SUM(C13:C28)</f>
        <v>118397.15833333334</v>
      </c>
      <c r="D29" s="295">
        <f t="shared" si="3"/>
        <v>1090995.34788</v>
      </c>
      <c r="E29" s="295">
        <f t="shared" si="3"/>
        <v>68986.92333333334</v>
      </c>
      <c r="F29" s="295">
        <f t="shared" si="3"/>
        <v>69656.454554077354</v>
      </c>
      <c r="G29" s="295">
        <f t="shared" si="3"/>
        <v>70341.739450603578</v>
      </c>
      <c r="H29" s="295">
        <f t="shared" si="3"/>
        <v>71105.792726040891</v>
      </c>
      <c r="I29" s="19">
        <f t="shared" si="3"/>
        <v>0</v>
      </c>
      <c r="J29" s="19">
        <f t="shared" si="3"/>
        <v>0</v>
      </c>
      <c r="K29" s="19">
        <f t="shared" si="3"/>
        <v>0</v>
      </c>
      <c r="L29" s="19">
        <f t="shared" si="3"/>
        <v>0</v>
      </c>
      <c r="M29" s="19">
        <f t="shared" si="3"/>
        <v>0</v>
      </c>
      <c r="N29" s="19">
        <f t="shared" si="3"/>
        <v>0</v>
      </c>
      <c r="O29" s="19">
        <f t="shared" si="3"/>
        <v>0</v>
      </c>
      <c r="P29" s="19">
        <f t="shared" si="3"/>
        <v>0</v>
      </c>
      <c r="Q29" s="19"/>
    </row>
    <row r="30" spans="1:17" x14ac:dyDescent="0.25">
      <c r="A30" s="8"/>
      <c r="C30" s="296"/>
      <c r="D30" s="296"/>
      <c r="E30" s="296"/>
      <c r="F30" s="296"/>
      <c r="G30" s="296"/>
      <c r="H30" s="296"/>
      <c r="I30" s="28"/>
      <c r="J30" s="28"/>
      <c r="K30" s="28"/>
      <c r="L30" s="28"/>
      <c r="M30" s="28"/>
      <c r="N30" s="28"/>
      <c r="O30" s="28"/>
      <c r="P30" s="28"/>
    </row>
    <row r="31" spans="1:17" x14ac:dyDescent="0.25">
      <c r="A31" s="1064" t="s">
        <v>516</v>
      </c>
      <c r="B31" s="130" t="str">
        <f>'Bioenergy Calculator'!B34</f>
        <v>Solid wastes - Landfilled</v>
      </c>
      <c r="C31" s="294"/>
      <c r="D31" s="294"/>
      <c r="E31" s="294"/>
      <c r="F31" s="294"/>
      <c r="G31" s="294"/>
      <c r="H31" s="294"/>
      <c r="I31" s="16"/>
      <c r="J31" s="16"/>
      <c r="K31" s="16"/>
      <c r="L31" s="16"/>
      <c r="M31" s="16"/>
      <c r="N31" s="16"/>
      <c r="O31" s="16"/>
      <c r="P31" s="16"/>
      <c r="Q31" s="7"/>
    </row>
    <row r="32" spans="1:17" x14ac:dyDescent="0.25">
      <c r="A32" s="1064"/>
      <c r="B32" s="11" t="str">
        <f>'Bioenergy Calculator'!B35</f>
        <v>Food waste, Landfilled</v>
      </c>
      <c r="C32" s="294">
        <f>C141</f>
        <v>11274.485594400001</v>
      </c>
      <c r="D32" s="294">
        <f>E32*'Conversion Tables'!C29</f>
        <v>108235.06170624003</v>
      </c>
      <c r="E32" s="294">
        <f>C32*'Prac. Rec. Assumptions'!B26</f>
        <v>6764.6913566400017</v>
      </c>
      <c r="F32" s="294">
        <f>($C32*(1+'Biomass Data Assumptions'!G$92)*(1+'Biomass Data Assumptions'!C$82))*'Prac. Rec. Assumptions'!$B26</f>
        <v>6972.4442982739192</v>
      </c>
      <c r="G32" s="294">
        <f>($C32*(1+'Biomass Data Assumptions'!H$92)*(1+'Biomass Data Assumptions'!D$82))*'Prac. Rec. Assumptions'!$B26</f>
        <v>7184.9049860184105</v>
      </c>
      <c r="H32" s="294">
        <f>($C32*(1+'Biomass Data Assumptions'!I$92)*(1+'Biomass Data Assumptions'!E$82))*'Prac. Rec. Assumptions'!$B26</f>
        <v>7422.021919306495</v>
      </c>
      <c r="I32" s="16" t="str">
        <f>IF('Conversion Tables'!F29="NA","NA",(E32*'Conversion Tables'!$C29)/'Conversion Tables'!F29)</f>
        <v>NA</v>
      </c>
      <c r="J32" s="16" t="str">
        <f>IF('Conversion Tables'!G29="NA","NA",(F32*'Conversion Tables'!$C29)/'Conversion Tables'!G29)</f>
        <v>NA</v>
      </c>
      <c r="K32" s="16" t="str">
        <f>IF('Conversion Tables'!H29="NA","NA",(G32*'Conversion Tables'!$C29)/'Conversion Tables'!H29)</f>
        <v>NA</v>
      </c>
      <c r="L32" s="16" t="str">
        <f>IF('Conversion Tables'!I29="NA","NA",(H32*'Conversion Tables'!$C29)/'Conversion Tables'!I29)</f>
        <v>NA</v>
      </c>
      <c r="M32" s="16" t="str">
        <f>IF('Conversion Tables'!K29="NA","NA",E32*'Conversion Tables'!K29)</f>
        <v>NA</v>
      </c>
      <c r="N32" s="16" t="str">
        <f>IF('Conversion Tables'!L29="NA","NA",F32*'Conversion Tables'!L29)</f>
        <v>NA</v>
      </c>
      <c r="O32" s="16" t="str">
        <f>IF('Conversion Tables'!M29="NA","NA",G32*'Conversion Tables'!M29)</f>
        <v>NA</v>
      </c>
      <c r="P32" s="16" t="str">
        <f>IF('Conversion Tables'!N29="NA","NA",H32*'Conversion Tables'!N29)</f>
        <v>NA</v>
      </c>
      <c r="Q32" s="7"/>
    </row>
    <row r="33" spans="1:17" x14ac:dyDescent="0.25">
      <c r="A33" s="1064"/>
      <c r="B33" s="11" t="str">
        <f>'Bioenergy Calculator'!B36</f>
        <v>Waste paper, Landfilled</v>
      </c>
      <c r="C33" s="294">
        <f>C142</f>
        <v>41584.464882000007</v>
      </c>
      <c r="D33" s="294">
        <f>E33*'Conversion Tables'!C30</f>
        <v>483111.67921312334</v>
      </c>
      <c r="E33" s="294">
        <f>C33*'Prac. Rec. Assumptions'!B27</f>
        <v>33267.571905600009</v>
      </c>
      <c r="F33" s="294">
        <f>($C33*(1+'Biomass Data Assumptions'!G$92)*(1+'Biomass Data Assumptions'!C$82))*'Prac. Rec. Assumptions'!$B27</f>
        <v>34289.264627415352</v>
      </c>
      <c r="G33" s="294">
        <f>($C33*(1+'Biomass Data Assumptions'!H$92)*(1+'Biomass Data Assumptions'!D$82))*'Prac. Rec. Assumptions'!$B27</f>
        <v>35334.109223276377</v>
      </c>
      <c r="H33" s="294">
        <f>($C33*(1+'Biomass Data Assumptions'!I$92)*(1+'Biomass Data Assumptions'!E$82))*'Prac. Rec. Assumptions'!$B27</f>
        <v>36500.20893312549</v>
      </c>
      <c r="I33" s="16" t="str">
        <f>IF('Conversion Tables'!F30="NA","NA",(E33*'Conversion Tables'!$C30)/'Conversion Tables'!F30)</f>
        <v>NA</v>
      </c>
      <c r="J33" s="16" t="str">
        <f>IF('Conversion Tables'!G30="NA","NA",(F33*'Conversion Tables'!$C30)/'Conversion Tables'!G30)</f>
        <v>NA</v>
      </c>
      <c r="K33" s="16" t="str">
        <f>IF('Conversion Tables'!H30="NA","NA",(G33*'Conversion Tables'!$C30)/'Conversion Tables'!H30)</f>
        <v>NA</v>
      </c>
      <c r="L33" s="16" t="str">
        <f>IF('Conversion Tables'!I30="NA","NA",(H33*'Conversion Tables'!$C30)/'Conversion Tables'!I30)</f>
        <v>NA</v>
      </c>
      <c r="M33" s="16" t="str">
        <f>IF('Conversion Tables'!K30="NA","NA",E33*'Conversion Tables'!K30)</f>
        <v>NA</v>
      </c>
      <c r="N33" s="16" t="str">
        <f>IF('Conversion Tables'!L30="NA","NA",F33*'Conversion Tables'!L30)</f>
        <v>NA</v>
      </c>
      <c r="O33" s="16" t="str">
        <f>IF('Conversion Tables'!M30="NA","NA",G33*'Conversion Tables'!M30)</f>
        <v>NA</v>
      </c>
      <c r="P33" s="16" t="str">
        <f>IF('Conversion Tables'!N30="NA","NA",H33*'Conversion Tables'!N30)</f>
        <v>NA</v>
      </c>
      <c r="Q33" s="7"/>
    </row>
    <row r="34" spans="1:17" x14ac:dyDescent="0.25">
      <c r="A34" s="1064"/>
      <c r="B34" s="11" t="str">
        <f>'Bioenergy Calculator'!B37</f>
        <v>Other Biomass, Landfilled</v>
      </c>
      <c r="C34" s="294">
        <f>C143</f>
        <v>31987.136225999999</v>
      </c>
      <c r="D34" s="294">
        <f>E34*'Conversion Tables'!C31</f>
        <v>334452.37843725987</v>
      </c>
      <c r="E34" s="294">
        <f>C34*'Prac. Rec. Assumptions'!B28</f>
        <v>23030.738082720003</v>
      </c>
      <c r="F34" s="294">
        <f>($C34*(1+'Biomass Data Assumptions'!G$92)*(1+'Biomass Data Assumptions'!C$82))*'Prac. Rec. Assumptions'!$B28</f>
        <v>23738.043609673397</v>
      </c>
      <c r="G34" s="294">
        <f>($C34*(1+'Biomass Data Assumptions'!H$92)*(1+'Biomass Data Assumptions'!D$82))*'Prac. Rec. Assumptions'!$B28</f>
        <v>24461.376899301613</v>
      </c>
      <c r="H34" s="294">
        <f>($C34*(1+'Biomass Data Assumptions'!I$92)*(1+'Biomass Data Assumptions'!E$82))*'Prac. Rec. Assumptions'!$B28</f>
        <v>25268.653639307693</v>
      </c>
      <c r="I34" s="16" t="str">
        <f>IF('Conversion Tables'!F31="NA","NA",(E34*'Conversion Tables'!$C31)/'Conversion Tables'!F31)</f>
        <v>NA</v>
      </c>
      <c r="J34" s="16" t="str">
        <f>IF('Conversion Tables'!G31="NA","NA",(F34*'Conversion Tables'!$C31)/'Conversion Tables'!G31)</f>
        <v>NA</v>
      </c>
      <c r="K34" s="16" t="str">
        <f>IF('Conversion Tables'!H31="NA","NA",(G34*'Conversion Tables'!$C31)/'Conversion Tables'!H31)</f>
        <v>NA</v>
      </c>
      <c r="L34" s="16" t="str">
        <f>IF('Conversion Tables'!I31="NA","NA",(H34*'Conversion Tables'!$C31)/'Conversion Tables'!I31)</f>
        <v>NA</v>
      </c>
      <c r="M34" s="16" t="str">
        <f>IF('Conversion Tables'!K31="NA","NA",E34*'Conversion Tables'!K31)</f>
        <v>NA</v>
      </c>
      <c r="N34" s="16" t="str">
        <f>IF('Conversion Tables'!L31="NA","NA",F34*'Conversion Tables'!L31)</f>
        <v>NA</v>
      </c>
      <c r="O34" s="16" t="str">
        <f>IF('Conversion Tables'!M31="NA","NA",G34*'Conversion Tables'!M31)</f>
        <v>NA</v>
      </c>
      <c r="P34" s="16" t="str">
        <f>IF('Conversion Tables'!N31="NA","NA",H34*'Conversion Tables'!N31)</f>
        <v>NA</v>
      </c>
      <c r="Q34" s="7"/>
    </row>
    <row r="35" spans="1:17" x14ac:dyDescent="0.25">
      <c r="A35" s="1065"/>
      <c r="B35" s="11" t="str">
        <f>'Bioenergy Calculator'!B38</f>
        <v>C&amp;D (Non-recycled wood)</v>
      </c>
      <c r="C35" s="294">
        <f>C145</f>
        <v>20944.182400000005</v>
      </c>
      <c r="D35" s="294">
        <f>E35*'Conversion Tables'!C32</f>
        <v>237255.69822720008</v>
      </c>
      <c r="E35" s="294">
        <f>C35*'Prac. Rec. Assumptions'!B29</f>
        <v>13404.276736000005</v>
      </c>
      <c r="F35" s="545">
        <f>($C35*(1+'Biomass Data Assumptions'!G$92)*(1+'Biomass Data Assumptions'!C$83))*'Prac. Rec. Assumptions'!$B29</f>
        <v>14519.512367887843</v>
      </c>
      <c r="G35" s="545">
        <f>($C35*(1+'Biomass Data Assumptions'!H$92)*(1+'Biomass Data Assumptions'!D$83))*'Prac. Rec. Assumptions'!$B29</f>
        <v>15723.875101843978</v>
      </c>
      <c r="H35" s="545">
        <f>($C35*(1+'Biomass Data Assumptions'!I$92)*(1+'Biomass Data Assumptions'!E$83))*'Prac. Rec. Assumptions'!$B29</f>
        <v>17069.95464863746</v>
      </c>
      <c r="I35" s="16" t="str">
        <f>IF('Conversion Tables'!F32="NA","NA",(E35*'Conversion Tables'!$C32)/'Conversion Tables'!F32)</f>
        <v>NA</v>
      </c>
      <c r="J35" s="16" t="str">
        <f>IF('Conversion Tables'!G32="NA","NA",(F35*'Conversion Tables'!$C32)/'Conversion Tables'!G32)</f>
        <v>NA</v>
      </c>
      <c r="K35" s="16" t="str">
        <f>IF('Conversion Tables'!H32="NA","NA",(G35*'Conversion Tables'!$C32)/'Conversion Tables'!H32)</f>
        <v>NA</v>
      </c>
      <c r="L35" s="16" t="str">
        <f>IF('Conversion Tables'!I32="NA","NA",(H35*'Conversion Tables'!$C32)/'Conversion Tables'!I32)</f>
        <v>NA</v>
      </c>
      <c r="M35" s="16" t="str">
        <f>IF('Conversion Tables'!K32="NA","NA",E35*'Conversion Tables'!K32)</f>
        <v>NA</v>
      </c>
      <c r="N35" s="16" t="str">
        <f>IF('Conversion Tables'!L32="NA","NA",F35*'Conversion Tables'!L32)</f>
        <v>NA</v>
      </c>
      <c r="O35" s="16" t="str">
        <f>IF('Conversion Tables'!M32="NA","NA",G35*'Conversion Tables'!M32)</f>
        <v>NA</v>
      </c>
      <c r="P35" s="16" t="str">
        <f>IF('Conversion Tables'!N32="NA","NA",H35*'Conversion Tables'!N32)</f>
        <v>NA</v>
      </c>
      <c r="Q35" s="7"/>
    </row>
    <row r="36" spans="1:17" x14ac:dyDescent="0.25">
      <c r="A36" s="1065"/>
      <c r="B36" s="4" t="s">
        <v>280</v>
      </c>
      <c r="C36" s="294"/>
      <c r="D36" s="294"/>
      <c r="E36" s="294"/>
      <c r="F36" s="294"/>
      <c r="G36" s="294"/>
      <c r="H36" s="294"/>
      <c r="I36" s="16"/>
      <c r="J36" s="16"/>
      <c r="K36" s="16"/>
      <c r="L36" s="16"/>
      <c r="M36" s="16"/>
      <c r="N36" s="16"/>
      <c r="O36" s="16"/>
      <c r="P36" s="16"/>
      <c r="Q36" s="7"/>
    </row>
    <row r="37" spans="1:17" x14ac:dyDescent="0.25">
      <c r="A37" s="1065"/>
      <c r="B37" s="11" t="s">
        <v>563</v>
      </c>
      <c r="C37" s="294">
        <f>C132</f>
        <v>1041.9475</v>
      </c>
      <c r="D37" s="294">
        <f>E37*'Conversion Tables'!C34</f>
        <v>16671.16</v>
      </c>
      <c r="E37" s="294">
        <f>C37*'Prac. Rec. Assumptions'!B31</f>
        <v>1041.9475</v>
      </c>
      <c r="F37" s="294">
        <f>($C37*(1+'Biomass Data Assumptions'!G$92)*(1+'Biomass Data Assumptions'!C$84))*'Prac. Rec. Assumptions'!$B31</f>
        <v>1175.1335084637317</v>
      </c>
      <c r="G37" s="294">
        <f>($C37*(1+'Biomass Data Assumptions'!H$92)*(1+'Biomass Data Assumptions'!D$84))*'Prac. Rec. Assumptions'!$B31</f>
        <v>1325.0354339075691</v>
      </c>
      <c r="H37" s="294">
        <f>($C37*(1+'Biomass Data Assumptions'!I$92)*(1+'Biomass Data Assumptions'!E$84))*'Prac. Rec. Assumptions'!$B31</f>
        <v>1497.7281818032409</v>
      </c>
      <c r="I37" s="16" t="str">
        <f>IF('Conversion Tables'!F34="NA","NA",(E37*'Conversion Tables'!$C34)/'Conversion Tables'!F34)</f>
        <v>NA</v>
      </c>
      <c r="J37" s="16" t="str">
        <f>IF('Conversion Tables'!G34="NA","NA",(F37*'Conversion Tables'!$C34)/'Conversion Tables'!G34)</f>
        <v>NA</v>
      </c>
      <c r="K37" s="16" t="str">
        <f>IF('Conversion Tables'!H34="NA","NA",(G37*'Conversion Tables'!$C34)/'Conversion Tables'!H34)</f>
        <v>NA</v>
      </c>
      <c r="L37" s="16" t="str">
        <f>IF('Conversion Tables'!I34="NA","NA",(H37*'Conversion Tables'!$C34)/'Conversion Tables'!I34)</f>
        <v>NA</v>
      </c>
      <c r="M37" s="16" t="str">
        <f>IF('Conversion Tables'!K34="NA","NA",E37*'Conversion Tables'!K34)</f>
        <v>NA</v>
      </c>
      <c r="N37" s="16" t="str">
        <f>IF('Conversion Tables'!L34="NA","NA",F37*'Conversion Tables'!L34)</f>
        <v>NA</v>
      </c>
      <c r="O37" s="16" t="str">
        <f>IF('Conversion Tables'!M34="NA","NA",G37*'Conversion Tables'!M34)</f>
        <v>NA</v>
      </c>
      <c r="P37" s="16" t="str">
        <f>IF('Conversion Tables'!N34="NA","NA",H37*'Conversion Tables'!N34)</f>
        <v>NA</v>
      </c>
      <c r="Q37" s="18"/>
    </row>
    <row r="38" spans="1:17" x14ac:dyDescent="0.25">
      <c r="A38" s="1065"/>
      <c r="B38" s="11" t="s">
        <v>565</v>
      </c>
      <c r="C38" s="294">
        <f>C134</f>
        <v>1336.808</v>
      </c>
      <c r="D38" s="294">
        <f>E38*'Conversion Tables'!C35</f>
        <v>11830.7508</v>
      </c>
      <c r="E38" s="294">
        <f>C38*'Prac. Rec. Assumptions'!B32</f>
        <v>668.404</v>
      </c>
      <c r="F38" s="294">
        <f>($C38*(1+'Biomass Data Assumptions'!G$92)*(1+'Biomass Data Assumptions'!C$84))*'Prac. Rec. Assumptions'!$B32</f>
        <v>753.84214424545587</v>
      </c>
      <c r="G38" s="294">
        <f>($C38*(1+'Biomass Data Assumptions'!H$92)*(1+'Biomass Data Assumptions'!D$84))*'Prac. Rec. Assumptions'!$B32</f>
        <v>850.00346386507454</v>
      </c>
      <c r="H38" s="294">
        <f>($C38*(1+'Biomass Data Assumptions'!I$92)*(1+'Biomass Data Assumptions'!E$84))*'Prac. Rec. Assumptions'!$B32</f>
        <v>960.78497969428736</v>
      </c>
      <c r="I38" s="16" t="str">
        <f>IF('Conversion Tables'!F35="NA","NA",(E38*'Conversion Tables'!$C35)/'Conversion Tables'!F35)</f>
        <v>NA</v>
      </c>
      <c r="J38" s="16" t="str">
        <f>IF('Conversion Tables'!G35="NA","NA",(F38*'Conversion Tables'!$C35)/'Conversion Tables'!G35)</f>
        <v>NA</v>
      </c>
      <c r="K38" s="16" t="str">
        <f>IF('Conversion Tables'!H35="NA","NA",(G38*'Conversion Tables'!$C35)/'Conversion Tables'!H35)</f>
        <v>NA</v>
      </c>
      <c r="L38" s="16" t="str">
        <f>IF('Conversion Tables'!I35="NA","NA",(H38*'Conversion Tables'!$C35)/'Conversion Tables'!I35)</f>
        <v>NA</v>
      </c>
      <c r="M38" s="16" t="str">
        <f>IF('Conversion Tables'!K35="NA","NA",E38*'Conversion Tables'!K35)</f>
        <v>NA</v>
      </c>
      <c r="N38" s="16" t="str">
        <f>IF('Conversion Tables'!L35="NA","NA",F38*'Conversion Tables'!L35)</f>
        <v>NA</v>
      </c>
      <c r="O38" s="16" t="str">
        <f>IF('Conversion Tables'!M35="NA","NA",G38*'Conversion Tables'!M35)</f>
        <v>NA</v>
      </c>
      <c r="P38" s="16" t="str">
        <f>IF('Conversion Tables'!N35="NA","NA",H38*'Conversion Tables'!N35)</f>
        <v>NA</v>
      </c>
      <c r="Q38" s="13"/>
    </row>
    <row r="39" spans="1:17" x14ac:dyDescent="0.25">
      <c r="A39" s="1065"/>
      <c r="B39" s="17" t="s">
        <v>555</v>
      </c>
      <c r="C39" s="294">
        <f>C124</f>
        <v>16633.133999999998</v>
      </c>
      <c r="D39" s="294">
        <f>E39*'Conversion Tables'!C36</f>
        <v>0</v>
      </c>
      <c r="E39" s="294">
        <f>C39*'Prac. Rec. Assumptions'!B33</f>
        <v>0</v>
      </c>
      <c r="F39" s="294">
        <f>($C39*(1+'Biomass Data Assumptions'!G$92)*(1+'Biomass Data Assumptions'!C$84))*'Prac. Rec. Assumptions'!$B33</f>
        <v>0</v>
      </c>
      <c r="G39" s="294">
        <f>($C39*(1+'Biomass Data Assumptions'!H$92)*(1+'Biomass Data Assumptions'!D$84))*'Prac. Rec. Assumptions'!$B33</f>
        <v>0</v>
      </c>
      <c r="H39" s="294">
        <f>($C39*(1+'Biomass Data Assumptions'!I$92)*(1+'Biomass Data Assumptions'!E$84))*'Prac. Rec. Assumptions'!$B33</f>
        <v>0</v>
      </c>
      <c r="I39" s="16" t="str">
        <f>IF('Conversion Tables'!F36="NA","NA",(E39*'Conversion Tables'!$C36)/'Conversion Tables'!F36)</f>
        <v>NA</v>
      </c>
      <c r="J39" s="16" t="str">
        <f>IF('Conversion Tables'!G36="NA","NA",(F39*'Conversion Tables'!$C36)/'Conversion Tables'!G36)</f>
        <v>NA</v>
      </c>
      <c r="K39" s="16" t="str">
        <f>IF('Conversion Tables'!H36="NA","NA",(G39*'Conversion Tables'!$C36)/'Conversion Tables'!H36)</f>
        <v>NA</v>
      </c>
      <c r="L39" s="16" t="str">
        <f>IF('Conversion Tables'!I36="NA","NA",(H39*'Conversion Tables'!$C36)/'Conversion Tables'!I36)</f>
        <v>NA</v>
      </c>
      <c r="M39" s="16" t="str">
        <f>IF('Conversion Tables'!K36="NA","NA",E39*'Conversion Tables'!K36)</f>
        <v>NA</v>
      </c>
      <c r="N39" s="16" t="str">
        <f>IF('Conversion Tables'!L36="NA","NA",F39*'Conversion Tables'!L36)</f>
        <v>NA</v>
      </c>
      <c r="O39" s="16" t="str">
        <f>IF('Conversion Tables'!M36="NA","NA",G39*'Conversion Tables'!M36)</f>
        <v>NA</v>
      </c>
      <c r="P39" s="16" t="str">
        <f>IF('Conversion Tables'!N36="NA","NA",H39*'Conversion Tables'!N36)</f>
        <v>NA</v>
      </c>
      <c r="Q39" s="16"/>
    </row>
    <row r="40" spans="1:17" x14ac:dyDescent="0.25">
      <c r="A40" s="1065"/>
      <c r="B40" s="17" t="s">
        <v>556</v>
      </c>
      <c r="C40" s="294">
        <f>C125</f>
        <v>3580.6410000000001</v>
      </c>
      <c r="D40" s="294">
        <f>E40*'Conversion Tables'!C37</f>
        <v>0</v>
      </c>
      <c r="E40" s="294">
        <f>C40*'Prac. Rec. Assumptions'!B34</f>
        <v>0</v>
      </c>
      <c r="F40" s="294">
        <f>($C40*(1+'Biomass Data Assumptions'!G$92)*(1+'Biomass Data Assumptions'!C$84))*'Prac. Rec. Assumptions'!$B34</f>
        <v>0</v>
      </c>
      <c r="G40" s="294">
        <f>($C40*(1+'Biomass Data Assumptions'!H$92)*(1+'Biomass Data Assumptions'!D$84))*'Prac. Rec. Assumptions'!$B34</f>
        <v>0</v>
      </c>
      <c r="H40" s="294">
        <f>($C40*(1+'Biomass Data Assumptions'!I$92)*(1+'Biomass Data Assumptions'!E$84))*'Prac. Rec. Assumptions'!$B34</f>
        <v>0</v>
      </c>
      <c r="I40" s="16" t="str">
        <f>IF('Conversion Tables'!F37="NA","NA",(E40*'Conversion Tables'!$C37)/'Conversion Tables'!F37)</f>
        <v>NA</v>
      </c>
      <c r="J40" s="16" t="str">
        <f>IF('Conversion Tables'!G37="NA","NA",(F40*'Conversion Tables'!$C37)/'Conversion Tables'!G37)</f>
        <v>NA</v>
      </c>
      <c r="K40" s="16" t="str">
        <f>IF('Conversion Tables'!H37="NA","NA",(G40*'Conversion Tables'!$C37)/'Conversion Tables'!H37)</f>
        <v>NA</v>
      </c>
      <c r="L40" s="16" t="str">
        <f>IF('Conversion Tables'!I37="NA","NA",(H40*'Conversion Tables'!$C37)/'Conversion Tables'!I37)</f>
        <v>NA</v>
      </c>
      <c r="M40" s="16" t="str">
        <f>IF('Conversion Tables'!K37="NA","NA",E40*'Conversion Tables'!K37)</f>
        <v>NA</v>
      </c>
      <c r="N40" s="16" t="str">
        <f>IF('Conversion Tables'!L37="NA","NA",F40*'Conversion Tables'!L37)</f>
        <v>NA</v>
      </c>
      <c r="O40" s="16" t="str">
        <f>IF('Conversion Tables'!M37="NA","NA",G40*'Conversion Tables'!M37)</f>
        <v>NA</v>
      </c>
      <c r="P40" s="16" t="str">
        <f>IF('Conversion Tables'!N37="NA","NA",H40*'Conversion Tables'!N37)</f>
        <v>NA</v>
      </c>
      <c r="Q40" s="16"/>
    </row>
    <row r="41" spans="1:17" x14ac:dyDescent="0.25">
      <c r="A41" s="1065"/>
      <c r="B41" s="17" t="s">
        <v>557</v>
      </c>
      <c r="C41" s="294">
        <f>C126</f>
        <v>8365.482</v>
      </c>
      <c r="D41" s="294">
        <f>E41*'Conversion Tables'!C38</f>
        <v>0</v>
      </c>
      <c r="E41" s="294">
        <f>C41*'Prac. Rec. Assumptions'!B35</f>
        <v>0</v>
      </c>
      <c r="F41" s="294">
        <f>($C41*(1+'Biomass Data Assumptions'!G$92)*(1+'Biomass Data Assumptions'!C$84))*'Prac. Rec. Assumptions'!$B35</f>
        <v>0</v>
      </c>
      <c r="G41" s="294">
        <f>($C41*(1+'Biomass Data Assumptions'!H$92)*(1+'Biomass Data Assumptions'!D$84))*'Prac. Rec. Assumptions'!$B35</f>
        <v>0</v>
      </c>
      <c r="H41" s="294">
        <f>($C41*(1+'Biomass Data Assumptions'!I$92)*(1+'Biomass Data Assumptions'!E$84))*'Prac. Rec. Assumptions'!$B35</f>
        <v>0</v>
      </c>
      <c r="I41" s="16" t="str">
        <f>IF('Conversion Tables'!F38="NA","NA",(E41*'Conversion Tables'!$C38)/'Conversion Tables'!F38)</f>
        <v>NA</v>
      </c>
      <c r="J41" s="16" t="str">
        <f>IF('Conversion Tables'!G38="NA","NA",(F41*'Conversion Tables'!$C38)/'Conversion Tables'!G38)</f>
        <v>NA</v>
      </c>
      <c r="K41" s="16" t="str">
        <f>IF('Conversion Tables'!H38="NA","NA",(G41*'Conversion Tables'!$C38)/'Conversion Tables'!H38)</f>
        <v>NA</v>
      </c>
      <c r="L41" s="16" t="str">
        <f>IF('Conversion Tables'!I38="NA","NA",(H41*'Conversion Tables'!$C38)/'Conversion Tables'!I38)</f>
        <v>NA</v>
      </c>
      <c r="M41" s="16" t="str">
        <f>IF('Conversion Tables'!K38="NA","NA",E41*'Conversion Tables'!K38)</f>
        <v>NA</v>
      </c>
      <c r="N41" s="16" t="str">
        <f>IF('Conversion Tables'!L38="NA","NA",F41*'Conversion Tables'!L38)</f>
        <v>NA</v>
      </c>
      <c r="O41" s="16" t="str">
        <f>IF('Conversion Tables'!M38="NA","NA",G41*'Conversion Tables'!M38)</f>
        <v>NA</v>
      </c>
      <c r="P41" s="16" t="str">
        <f>IF('Conversion Tables'!N38="NA","NA",H41*'Conversion Tables'!N38)</f>
        <v>NA</v>
      </c>
      <c r="Q41" s="16"/>
    </row>
    <row r="42" spans="1:17" x14ac:dyDescent="0.25">
      <c r="A42" s="1065"/>
      <c r="B42" s="17" t="s">
        <v>558</v>
      </c>
      <c r="C42" s="294">
        <f>C127</f>
        <v>6988.59</v>
      </c>
      <c r="D42" s="294">
        <f>E42*'Conversion Tables'!C39</f>
        <v>101488.30398</v>
      </c>
      <c r="E42" s="294">
        <f>C42*'Prac. Rec. Assumptions'!B36</f>
        <v>6988.59</v>
      </c>
      <c r="F42" s="294">
        <f>($C42*(1+'Biomass Data Assumptions'!G$92)*(1+'Biomass Data Assumptions'!C$84))*'Prac. Rec. Assumptions'!$B36</f>
        <v>7881.9002741640552</v>
      </c>
      <c r="G42" s="294">
        <f>($C42*(1+'Biomass Data Assumptions'!H$92)*(1+'Biomass Data Assumptions'!D$84))*'Prac. Rec. Assumptions'!$B36</f>
        <v>8887.3281840515938</v>
      </c>
      <c r="H42" s="294">
        <f>($C42*(1+'Biomass Data Assumptions'!I$92)*(1+'Biomass Data Assumptions'!E$84))*'Prac. Rec. Assumptions'!$B36</f>
        <v>10045.619567270243</v>
      </c>
      <c r="I42" s="16" t="str">
        <f>IF('Conversion Tables'!F39="NA","NA",(E42*'Conversion Tables'!$C39)/'Conversion Tables'!F39)</f>
        <v>NA</v>
      </c>
      <c r="J42" s="16" t="str">
        <f>IF('Conversion Tables'!G39="NA","NA",(F42*'Conversion Tables'!$C39)/'Conversion Tables'!G39)</f>
        <v>NA</v>
      </c>
      <c r="K42" s="16" t="str">
        <f>IF('Conversion Tables'!H39="NA","NA",(G42*'Conversion Tables'!$C39)/'Conversion Tables'!H39)</f>
        <v>NA</v>
      </c>
      <c r="L42" s="16" t="str">
        <f>IF('Conversion Tables'!I39="NA","NA",(H42*'Conversion Tables'!$C39)/'Conversion Tables'!I39)</f>
        <v>NA</v>
      </c>
      <c r="M42" s="16" t="str">
        <f>IF('Conversion Tables'!K39="NA","NA",E42*'Conversion Tables'!K39)</f>
        <v>NA</v>
      </c>
      <c r="N42" s="16" t="str">
        <f>IF('Conversion Tables'!L39="NA","NA",F42*'Conversion Tables'!L39)</f>
        <v>NA</v>
      </c>
      <c r="O42" s="16" t="str">
        <f>IF('Conversion Tables'!M39="NA","NA",G42*'Conversion Tables'!M39)</f>
        <v>NA</v>
      </c>
      <c r="P42" s="16" t="str">
        <f>IF('Conversion Tables'!N39="NA","NA",H42*'Conversion Tables'!N39)</f>
        <v>NA</v>
      </c>
      <c r="Q42" s="16"/>
    </row>
    <row r="43" spans="1:17" x14ac:dyDescent="0.25">
      <c r="A43" s="1065"/>
      <c r="B43" s="9" t="s">
        <v>524</v>
      </c>
      <c r="C43" s="295">
        <f t="shared" ref="C43:P43" si="4">SUM(C31:C42)</f>
        <v>143736.8716024</v>
      </c>
      <c r="D43" s="295">
        <f t="shared" si="4"/>
        <v>1293045.0323638231</v>
      </c>
      <c r="E43" s="295">
        <f t="shared" si="4"/>
        <v>85166.219580960009</v>
      </c>
      <c r="F43" s="295">
        <f t="shared" si="4"/>
        <v>89330.140830123753</v>
      </c>
      <c r="G43" s="295">
        <f t="shared" si="4"/>
        <v>93766.633292264625</v>
      </c>
      <c r="H43" s="295">
        <f t="shared" si="4"/>
        <v>98764.971869144909</v>
      </c>
      <c r="I43" s="19">
        <f t="shared" si="4"/>
        <v>0</v>
      </c>
      <c r="J43" s="19">
        <f t="shared" si="4"/>
        <v>0</v>
      </c>
      <c r="K43" s="19">
        <f t="shared" si="4"/>
        <v>0</v>
      </c>
      <c r="L43" s="19">
        <f t="shared" si="4"/>
        <v>0</v>
      </c>
      <c r="M43" s="19">
        <f t="shared" si="4"/>
        <v>0</v>
      </c>
      <c r="N43" s="19">
        <f t="shared" si="4"/>
        <v>0</v>
      </c>
      <c r="O43" s="19">
        <f t="shared" si="4"/>
        <v>0</v>
      </c>
      <c r="P43" s="19">
        <f t="shared" si="4"/>
        <v>0</v>
      </c>
      <c r="Q43" s="19"/>
    </row>
    <row r="44" spans="1:17" x14ac:dyDescent="0.25">
      <c r="A44" s="8"/>
      <c r="C44" s="296"/>
      <c r="D44" s="296"/>
      <c r="E44" s="296"/>
      <c r="F44" s="296"/>
      <c r="G44" s="296"/>
      <c r="H44" s="296"/>
      <c r="I44" s="28"/>
      <c r="J44" s="28"/>
      <c r="K44" s="28"/>
      <c r="L44" s="28"/>
      <c r="M44" s="28"/>
      <c r="N44" s="28"/>
      <c r="O44" s="28"/>
      <c r="P44" s="28"/>
    </row>
    <row r="45" spans="1:17" x14ac:dyDescent="0.25">
      <c r="A45" s="1064" t="s">
        <v>515</v>
      </c>
      <c r="B45" s="2" t="s">
        <v>510</v>
      </c>
      <c r="C45" s="294"/>
      <c r="D45" s="294"/>
      <c r="E45" s="294"/>
      <c r="F45" s="294"/>
      <c r="G45" s="294"/>
      <c r="H45" s="294"/>
      <c r="I45" s="16"/>
      <c r="J45" s="16"/>
      <c r="K45" s="16"/>
      <c r="L45" s="16"/>
      <c r="M45" s="16"/>
      <c r="N45" s="16"/>
      <c r="O45" s="16"/>
      <c r="P45" s="16"/>
      <c r="Q45" s="7"/>
    </row>
    <row r="46" spans="1:17" x14ac:dyDescent="0.25">
      <c r="A46" s="1064"/>
      <c r="B46" s="12" t="s">
        <v>525</v>
      </c>
      <c r="C46" s="294">
        <f>D77</f>
        <v>116.16</v>
      </c>
      <c r="D46" s="294">
        <f>E46*'Conversion Tables'!C41</f>
        <v>0</v>
      </c>
      <c r="E46" s="294">
        <f>C46*'Prac. Rec. Assumptions'!B38</f>
        <v>116.16</v>
      </c>
      <c r="F46" s="294">
        <f>$E46</f>
        <v>116.16</v>
      </c>
      <c r="G46" s="294">
        <f>$E46</f>
        <v>116.16</v>
      </c>
      <c r="H46" s="294">
        <f>$E46</f>
        <v>116.16</v>
      </c>
      <c r="I46" s="16" t="str">
        <f>IF('Conversion Tables'!F41="NA","NA",(E46*'Conversion Tables'!$C41)/'Conversion Tables'!F41)</f>
        <v>NA</v>
      </c>
      <c r="J46" s="16" t="str">
        <f>IF('Conversion Tables'!G41="NA","NA",(F46*'Conversion Tables'!$C41)/'Conversion Tables'!G41)</f>
        <v>NA</v>
      </c>
      <c r="K46" s="16" t="str">
        <f>IF('Conversion Tables'!H41="NA","NA",(G46*'Conversion Tables'!$C41)/'Conversion Tables'!H41)</f>
        <v>NA</v>
      </c>
      <c r="L46" s="16" t="str">
        <f>IF('Conversion Tables'!I41="NA","NA",(H46*'Conversion Tables'!$C41)/'Conversion Tables'!I41)</f>
        <v>NA</v>
      </c>
      <c r="M46" s="16" t="str">
        <f>IF('Conversion Tables'!K41="NA","NA",E46*'Conversion Tables'!K41)</f>
        <v>NA</v>
      </c>
      <c r="N46" s="16" t="str">
        <f>IF('Conversion Tables'!L41="NA","NA",F46*'Conversion Tables'!L41)</f>
        <v>NA</v>
      </c>
      <c r="O46" s="16" t="str">
        <f>IF('Conversion Tables'!M41="NA","NA",G46*'Conversion Tables'!M41)</f>
        <v>NA</v>
      </c>
      <c r="P46" s="16" t="str">
        <f>IF('Conversion Tables'!N41="NA","NA",H46*'Conversion Tables'!N41)</f>
        <v>NA</v>
      </c>
      <c r="Q46" s="15"/>
    </row>
    <row r="47" spans="1:17" x14ac:dyDescent="0.25">
      <c r="A47" s="1065"/>
      <c r="B47" s="2" t="s">
        <v>508</v>
      </c>
      <c r="C47" s="294">
        <f t="shared" ref="C47:C48" si="5">C148</f>
        <v>1026.8132600000001</v>
      </c>
      <c r="D47" s="294">
        <f>E47*'Conversion Tables'!C42</f>
        <v>15402.198900000001</v>
      </c>
      <c r="E47" s="294">
        <f>C47*'Prac. Rec. Assumptions'!B39</f>
        <v>513.40663000000006</v>
      </c>
      <c r="F47" s="545">
        <f>($C47*(1+'Biomass Data Assumptions'!G$92))*'Prac. Rec. Assumptions'!$B39</f>
        <v>529.53359361788625</v>
      </c>
      <c r="G47" s="545">
        <f>($C47*(1+'Biomass Data Assumptions'!H$92))*'Prac. Rec. Assumptions'!$B39</f>
        <v>546.0400152032521</v>
      </c>
      <c r="H47" s="545">
        <f>($C47*(1+'Biomass Data Assumptions'!I$92))*'Prac. Rec. Assumptions'!$B39</f>
        <v>564.44372662601631</v>
      </c>
      <c r="I47" s="16" t="str">
        <f>IF('Conversion Tables'!F42="NA","NA",(E47*'Conversion Tables'!$C42)/'Conversion Tables'!F42)</f>
        <v>NA</v>
      </c>
      <c r="J47" s="16" t="str">
        <f>IF('Conversion Tables'!G42="NA","NA",(F47*'Conversion Tables'!$C42)/'Conversion Tables'!G42)</f>
        <v>NA</v>
      </c>
      <c r="K47" s="16" t="str">
        <f>IF('Conversion Tables'!H42="NA","NA",(G47*'Conversion Tables'!$C42)/'Conversion Tables'!H42)</f>
        <v>NA</v>
      </c>
      <c r="L47" s="16" t="str">
        <f>IF('Conversion Tables'!I42="NA","NA",(H47*'Conversion Tables'!$C42)/'Conversion Tables'!I42)</f>
        <v>NA</v>
      </c>
      <c r="M47" s="16" t="str">
        <f>IF('Conversion Tables'!K42="NA","NA",E47*'Conversion Tables'!K42)</f>
        <v>NA</v>
      </c>
      <c r="N47" s="16" t="str">
        <f>IF('Conversion Tables'!L42="NA","NA",F47*'Conversion Tables'!L42)</f>
        <v>NA</v>
      </c>
      <c r="O47" s="16" t="str">
        <f>IF('Conversion Tables'!M42="NA","NA",G47*'Conversion Tables'!M42)</f>
        <v>NA</v>
      </c>
      <c r="P47" s="16" t="str">
        <f>IF('Conversion Tables'!N42="NA","NA",H47*'Conversion Tables'!N42)</f>
        <v>NA</v>
      </c>
      <c r="Q47" s="7"/>
    </row>
    <row r="48" spans="1:17" x14ac:dyDescent="0.25">
      <c r="A48" s="1065"/>
      <c r="B48" s="1" t="s">
        <v>509</v>
      </c>
      <c r="C48" s="294">
        <f t="shared" si="5"/>
        <v>91.768003249999992</v>
      </c>
      <c r="D48" s="294">
        <f>E48*'Conversion Tables'!C43</f>
        <v>2753.0400974999998</v>
      </c>
      <c r="E48" s="294">
        <f>C48*'Prac. Rec. Assumptions'!B40</f>
        <v>91.768003249999992</v>
      </c>
      <c r="F48" s="545">
        <f>($C48*(1+'Biomass Data Assumptions'!G$92))*'Prac. Rec. Assumptions'!$B40</f>
        <v>94.650590196138211</v>
      </c>
      <c r="G48" s="545">
        <f>($C48*(1+'Biomass Data Assumptions'!H$92))*'Prac. Rec. Assumptions'!$B40</f>
        <v>97.601002717479659</v>
      </c>
      <c r="H48" s="545">
        <f>($C48*(1+'Biomass Data Assumptions'!I$92))*'Prac. Rec. Assumptions'!$B40</f>
        <v>100.89054311483739</v>
      </c>
      <c r="I48" s="16" t="str">
        <f>IF('Conversion Tables'!F43="NA","NA",(E48*'Conversion Tables'!$C43)/'Conversion Tables'!F43)</f>
        <v>NA</v>
      </c>
      <c r="J48" s="16" t="str">
        <f>IF('Conversion Tables'!G43="NA","NA",(F48*'Conversion Tables'!$C43)/'Conversion Tables'!G43)</f>
        <v>NA</v>
      </c>
      <c r="K48" s="16" t="str">
        <f>IF('Conversion Tables'!H43="NA","NA",(G48*'Conversion Tables'!$C43)/'Conversion Tables'!H43)</f>
        <v>NA</v>
      </c>
      <c r="L48" s="16" t="str">
        <f>IF('Conversion Tables'!I43="NA","NA",(H48*'Conversion Tables'!$C43)/'Conversion Tables'!I43)</f>
        <v>NA</v>
      </c>
      <c r="M48" s="16" t="str">
        <f>IF('Conversion Tables'!K43="NA","NA",E48*'Conversion Tables'!K43)</f>
        <v>NA</v>
      </c>
      <c r="N48" s="16" t="str">
        <f>IF('Conversion Tables'!L43="NA","NA",F48*'Conversion Tables'!L43)</f>
        <v>NA</v>
      </c>
      <c r="O48" s="16" t="str">
        <f>IF('Conversion Tables'!M43="NA","NA",G48*'Conversion Tables'!M43)</f>
        <v>NA</v>
      </c>
      <c r="P48" s="16" t="str">
        <f>IF('Conversion Tables'!N43="NA","NA",H48*'Conversion Tables'!N43)</f>
        <v>NA</v>
      </c>
      <c r="Q48" s="7"/>
    </row>
    <row r="49" spans="1:17" x14ac:dyDescent="0.25">
      <c r="A49" s="1065"/>
      <c r="B49" s="9" t="s">
        <v>524</v>
      </c>
      <c r="C49" s="295">
        <f t="shared" ref="C49:P49" si="6">SUM(C45:C48)</f>
        <v>1234.7412632500002</v>
      </c>
      <c r="D49" s="295">
        <f>SUM(D45:D48)</f>
        <v>18155.238997500001</v>
      </c>
      <c r="E49" s="295">
        <f t="shared" si="6"/>
        <v>721.33463325000002</v>
      </c>
      <c r="F49" s="295">
        <f>SUM(F45:F48)</f>
        <v>740.3441838140244</v>
      </c>
      <c r="G49" s="295">
        <f>SUM(G45:G48)</f>
        <v>759.80101792073174</v>
      </c>
      <c r="H49" s="295">
        <f>SUM(H45:H48)</f>
        <v>781.49426974085372</v>
      </c>
      <c r="I49" s="19">
        <f t="shared" si="6"/>
        <v>0</v>
      </c>
      <c r="J49" s="19">
        <f t="shared" si="6"/>
        <v>0</v>
      </c>
      <c r="K49" s="19">
        <f t="shared" si="6"/>
        <v>0</v>
      </c>
      <c r="L49" s="19">
        <f t="shared" si="6"/>
        <v>0</v>
      </c>
      <c r="M49" s="19">
        <f t="shared" si="6"/>
        <v>0</v>
      </c>
      <c r="N49" s="19">
        <f t="shared" si="6"/>
        <v>0</v>
      </c>
      <c r="O49" s="19">
        <f t="shared" si="6"/>
        <v>0</v>
      </c>
      <c r="P49" s="19">
        <f t="shared" si="6"/>
        <v>0</v>
      </c>
      <c r="Q49" s="19"/>
    </row>
    <row r="50" spans="1:17" x14ac:dyDescent="0.25">
      <c r="A50" s="8"/>
      <c r="C50" s="296"/>
      <c r="D50" s="296"/>
      <c r="E50" s="296"/>
      <c r="F50" s="296"/>
      <c r="G50" s="296"/>
      <c r="H50" s="296"/>
      <c r="I50" s="28"/>
      <c r="J50" s="28"/>
      <c r="K50" s="28"/>
      <c r="L50" s="28"/>
      <c r="M50" s="28"/>
      <c r="N50" s="28"/>
      <c r="O50" s="28"/>
      <c r="P50" s="28"/>
    </row>
    <row r="51" spans="1:17" x14ac:dyDescent="0.25">
      <c r="A51" s="1200" t="s">
        <v>517</v>
      </c>
      <c r="B51" s="2" t="s">
        <v>505</v>
      </c>
      <c r="C51" s="294"/>
      <c r="D51" s="294"/>
      <c r="E51" s="294"/>
      <c r="F51" s="294"/>
      <c r="G51" s="294"/>
      <c r="H51" s="294"/>
      <c r="I51" s="16"/>
      <c r="J51" s="16"/>
      <c r="K51" s="16"/>
      <c r="L51" s="16"/>
      <c r="M51" s="16"/>
      <c r="N51" s="16"/>
      <c r="O51" s="16"/>
      <c r="P51" s="16"/>
      <c r="Q51" s="7"/>
    </row>
    <row r="52" spans="1:17" x14ac:dyDescent="0.25">
      <c r="A52" s="1201"/>
      <c r="B52" s="12" t="s">
        <v>535</v>
      </c>
      <c r="C52" s="294">
        <f>G97</f>
        <v>139.35408000000001</v>
      </c>
      <c r="D52" s="294">
        <f>E52*'Conversion Tables'!C45</f>
        <v>411.48472742400003</v>
      </c>
      <c r="E52" s="294">
        <f>C52*'Prac. Rec. Assumptions'!B42</f>
        <v>27.870816000000005</v>
      </c>
      <c r="F52" s="294">
        <f t="shared" ref="F52:H59" si="7">$E52</f>
        <v>27.870816000000005</v>
      </c>
      <c r="G52" s="294">
        <f t="shared" si="7"/>
        <v>27.870816000000005</v>
      </c>
      <c r="H52" s="294">
        <f t="shared" si="7"/>
        <v>27.870816000000005</v>
      </c>
      <c r="I52" s="16" t="str">
        <f>IF('Conversion Tables'!F45="NA","NA",(E52*'Conversion Tables'!$C45)/'Conversion Tables'!F45)</f>
        <v>NA</v>
      </c>
      <c r="J52" s="16" t="str">
        <f>IF('Conversion Tables'!G45="NA","NA",(F52*'Conversion Tables'!$C45)/'Conversion Tables'!G45)</f>
        <v>NA</v>
      </c>
      <c r="K52" s="16" t="str">
        <f>IF('Conversion Tables'!H45="NA","NA",(G52*'Conversion Tables'!$C45)/'Conversion Tables'!H45)</f>
        <v>NA</v>
      </c>
      <c r="L52" s="16" t="str">
        <f>IF('Conversion Tables'!I45="NA","NA",(H52*'Conversion Tables'!$C45)/'Conversion Tables'!I45)</f>
        <v>NA</v>
      </c>
      <c r="M52" s="16" t="str">
        <f>IF('Conversion Tables'!K45="NA","NA",E52*'Conversion Tables'!K45)</f>
        <v>NA</v>
      </c>
      <c r="N52" s="16" t="str">
        <f>IF('Conversion Tables'!L45="NA","NA",F52*'Conversion Tables'!L45)</f>
        <v>NA</v>
      </c>
      <c r="O52" s="16" t="str">
        <f>IF('Conversion Tables'!M45="NA","NA",G52*'Conversion Tables'!M45)</f>
        <v>NA</v>
      </c>
      <c r="P52" s="16" t="str">
        <f>IF('Conversion Tables'!N45="NA","NA",H52*'Conversion Tables'!N45)</f>
        <v>NA</v>
      </c>
      <c r="Q52" s="16"/>
    </row>
    <row r="53" spans="1:17" x14ac:dyDescent="0.25">
      <c r="A53" s="1201"/>
      <c r="B53" s="12" t="s">
        <v>539</v>
      </c>
      <c r="C53" s="294">
        <f>G102</f>
        <v>34.654924999999999</v>
      </c>
      <c r="D53" s="294">
        <f>E53*'Conversion Tables'!C46</f>
        <v>306.98718761999999</v>
      </c>
      <c r="E53" s="294">
        <f>C53*'Prac. Rec. Assumptions'!B43</f>
        <v>20.792954999999999</v>
      </c>
      <c r="F53" s="294">
        <f t="shared" si="7"/>
        <v>20.792954999999999</v>
      </c>
      <c r="G53" s="294">
        <f t="shared" si="7"/>
        <v>20.792954999999999</v>
      </c>
      <c r="H53" s="294">
        <f t="shared" si="7"/>
        <v>20.792954999999999</v>
      </c>
      <c r="I53" s="16" t="str">
        <f>IF('Conversion Tables'!F46="NA","NA",(E53*'Conversion Tables'!$C46)/'Conversion Tables'!F46)</f>
        <v>NA</v>
      </c>
      <c r="J53" s="16" t="str">
        <f>IF('Conversion Tables'!G46="NA","NA",(F53*'Conversion Tables'!$C46)/'Conversion Tables'!G46)</f>
        <v>NA</v>
      </c>
      <c r="K53" s="16" t="str">
        <f>IF('Conversion Tables'!H46="NA","NA",(G53*'Conversion Tables'!$C46)/'Conversion Tables'!H46)</f>
        <v>NA</v>
      </c>
      <c r="L53" s="16" t="str">
        <f>IF('Conversion Tables'!I46="NA","NA",(H53*'Conversion Tables'!$C46)/'Conversion Tables'!I46)</f>
        <v>NA</v>
      </c>
      <c r="M53" s="16" t="str">
        <f>IF('Conversion Tables'!K46="NA","NA",E53*'Conversion Tables'!K46)</f>
        <v>NA</v>
      </c>
      <c r="N53" s="16" t="str">
        <f>IF('Conversion Tables'!L46="NA","NA",F53*'Conversion Tables'!L46)</f>
        <v>NA</v>
      </c>
      <c r="O53" s="16" t="str">
        <f>IF('Conversion Tables'!M46="NA","NA",G53*'Conversion Tables'!M46)</f>
        <v>NA</v>
      </c>
      <c r="P53" s="16" t="str">
        <f>IF('Conversion Tables'!N46="NA","NA",H53*'Conversion Tables'!N46)</f>
        <v>NA</v>
      </c>
      <c r="Q53" s="16"/>
    </row>
    <row r="54" spans="1:17" x14ac:dyDescent="0.25">
      <c r="A54" s="1201"/>
      <c r="B54" s="12" t="s">
        <v>545</v>
      </c>
      <c r="C54" s="294">
        <f>G104</f>
        <v>35.567425</v>
      </c>
      <c r="D54" s="294">
        <f>E54*'Conversion Tables'!C47</f>
        <v>315.07047761999996</v>
      </c>
      <c r="E54" s="294">
        <f>C54*'Prac. Rec. Assumptions'!B44</f>
        <v>21.340454999999999</v>
      </c>
      <c r="F54" s="294">
        <f t="shared" si="7"/>
        <v>21.340454999999999</v>
      </c>
      <c r="G54" s="294">
        <f t="shared" si="7"/>
        <v>21.340454999999999</v>
      </c>
      <c r="H54" s="294">
        <f t="shared" si="7"/>
        <v>21.340454999999999</v>
      </c>
      <c r="I54" s="16" t="str">
        <f>IF('Conversion Tables'!F47="NA","NA",(E54*'Conversion Tables'!$C47)/'Conversion Tables'!F47)</f>
        <v>NA</v>
      </c>
      <c r="J54" s="16" t="str">
        <f>IF('Conversion Tables'!G47="NA","NA",(F54*'Conversion Tables'!$C47)/'Conversion Tables'!G47)</f>
        <v>NA</v>
      </c>
      <c r="K54" s="16" t="str">
        <f>IF('Conversion Tables'!H47="NA","NA",(G54*'Conversion Tables'!$C47)/'Conversion Tables'!H47)</f>
        <v>NA</v>
      </c>
      <c r="L54" s="16" t="str">
        <f>IF('Conversion Tables'!I47="NA","NA",(H54*'Conversion Tables'!$C47)/'Conversion Tables'!I47)</f>
        <v>NA</v>
      </c>
      <c r="M54" s="16" t="str">
        <f>IF('Conversion Tables'!K47="NA","NA",E54*'Conversion Tables'!K47)</f>
        <v>NA</v>
      </c>
      <c r="N54" s="16" t="str">
        <f>IF('Conversion Tables'!L47="NA","NA",F54*'Conversion Tables'!L47)</f>
        <v>NA</v>
      </c>
      <c r="O54" s="16" t="str">
        <f>IF('Conversion Tables'!M47="NA","NA",G54*'Conversion Tables'!M47)</f>
        <v>NA</v>
      </c>
      <c r="P54" s="16" t="str">
        <f>IF('Conversion Tables'!N47="NA","NA",H54*'Conversion Tables'!N47)</f>
        <v>NA</v>
      </c>
      <c r="Q54" s="16"/>
    </row>
    <row r="55" spans="1:17" x14ac:dyDescent="0.25">
      <c r="A55" s="1201"/>
      <c r="B55" s="12" t="s">
        <v>546</v>
      </c>
      <c r="C55" s="294">
        <f>G106</f>
        <v>1847.3307</v>
      </c>
      <c r="D55" s="294">
        <f>E55*'Conversion Tables'!C48</f>
        <v>5454.7980909600001</v>
      </c>
      <c r="E55" s="294">
        <f>C55*'Prac. Rec. Assumptions'!B45</f>
        <v>369.46614</v>
      </c>
      <c r="F55" s="294">
        <f t="shared" si="7"/>
        <v>369.46614</v>
      </c>
      <c r="G55" s="294">
        <f t="shared" si="7"/>
        <v>369.46614</v>
      </c>
      <c r="H55" s="294">
        <f t="shared" si="7"/>
        <v>369.46614</v>
      </c>
      <c r="I55" s="16" t="str">
        <f>IF('Conversion Tables'!F48="NA","NA",(E55*'Conversion Tables'!$C48)/'Conversion Tables'!F48)</f>
        <v>NA</v>
      </c>
      <c r="J55" s="16" t="str">
        <f>IF('Conversion Tables'!G48="NA","NA",(F55*'Conversion Tables'!$C48)/'Conversion Tables'!G48)</f>
        <v>NA</v>
      </c>
      <c r="K55" s="16" t="str">
        <f>IF('Conversion Tables'!H48="NA","NA",(G55*'Conversion Tables'!$C48)/'Conversion Tables'!H48)</f>
        <v>NA</v>
      </c>
      <c r="L55" s="16" t="str">
        <f>IF('Conversion Tables'!I48="NA","NA",(H55*'Conversion Tables'!$C48)/'Conversion Tables'!I48)</f>
        <v>NA</v>
      </c>
      <c r="M55" s="16" t="str">
        <f>IF('Conversion Tables'!K48="NA","NA",E55*'Conversion Tables'!K48)</f>
        <v>NA</v>
      </c>
      <c r="N55" s="16" t="str">
        <f>IF('Conversion Tables'!L48="NA","NA",F55*'Conversion Tables'!L48)</f>
        <v>NA</v>
      </c>
      <c r="O55" s="16" t="str">
        <f>IF('Conversion Tables'!M48="NA","NA",G55*'Conversion Tables'!M48)</f>
        <v>NA</v>
      </c>
      <c r="P55" s="16" t="str">
        <f>IF('Conversion Tables'!N48="NA","NA",H55*'Conversion Tables'!N48)</f>
        <v>NA</v>
      </c>
      <c r="Q55" s="16"/>
    </row>
    <row r="56" spans="1:17" x14ac:dyDescent="0.25">
      <c r="A56" s="1201"/>
      <c r="B56" s="12" t="s">
        <v>547</v>
      </c>
      <c r="C56" s="294">
        <f>G108</f>
        <v>30.422750000000001</v>
      </c>
      <c r="D56" s="294">
        <f>E56*'Conversion Tables'!C49</f>
        <v>89.832296200000002</v>
      </c>
      <c r="E56" s="294">
        <f>C56*'Prac. Rec. Assumptions'!B46</f>
        <v>6.0845500000000001</v>
      </c>
      <c r="F56" s="294">
        <f t="shared" si="7"/>
        <v>6.0845500000000001</v>
      </c>
      <c r="G56" s="294">
        <f t="shared" si="7"/>
        <v>6.0845500000000001</v>
      </c>
      <c r="H56" s="294">
        <f t="shared" si="7"/>
        <v>6.0845500000000001</v>
      </c>
      <c r="I56" s="16" t="str">
        <f>IF('Conversion Tables'!F49="NA","NA",(E56*'Conversion Tables'!$C49)/'Conversion Tables'!F49)</f>
        <v>NA</v>
      </c>
      <c r="J56" s="16" t="str">
        <f>IF('Conversion Tables'!G49="NA","NA",(F56*'Conversion Tables'!$C49)/'Conversion Tables'!G49)</f>
        <v>NA</v>
      </c>
      <c r="K56" s="16" t="str">
        <f>IF('Conversion Tables'!H49="NA","NA",(G56*'Conversion Tables'!$C49)/'Conversion Tables'!H49)</f>
        <v>NA</v>
      </c>
      <c r="L56" s="16" t="str">
        <f>IF('Conversion Tables'!I49="NA","NA",(H56*'Conversion Tables'!$C49)/'Conversion Tables'!I49)</f>
        <v>NA</v>
      </c>
      <c r="M56" s="16" t="str">
        <f>IF('Conversion Tables'!K49="NA","NA",E56*'Conversion Tables'!K49)</f>
        <v>NA</v>
      </c>
      <c r="N56" s="16" t="str">
        <f>IF('Conversion Tables'!L49="NA","NA",F56*'Conversion Tables'!L49)</f>
        <v>NA</v>
      </c>
      <c r="O56" s="16" t="str">
        <f>IF('Conversion Tables'!M49="NA","NA",G56*'Conversion Tables'!M49)</f>
        <v>NA</v>
      </c>
      <c r="P56" s="16" t="str">
        <f>IF('Conversion Tables'!N49="NA","NA",H56*'Conversion Tables'!N49)</f>
        <v>NA</v>
      </c>
      <c r="Q56" s="16"/>
    </row>
    <row r="57" spans="1:17" x14ac:dyDescent="0.25">
      <c r="A57" s="1201"/>
      <c r="B57" s="133" t="s">
        <v>605</v>
      </c>
      <c r="C57" s="294">
        <f>G115</f>
        <v>6.0042499999999999</v>
      </c>
      <c r="D57" s="294">
        <f>E57*'Conversion Tables'!C50</f>
        <v>44.323373499999995</v>
      </c>
      <c r="E57" s="294">
        <f>C57*'Prac. Rec. Assumptions'!B47</f>
        <v>3.0021249999999999</v>
      </c>
      <c r="F57" s="294">
        <f t="shared" si="7"/>
        <v>3.0021249999999999</v>
      </c>
      <c r="G57" s="294">
        <f t="shared" si="7"/>
        <v>3.0021249999999999</v>
      </c>
      <c r="H57" s="294">
        <f t="shared" si="7"/>
        <v>3.0021249999999999</v>
      </c>
      <c r="I57" s="16" t="str">
        <f>IF('Conversion Tables'!F50="NA","NA",(E57*'Conversion Tables'!$C50)/'Conversion Tables'!F50)</f>
        <v>NA</v>
      </c>
      <c r="J57" s="16" t="str">
        <f>IF('Conversion Tables'!G50="NA","NA",(F57*'Conversion Tables'!$C50)/'Conversion Tables'!G50)</f>
        <v>NA</v>
      </c>
      <c r="K57" s="16" t="str">
        <f>IF('Conversion Tables'!H50="NA","NA",(G57*'Conversion Tables'!$C50)/'Conversion Tables'!H50)</f>
        <v>NA</v>
      </c>
      <c r="L57" s="16" t="str">
        <f>IF('Conversion Tables'!I50="NA","NA",(H57*'Conversion Tables'!$C50)/'Conversion Tables'!I50)</f>
        <v>NA</v>
      </c>
      <c r="M57" s="16" t="str">
        <f>IF('Conversion Tables'!K50="NA","NA",E57*'Conversion Tables'!K50)</f>
        <v>NA</v>
      </c>
      <c r="N57" s="16" t="str">
        <f>IF('Conversion Tables'!L50="NA","NA",F57*'Conversion Tables'!L50)</f>
        <v>NA</v>
      </c>
      <c r="O57" s="16" t="str">
        <f>IF('Conversion Tables'!M50="NA","NA",G57*'Conversion Tables'!M50)</f>
        <v>NA</v>
      </c>
      <c r="P57" s="16" t="str">
        <f>IF('Conversion Tables'!N50="NA","NA",H57*'Conversion Tables'!N50)</f>
        <v>NA</v>
      </c>
      <c r="Q57" s="16"/>
    </row>
    <row r="58" spans="1:17" x14ac:dyDescent="0.25">
      <c r="A58" s="1201"/>
      <c r="B58" s="12" t="s">
        <v>551</v>
      </c>
      <c r="C58" s="294">
        <f>G112</f>
        <v>0</v>
      </c>
      <c r="D58" s="294">
        <f>E58*'Conversion Tables'!C51</f>
        <v>0</v>
      </c>
      <c r="E58" s="294">
        <f>C58*'Prac. Rec. Assumptions'!B48</f>
        <v>0</v>
      </c>
      <c r="F58" s="294">
        <f t="shared" si="7"/>
        <v>0</v>
      </c>
      <c r="G58" s="294">
        <f t="shared" si="7"/>
        <v>0</v>
      </c>
      <c r="H58" s="294">
        <f t="shared" si="7"/>
        <v>0</v>
      </c>
      <c r="I58" s="16" t="str">
        <f>IF('Conversion Tables'!F51="NA","NA",(E58*'Conversion Tables'!$C51)/'Conversion Tables'!F51)</f>
        <v>NA</v>
      </c>
      <c r="J58" s="16" t="str">
        <f>IF('Conversion Tables'!G51="NA","NA",(F58*'Conversion Tables'!$C51)/'Conversion Tables'!G51)</f>
        <v>NA</v>
      </c>
      <c r="K58" s="16" t="str">
        <f>IF('Conversion Tables'!H51="NA","NA",(G58*'Conversion Tables'!$C51)/'Conversion Tables'!H51)</f>
        <v>NA</v>
      </c>
      <c r="L58" s="16" t="str">
        <f>IF('Conversion Tables'!I51="NA","NA",(H58*'Conversion Tables'!$C51)/'Conversion Tables'!I51)</f>
        <v>NA</v>
      </c>
      <c r="M58" s="16" t="str">
        <f>IF('Conversion Tables'!K51="NA","NA",E58*'Conversion Tables'!K51)</f>
        <v>NA</v>
      </c>
      <c r="N58" s="16" t="str">
        <f>IF('Conversion Tables'!L51="NA","NA",F58*'Conversion Tables'!L51)</f>
        <v>NA</v>
      </c>
      <c r="O58" s="16" t="str">
        <f>IF('Conversion Tables'!M51="NA","NA",G58*'Conversion Tables'!M51)</f>
        <v>NA</v>
      </c>
      <c r="P58" s="16" t="str">
        <f>IF('Conversion Tables'!N51="NA","NA",H58*'Conversion Tables'!N51)</f>
        <v>NA</v>
      </c>
      <c r="Q58" s="16"/>
    </row>
    <row r="59" spans="1:17" x14ac:dyDescent="0.25">
      <c r="A59" s="1201"/>
      <c r="B59" s="12" t="s">
        <v>552</v>
      </c>
      <c r="C59" s="294">
        <f>G114</f>
        <v>0</v>
      </c>
      <c r="D59" s="294">
        <f>E59*'Conversion Tables'!C52</f>
        <v>0</v>
      </c>
      <c r="E59" s="294">
        <f>C59*'Prac. Rec. Assumptions'!B49</f>
        <v>0</v>
      </c>
      <c r="F59" s="294">
        <f t="shared" si="7"/>
        <v>0</v>
      </c>
      <c r="G59" s="294">
        <f t="shared" si="7"/>
        <v>0</v>
      </c>
      <c r="H59" s="294">
        <f t="shared" si="7"/>
        <v>0</v>
      </c>
      <c r="I59" s="16" t="str">
        <f>IF('Conversion Tables'!F52="NA","NA",(E59*'Conversion Tables'!$C52)/'Conversion Tables'!F52)</f>
        <v>NA</v>
      </c>
      <c r="J59" s="16" t="str">
        <f>IF('Conversion Tables'!G52="NA","NA",(F59*'Conversion Tables'!$C52)/'Conversion Tables'!G52)</f>
        <v>NA</v>
      </c>
      <c r="K59" s="16" t="str">
        <f>IF('Conversion Tables'!H52="NA","NA",(G59*'Conversion Tables'!$C52)/'Conversion Tables'!H52)</f>
        <v>NA</v>
      </c>
      <c r="L59" s="16" t="str">
        <f>IF('Conversion Tables'!I52="NA","NA",(H59*'Conversion Tables'!$C52)/'Conversion Tables'!I52)</f>
        <v>NA</v>
      </c>
      <c r="M59" s="16" t="str">
        <f>IF('Conversion Tables'!K52="NA","NA",E59*'Conversion Tables'!K52)</f>
        <v>NA</v>
      </c>
      <c r="N59" s="16" t="str">
        <f>IF('Conversion Tables'!L52="NA","NA",F59*'Conversion Tables'!L52)</f>
        <v>NA</v>
      </c>
      <c r="O59" s="16" t="str">
        <f>IF('Conversion Tables'!M52="NA","NA",G59*'Conversion Tables'!M52)</f>
        <v>NA</v>
      </c>
      <c r="P59" s="16" t="str">
        <f>IF('Conversion Tables'!N52="NA","NA",H59*'Conversion Tables'!N52)</f>
        <v>NA</v>
      </c>
      <c r="Q59" s="16"/>
    </row>
    <row r="60" spans="1:17" x14ac:dyDescent="0.25">
      <c r="A60" s="1202"/>
      <c r="B60" s="129" t="s">
        <v>305</v>
      </c>
      <c r="C60" s="294">
        <f>'Biomass Data Assumptions'!AE7</f>
        <v>9628.0164639999985</v>
      </c>
      <c r="D60" s="294">
        <f>E60*'Conversion Tables'!C53</f>
        <v>115536.19756799997</v>
      </c>
      <c r="E60" s="294">
        <f>C60*'Prac. Rec. Assumptions'!B50</f>
        <v>9628.0164639999985</v>
      </c>
      <c r="F60" s="545">
        <f>($C60*(1+'Biomass Data Assumptions'!G$92*(4/5)))*'Prac. Rec. Assumptions'!$B50</f>
        <v>9869.9621844552839</v>
      </c>
      <c r="G60" s="545">
        <f>($C60*(1+'Biomass Data Assumptions'!H$92*(9/10)))*'Prac. Rec. Assumptions'!$B50</f>
        <v>10178.798780565852</v>
      </c>
      <c r="H60" s="545">
        <f>($C60*(1+'Biomass Data Assumptions'!I$92*(14/15)))*'Prac. Rec. Assumptions'!$B50</f>
        <v>10521.318016190784</v>
      </c>
      <c r="I60" s="16" t="str">
        <f>IF('Conversion Tables'!F53="NA","NA",(E60*'Conversion Tables'!$C53)/'Conversion Tables'!F53)</f>
        <v>NA</v>
      </c>
      <c r="J60" s="16" t="str">
        <f>IF('Conversion Tables'!G53="NA","NA",(F60*'Conversion Tables'!$C53)/'Conversion Tables'!G53)</f>
        <v>NA</v>
      </c>
      <c r="K60" s="16" t="str">
        <f>IF('Conversion Tables'!H53="NA","NA",(G60*'Conversion Tables'!$C53)/'Conversion Tables'!H53)</f>
        <v>NA</v>
      </c>
      <c r="L60" s="16" t="str">
        <f>IF('Conversion Tables'!I53="NA","NA",(H60*'Conversion Tables'!$C53)/'Conversion Tables'!I53)</f>
        <v>NA</v>
      </c>
      <c r="M60" s="16" t="str">
        <f>IF('Conversion Tables'!K53="NA","NA",E60*'Conversion Tables'!K53)</f>
        <v>NA</v>
      </c>
      <c r="N60" s="16" t="str">
        <f>IF('Conversion Tables'!L53="NA","NA",F60*'Conversion Tables'!L53)</f>
        <v>NA</v>
      </c>
      <c r="O60" s="16" t="str">
        <f>IF('Conversion Tables'!M53="NA","NA",G60*'Conversion Tables'!M53)</f>
        <v>NA</v>
      </c>
      <c r="P60" s="16" t="str">
        <f>IF('Conversion Tables'!N53="NA","NA",H60*'Conversion Tables'!N53)</f>
        <v>NA</v>
      </c>
      <c r="Q60" s="7"/>
    </row>
    <row r="61" spans="1:17" x14ac:dyDescent="0.25">
      <c r="A61" s="1202"/>
      <c r="B61" s="9" t="s">
        <v>257</v>
      </c>
      <c r="C61" s="295">
        <f>SUM(C52:C60)</f>
        <v>11721.350594</v>
      </c>
      <c r="D61" s="295">
        <f>SUM(D52:D60)</f>
        <v>122158.69372132397</v>
      </c>
      <c r="E61" s="295">
        <f t="shared" ref="E61:P61" si="8">SUM(E52:E60)</f>
        <v>10076.573504999998</v>
      </c>
      <c r="F61" s="595">
        <f>SUM(F52:F60)</f>
        <v>10318.519225455284</v>
      </c>
      <c r="G61" s="595">
        <f>SUM(G52:G60)</f>
        <v>10627.355821565852</v>
      </c>
      <c r="H61" s="595">
        <f>SUM(H52:H60)</f>
        <v>10969.875057190784</v>
      </c>
      <c r="I61" s="19">
        <f t="shared" si="8"/>
        <v>0</v>
      </c>
      <c r="J61" s="19">
        <f t="shared" si="8"/>
        <v>0</v>
      </c>
      <c r="K61" s="19">
        <f t="shared" si="8"/>
        <v>0</v>
      </c>
      <c r="L61" s="19">
        <f t="shared" si="8"/>
        <v>0</v>
      </c>
      <c r="M61" s="19">
        <f t="shared" si="8"/>
        <v>0</v>
      </c>
      <c r="N61" s="19">
        <f t="shared" si="8"/>
        <v>0</v>
      </c>
      <c r="O61" s="19">
        <f t="shared" si="8"/>
        <v>0</v>
      </c>
      <c r="P61" s="19">
        <f t="shared" si="8"/>
        <v>0</v>
      </c>
      <c r="Q61" s="7"/>
    </row>
    <row r="62" spans="1:17" x14ac:dyDescent="0.25">
      <c r="A62" s="1202"/>
      <c r="B62" s="7" t="s">
        <v>256</v>
      </c>
      <c r="C62" s="298" t="s">
        <v>251</v>
      </c>
      <c r="D62" s="13"/>
      <c r="E62" s="298" t="s">
        <v>251</v>
      </c>
      <c r="F62" s="596"/>
      <c r="G62" s="596"/>
      <c r="H62" s="596"/>
      <c r="I62" s="7"/>
      <c r="J62" s="7"/>
      <c r="K62" s="7"/>
      <c r="L62" s="7"/>
      <c r="M62" s="7"/>
      <c r="N62" s="7"/>
      <c r="O62" s="7"/>
      <c r="P62" s="7"/>
      <c r="Q62" s="7"/>
    </row>
    <row r="63" spans="1:17" x14ac:dyDescent="0.25">
      <c r="A63" s="1203"/>
      <c r="B63" s="133" t="s">
        <v>304</v>
      </c>
      <c r="C63" s="294">
        <f>'Biomass Data Assumptions'!AB7</f>
        <v>98.396513849999991</v>
      </c>
      <c r="D63" s="294">
        <f>E63*'Conversion Tables'!C55</f>
        <v>60907.442073149992</v>
      </c>
      <c r="E63" s="294">
        <f>C63*'Prac. Rec. Assumptions'!B51</f>
        <v>98.396513849999991</v>
      </c>
      <c r="F63" s="545">
        <f>($C63*(1+'Biomass Data Assumptions'!G$92*(4/5)))*'Prac. Rec. Assumptions'!$B51</f>
        <v>100.86915351807095</v>
      </c>
      <c r="G63" s="545">
        <f>($C63*(1+'Biomass Data Assumptions'!H$92*(9/10)))*'Prac. Rec. Assumptions'!$B51</f>
        <v>104.02540532966739</v>
      </c>
      <c r="H63" s="545">
        <f>($C63*(1+'Biomass Data Assumptions'!I$92*(14/15)))*'Prac. Rec. Assumptions'!$B51</f>
        <v>107.52588736956393</v>
      </c>
      <c r="I63" s="16" t="str">
        <f>IF('Conversion Tables'!F55="NA","NA",(E63*'Conversion Tables'!$C55)/'Conversion Tables'!F55)</f>
        <v>NA</v>
      </c>
      <c r="J63" s="16" t="str">
        <f>IF('Conversion Tables'!G55="NA","NA",(F63*'Conversion Tables'!$C55)/'Conversion Tables'!G55)</f>
        <v>NA</v>
      </c>
      <c r="K63" s="16" t="str">
        <f>IF('Conversion Tables'!H55="NA","NA",(G63*'Conversion Tables'!$C55)/'Conversion Tables'!H55)</f>
        <v>NA</v>
      </c>
      <c r="L63" s="16" t="str">
        <f>IF('Conversion Tables'!I55="NA","NA",(H63*'Conversion Tables'!$C55)/'Conversion Tables'!I55)</f>
        <v>NA</v>
      </c>
      <c r="M63" s="16" t="str">
        <f>IF('Conversion Tables'!K55="NA","NA",E63*'Conversion Tables'!K55)</f>
        <v>NA</v>
      </c>
      <c r="N63" s="16" t="str">
        <f>IF('Conversion Tables'!L55="NA","NA",F63*'Conversion Tables'!L55)</f>
        <v>NA</v>
      </c>
      <c r="O63" s="16" t="str">
        <f>IF('Conversion Tables'!M55="NA","NA",G63*'Conversion Tables'!M55)</f>
        <v>NA</v>
      </c>
      <c r="P63" s="16" t="str">
        <f>IF('Conversion Tables'!N55="NA","NA",H63*'Conversion Tables'!N55)</f>
        <v>NA</v>
      </c>
      <c r="Q63" s="7"/>
    </row>
    <row r="64" spans="1:17" x14ac:dyDescent="0.25">
      <c r="A64" s="1204"/>
      <c r="B64" s="17" t="s">
        <v>512</v>
      </c>
      <c r="C64" s="294">
        <f>'Biomass Data Assumptions'!X7</f>
        <v>900.57781536869993</v>
      </c>
      <c r="D64" s="297">
        <f>E64*'Conversion Tables'!C56</f>
        <v>455692.37457656214</v>
      </c>
      <c r="E64" s="294">
        <f>C64*'Prac. Rec. Assumptions'!B52</f>
        <v>900.57781536869993</v>
      </c>
      <c r="F64" s="545">
        <f>($C64*(1+'Biomass Data Assumptions'!G$92*(3/5))*(1+('Biomass Data Assumptions'!C$82-((1+'Biomass Data Assumptions'!$B$82)^2 - 1))))*'Prac. Rec. Assumptions'!$B52</f>
        <v>917.17726322457486</v>
      </c>
      <c r="G64" s="545">
        <f>($C64*(1+'Biomass Data Assumptions'!H$92*(4/5))*(1+('Biomass Data Assumptions'!D$82-((1+'Biomass Data Assumptions'!$B$82)^2 - 1))))*'Prac. Rec. Assumptions'!$B52</f>
        <v>945.34454497564957</v>
      </c>
      <c r="H64" s="545">
        <f>($C64*(1+'Biomass Data Assumptions'!I$92*(13/15))*(1+('Biomass Data Assumptions'!E$82-((1+'Biomass Data Assumptions'!$B$82)^2 - 1))))*'Prac. Rec. Assumptions'!$B52</f>
        <v>976.44100309361136</v>
      </c>
      <c r="I64" s="16" t="str">
        <f>IF('Conversion Tables'!F56="NA","NA",(E64*'Conversion Tables'!$C56)/'Conversion Tables'!F56)</f>
        <v>NA</v>
      </c>
      <c r="J64" s="16" t="str">
        <f>IF('Conversion Tables'!G56="NA","NA",(F64*'Conversion Tables'!$C56)/'Conversion Tables'!G56)</f>
        <v>NA</v>
      </c>
      <c r="K64" s="16" t="str">
        <f>IF('Conversion Tables'!H56="NA","NA",(G64*'Conversion Tables'!$C56)/'Conversion Tables'!H56)</f>
        <v>NA</v>
      </c>
      <c r="L64" s="16" t="str">
        <f>IF('Conversion Tables'!I56="NA","NA",(H64*'Conversion Tables'!$C56)/'Conversion Tables'!I56)</f>
        <v>NA</v>
      </c>
      <c r="M64" s="16" t="str">
        <f>IF('Conversion Tables'!K56="NA","NA",E64*'Conversion Tables'!K56)</f>
        <v>NA</v>
      </c>
      <c r="N64" s="16" t="str">
        <f>IF('Conversion Tables'!L56="NA","NA",F64*'Conversion Tables'!L56)</f>
        <v>NA</v>
      </c>
      <c r="O64" s="16" t="str">
        <f>IF('Conversion Tables'!M56="NA","NA",G64*'Conversion Tables'!M56)</f>
        <v>NA</v>
      </c>
      <c r="P64" s="16" t="str">
        <f>IF('Conversion Tables'!N56="NA","NA",H64*'Conversion Tables'!N56)</f>
        <v>NA</v>
      </c>
      <c r="Q64" s="7"/>
    </row>
    <row r="65" spans="1:19" x14ac:dyDescent="0.25">
      <c r="A65" s="1204"/>
      <c r="B65" s="9" t="s">
        <v>248</v>
      </c>
      <c r="C65" s="295">
        <f>SUM(C63:C64)</f>
        <v>998.97432921869995</v>
      </c>
      <c r="D65" s="295">
        <f>SUM(D63:D64)</f>
        <v>516599.81664971216</v>
      </c>
      <c r="E65" s="295">
        <f t="shared" ref="E65:P65" si="9">SUM(E63:E64)</f>
        <v>998.97432921869995</v>
      </c>
      <c r="F65" s="295">
        <f>SUM(F63:F64)</f>
        <v>1018.0464167426458</v>
      </c>
      <c r="G65" s="295">
        <f>SUM(G63:G64)</f>
        <v>1049.3699503053169</v>
      </c>
      <c r="H65" s="295">
        <f>SUM(H63:H64)</f>
        <v>1083.9668904631753</v>
      </c>
      <c r="I65" s="19">
        <f t="shared" si="9"/>
        <v>0</v>
      </c>
      <c r="J65" s="19">
        <f t="shared" si="9"/>
        <v>0</v>
      </c>
      <c r="K65" s="19">
        <f t="shared" si="9"/>
        <v>0</v>
      </c>
      <c r="L65" s="19">
        <f t="shared" si="9"/>
        <v>0</v>
      </c>
      <c r="M65" s="19">
        <f t="shared" si="9"/>
        <v>0</v>
      </c>
      <c r="N65" s="19">
        <f t="shared" si="9"/>
        <v>0</v>
      </c>
      <c r="O65" s="19">
        <f t="shared" si="9"/>
        <v>0</v>
      </c>
      <c r="P65" s="19">
        <f t="shared" si="9"/>
        <v>0</v>
      </c>
      <c r="Q65" s="19">
        <f>SUM(Q51:Q64)</f>
        <v>0</v>
      </c>
    </row>
    <row r="66" spans="1:19" x14ac:dyDescent="0.25">
      <c r="A66" s="1204"/>
      <c r="B66" s="9"/>
      <c r="C66" s="295"/>
      <c r="D66" s="295"/>
      <c r="E66" s="295"/>
      <c r="F66" s="295"/>
      <c r="G66" s="295"/>
      <c r="H66" s="295"/>
      <c r="I66" s="19"/>
      <c r="J66" s="19"/>
      <c r="K66" s="19"/>
      <c r="L66" s="19"/>
      <c r="M66" s="19"/>
      <c r="N66" s="19"/>
      <c r="O66" s="19"/>
      <c r="P66" s="19"/>
      <c r="Q66" s="19"/>
    </row>
    <row r="67" spans="1:19" x14ac:dyDescent="0.25">
      <c r="A67" s="1205"/>
      <c r="B67" s="9" t="s">
        <v>258</v>
      </c>
      <c r="C67" s="295">
        <f>C61+(C63*1000000/29487.1582406855)+(C64*1000000/25364.5039539246)</f>
        <v>50563.715968067183</v>
      </c>
      <c r="D67" s="295">
        <f t="shared" ref="D67" si="10">D61+D65</f>
        <v>638758.51037103613</v>
      </c>
      <c r="E67" s="295">
        <f>E61+(E63*1000000/29487.1582406855)+(E64*1000000/25364.5039539246)</f>
        <v>48918.93887906718</v>
      </c>
      <c r="F67" s="295">
        <f t="shared" ref="F67:H67" si="11">F61+(F63*1000000/29487.1582406855)+(F64*1000000/25364.5039539246)</f>
        <v>49899.175528439853</v>
      </c>
      <c r="G67" s="295">
        <f t="shared" si="11"/>
        <v>51425.550310936291</v>
      </c>
      <c r="H67" s="295">
        <f t="shared" si="11"/>
        <v>53112.764926099575</v>
      </c>
      <c r="I67" s="19">
        <f t="shared" ref="I67:P67" si="12">I61+I65</f>
        <v>0</v>
      </c>
      <c r="J67" s="19">
        <f t="shared" si="12"/>
        <v>0</v>
      </c>
      <c r="K67" s="19">
        <f t="shared" si="12"/>
        <v>0</v>
      </c>
      <c r="L67" s="19">
        <f t="shared" si="12"/>
        <v>0</v>
      </c>
      <c r="M67" s="19">
        <f t="shared" si="12"/>
        <v>0</v>
      </c>
      <c r="N67" s="19">
        <f t="shared" si="12"/>
        <v>0</v>
      </c>
      <c r="O67" s="19">
        <f t="shared" si="12"/>
        <v>0</v>
      </c>
      <c r="P67" s="19">
        <f t="shared" si="12"/>
        <v>0</v>
      </c>
      <c r="Q67" s="19"/>
    </row>
    <row r="68" spans="1:19" customFormat="1" x14ac:dyDescent="0.25">
      <c r="B68" s="270" t="s">
        <v>162</v>
      </c>
      <c r="C68" s="132">
        <f>C11+C29+C43+C49+C67</f>
        <v>316481.05476705055</v>
      </c>
      <c r="D68" s="132"/>
      <c r="E68" s="132">
        <f>E11+E29+E43+E49+E67</f>
        <v>203793.41642661049</v>
      </c>
      <c r="F68" s="132">
        <f>F11+F29+F43+F49+F67</f>
        <v>209626.11509645497</v>
      </c>
      <c r="G68" s="132">
        <f>G11+G29+G43+G49+G67</f>
        <v>216293.72407172521</v>
      </c>
      <c r="H68" s="132">
        <f>H11+H29+H43+H49+H67</f>
        <v>223765.02379102624</v>
      </c>
      <c r="I68" s="264"/>
    </row>
    <row r="69" spans="1:19" ht="13.8" thickBot="1" x14ac:dyDescent="0.3">
      <c r="A69" s="10"/>
      <c r="B69" s="10"/>
      <c r="C69" s="10"/>
      <c r="D69" s="10"/>
      <c r="E69" s="10"/>
      <c r="F69" s="10"/>
      <c r="G69" s="10"/>
      <c r="H69" s="10"/>
      <c r="I69" s="1003">
        <f>SUM(I8:I66)/2</f>
        <v>0</v>
      </c>
      <c r="J69" s="1003">
        <f t="shared" ref="J69:P69" si="13">SUM(J8:J66)/2</f>
        <v>0</v>
      </c>
      <c r="K69" s="1003">
        <f t="shared" si="13"/>
        <v>0</v>
      </c>
      <c r="L69" s="1003">
        <f t="shared" si="13"/>
        <v>0</v>
      </c>
      <c r="M69" s="1003">
        <f>SUM(M8:M66)/2</f>
        <v>0</v>
      </c>
      <c r="N69" s="1003">
        <f t="shared" si="13"/>
        <v>0</v>
      </c>
      <c r="O69" s="1003">
        <f t="shared" si="13"/>
        <v>0</v>
      </c>
      <c r="P69" s="1003">
        <f t="shared" si="13"/>
        <v>0</v>
      </c>
      <c r="Q69" s="10"/>
      <c r="R69" s="10"/>
      <c r="S69" s="10"/>
    </row>
    <row r="70" spans="1:19" x14ac:dyDescent="0.25">
      <c r="A70" s="35" t="s">
        <v>23</v>
      </c>
      <c r="B70" s="36"/>
      <c r="C70" s="36"/>
      <c r="D70" s="36"/>
      <c r="E70" s="36"/>
      <c r="F70" s="36"/>
      <c r="G70" s="36"/>
      <c r="H70" s="36"/>
      <c r="I70" s="36"/>
      <c r="J70" s="36"/>
      <c r="K70" s="36"/>
      <c r="L70" s="36"/>
      <c r="M70" s="36"/>
      <c r="N70" s="36"/>
      <c r="O70" s="36"/>
      <c r="P70" s="36"/>
      <c r="Q70" s="36"/>
      <c r="R70" s="36"/>
    </row>
    <row r="71" spans="1:19" x14ac:dyDescent="0.25">
      <c r="A71" s="36"/>
      <c r="B71" s="36"/>
      <c r="C71" s="36"/>
      <c r="D71" s="36"/>
      <c r="E71" s="36"/>
      <c r="F71" s="36"/>
      <c r="G71" s="36"/>
      <c r="H71" s="36"/>
      <c r="I71" s="36"/>
      <c r="J71" s="36"/>
      <c r="K71" s="36"/>
      <c r="L71" s="36"/>
      <c r="M71" s="36"/>
      <c r="N71" s="36"/>
      <c r="O71" s="36"/>
      <c r="P71" s="36"/>
      <c r="Q71" s="36"/>
      <c r="R71" s="36"/>
    </row>
    <row r="72" spans="1:19" x14ac:dyDescent="0.25">
      <c r="A72" s="36"/>
      <c r="B72" s="36"/>
      <c r="C72" s="36"/>
      <c r="D72" s="36"/>
      <c r="E72" s="36"/>
      <c r="F72" s="36"/>
      <c r="G72" s="36"/>
      <c r="H72" s="36"/>
      <c r="I72" s="36"/>
      <c r="J72" s="36"/>
      <c r="K72" s="36"/>
      <c r="L72" s="36"/>
      <c r="M72" s="36"/>
      <c r="N72" s="36"/>
      <c r="O72" s="36"/>
      <c r="P72" s="36"/>
      <c r="Q72" s="36"/>
      <c r="R72" s="36"/>
    </row>
    <row r="73" spans="1:19" ht="26.4" x14ac:dyDescent="0.25">
      <c r="A73" s="37" t="s">
        <v>1037</v>
      </c>
      <c r="B73" s="454" t="s">
        <v>297</v>
      </c>
      <c r="C73" s="37" t="s">
        <v>1042</v>
      </c>
      <c r="D73" s="37" t="s">
        <v>1041</v>
      </c>
      <c r="E73" s="150" t="s">
        <v>598</v>
      </c>
      <c r="F73" s="38"/>
      <c r="G73" s="38"/>
      <c r="H73" s="36"/>
      <c r="I73" s="36"/>
      <c r="J73" s="36"/>
      <c r="K73" s="36"/>
      <c r="L73" s="36"/>
      <c r="M73" s="36"/>
      <c r="N73" s="36"/>
      <c r="O73" s="36"/>
      <c r="P73" s="36"/>
      <c r="Q73" s="36"/>
      <c r="R73" s="36"/>
    </row>
    <row r="74" spans="1:19" x14ac:dyDescent="0.25">
      <c r="A74" s="39" t="s">
        <v>519</v>
      </c>
      <c r="B74" s="21">
        <v>93</v>
      </c>
      <c r="C74" s="40">
        <f>'Biomass Data Assumptions'!B38*B74</f>
        <v>6072.9</v>
      </c>
      <c r="D74" s="40">
        <f>(C74*'Biomass Data Assumptions'!C38)/2000</f>
        <v>170.04119999999998</v>
      </c>
      <c r="E74" s="41"/>
      <c r="F74" s="41"/>
      <c r="G74" s="41"/>
      <c r="H74" s="36"/>
      <c r="I74" s="36"/>
      <c r="J74" s="36"/>
      <c r="K74" s="36"/>
      <c r="L74" s="36"/>
      <c r="M74" s="36"/>
      <c r="N74" s="36"/>
      <c r="O74" s="36"/>
      <c r="P74" s="36"/>
      <c r="Q74" s="36"/>
      <c r="R74" s="36"/>
    </row>
    <row r="75" spans="1:19" x14ac:dyDescent="0.25">
      <c r="A75" s="39" t="s">
        <v>520</v>
      </c>
      <c r="B75" s="21">
        <v>356</v>
      </c>
      <c r="C75" s="40">
        <f>'Biomass Data Assumptions'!B39*B75</f>
        <v>9718.8000000000011</v>
      </c>
      <c r="D75" s="40">
        <f>(C75*'Biomass Data Assumptions'!C39)/2000</f>
        <v>272.12640000000005</v>
      </c>
      <c r="E75" s="41"/>
      <c r="F75" s="41"/>
      <c r="G75" s="41"/>
      <c r="H75" s="36"/>
      <c r="I75" s="36"/>
      <c r="J75" s="36"/>
      <c r="K75" s="36"/>
      <c r="L75" s="36"/>
      <c r="M75" s="36"/>
      <c r="N75" s="36"/>
      <c r="O75" s="36"/>
      <c r="P75" s="36"/>
      <c r="Q75" s="36"/>
      <c r="R75" s="36"/>
    </row>
    <row r="76" spans="1:19" x14ac:dyDescent="0.25">
      <c r="A76" s="39" t="s">
        <v>521</v>
      </c>
      <c r="B76" s="422">
        <v>500</v>
      </c>
      <c r="C76" s="40">
        <f>'Biomass Data Assumptions'!B40*B76</f>
        <v>62500</v>
      </c>
      <c r="D76" s="40">
        <f>(C76*'Biomass Data Assumptions'!C40)/2000</f>
        <v>1750</v>
      </c>
      <c r="E76" s="41"/>
      <c r="F76" s="41"/>
      <c r="G76" s="41"/>
      <c r="H76" s="36"/>
      <c r="I76" s="36"/>
      <c r="J76" s="36"/>
      <c r="K76" s="36"/>
      <c r="L76" s="36"/>
      <c r="M76" s="36"/>
      <c r="N76" s="36"/>
      <c r="O76" s="36"/>
      <c r="P76" s="36"/>
      <c r="Q76" s="36"/>
      <c r="R76" s="36"/>
    </row>
    <row r="77" spans="1:19" x14ac:dyDescent="0.25">
      <c r="A77" s="39" t="s">
        <v>525</v>
      </c>
      <c r="B77" s="21">
        <v>121</v>
      </c>
      <c r="C77" s="40">
        <f>'Biomass Data Assumptions'!B41*B77</f>
        <v>3872</v>
      </c>
      <c r="D77" s="40">
        <f>(C77*'Biomass Data Assumptions'!C41)/2000</f>
        <v>116.16</v>
      </c>
      <c r="E77" s="41"/>
      <c r="F77" s="41"/>
      <c r="G77" s="41"/>
      <c r="H77" s="36"/>
      <c r="I77" s="36"/>
      <c r="J77" s="36"/>
      <c r="K77" s="36"/>
      <c r="L77" s="36"/>
      <c r="M77" s="36"/>
      <c r="N77" s="36"/>
      <c r="O77" s="36"/>
      <c r="P77" s="36"/>
      <c r="Q77" s="36"/>
      <c r="R77" s="36"/>
    </row>
    <row r="78" spans="1:19" x14ac:dyDescent="0.25">
      <c r="A78" s="39" t="s">
        <v>522</v>
      </c>
      <c r="B78" s="21">
        <v>220</v>
      </c>
      <c r="C78" s="40">
        <f>'Biomass Data Assumptions'!B42*B78</f>
        <v>11880</v>
      </c>
      <c r="D78" s="40">
        <f>(C78*'Biomass Data Assumptions'!C42)/2000</f>
        <v>356.4</v>
      </c>
      <c r="E78" s="41"/>
      <c r="F78" s="41"/>
      <c r="G78" s="41"/>
      <c r="H78" s="36"/>
      <c r="I78" s="36"/>
      <c r="J78" s="36"/>
      <c r="K78" s="36"/>
      <c r="L78" s="36"/>
      <c r="M78" s="36"/>
      <c r="N78" s="36"/>
      <c r="O78" s="36"/>
      <c r="P78" s="36"/>
      <c r="Q78" s="36"/>
      <c r="R78" s="36"/>
    </row>
    <row r="79" spans="1:19" x14ac:dyDescent="0.25">
      <c r="A79" s="36"/>
      <c r="B79" s="36"/>
      <c r="C79" s="36"/>
      <c r="D79" s="36"/>
      <c r="E79" s="36"/>
      <c r="F79" s="36"/>
      <c r="G79" s="36"/>
      <c r="H79" s="36"/>
      <c r="I79" s="36"/>
      <c r="J79" s="36"/>
      <c r="K79" s="36"/>
      <c r="L79" s="36"/>
      <c r="M79" s="36"/>
      <c r="N79" s="36"/>
      <c r="O79" s="36"/>
      <c r="P79" s="36"/>
      <c r="Q79" s="36"/>
      <c r="R79" s="36"/>
    </row>
    <row r="80" spans="1:19" ht="39.6" x14ac:dyDescent="0.25">
      <c r="A80" s="37" t="s">
        <v>1038</v>
      </c>
      <c r="B80" s="454" t="s">
        <v>297</v>
      </c>
      <c r="C80" s="37" t="s">
        <v>1041</v>
      </c>
      <c r="D80" s="37" t="s">
        <v>1036</v>
      </c>
      <c r="E80" s="150" t="s">
        <v>598</v>
      </c>
      <c r="F80" s="38"/>
      <c r="G80" s="38"/>
      <c r="H80" s="36"/>
      <c r="I80" s="36"/>
      <c r="J80" s="36"/>
      <c r="K80" s="36"/>
      <c r="L80" s="36"/>
      <c r="M80" s="36"/>
      <c r="N80" s="36"/>
      <c r="O80" s="36"/>
      <c r="P80" s="36"/>
      <c r="Q80" s="36"/>
      <c r="R80" s="36"/>
    </row>
    <row r="81" spans="1:18" x14ac:dyDescent="0.25">
      <c r="A81" s="39" t="s">
        <v>527</v>
      </c>
      <c r="B81" s="21">
        <v>295</v>
      </c>
      <c r="C81" s="40">
        <f>'Biomass Data Assumptions'!B49*B81</f>
        <v>295</v>
      </c>
      <c r="D81" s="40">
        <f>C81*'Energy Content Assumptions'!C11</f>
        <v>250.75</v>
      </c>
      <c r="E81" s="41"/>
      <c r="F81" s="41"/>
      <c r="G81" s="41"/>
      <c r="H81" s="36"/>
      <c r="I81" s="36"/>
      <c r="J81" s="36"/>
      <c r="K81" s="36"/>
      <c r="L81" s="36"/>
      <c r="M81" s="36"/>
      <c r="N81" s="36"/>
      <c r="O81" s="36"/>
      <c r="P81" s="36"/>
      <c r="Q81" s="36"/>
      <c r="R81" s="36"/>
    </row>
    <row r="82" spans="1:18" x14ac:dyDescent="0.25">
      <c r="A82" s="39" t="s">
        <v>520</v>
      </c>
      <c r="B82" s="21">
        <f>356+224</f>
        <v>580</v>
      </c>
      <c r="C82" s="40">
        <f>'Biomass Data Assumptions'!B50*B82</f>
        <v>1305</v>
      </c>
      <c r="D82" s="40">
        <f>C82*'Energy Content Assumptions'!C12</f>
        <v>1109.25</v>
      </c>
      <c r="E82" s="41" t="s">
        <v>607</v>
      </c>
      <c r="F82" s="41"/>
      <c r="G82" s="41"/>
      <c r="H82" s="36"/>
      <c r="I82" s="36"/>
      <c r="J82" s="36"/>
      <c r="K82" s="36"/>
      <c r="L82" s="36"/>
      <c r="M82" s="36"/>
      <c r="N82" s="36"/>
      <c r="O82" s="36"/>
      <c r="P82" s="36"/>
      <c r="Q82" s="36"/>
      <c r="R82" s="36"/>
    </row>
    <row r="83" spans="1:18" x14ac:dyDescent="0.25">
      <c r="A83" s="39" t="s">
        <v>521</v>
      </c>
      <c r="B83" s="21">
        <v>0</v>
      </c>
      <c r="C83" s="40">
        <f>'Biomass Data Assumptions'!B51*B83</f>
        <v>0</v>
      </c>
      <c r="D83" s="40">
        <f>C83*'Energy Content Assumptions'!C13</f>
        <v>0</v>
      </c>
      <c r="E83" s="41"/>
      <c r="F83" s="41"/>
      <c r="G83" s="41"/>
      <c r="H83" s="36"/>
      <c r="I83" s="36"/>
      <c r="J83" s="36"/>
      <c r="K83" s="36"/>
      <c r="L83" s="36"/>
      <c r="M83" s="36"/>
      <c r="N83" s="36"/>
      <c r="O83" s="36"/>
      <c r="P83" s="36"/>
      <c r="Q83" s="36"/>
      <c r="R83" s="36"/>
    </row>
    <row r="84" spans="1:18" x14ac:dyDescent="0.25">
      <c r="A84" s="39" t="s">
        <v>528</v>
      </c>
      <c r="B84" s="21">
        <v>50</v>
      </c>
      <c r="C84" s="40">
        <f>'Biomass Data Assumptions'!B52*B84</f>
        <v>819.99999999999989</v>
      </c>
      <c r="D84" s="40">
        <f>C84*'Energy Content Assumptions'!C14</f>
        <v>286.99999999999994</v>
      </c>
      <c r="E84" s="41"/>
      <c r="F84" s="41"/>
      <c r="G84" s="41"/>
      <c r="H84" s="36"/>
      <c r="I84" s="36"/>
      <c r="J84" s="36"/>
      <c r="K84" s="36"/>
      <c r="L84" s="36"/>
      <c r="M84" s="36"/>
      <c r="N84" s="36"/>
      <c r="O84" s="36"/>
      <c r="P84" s="36"/>
      <c r="Q84" s="36"/>
      <c r="R84" s="36"/>
    </row>
    <row r="85" spans="1:18" x14ac:dyDescent="0.25">
      <c r="A85" s="39" t="s">
        <v>529</v>
      </c>
      <c r="B85" s="21">
        <v>312</v>
      </c>
      <c r="C85" s="40">
        <f>'Biomass Data Assumptions'!B53*B85</f>
        <v>998.40000000000009</v>
      </c>
      <c r="D85" s="40">
        <f>C85*'Energy Content Assumptions'!C15</f>
        <v>848.6400000000001</v>
      </c>
      <c r="E85" s="41"/>
      <c r="F85" s="41"/>
      <c r="G85" s="41"/>
      <c r="H85" s="36"/>
      <c r="I85" s="36"/>
      <c r="J85" s="36"/>
      <c r="K85" s="36"/>
      <c r="L85" s="36"/>
      <c r="M85" s="36"/>
      <c r="N85" s="36"/>
      <c r="O85" s="36"/>
      <c r="P85" s="36"/>
      <c r="Q85" s="36"/>
      <c r="R85" s="36"/>
    </row>
    <row r="86" spans="1:18" x14ac:dyDescent="0.25">
      <c r="A86" s="39" t="s">
        <v>530</v>
      </c>
      <c r="B86" s="21">
        <v>592</v>
      </c>
      <c r="C86" s="40">
        <f>'Biomass Data Assumptions'!B54*B86</f>
        <v>1006.4</v>
      </c>
      <c r="D86" s="40">
        <f>C86*'Energy Content Assumptions'!C16</f>
        <v>855.43999999999994</v>
      </c>
      <c r="E86" s="41"/>
      <c r="F86" s="41"/>
      <c r="G86" s="41"/>
      <c r="H86" s="36"/>
      <c r="I86" s="36"/>
      <c r="J86" s="36"/>
      <c r="K86" s="36"/>
      <c r="L86" s="36"/>
      <c r="M86" s="36"/>
      <c r="N86" s="36"/>
      <c r="O86" s="36"/>
      <c r="P86" s="36"/>
      <c r="Q86" s="36"/>
      <c r="R86" s="36"/>
    </row>
    <row r="87" spans="1:18" x14ac:dyDescent="0.25">
      <c r="A87" s="39" t="s">
        <v>522</v>
      </c>
      <c r="B87" s="21">
        <f>220+2</f>
        <v>222</v>
      </c>
      <c r="C87" s="40">
        <f>'Biomass Data Assumptions'!B55*B87</f>
        <v>388.5</v>
      </c>
      <c r="D87" s="40">
        <f>C87*'Energy Content Assumptions'!C17</f>
        <v>330.22499999999997</v>
      </c>
      <c r="E87" s="41" t="s">
        <v>608</v>
      </c>
      <c r="F87" s="41"/>
      <c r="G87" s="41"/>
      <c r="H87" s="36"/>
      <c r="I87" s="36"/>
      <c r="J87" s="36"/>
      <c r="K87" s="36"/>
      <c r="L87" s="36"/>
      <c r="M87" s="36"/>
      <c r="N87" s="36"/>
      <c r="O87" s="36"/>
      <c r="P87" s="36"/>
      <c r="Q87" s="36"/>
      <c r="R87" s="36"/>
    </row>
    <row r="88" spans="1:18" x14ac:dyDescent="0.25">
      <c r="A88" s="43"/>
      <c r="B88" s="41"/>
      <c r="C88" s="41"/>
      <c r="D88" s="41"/>
      <c r="E88" s="41"/>
      <c r="F88" s="41"/>
      <c r="G88" s="41"/>
      <c r="H88" s="36"/>
      <c r="I88" s="36"/>
      <c r="J88" s="36"/>
      <c r="K88" s="36"/>
      <c r="L88" s="36"/>
      <c r="M88" s="36"/>
      <c r="N88" s="36"/>
      <c r="O88" s="36"/>
      <c r="P88" s="36"/>
      <c r="Q88" s="36"/>
      <c r="R88" s="36"/>
    </row>
    <row r="89" spans="1:18" x14ac:dyDescent="0.25">
      <c r="A89" s="43"/>
      <c r="B89" s="640" t="s">
        <v>297</v>
      </c>
      <c r="C89" s="122" t="s">
        <v>299</v>
      </c>
      <c r="D89" s="122" t="s">
        <v>300</v>
      </c>
      <c r="E89" s="41"/>
      <c r="F89" s="41"/>
      <c r="G89" s="41"/>
      <c r="H89" s="36"/>
      <c r="I89" s="36"/>
      <c r="J89" s="36"/>
      <c r="K89" s="36"/>
      <c r="L89" s="36"/>
      <c r="M89" s="36"/>
      <c r="N89" s="36"/>
      <c r="O89" s="36"/>
      <c r="P89" s="36"/>
      <c r="Q89" s="36"/>
      <c r="R89" s="36"/>
    </row>
    <row r="90" spans="1:18" x14ac:dyDescent="0.25">
      <c r="A90" s="43" t="s">
        <v>296</v>
      </c>
      <c r="B90" s="85">
        <f>IF('Prac. Rec. Assumptions'!B56='Prac. Rec. Assumptions'!V3,0,SUM(IF('Prac. Rec. Assumptions'!B57="Yes",B74,0),IF('Prac. Rec. Assumptions'!B58="Yes",B81,0),IF('Prac. Rec. Assumptions'!B59="Yes",B82,0),IF('Prac. Rec. Assumptions'!B60="Yes",B83,0),IF('Prac. Rec. Assumptions'!B61="Yes",B84,0),IF('Prac. Rec. Assumptions'!B62="Yes",B85,0),IF('Prac. Rec. Assumptions'!B63="Yes",B86,0),IF('Prac. Rec. Assumptions'!B64="Yes",B87,0)))</f>
        <v>0</v>
      </c>
      <c r="C90" s="41">
        <f>IF('Prac. Rec. Assumptions'!B56='Prac. Rec. Assumptions'!V1,'Biomass Data Assumptions'!C46,IF('Prac. Rec. Assumptions'!B56='Prac. Rec. Assumptions'!V2,'Biomass Data Assumptions'!C45,0))</f>
        <v>0</v>
      </c>
      <c r="D90" s="41">
        <f>(C90*'Energy Content Assumptions'!C9)*B90</f>
        <v>0</v>
      </c>
      <c r="E90" s="41"/>
      <c r="F90" s="41"/>
      <c r="G90" s="41"/>
      <c r="H90" s="36"/>
      <c r="I90" s="36"/>
      <c r="J90" s="36"/>
      <c r="K90" s="36"/>
      <c r="L90" s="36"/>
      <c r="M90" s="36"/>
      <c r="N90" s="36"/>
      <c r="O90" s="36"/>
      <c r="P90" s="36"/>
      <c r="Q90" s="36"/>
      <c r="R90" s="36"/>
    </row>
    <row r="91" spans="1:18" x14ac:dyDescent="0.25">
      <c r="A91" s="36"/>
      <c r="B91" s="36"/>
      <c r="C91" s="36"/>
      <c r="D91" s="36"/>
      <c r="E91" s="36"/>
      <c r="F91" s="36"/>
      <c r="G91" s="36"/>
      <c r="H91" s="36"/>
      <c r="I91" s="36"/>
      <c r="J91" s="36"/>
      <c r="K91" s="36"/>
      <c r="L91" s="36"/>
      <c r="M91" s="36"/>
      <c r="N91" s="36"/>
      <c r="O91" s="36"/>
      <c r="P91" s="36"/>
      <c r="Q91" s="36"/>
      <c r="R91" s="36"/>
    </row>
    <row r="92" spans="1:18" ht="39.6" x14ac:dyDescent="0.25">
      <c r="A92" s="42" t="s">
        <v>531</v>
      </c>
      <c r="B92" s="455" t="s">
        <v>298</v>
      </c>
      <c r="C92" s="38" t="s">
        <v>1050</v>
      </c>
      <c r="D92" s="38" t="s">
        <v>1045</v>
      </c>
      <c r="E92" s="38" t="s">
        <v>1048</v>
      </c>
      <c r="F92" s="38" t="s">
        <v>1047</v>
      </c>
      <c r="G92" s="38" t="s">
        <v>1046</v>
      </c>
      <c r="H92" s="36" t="s">
        <v>599</v>
      </c>
      <c r="I92" s="36"/>
      <c r="J92" s="38"/>
      <c r="K92" s="38"/>
      <c r="L92" s="38"/>
      <c r="M92" s="38"/>
      <c r="N92" s="36"/>
      <c r="O92" s="36"/>
      <c r="P92" s="36"/>
      <c r="Q92" s="36"/>
      <c r="R92" s="36"/>
    </row>
    <row r="93" spans="1:18" x14ac:dyDescent="0.25">
      <c r="A93" s="42"/>
      <c r="B93" s="38"/>
      <c r="C93" s="38"/>
      <c r="D93" s="38"/>
      <c r="E93" s="38"/>
      <c r="F93" s="36"/>
      <c r="G93" s="36"/>
      <c r="H93" s="36"/>
      <c r="I93" s="36"/>
      <c r="J93" s="38"/>
      <c r="K93" s="38"/>
      <c r="L93" s="38"/>
      <c r="M93" s="38"/>
      <c r="N93" s="36"/>
      <c r="O93" s="36"/>
      <c r="P93" s="36"/>
      <c r="Q93" s="36"/>
      <c r="R93" s="36"/>
    </row>
    <row r="94" spans="1:18" hidden="1" x14ac:dyDescent="0.25">
      <c r="A94" s="43" t="s">
        <v>535</v>
      </c>
      <c r="B94" s="36"/>
      <c r="C94" s="41"/>
      <c r="D94" s="41"/>
      <c r="E94" s="44"/>
      <c r="F94" s="36"/>
      <c r="G94" s="36"/>
      <c r="H94" s="36"/>
      <c r="I94" s="36"/>
      <c r="J94" s="44"/>
      <c r="K94" s="44"/>
      <c r="L94" s="44"/>
      <c r="M94" s="44"/>
      <c r="N94" s="36"/>
      <c r="O94" s="36"/>
      <c r="P94" s="36"/>
      <c r="Q94" s="36"/>
      <c r="R94" s="36"/>
    </row>
    <row r="95" spans="1:18" hidden="1" x14ac:dyDescent="0.25">
      <c r="A95" s="45" t="s">
        <v>536</v>
      </c>
      <c r="B95" s="85">
        <v>0</v>
      </c>
      <c r="C95" s="41">
        <f>ROUND('Biomass Data Assumptions'!B59/1000*B95,0)</f>
        <v>0</v>
      </c>
      <c r="D95" s="41">
        <f>'Biomass Data Assumptions'!C59*C95</f>
        <v>0</v>
      </c>
      <c r="E95" s="41">
        <f>('Biomass Data Assumptions'!D59*'Energy Content Assumptions'!C43*D95)/2000</f>
        <v>0</v>
      </c>
      <c r="F95" s="41">
        <f>('Biomass Data Assumptions'!E59*B95*365)/2000</f>
        <v>0</v>
      </c>
      <c r="G95" s="41">
        <f>(F95+E95)</f>
        <v>0</v>
      </c>
      <c r="H95" s="36"/>
      <c r="I95" s="36"/>
      <c r="J95" s="41"/>
      <c r="K95" s="41"/>
      <c r="L95" s="41"/>
      <c r="M95" s="41"/>
      <c r="N95" s="36"/>
      <c r="O95" s="36"/>
      <c r="P95" s="36"/>
      <c r="Q95" s="36"/>
      <c r="R95" s="36"/>
    </row>
    <row r="96" spans="1:18" hidden="1" x14ac:dyDescent="0.25">
      <c r="A96" s="45" t="s">
        <v>537</v>
      </c>
      <c r="B96" s="85">
        <v>4</v>
      </c>
      <c r="C96" s="41">
        <f>ROUND('Biomass Data Assumptions'!$B$60/1000*B96,0)</f>
        <v>4</v>
      </c>
      <c r="D96" s="41">
        <f>'Biomass Data Assumptions'!$C$60*C96</f>
        <v>134320</v>
      </c>
      <c r="E96" s="41">
        <f>('Biomass Data Assumptions'!$D$60*'Energy Content Assumptions'!$C$44*D96)/2000</f>
        <v>1.6118400000000002</v>
      </c>
      <c r="F96" s="41">
        <f>('Biomass Data Assumptions'!$E$60*B96*365)/2000</f>
        <v>2.92</v>
      </c>
      <c r="G96" s="41">
        <f>F96+E96</f>
        <v>4.5318399999999999</v>
      </c>
      <c r="H96" s="36"/>
      <c r="I96" s="36"/>
      <c r="J96" s="41"/>
      <c r="K96" s="41"/>
      <c r="L96" s="41"/>
      <c r="M96" s="41"/>
      <c r="N96" s="36"/>
      <c r="O96" s="36"/>
      <c r="P96" s="36"/>
      <c r="Q96" s="36"/>
      <c r="R96" s="36"/>
    </row>
    <row r="97" spans="1:18" x14ac:dyDescent="0.25">
      <c r="A97" s="467" t="s">
        <v>535</v>
      </c>
      <c r="B97" s="85">
        <v>123</v>
      </c>
      <c r="C97" s="41">
        <f>ROUND('Biomass Data Assumptions'!$B$60/1000*B97,0)</f>
        <v>123</v>
      </c>
      <c r="D97" s="41">
        <f>'Biomass Data Assumptions'!$C$60*C97</f>
        <v>4130340</v>
      </c>
      <c r="E97" s="41">
        <f>('Biomass Data Assumptions'!$D$60*'Energy Content Assumptions'!$C$44*D97)/2000</f>
        <v>49.564080000000004</v>
      </c>
      <c r="F97" s="41">
        <f>('Biomass Data Assumptions'!$E$60*B97*365)/2000</f>
        <v>89.79</v>
      </c>
      <c r="G97" s="41">
        <f>F97+E97</f>
        <v>139.35408000000001</v>
      </c>
      <c r="H97" s="36"/>
      <c r="I97" s="36"/>
      <c r="J97" s="41"/>
      <c r="K97" s="41"/>
      <c r="L97" s="41"/>
      <c r="M97" s="41"/>
      <c r="N97" s="36"/>
      <c r="O97" s="36"/>
      <c r="P97" s="36"/>
      <c r="Q97" s="36"/>
      <c r="R97" s="36"/>
    </row>
    <row r="98" spans="1:18" x14ac:dyDescent="0.25">
      <c r="A98" s="46"/>
      <c r="B98" s="41"/>
      <c r="C98" s="41"/>
      <c r="D98" s="41"/>
      <c r="E98" s="41"/>
      <c r="F98" s="41"/>
      <c r="G98" s="41"/>
      <c r="H98" s="36"/>
      <c r="I98" s="36"/>
      <c r="J98" s="41"/>
      <c r="K98" s="41"/>
      <c r="L98" s="41"/>
      <c r="M98" s="41"/>
      <c r="N98" s="36"/>
      <c r="O98" s="36"/>
      <c r="P98" s="36"/>
      <c r="Q98" s="36"/>
      <c r="R98" s="36"/>
    </row>
    <row r="99" spans="1:18" x14ac:dyDescent="0.25">
      <c r="A99" s="43" t="s">
        <v>539</v>
      </c>
      <c r="B99" s="47"/>
      <c r="C99" s="41"/>
      <c r="D99" s="41"/>
      <c r="E99" s="41"/>
      <c r="F99" s="41"/>
      <c r="G99" s="41"/>
      <c r="H99" s="36"/>
      <c r="I99" s="36"/>
      <c r="J99" s="41"/>
      <c r="K99" s="41"/>
      <c r="L99" s="41"/>
      <c r="M99" s="41"/>
      <c r="N99" s="36"/>
      <c r="O99" s="36"/>
      <c r="P99" s="36"/>
      <c r="Q99" s="36"/>
      <c r="R99" s="36"/>
    </row>
    <row r="100" spans="1:18" x14ac:dyDescent="0.25">
      <c r="A100" s="460" t="s">
        <v>603</v>
      </c>
      <c r="B100" s="85">
        <v>1</v>
      </c>
      <c r="C100" s="41">
        <f>ROUND('Biomass Data Assumptions'!B62/1000*B100,0)</f>
        <v>0</v>
      </c>
      <c r="D100" s="41">
        <f>'Biomass Data Assumptions'!C62*C100</f>
        <v>0</v>
      </c>
      <c r="E100" s="41">
        <f>('Biomass Data Assumptions'!D62*'Energy Content Assumptions'!C46*D100)/2000</f>
        <v>0</v>
      </c>
      <c r="F100" s="41">
        <f>('Biomass Data Assumptions'!E62*B100*365)/2000</f>
        <v>0.91249999999999998</v>
      </c>
      <c r="G100" s="41">
        <f>F100+E100</f>
        <v>0.91249999999999998</v>
      </c>
      <c r="H100" s="36"/>
      <c r="I100" s="36"/>
      <c r="J100" s="41"/>
      <c r="K100" s="41"/>
      <c r="L100" s="41"/>
      <c r="M100" s="41"/>
      <c r="N100" s="36"/>
      <c r="O100" s="36"/>
      <c r="P100" s="36"/>
      <c r="Q100" s="36"/>
      <c r="R100" s="36"/>
    </row>
    <row r="101" spans="1:18" hidden="1" x14ac:dyDescent="0.25">
      <c r="A101" s="45" t="s">
        <v>541</v>
      </c>
      <c r="B101" s="85">
        <v>0</v>
      </c>
      <c r="C101" s="41">
        <f>ROUND('Biomass Data Assumptions'!B63/1000*B101,0)</f>
        <v>0</v>
      </c>
      <c r="D101" s="41">
        <f>'Biomass Data Assumptions'!C63*C101</f>
        <v>0</v>
      </c>
      <c r="E101" s="41">
        <f>('Biomass Data Assumptions'!D63*'Energy Content Assumptions'!C47*D101)/2000</f>
        <v>0</v>
      </c>
      <c r="F101" s="41">
        <f>('Biomass Data Assumptions'!E63*B101*365)/2000</f>
        <v>0</v>
      </c>
      <c r="G101" s="41">
        <f>F101+E101</f>
        <v>0</v>
      </c>
      <c r="H101" s="36"/>
      <c r="I101" s="36"/>
      <c r="J101" s="41"/>
      <c r="K101" s="41"/>
      <c r="L101" s="41"/>
      <c r="M101" s="41"/>
      <c r="N101" s="36"/>
      <c r="O101" s="36"/>
      <c r="P101" s="36"/>
      <c r="Q101" s="36"/>
      <c r="R101" s="36"/>
    </row>
    <row r="102" spans="1:18" x14ac:dyDescent="0.25">
      <c r="A102" s="460" t="s">
        <v>604</v>
      </c>
      <c r="B102" s="85">
        <v>8</v>
      </c>
      <c r="C102" s="41">
        <f>ROUND('Biomass Data Assumptions'!B64/1000*B102,0)</f>
        <v>11</v>
      </c>
      <c r="D102" s="41">
        <f>'Biomass Data Assumptions'!C64*C102</f>
        <v>445665</v>
      </c>
      <c r="E102" s="41">
        <f>('Biomass Data Assumptions'!D64*'Energy Content Assumptions'!C48*D102)/2000</f>
        <v>20.054925000000001</v>
      </c>
      <c r="F102" s="41">
        <f>'Biomass Data Assumptions'!E64*B102*365/2000</f>
        <v>14.6</v>
      </c>
      <c r="G102" s="41">
        <f>F102+E102</f>
        <v>34.654924999999999</v>
      </c>
      <c r="H102" s="36"/>
      <c r="I102" s="36"/>
      <c r="J102" s="41"/>
      <c r="K102" s="41"/>
      <c r="L102" s="41"/>
      <c r="M102" s="41"/>
      <c r="N102" s="36"/>
      <c r="O102" s="36"/>
      <c r="P102" s="36"/>
      <c r="Q102" s="36"/>
      <c r="R102" s="36"/>
    </row>
    <row r="103" spans="1:18" hidden="1" x14ac:dyDescent="0.25">
      <c r="A103" s="45" t="s">
        <v>543</v>
      </c>
      <c r="B103" s="85">
        <v>0</v>
      </c>
      <c r="C103" s="41">
        <f>ROUND('Biomass Data Assumptions'!B65/1000*B103,0)</f>
        <v>0</v>
      </c>
      <c r="D103" s="41">
        <f>'Biomass Data Assumptions'!C65*C103</f>
        <v>0</v>
      </c>
      <c r="E103" s="41">
        <f>('Biomass Data Assumptions'!D65*'Energy Content Assumptions'!C49*D103)/2000</f>
        <v>0</v>
      </c>
      <c r="F103" s="41">
        <f>'Biomass Data Assumptions'!E65*B103*365/2000</f>
        <v>0</v>
      </c>
      <c r="G103" s="41">
        <f>F103+E103</f>
        <v>0</v>
      </c>
      <c r="H103" s="36"/>
      <c r="I103" s="36"/>
      <c r="J103" s="41"/>
      <c r="K103" s="41"/>
      <c r="L103" s="41"/>
      <c r="M103" s="41"/>
      <c r="N103" s="36"/>
      <c r="O103" s="36"/>
      <c r="P103" s="36"/>
      <c r="Q103" s="36"/>
      <c r="R103" s="36"/>
    </row>
    <row r="104" spans="1:18" x14ac:dyDescent="0.25">
      <c r="A104" s="46" t="s">
        <v>544</v>
      </c>
      <c r="B104" s="85">
        <f>B100+B102</f>
        <v>9</v>
      </c>
      <c r="C104" s="41">
        <f>C100+C102</f>
        <v>11</v>
      </c>
      <c r="D104" s="41">
        <f t="shared" ref="D104:G104" si="14">D100+D102</f>
        <v>445665</v>
      </c>
      <c r="E104" s="41">
        <f t="shared" si="14"/>
        <v>20.054925000000001</v>
      </c>
      <c r="F104" s="41">
        <f t="shared" si="14"/>
        <v>15.512499999999999</v>
      </c>
      <c r="G104" s="41">
        <f t="shared" si="14"/>
        <v>35.567425</v>
      </c>
      <c r="H104" s="36"/>
      <c r="I104" s="36"/>
      <c r="J104" s="41"/>
      <c r="K104" s="41"/>
      <c r="L104" s="41"/>
      <c r="M104" s="41"/>
      <c r="N104" s="36"/>
      <c r="O104" s="36"/>
      <c r="P104" s="36"/>
      <c r="Q104" s="36"/>
      <c r="R104" s="36"/>
    </row>
    <row r="105" spans="1:18" x14ac:dyDescent="0.25">
      <c r="A105" s="46"/>
      <c r="B105" s="41"/>
      <c r="C105" s="41"/>
      <c r="D105" s="41"/>
      <c r="E105" s="41"/>
      <c r="F105" s="41"/>
      <c r="G105" s="41"/>
      <c r="H105" s="36"/>
      <c r="I105" s="36"/>
      <c r="J105" s="41"/>
      <c r="K105" s="41"/>
      <c r="L105" s="41"/>
      <c r="M105" s="41"/>
      <c r="N105" s="36"/>
      <c r="O105" s="36"/>
      <c r="P105" s="36"/>
      <c r="Q105" s="36"/>
      <c r="R105" s="36"/>
    </row>
    <row r="106" spans="1:18" x14ac:dyDescent="0.25">
      <c r="A106" s="43" t="s">
        <v>545</v>
      </c>
      <c r="B106" s="85">
        <v>536</v>
      </c>
      <c r="C106" s="41">
        <f>ROUND('Biomass Data Assumptions'!B66/1000*B106,0)</f>
        <v>536</v>
      </c>
      <c r="D106" s="41">
        <f>'Biomass Data Assumptions'!C66*C106</f>
        <v>10858020</v>
      </c>
      <c r="E106" s="41">
        <f>('Biomass Data Assumptions'!D66*'Energy Content Assumptions'!C50*D106)/2000</f>
        <v>380.03070000000002</v>
      </c>
      <c r="F106" s="41">
        <f>'Biomass Data Assumptions'!E66*B106*365/2000</f>
        <v>1467.3</v>
      </c>
      <c r="G106" s="41">
        <f>F106+E106</f>
        <v>1847.3307</v>
      </c>
      <c r="H106" s="36"/>
      <c r="I106" s="36"/>
      <c r="J106" s="41"/>
      <c r="K106" s="41"/>
      <c r="L106" s="41"/>
      <c r="M106" s="41"/>
      <c r="N106" s="36"/>
      <c r="O106" s="36"/>
      <c r="P106" s="36"/>
      <c r="Q106" s="36"/>
      <c r="R106" s="36"/>
    </row>
    <row r="107" spans="1:18" x14ac:dyDescent="0.25">
      <c r="A107" s="43"/>
      <c r="B107" s="41"/>
      <c r="C107" s="41"/>
      <c r="D107" s="41"/>
      <c r="E107" s="41"/>
      <c r="F107" s="41"/>
      <c r="G107" s="41"/>
      <c r="H107" s="36"/>
      <c r="I107" s="36"/>
      <c r="J107" s="41"/>
      <c r="K107" s="41"/>
      <c r="L107" s="41"/>
      <c r="M107" s="41"/>
      <c r="N107" s="36"/>
      <c r="O107" s="36"/>
      <c r="P107" s="36"/>
      <c r="Q107" s="36"/>
      <c r="R107" s="36"/>
    </row>
    <row r="108" spans="1:18" x14ac:dyDescent="0.25">
      <c r="A108" s="43" t="s">
        <v>546</v>
      </c>
      <c r="B108" s="85">
        <v>138</v>
      </c>
      <c r="C108" s="41">
        <f>ROUND('Biomass Data Assumptions'!B67/1000*B108,0)</f>
        <v>14</v>
      </c>
      <c r="D108" s="41">
        <f>'Biomass Data Assumptions'!C67*C108</f>
        <v>209510</v>
      </c>
      <c r="E108" s="41">
        <f>('Biomass Data Assumptions'!D67*'Energy Content Assumptions'!C51*D108)/2000</f>
        <v>5.2377500000000001</v>
      </c>
      <c r="F108" s="41">
        <f>'Biomass Data Assumptions'!E67*B108*365/2000</f>
        <v>25.184999999999999</v>
      </c>
      <c r="G108" s="41">
        <f>F108+E108</f>
        <v>30.422750000000001</v>
      </c>
      <c r="H108" s="36"/>
      <c r="I108" s="36"/>
      <c r="J108" s="41"/>
      <c r="K108" s="41"/>
      <c r="L108" s="41"/>
      <c r="M108" s="41"/>
      <c r="N108" s="36"/>
      <c r="O108" s="36"/>
      <c r="P108" s="36"/>
      <c r="Q108" s="36"/>
      <c r="R108" s="36"/>
    </row>
    <row r="109" spans="1:18" x14ac:dyDescent="0.25">
      <c r="A109" s="43"/>
      <c r="B109" s="41"/>
      <c r="C109" s="41"/>
      <c r="D109" s="41"/>
      <c r="E109" s="41"/>
      <c r="F109" s="41"/>
      <c r="G109" s="41"/>
      <c r="H109" s="457"/>
      <c r="I109" s="36"/>
      <c r="J109" s="41"/>
      <c r="K109" s="41"/>
      <c r="L109" s="41"/>
      <c r="M109" s="41"/>
      <c r="N109" s="36"/>
      <c r="O109" s="36"/>
      <c r="P109" s="36"/>
      <c r="Q109" s="36"/>
      <c r="R109" s="36"/>
    </row>
    <row r="110" spans="1:18" x14ac:dyDescent="0.25">
      <c r="A110" s="43" t="s">
        <v>547</v>
      </c>
      <c r="B110" s="85">
        <v>85</v>
      </c>
      <c r="C110" s="41">
        <f>ROUND('Biomass Data Assumptions'!B68/1000*B110,0)</f>
        <v>9</v>
      </c>
      <c r="D110" s="41">
        <f>'Biomass Data Assumptions'!C68*C110</f>
        <v>134685</v>
      </c>
      <c r="E110" s="41">
        <f>('Biomass Data Assumptions'!D68*'Energy Content Assumptions'!C52*D110)/2000</f>
        <v>3.3671250000000001</v>
      </c>
      <c r="F110" s="41">
        <f>'Biomass Data Assumptions'!E68*B110*365/2000</f>
        <v>15.512499999999999</v>
      </c>
      <c r="G110" s="41">
        <f>F110+E110</f>
        <v>18.879625000000001</v>
      </c>
      <c r="H110" s="150" t="s">
        <v>606</v>
      </c>
      <c r="I110" s="36"/>
      <c r="J110" s="41"/>
      <c r="K110" s="41"/>
      <c r="L110" s="41"/>
      <c r="M110" s="41"/>
      <c r="N110" s="36"/>
      <c r="O110" s="36"/>
      <c r="P110" s="36"/>
      <c r="Q110" s="36"/>
      <c r="R110" s="36"/>
    </row>
    <row r="111" spans="1:18" x14ac:dyDescent="0.25">
      <c r="A111" s="43"/>
      <c r="B111" s="41"/>
      <c r="C111" s="41"/>
      <c r="D111" s="41"/>
      <c r="E111" s="41"/>
      <c r="F111" s="41"/>
      <c r="G111" s="41"/>
      <c r="H111" s="36"/>
      <c r="I111" s="36"/>
      <c r="J111" s="41"/>
      <c r="K111" s="41"/>
      <c r="L111" s="41"/>
      <c r="M111" s="41"/>
      <c r="N111" s="36"/>
      <c r="O111" s="36"/>
      <c r="P111" s="36"/>
      <c r="Q111" s="36"/>
      <c r="R111" s="36"/>
    </row>
    <row r="112" spans="1:18" hidden="1" x14ac:dyDescent="0.25">
      <c r="A112" s="43"/>
      <c r="B112" s="36"/>
      <c r="C112" s="41"/>
      <c r="D112" s="41"/>
      <c r="E112" s="41"/>
      <c r="F112" s="41"/>
      <c r="G112" s="41"/>
      <c r="H112" s="36"/>
      <c r="I112" s="36"/>
      <c r="J112" s="41"/>
      <c r="K112" s="41"/>
      <c r="L112" s="41"/>
      <c r="M112" s="41"/>
      <c r="N112" s="36"/>
      <c r="O112" s="36"/>
      <c r="P112" s="36"/>
      <c r="Q112" s="36"/>
      <c r="R112" s="36"/>
    </row>
    <row r="113" spans="1:18" hidden="1" x14ac:dyDescent="0.25">
      <c r="A113" s="45"/>
      <c r="B113" s="85"/>
      <c r="C113" s="41"/>
      <c r="D113" s="41"/>
      <c r="E113" s="41"/>
      <c r="F113" s="41"/>
      <c r="G113" s="41"/>
      <c r="H113" s="36"/>
      <c r="I113" s="36"/>
      <c r="J113" s="41"/>
      <c r="K113" s="41"/>
      <c r="L113" s="41"/>
      <c r="M113" s="41"/>
      <c r="N113" s="36"/>
      <c r="O113" s="36"/>
      <c r="P113" s="36"/>
      <c r="Q113" s="36"/>
      <c r="R113" s="36"/>
    </row>
    <row r="114" spans="1:18" hidden="1" x14ac:dyDescent="0.25">
      <c r="A114" s="45"/>
      <c r="B114" s="85"/>
      <c r="C114" s="41"/>
      <c r="D114" s="41"/>
      <c r="E114" s="41"/>
      <c r="F114" s="41"/>
      <c r="G114" s="41"/>
      <c r="H114" s="36"/>
      <c r="I114" s="36"/>
      <c r="J114" s="41"/>
      <c r="K114" s="41"/>
      <c r="L114" s="41"/>
      <c r="M114" s="41"/>
      <c r="N114" s="36"/>
      <c r="O114" s="36"/>
      <c r="P114" s="36"/>
      <c r="Q114" s="36"/>
      <c r="R114" s="36"/>
    </row>
    <row r="115" spans="1:18" x14ac:dyDescent="0.25">
      <c r="A115" s="467" t="s">
        <v>605</v>
      </c>
      <c r="B115" s="85">
        <v>36</v>
      </c>
      <c r="C115" s="41">
        <f>ROUND('Biomass Data Assumptions'!$B$71/1000*B115,0)</f>
        <v>14</v>
      </c>
      <c r="D115" s="41">
        <f>'Biomass Data Assumptions'!$C$71*C115</f>
        <v>240170</v>
      </c>
      <c r="E115" s="41">
        <f>('Biomass Data Assumptions'!$D$71*'Energy Content Assumptions'!$C$55*D115)/2000</f>
        <v>6.0042499999999999</v>
      </c>
      <c r="F115" s="41">
        <f>'Biomass Data Assumptions'!$E$71*B115*365/2000</f>
        <v>0</v>
      </c>
      <c r="G115" s="41">
        <f>F115+E115</f>
        <v>6.0042499999999999</v>
      </c>
      <c r="H115" s="36"/>
      <c r="I115" s="36"/>
      <c r="J115" s="41"/>
      <c r="K115" s="41"/>
      <c r="L115" s="41"/>
      <c r="M115" s="41"/>
      <c r="N115" s="36"/>
      <c r="O115" s="36"/>
      <c r="P115" s="36"/>
      <c r="Q115" s="36"/>
      <c r="R115" s="36"/>
    </row>
    <row r="116" spans="1:18" x14ac:dyDescent="0.25">
      <c r="A116" s="46"/>
      <c r="B116" s="41"/>
      <c r="C116" s="41"/>
      <c r="D116" s="41"/>
      <c r="E116" s="41"/>
      <c r="F116" s="41"/>
      <c r="G116" s="41"/>
      <c r="H116" s="36"/>
      <c r="I116" s="36"/>
      <c r="J116" s="41"/>
      <c r="K116" s="41"/>
      <c r="L116" s="41"/>
      <c r="M116" s="41"/>
      <c r="N116" s="36"/>
      <c r="O116" s="36"/>
      <c r="P116" s="36"/>
      <c r="Q116" s="36"/>
      <c r="R116" s="36"/>
    </row>
    <row r="117" spans="1:18" x14ac:dyDescent="0.25">
      <c r="A117" s="43" t="s">
        <v>551</v>
      </c>
      <c r="B117" s="85">
        <f>100+471+769</f>
        <v>1340</v>
      </c>
      <c r="C117" s="41">
        <f>ROUND('Biomass Data Assumptions'!B72/1000*B117,0)</f>
        <v>7</v>
      </c>
      <c r="D117" s="41">
        <f>'Biomass Data Assumptions'!C72*C117</f>
        <v>127750</v>
      </c>
      <c r="E117" s="41">
        <f>('Biomass Data Assumptions'!D72*'Energy Content Assumptions'!C56*D117)/2000</f>
        <v>12.455625</v>
      </c>
      <c r="F117" s="41">
        <f>'Biomass Data Assumptions'!E72*B117*365/2000</f>
        <v>0</v>
      </c>
      <c r="G117" s="41">
        <f>F117+E117</f>
        <v>12.455625</v>
      </c>
      <c r="H117" s="36"/>
      <c r="I117" s="36"/>
      <c r="J117" s="41"/>
      <c r="K117" s="41"/>
      <c r="L117" s="41"/>
      <c r="M117" s="41"/>
      <c r="N117" s="36"/>
      <c r="O117" s="36"/>
      <c r="P117" s="36"/>
      <c r="Q117" s="36"/>
      <c r="R117" s="36"/>
    </row>
    <row r="118" spans="1:18" x14ac:dyDescent="0.25">
      <c r="A118" s="43"/>
      <c r="B118" s="41"/>
      <c r="C118" s="41"/>
      <c r="D118" s="41"/>
      <c r="E118" s="41"/>
      <c r="F118" s="41"/>
      <c r="G118" s="41"/>
      <c r="H118" s="36"/>
      <c r="I118" s="36"/>
      <c r="J118" s="41"/>
      <c r="K118" s="41"/>
      <c r="L118" s="41"/>
      <c r="M118" s="41"/>
      <c r="N118" s="36"/>
      <c r="O118" s="36"/>
      <c r="P118" s="36"/>
      <c r="Q118" s="36"/>
      <c r="R118" s="36"/>
    </row>
    <row r="119" spans="1:18" x14ac:dyDescent="0.25">
      <c r="A119" s="43" t="s">
        <v>552</v>
      </c>
      <c r="B119" s="85">
        <v>55</v>
      </c>
      <c r="C119" s="41">
        <f>ROUND('Biomass Data Assumptions'!B73/1000*B119,0)</f>
        <v>1</v>
      </c>
      <c r="D119" s="41">
        <f>'Biomass Data Assumptions'!C73*C119</f>
        <v>13505</v>
      </c>
      <c r="E119" s="41">
        <f>('Biomass Data Assumptions'!D73*'Energy Content Assumptions'!C57*D119)/2000</f>
        <v>1.26609375</v>
      </c>
      <c r="F119" s="41">
        <f>'Biomass Data Assumptions'!E73*B119*365/2000</f>
        <v>1.0037499999999999</v>
      </c>
      <c r="G119" s="41">
        <f>F119+E119</f>
        <v>2.2698437499999997</v>
      </c>
      <c r="H119" s="36"/>
      <c r="I119" s="36"/>
      <c r="J119" s="41"/>
      <c r="K119" s="41"/>
      <c r="L119" s="41"/>
      <c r="M119" s="41"/>
      <c r="N119" s="36"/>
      <c r="O119" s="36"/>
      <c r="P119" s="36"/>
      <c r="Q119" s="36"/>
      <c r="R119" s="36"/>
    </row>
    <row r="120" spans="1:18" x14ac:dyDescent="0.25">
      <c r="A120" s="43"/>
      <c r="B120" s="41"/>
      <c r="C120" s="41"/>
      <c r="D120" s="41"/>
      <c r="E120" s="41"/>
      <c r="F120" s="41"/>
      <c r="G120" s="41"/>
      <c r="H120" s="36"/>
      <c r="I120" s="36"/>
      <c r="J120" s="41"/>
      <c r="K120" s="41"/>
      <c r="L120" s="41"/>
      <c r="M120" s="41"/>
      <c r="N120" s="36"/>
      <c r="O120" s="36"/>
      <c r="P120" s="36"/>
      <c r="Q120" s="36"/>
      <c r="R120" s="36"/>
    </row>
    <row r="121" spans="1:18" x14ac:dyDescent="0.25">
      <c r="A121" s="43" t="s">
        <v>553</v>
      </c>
      <c r="B121" s="86">
        <f t="shared" ref="B121:G121" si="15">B97+B104+B106+B108+B110+B115+B117+B119</f>
        <v>2322</v>
      </c>
      <c r="C121" s="48">
        <f t="shared" si="15"/>
        <v>715</v>
      </c>
      <c r="D121" s="48">
        <f t="shared" si="15"/>
        <v>16159645</v>
      </c>
      <c r="E121" s="48">
        <f t="shared" si="15"/>
        <v>477.98054875000003</v>
      </c>
      <c r="F121" s="48">
        <f t="shared" si="15"/>
        <v>1614.30375</v>
      </c>
      <c r="G121" s="48">
        <f t="shared" si="15"/>
        <v>2092.2842987499998</v>
      </c>
      <c r="H121" s="36"/>
      <c r="I121" s="36"/>
      <c r="J121" s="48"/>
      <c r="K121" s="48"/>
      <c r="L121" s="48"/>
      <c r="M121" s="48"/>
      <c r="N121" s="36"/>
      <c r="O121" s="36"/>
      <c r="P121" s="36"/>
      <c r="Q121" s="36"/>
      <c r="R121" s="36"/>
    </row>
    <row r="122" spans="1:18" x14ac:dyDescent="0.25">
      <c r="A122" s="36"/>
      <c r="B122" s="36"/>
      <c r="C122" s="36"/>
      <c r="D122" s="36"/>
      <c r="E122" s="36"/>
      <c r="F122" s="36"/>
      <c r="G122" s="36"/>
      <c r="H122" s="36"/>
      <c r="I122" s="36"/>
      <c r="J122" s="36"/>
      <c r="K122" s="36"/>
      <c r="L122" s="36"/>
      <c r="M122" s="36"/>
      <c r="N122" s="36"/>
      <c r="O122" s="36"/>
      <c r="P122" s="36"/>
      <c r="Q122" s="36"/>
      <c r="R122" s="36"/>
    </row>
    <row r="123" spans="1:18" x14ac:dyDescent="0.25">
      <c r="A123" s="49" t="s">
        <v>1014</v>
      </c>
      <c r="B123" s="49" t="s">
        <v>1043</v>
      </c>
      <c r="C123" s="49" t="s">
        <v>1044</v>
      </c>
      <c r="D123" s="150" t="s">
        <v>1012</v>
      </c>
      <c r="E123" s="36"/>
      <c r="F123" s="36"/>
      <c r="G123" s="36"/>
      <c r="H123" s="36"/>
      <c r="I123" s="36"/>
      <c r="J123" s="36"/>
      <c r="K123" s="36"/>
      <c r="L123" s="36"/>
      <c r="M123" s="36"/>
      <c r="N123" s="36"/>
      <c r="O123" s="36"/>
      <c r="P123" s="36"/>
      <c r="Q123" s="36"/>
      <c r="R123" s="36"/>
    </row>
    <row r="124" spans="1:18" x14ac:dyDescent="0.25">
      <c r="A124" s="50" t="s">
        <v>555</v>
      </c>
      <c r="B124" s="87">
        <v>18481.259999999998</v>
      </c>
      <c r="C124" s="543">
        <f>B124*'Energy Content Assumptions'!C33</f>
        <v>16633.133999999998</v>
      </c>
      <c r="D124" s="36"/>
      <c r="E124" s="36"/>
      <c r="F124" s="36"/>
      <c r="G124" s="36"/>
      <c r="H124" s="36"/>
      <c r="I124" s="36"/>
      <c r="J124" s="36"/>
      <c r="K124" s="36"/>
      <c r="L124" s="36"/>
      <c r="M124" s="36"/>
      <c r="N124" s="36"/>
      <c r="O124" s="36"/>
      <c r="P124" s="36"/>
      <c r="Q124" s="36"/>
      <c r="R124" s="36"/>
    </row>
    <row r="125" spans="1:18" x14ac:dyDescent="0.25">
      <c r="A125" s="50" t="s">
        <v>556</v>
      </c>
      <c r="B125" s="87">
        <v>3978.49</v>
      </c>
      <c r="C125" s="543">
        <f>B125*'Energy Content Assumptions'!C34</f>
        <v>3580.6410000000001</v>
      </c>
      <c r="D125" s="36"/>
      <c r="E125" s="36"/>
      <c r="F125" s="36"/>
      <c r="G125" s="36"/>
      <c r="H125" s="36"/>
      <c r="I125" s="36"/>
      <c r="J125" s="36"/>
      <c r="K125" s="36"/>
      <c r="L125" s="36"/>
      <c r="M125" s="36"/>
      <c r="N125" s="36"/>
      <c r="O125" s="36"/>
      <c r="P125" s="36"/>
      <c r="Q125" s="36"/>
      <c r="R125" s="36"/>
    </row>
    <row r="126" spans="1:18" x14ac:dyDescent="0.25">
      <c r="A126" s="50" t="s">
        <v>557</v>
      </c>
      <c r="B126" s="87">
        <v>9294.98</v>
      </c>
      <c r="C126" s="543">
        <f>B126*'Energy Content Assumptions'!C35</f>
        <v>8365.482</v>
      </c>
      <c r="D126" s="36"/>
      <c r="E126" s="36"/>
      <c r="F126" s="36"/>
      <c r="G126" s="36"/>
      <c r="H126" s="36"/>
      <c r="I126" s="36"/>
      <c r="J126" s="36"/>
      <c r="K126" s="36"/>
      <c r="L126" s="36"/>
      <c r="M126" s="36"/>
      <c r="N126" s="36"/>
      <c r="O126" s="36"/>
      <c r="P126" s="36"/>
      <c r="Q126" s="36"/>
      <c r="R126" s="36"/>
    </row>
    <row r="127" spans="1:18" x14ac:dyDescent="0.25">
      <c r="A127" s="50" t="s">
        <v>558</v>
      </c>
      <c r="B127" s="87">
        <v>7765.1</v>
      </c>
      <c r="C127" s="543">
        <f>B127*'Energy Content Assumptions'!C36</f>
        <v>6988.59</v>
      </c>
      <c r="D127" s="36"/>
      <c r="E127" s="36"/>
      <c r="F127" s="36"/>
      <c r="G127" s="36"/>
      <c r="H127" s="36"/>
      <c r="I127" s="36"/>
      <c r="J127" s="36"/>
      <c r="K127" s="36"/>
      <c r="L127" s="36"/>
      <c r="M127" s="36"/>
      <c r="N127" s="36"/>
      <c r="O127" s="36"/>
      <c r="P127" s="36"/>
      <c r="Q127" s="36"/>
      <c r="R127" s="36"/>
    </row>
    <row r="128" spans="1:18" x14ac:dyDescent="0.25">
      <c r="A128" s="50" t="s">
        <v>559</v>
      </c>
      <c r="B128" s="87">
        <v>12649.2</v>
      </c>
      <c r="C128" s="543">
        <f>B128*'Energy Content Assumptions'!C21</f>
        <v>6324.6</v>
      </c>
      <c r="D128" s="36"/>
      <c r="E128" s="36"/>
      <c r="F128" s="36"/>
      <c r="G128" s="36"/>
      <c r="H128" s="36"/>
      <c r="I128" s="36"/>
      <c r="J128" s="36"/>
      <c r="K128" s="36"/>
      <c r="L128" s="36"/>
      <c r="M128" s="36"/>
      <c r="N128" s="36"/>
      <c r="O128" s="36"/>
      <c r="P128" s="36"/>
      <c r="Q128" s="36"/>
      <c r="R128" s="36"/>
    </row>
    <row r="129" spans="1:18" x14ac:dyDescent="0.25">
      <c r="A129" s="50" t="s">
        <v>560</v>
      </c>
      <c r="B129" s="87">
        <v>9345.91</v>
      </c>
      <c r="C129" s="543">
        <f>B129*'Energy Content Assumptions'!C22</f>
        <v>3115.3033333333333</v>
      </c>
      <c r="D129" s="36"/>
      <c r="E129" s="36"/>
      <c r="F129" s="36"/>
      <c r="G129" s="36"/>
      <c r="H129" s="36"/>
      <c r="I129" s="36"/>
      <c r="J129" s="36"/>
      <c r="K129" s="36"/>
      <c r="L129" s="36"/>
      <c r="M129" s="36"/>
      <c r="N129" s="36"/>
      <c r="O129" s="36"/>
      <c r="P129" s="36"/>
      <c r="Q129" s="36"/>
      <c r="R129" s="36"/>
    </row>
    <row r="130" spans="1:18" x14ac:dyDescent="0.25">
      <c r="A130" s="50" t="s">
        <v>561</v>
      </c>
      <c r="B130" s="87">
        <v>33804.06</v>
      </c>
      <c r="C130" s="543">
        <f>B130*'Energy Content Assumptions'!C23</f>
        <v>11268.019999999999</v>
      </c>
      <c r="D130" s="36"/>
      <c r="E130" s="36"/>
      <c r="F130" s="36"/>
      <c r="G130" s="36"/>
      <c r="H130" s="36"/>
      <c r="I130" s="36"/>
      <c r="J130" s="36"/>
      <c r="K130" s="36"/>
      <c r="L130" s="36"/>
      <c r="M130" s="36"/>
      <c r="N130" s="36"/>
      <c r="O130" s="36"/>
      <c r="P130" s="36"/>
      <c r="Q130" s="36"/>
      <c r="R130" s="36"/>
    </row>
    <row r="131" spans="1:18" x14ac:dyDescent="0.25">
      <c r="A131" s="50" t="s">
        <v>562</v>
      </c>
      <c r="B131" s="87">
        <v>1213.5999999999999</v>
      </c>
      <c r="C131" s="543">
        <f>B131*'Energy Content Assumptions'!C24</f>
        <v>606.79999999999995</v>
      </c>
      <c r="D131" s="36"/>
      <c r="E131" s="36"/>
      <c r="F131" s="36"/>
      <c r="G131" s="36"/>
      <c r="H131" s="36"/>
      <c r="I131" s="36"/>
      <c r="J131" s="36"/>
      <c r="K131" s="36"/>
      <c r="L131" s="36"/>
      <c r="M131" s="36"/>
      <c r="N131" s="36"/>
      <c r="O131" s="36"/>
      <c r="P131" s="36"/>
      <c r="Q131" s="36"/>
      <c r="R131" s="36"/>
    </row>
    <row r="132" spans="1:18" x14ac:dyDescent="0.25">
      <c r="A132" s="50" t="s">
        <v>563</v>
      </c>
      <c r="B132" s="87">
        <v>4167.79</v>
      </c>
      <c r="C132" s="543">
        <f>B132*'Energy Content Assumptions'!C31</f>
        <v>1041.9475</v>
      </c>
      <c r="D132" s="36"/>
      <c r="E132" s="36"/>
      <c r="F132" s="36"/>
      <c r="G132" s="36"/>
      <c r="H132" s="36"/>
      <c r="I132" s="36"/>
      <c r="J132" s="36"/>
      <c r="K132" s="36"/>
      <c r="L132" s="36"/>
      <c r="M132" s="36"/>
      <c r="N132" s="36"/>
      <c r="O132" s="36"/>
      <c r="P132" s="36"/>
      <c r="Q132" s="36"/>
      <c r="R132" s="36"/>
    </row>
    <row r="133" spans="1:18" x14ac:dyDescent="0.25">
      <c r="A133" s="50" t="s">
        <v>564</v>
      </c>
      <c r="B133" s="87">
        <v>256.13</v>
      </c>
      <c r="C133" s="543">
        <f>B133*'Energy Content Assumptions'!C19</f>
        <v>230.517</v>
      </c>
      <c r="D133" s="36"/>
      <c r="E133" s="36"/>
      <c r="F133" s="36"/>
      <c r="G133" s="36"/>
      <c r="H133" s="36"/>
      <c r="I133" s="36"/>
      <c r="J133" s="36"/>
      <c r="K133" s="36"/>
      <c r="L133" s="36"/>
      <c r="M133" s="36"/>
      <c r="N133" s="36"/>
      <c r="O133" s="36"/>
      <c r="P133" s="36"/>
      <c r="Q133" s="36"/>
      <c r="R133" s="36"/>
    </row>
    <row r="134" spans="1:18" x14ac:dyDescent="0.25">
      <c r="A134" s="50" t="s">
        <v>565</v>
      </c>
      <c r="B134" s="87">
        <v>1671.01</v>
      </c>
      <c r="C134" s="543">
        <f>B134*'Energy Content Assumptions'!C32</f>
        <v>1336.808</v>
      </c>
      <c r="D134" s="36"/>
      <c r="E134" s="36"/>
      <c r="F134" s="36"/>
      <c r="G134" s="36"/>
      <c r="H134" s="36"/>
      <c r="I134" s="36"/>
      <c r="J134" s="36"/>
      <c r="K134" s="36"/>
      <c r="L134" s="36"/>
      <c r="M134" s="36"/>
      <c r="N134" s="36"/>
      <c r="O134" s="36"/>
      <c r="P134" s="36"/>
      <c r="Q134" s="36"/>
      <c r="R134" s="36"/>
    </row>
    <row r="135" spans="1:18" x14ac:dyDescent="0.25">
      <c r="A135" s="36"/>
      <c r="B135" s="36"/>
      <c r="C135" s="36"/>
      <c r="D135" s="36"/>
      <c r="E135" s="36"/>
      <c r="F135" s="36"/>
      <c r="G135" s="36"/>
      <c r="H135" s="36"/>
      <c r="I135" s="36"/>
      <c r="J135" s="36"/>
      <c r="K135" s="36"/>
      <c r="L135" s="36"/>
      <c r="M135" s="36"/>
      <c r="N135" s="36"/>
      <c r="O135" s="36"/>
      <c r="P135" s="36"/>
      <c r="Q135" s="36"/>
      <c r="R135" s="36"/>
    </row>
    <row r="136" spans="1:18" x14ac:dyDescent="0.25">
      <c r="A136" s="49" t="s">
        <v>462</v>
      </c>
      <c r="B136" s="49" t="s">
        <v>1039</v>
      </c>
      <c r="C136" s="49" t="s">
        <v>1040</v>
      </c>
      <c r="D136" s="36"/>
      <c r="E136" s="36"/>
      <c r="F136" s="36"/>
      <c r="G136" s="36"/>
      <c r="H136" s="36"/>
      <c r="I136" s="36"/>
      <c r="J136" s="36"/>
      <c r="K136" s="36"/>
      <c r="L136" s="36"/>
      <c r="M136" s="36"/>
      <c r="N136" s="36"/>
      <c r="O136" s="36"/>
      <c r="P136" s="36"/>
      <c r="Q136" s="36"/>
      <c r="R136" s="36"/>
    </row>
    <row r="137" spans="1:18" x14ac:dyDescent="0.25">
      <c r="A137" s="50" t="s">
        <v>211</v>
      </c>
      <c r="B137" s="87">
        <f>'Biomass Data Assumptions'!$M$7</f>
        <v>359563.09</v>
      </c>
      <c r="C137" s="544"/>
      <c r="D137" s="150" t="s">
        <v>1016</v>
      </c>
      <c r="E137" s="36"/>
      <c r="F137" s="36"/>
      <c r="G137" s="36"/>
      <c r="H137" s="36"/>
      <c r="I137" s="36"/>
      <c r="J137" s="36"/>
      <c r="K137" s="36"/>
      <c r="L137" s="36"/>
      <c r="M137" s="36"/>
      <c r="N137" s="36"/>
      <c r="O137" s="36"/>
      <c r="P137" s="36"/>
      <c r="Q137" s="36"/>
      <c r="R137" s="36"/>
    </row>
    <row r="138" spans="1:18" x14ac:dyDescent="0.25">
      <c r="A138" s="50" t="s">
        <v>208</v>
      </c>
      <c r="B138" s="87">
        <f>'Biomass Data Assumptions'!$F$7</f>
        <v>241823.54</v>
      </c>
      <c r="C138" s="543">
        <f>B138*'Energy Content Assumptions'!$C$28</f>
        <v>120911.77</v>
      </c>
      <c r="D138" s="150" t="s">
        <v>1016</v>
      </c>
      <c r="E138" s="36"/>
      <c r="F138" s="36"/>
      <c r="G138" s="36"/>
      <c r="H138" s="36"/>
      <c r="I138" s="36"/>
      <c r="J138" s="36"/>
      <c r="K138" s="36"/>
      <c r="L138" s="36"/>
      <c r="M138" s="36"/>
      <c r="N138" s="36"/>
      <c r="O138" s="36"/>
      <c r="P138" s="36"/>
      <c r="Q138" s="36"/>
      <c r="R138" s="36"/>
    </row>
    <row r="139" spans="1:18" x14ac:dyDescent="0.25">
      <c r="A139" s="50" t="s">
        <v>209</v>
      </c>
      <c r="B139" s="549">
        <f>'Biomass Data Assumptions'!$H$7</f>
        <v>4265.8999999999996</v>
      </c>
      <c r="C139" s="543"/>
      <c r="D139" s="36" t="s">
        <v>1020</v>
      </c>
      <c r="E139" s="36"/>
      <c r="F139" s="36"/>
      <c r="G139" s="36"/>
      <c r="H139" s="36"/>
      <c r="I139" s="36"/>
      <c r="J139" s="36"/>
      <c r="K139" s="36"/>
      <c r="L139" s="36"/>
      <c r="M139" s="36"/>
      <c r="N139" s="36"/>
      <c r="O139" s="36"/>
      <c r="P139" s="36"/>
      <c r="Q139" s="36"/>
      <c r="R139" s="36"/>
    </row>
    <row r="140" spans="1:18" x14ac:dyDescent="0.25">
      <c r="A140" s="50" t="s">
        <v>210</v>
      </c>
      <c r="B140" s="549">
        <f>'Biomass Data Assumptions'!$I$7</f>
        <v>237557.64</v>
      </c>
      <c r="C140" s="543">
        <f>B140*'Energy Content Assumptions'!$C$28</f>
        <v>118778.82</v>
      </c>
      <c r="D140" s="36" t="s">
        <v>1021</v>
      </c>
      <c r="E140" s="36"/>
      <c r="F140" s="36"/>
      <c r="G140" s="36"/>
      <c r="H140" s="36"/>
      <c r="I140" s="36"/>
      <c r="J140" s="36"/>
      <c r="K140" s="36"/>
      <c r="L140" s="36"/>
      <c r="M140" s="36"/>
      <c r="N140" s="36"/>
      <c r="O140" s="36"/>
      <c r="P140" s="36"/>
      <c r="Q140" s="36"/>
      <c r="R140" s="36"/>
    </row>
    <row r="141" spans="1:18" x14ac:dyDescent="0.25">
      <c r="A141" s="50" t="str">
        <f>'Bioenergy Calculator'!B35</f>
        <v>Food waste, Landfilled</v>
      </c>
      <c r="B141" s="549">
        <f>IF('Bioenergy Calculator'!H75="No",'Biomass Data Assumptions'!J7,'Biomass Data Assumptions'!F7*'Biomass Data Assumptions'!I41)</f>
        <v>37581.618648000003</v>
      </c>
      <c r="C141" s="543">
        <f>B141*'Energy Content Assumptions'!C26</f>
        <v>11274.485594400001</v>
      </c>
      <c r="D141" s="468" t="s">
        <v>1063</v>
      </c>
      <c r="E141" s="457"/>
      <c r="F141" s="457"/>
      <c r="G141" s="457"/>
      <c r="H141" s="457"/>
      <c r="I141" s="457"/>
      <c r="J141" s="457"/>
      <c r="K141" s="457"/>
      <c r="L141" s="457"/>
      <c r="M141" s="457"/>
      <c r="N141" s="457"/>
      <c r="O141" s="457"/>
      <c r="P141" s="36"/>
      <c r="Q141" s="36"/>
      <c r="R141" s="36"/>
    </row>
    <row r="142" spans="1:18" x14ac:dyDescent="0.25">
      <c r="A142" s="50" t="str">
        <f>'Bioenergy Calculator'!B36</f>
        <v>Waste paper, Landfilled</v>
      </c>
      <c r="B142" s="549">
        <f>IF('Bioenergy Calculator'!H75="No",'Biomass Data Assumptions'!K7,'Biomass Data Assumptions'!F7*'Biomass Data Assumptions'!I42)</f>
        <v>46204.960980000003</v>
      </c>
      <c r="C142" s="543">
        <f>B142*'Energy Content Assumptions'!C27</f>
        <v>41584.464882000007</v>
      </c>
      <c r="D142" s="468" t="s">
        <v>1063</v>
      </c>
      <c r="E142" s="457"/>
      <c r="F142" s="457"/>
      <c r="G142" s="457"/>
      <c r="H142" s="457"/>
      <c r="I142" s="457"/>
      <c r="J142" s="457"/>
      <c r="K142" s="457"/>
      <c r="L142" s="457"/>
      <c r="M142" s="457"/>
      <c r="N142" s="457"/>
      <c r="O142" s="457"/>
      <c r="P142" s="36"/>
      <c r="Q142" s="36"/>
      <c r="R142" s="36"/>
    </row>
    <row r="143" spans="1:18" x14ac:dyDescent="0.25">
      <c r="A143" s="50" t="str">
        <f>'Bioenergy Calculator'!B37</f>
        <v>Other Biomass, Landfilled</v>
      </c>
      <c r="B143" s="549">
        <f>IF('Bioenergy Calculator'!H75="No",'Biomass Data Assumptions'!L7,'Biomass Data Assumptions'!F7*'Biomass Data Assumptions'!I43)</f>
        <v>63974.272451999997</v>
      </c>
      <c r="C143" s="543">
        <f>B143*'Energy Content Assumptions'!C28</f>
        <v>31987.136225999999</v>
      </c>
      <c r="D143" s="468" t="s">
        <v>1064</v>
      </c>
      <c r="E143" s="457"/>
      <c r="F143" s="457"/>
      <c r="G143" s="457"/>
      <c r="H143" s="457"/>
      <c r="I143" s="457"/>
      <c r="J143" s="457"/>
      <c r="K143" s="457"/>
      <c r="L143" s="457"/>
      <c r="M143" s="457"/>
      <c r="N143" s="457"/>
      <c r="O143" s="457"/>
      <c r="P143" s="457"/>
      <c r="Q143" s="36"/>
      <c r="R143" s="36"/>
    </row>
    <row r="144" spans="1:18" x14ac:dyDescent="0.25">
      <c r="A144" s="50" t="s">
        <v>463</v>
      </c>
      <c r="B144" s="549">
        <v>65450.57</v>
      </c>
      <c r="C144" s="543">
        <f>B144*'Energy Content Assumptions'!C29</f>
        <v>52360.456000000006</v>
      </c>
      <c r="D144" s="151" t="s">
        <v>206</v>
      </c>
      <c r="E144" s="36"/>
      <c r="F144" s="36"/>
      <c r="G144" s="36"/>
      <c r="H144" s="36"/>
      <c r="I144" s="36"/>
      <c r="J144" s="36"/>
      <c r="K144" s="36"/>
      <c r="L144" s="36"/>
      <c r="M144" s="36"/>
      <c r="N144" s="36"/>
      <c r="O144" s="36"/>
      <c r="P144" s="36"/>
      <c r="Q144" s="36"/>
      <c r="R144" s="36"/>
    </row>
    <row r="145" spans="1:18" x14ac:dyDescent="0.25">
      <c r="A145" s="709" t="s">
        <v>179</v>
      </c>
      <c r="B145" s="717">
        <v>0.4</v>
      </c>
      <c r="C145" s="543">
        <f>C144*B145</f>
        <v>20944.182400000005</v>
      </c>
      <c r="D145" s="150" t="s">
        <v>1202</v>
      </c>
      <c r="E145" s="36"/>
      <c r="F145" s="36"/>
      <c r="G145" s="36"/>
      <c r="H145" s="36"/>
      <c r="I145" s="36"/>
      <c r="J145" s="36"/>
      <c r="K145" s="36"/>
      <c r="L145" s="36"/>
      <c r="M145" s="36"/>
      <c r="N145" s="36"/>
      <c r="O145" s="36"/>
      <c r="P145" s="36"/>
      <c r="Q145" s="36"/>
      <c r="R145" s="36"/>
    </row>
    <row r="146" spans="1:18" x14ac:dyDescent="0.25">
      <c r="A146" s="712"/>
      <c r="B146" s="713"/>
      <c r="C146" s="543"/>
      <c r="D146" s="150" t="s">
        <v>1553</v>
      </c>
      <c r="E146" s="36"/>
      <c r="F146" s="36"/>
      <c r="G146" s="36"/>
      <c r="H146" s="36"/>
      <c r="I146" s="36"/>
      <c r="J146" s="36"/>
      <c r="K146" s="36"/>
      <c r="L146" s="36"/>
      <c r="M146" s="36"/>
      <c r="N146" s="36"/>
      <c r="O146" s="36"/>
      <c r="P146" s="36"/>
      <c r="Q146" s="36"/>
      <c r="R146" s="36"/>
    </row>
    <row r="147" spans="1:18" x14ac:dyDescent="0.25">
      <c r="A147" s="1238" t="s">
        <v>1568</v>
      </c>
      <c r="B147" s="49" t="s">
        <v>1039</v>
      </c>
      <c r="C147" s="49" t="s">
        <v>1571</v>
      </c>
      <c r="D147" s="150"/>
      <c r="E147" s="36"/>
      <c r="F147" s="36"/>
      <c r="G147" s="36"/>
      <c r="H147" s="36"/>
      <c r="I147" s="36"/>
      <c r="J147" s="36"/>
      <c r="K147" s="36"/>
      <c r="L147" s="36"/>
      <c r="M147" s="36"/>
      <c r="N147" s="36"/>
      <c r="O147" s="36"/>
      <c r="P147" s="36"/>
      <c r="Q147" s="36"/>
      <c r="R147" s="36"/>
    </row>
    <row r="148" spans="1:18" x14ac:dyDescent="0.25">
      <c r="A148" s="1236" t="s">
        <v>508</v>
      </c>
      <c r="B148" s="549">
        <f>'Biomass Data Assumptions'!R7/2000</f>
        <v>1208.0156000000002</v>
      </c>
      <c r="C148" s="1239">
        <f>B148*'Energy Content Assumptions'!C39</f>
        <v>1026.8132600000001</v>
      </c>
      <c r="D148" s="150" t="s">
        <v>1569</v>
      </c>
      <c r="E148" s="36"/>
      <c r="F148" s="36"/>
      <c r="G148" s="36"/>
      <c r="H148" s="36"/>
      <c r="I148" s="36"/>
      <c r="J148" s="36"/>
      <c r="K148" s="36"/>
      <c r="L148" s="36"/>
      <c r="M148" s="36"/>
      <c r="N148" s="36"/>
      <c r="O148" s="36"/>
      <c r="P148" s="36"/>
      <c r="Q148" s="36"/>
      <c r="R148" s="36"/>
    </row>
    <row r="149" spans="1:18" x14ac:dyDescent="0.25">
      <c r="A149" s="1236" t="s">
        <v>509</v>
      </c>
      <c r="B149" s="549">
        <f>'Biomass Data Assumptions'!S7/2000</f>
        <v>1835.3600649999998</v>
      </c>
      <c r="C149" s="1239">
        <f>B149*'Energy Content Assumptions'!C40</f>
        <v>91.768003249999992</v>
      </c>
      <c r="D149" s="150" t="s">
        <v>1570</v>
      </c>
      <c r="E149" s="36"/>
      <c r="F149" s="36"/>
      <c r="G149" s="36"/>
      <c r="H149" s="36"/>
      <c r="I149" s="36"/>
      <c r="J149" s="36"/>
      <c r="K149" s="36"/>
      <c r="L149" s="36"/>
      <c r="M149" s="36"/>
      <c r="N149" s="36"/>
      <c r="O149" s="36"/>
      <c r="P149" s="36"/>
      <c r="Q149" s="36"/>
      <c r="R149" s="36"/>
    </row>
    <row r="150" spans="1:18" x14ac:dyDescent="0.25">
      <c r="A150" s="1234"/>
      <c r="B150" s="1235"/>
      <c r="C150" s="543"/>
      <c r="D150" s="150"/>
      <c r="E150" s="36"/>
      <c r="F150" s="36"/>
      <c r="G150" s="36"/>
      <c r="H150" s="36"/>
      <c r="I150" s="36"/>
      <c r="J150" s="36"/>
      <c r="K150" s="36"/>
      <c r="L150" s="36"/>
      <c r="M150" s="36"/>
      <c r="N150" s="36"/>
      <c r="O150" s="36"/>
      <c r="P150" s="36"/>
      <c r="Q150" s="36"/>
      <c r="R150" s="36"/>
    </row>
    <row r="151" spans="1:18" x14ac:dyDescent="0.25">
      <c r="A151" s="36" t="s">
        <v>20</v>
      </c>
      <c r="B151" s="36"/>
      <c r="C151" s="36"/>
      <c r="D151" s="36"/>
      <c r="E151" s="36"/>
      <c r="F151" s="36"/>
      <c r="G151" s="36"/>
      <c r="H151" s="36"/>
      <c r="I151" s="36"/>
      <c r="J151" s="36"/>
      <c r="K151" s="36"/>
      <c r="L151" s="36"/>
      <c r="M151" s="36"/>
      <c r="N151" s="36"/>
      <c r="O151" s="36"/>
      <c r="P151" s="36"/>
      <c r="Q151" s="36"/>
      <c r="R151" s="36"/>
    </row>
    <row r="152" spans="1:18" ht="26.4" x14ac:dyDescent="0.25">
      <c r="A152" s="37" t="s">
        <v>481</v>
      </c>
      <c r="B152" s="37" t="s">
        <v>482</v>
      </c>
      <c r="C152" s="37" t="s">
        <v>483</v>
      </c>
      <c r="D152" s="37" t="s">
        <v>484</v>
      </c>
      <c r="E152" s="37" t="s">
        <v>485</v>
      </c>
      <c r="F152" s="37" t="s">
        <v>486</v>
      </c>
      <c r="G152" s="37" t="s">
        <v>487</v>
      </c>
      <c r="H152" s="37" t="s">
        <v>488</v>
      </c>
      <c r="I152" s="36"/>
      <c r="J152" s="36"/>
      <c r="K152" s="36"/>
      <c r="L152" s="36"/>
      <c r="M152" s="36"/>
      <c r="N152" s="36"/>
      <c r="O152" s="36"/>
      <c r="P152" s="36"/>
      <c r="Q152" s="36"/>
      <c r="R152" s="36"/>
    </row>
    <row r="153" spans="1:18" x14ac:dyDescent="0.25">
      <c r="A153" s="61" t="s">
        <v>489</v>
      </c>
      <c r="B153" s="61" t="s">
        <v>490</v>
      </c>
      <c r="C153" s="61">
        <v>213</v>
      </c>
      <c r="D153" s="61">
        <v>0</v>
      </c>
      <c r="E153" s="61">
        <v>2</v>
      </c>
      <c r="F153" s="61">
        <v>1</v>
      </c>
      <c r="G153" s="61"/>
      <c r="H153" s="61">
        <f t="shared" ref="H153:H195" si="16">12*((D153*20)+(E153*12)+(F153*4))</f>
        <v>336</v>
      </c>
      <c r="I153" s="38"/>
      <c r="J153" s="36"/>
      <c r="K153" s="36"/>
      <c r="L153" s="36"/>
      <c r="M153" s="36"/>
      <c r="N153" s="36"/>
      <c r="O153" s="36"/>
      <c r="P153" s="36"/>
      <c r="Q153" s="36"/>
      <c r="R153" s="36"/>
    </row>
    <row r="154" spans="1:18" x14ac:dyDescent="0.25">
      <c r="A154" s="61" t="s">
        <v>491</v>
      </c>
      <c r="B154" s="61" t="s">
        <v>492</v>
      </c>
      <c r="C154" s="61">
        <v>205</v>
      </c>
      <c r="D154" s="61">
        <v>0</v>
      </c>
      <c r="E154" s="61">
        <v>0</v>
      </c>
      <c r="F154" s="61">
        <v>0</v>
      </c>
      <c r="G154" s="61">
        <f>120+95+95</f>
        <v>310</v>
      </c>
      <c r="H154" s="61">
        <f t="shared" si="16"/>
        <v>0</v>
      </c>
      <c r="I154" s="36"/>
      <c r="J154" s="36"/>
      <c r="K154" s="36"/>
      <c r="L154" s="36"/>
      <c r="M154" s="36"/>
      <c r="N154" s="36"/>
      <c r="O154" s="36"/>
      <c r="P154" s="36"/>
      <c r="Q154" s="36"/>
      <c r="R154" s="36"/>
    </row>
    <row r="155" spans="1:18" x14ac:dyDescent="0.25">
      <c r="A155" s="61" t="s">
        <v>493</v>
      </c>
      <c r="B155" s="61" t="s">
        <v>494</v>
      </c>
      <c r="C155" s="61">
        <v>115</v>
      </c>
      <c r="D155" s="61">
        <v>0</v>
      </c>
      <c r="E155" s="61">
        <v>1</v>
      </c>
      <c r="F155" s="61">
        <v>0</v>
      </c>
      <c r="G155" s="61">
        <v>24</v>
      </c>
      <c r="H155" s="61">
        <f t="shared" si="16"/>
        <v>144</v>
      </c>
      <c r="I155" s="36"/>
      <c r="J155" s="36"/>
      <c r="K155" s="36"/>
      <c r="L155" s="36"/>
      <c r="M155" s="36"/>
      <c r="N155" s="36"/>
      <c r="O155" s="36"/>
      <c r="P155" s="36"/>
      <c r="Q155" s="36"/>
      <c r="R155" s="36"/>
    </row>
    <row r="156" spans="1:18" x14ac:dyDescent="0.25">
      <c r="A156" s="61" t="s">
        <v>495</v>
      </c>
      <c r="B156" s="61" t="s">
        <v>492</v>
      </c>
      <c r="C156" s="61">
        <v>129</v>
      </c>
      <c r="D156" s="61">
        <v>0</v>
      </c>
      <c r="E156" s="61">
        <v>0</v>
      </c>
      <c r="F156" s="61">
        <v>0</v>
      </c>
      <c r="G156" s="61">
        <v>0</v>
      </c>
      <c r="H156" s="61">
        <f t="shared" si="16"/>
        <v>0</v>
      </c>
      <c r="I156" s="36"/>
      <c r="J156" s="36"/>
      <c r="K156" s="36"/>
      <c r="L156" s="36"/>
      <c r="M156" s="36"/>
      <c r="N156" s="36"/>
      <c r="O156" s="36"/>
      <c r="P156" s="36"/>
      <c r="Q156" s="36"/>
      <c r="R156" s="36"/>
    </row>
    <row r="157" spans="1:18" x14ac:dyDescent="0.25">
      <c r="A157" s="61" t="s">
        <v>496</v>
      </c>
      <c r="B157" s="61" t="s">
        <v>497</v>
      </c>
      <c r="C157" s="61">
        <v>121</v>
      </c>
      <c r="D157" s="61">
        <v>0</v>
      </c>
      <c r="E157" s="61">
        <v>1</v>
      </c>
      <c r="F157" s="61">
        <v>0</v>
      </c>
      <c r="G157" s="61">
        <v>500</v>
      </c>
      <c r="H157" s="61">
        <f t="shared" si="16"/>
        <v>144</v>
      </c>
      <c r="I157" s="36"/>
      <c r="J157" s="36"/>
      <c r="K157" s="36"/>
      <c r="L157" s="36"/>
      <c r="M157" s="36"/>
      <c r="N157" s="36"/>
      <c r="O157" s="36"/>
      <c r="P157" s="36"/>
      <c r="Q157" s="36"/>
      <c r="R157" s="36"/>
    </row>
    <row r="158" spans="1:18" x14ac:dyDescent="0.25">
      <c r="A158" s="61" t="s">
        <v>498</v>
      </c>
      <c r="B158" s="61" t="s">
        <v>499</v>
      </c>
      <c r="C158" s="61">
        <v>110</v>
      </c>
      <c r="D158" s="61">
        <v>0</v>
      </c>
      <c r="E158" s="61">
        <v>1</v>
      </c>
      <c r="F158" s="61">
        <v>1</v>
      </c>
      <c r="G158" s="61"/>
      <c r="H158" s="61">
        <f t="shared" si="16"/>
        <v>192</v>
      </c>
      <c r="I158" s="36"/>
      <c r="J158" s="36"/>
      <c r="K158" s="36"/>
      <c r="L158" s="36"/>
      <c r="M158" s="36"/>
      <c r="N158" s="36"/>
      <c r="O158" s="36"/>
      <c r="P158" s="36"/>
      <c r="Q158" s="36"/>
      <c r="R158" s="36"/>
    </row>
    <row r="159" spans="1:18" x14ac:dyDescent="0.25">
      <c r="A159" s="61" t="s">
        <v>500</v>
      </c>
      <c r="B159" s="61" t="s">
        <v>501</v>
      </c>
      <c r="C159" s="61">
        <v>95</v>
      </c>
      <c r="D159" s="61">
        <v>0</v>
      </c>
      <c r="E159" s="61">
        <v>0</v>
      </c>
      <c r="F159" s="61">
        <v>0</v>
      </c>
      <c r="G159" s="61">
        <v>50</v>
      </c>
      <c r="H159" s="61">
        <f t="shared" si="16"/>
        <v>0</v>
      </c>
      <c r="I159" s="36"/>
      <c r="J159" s="36"/>
      <c r="K159" s="36"/>
      <c r="L159" s="36"/>
      <c r="M159" s="36"/>
      <c r="N159" s="36"/>
      <c r="O159" s="36"/>
      <c r="P159" s="36"/>
      <c r="Q159" s="36"/>
      <c r="R159" s="36"/>
    </row>
    <row r="160" spans="1:18" x14ac:dyDescent="0.25">
      <c r="A160" s="61" t="s">
        <v>502</v>
      </c>
      <c r="B160" s="61" t="s">
        <v>503</v>
      </c>
      <c r="C160" s="61">
        <v>297</v>
      </c>
      <c r="D160" s="61">
        <v>0</v>
      </c>
      <c r="E160" s="61">
        <v>2</v>
      </c>
      <c r="F160" s="61">
        <v>1</v>
      </c>
      <c r="G160" s="61">
        <v>600</v>
      </c>
      <c r="H160" s="61">
        <f t="shared" si="16"/>
        <v>336</v>
      </c>
      <c r="I160" s="36"/>
      <c r="J160" s="36"/>
      <c r="K160" s="36"/>
      <c r="L160" s="36"/>
      <c r="M160" s="36"/>
      <c r="N160" s="36"/>
      <c r="O160" s="36"/>
      <c r="P160" s="36"/>
      <c r="Q160" s="36"/>
      <c r="R160" s="36"/>
    </row>
    <row r="161" spans="1:18" x14ac:dyDescent="0.25">
      <c r="A161" s="61" t="s">
        <v>371</v>
      </c>
      <c r="B161" s="61" t="s">
        <v>497</v>
      </c>
      <c r="C161" s="61">
        <v>502</v>
      </c>
      <c r="D161" s="61">
        <v>0</v>
      </c>
      <c r="E161" s="61">
        <v>3</v>
      </c>
      <c r="F161" s="61">
        <v>0</v>
      </c>
      <c r="G161" s="61">
        <f>5775+185</f>
        <v>5960</v>
      </c>
      <c r="H161" s="61">
        <f t="shared" si="16"/>
        <v>432</v>
      </c>
      <c r="I161" s="36"/>
      <c r="J161" s="36"/>
      <c r="K161" s="36"/>
      <c r="L161" s="36"/>
      <c r="M161" s="36"/>
      <c r="N161" s="36"/>
      <c r="O161" s="36"/>
      <c r="P161" s="36"/>
      <c r="Q161" s="36"/>
      <c r="R161" s="36"/>
    </row>
    <row r="162" spans="1:18" x14ac:dyDescent="0.25">
      <c r="A162" s="61"/>
      <c r="B162" s="61"/>
      <c r="C162" s="61"/>
      <c r="D162" s="61"/>
      <c r="E162" s="61"/>
      <c r="F162" s="61"/>
      <c r="G162" s="61"/>
      <c r="H162" s="61">
        <f t="shared" si="16"/>
        <v>0</v>
      </c>
      <c r="I162" s="36"/>
      <c r="J162" s="36"/>
      <c r="K162" s="36"/>
      <c r="L162" s="36"/>
      <c r="M162" s="36"/>
      <c r="N162" s="36"/>
      <c r="O162" s="36"/>
      <c r="P162" s="36"/>
      <c r="Q162" s="36"/>
      <c r="R162" s="36"/>
    </row>
    <row r="163" spans="1:18" x14ac:dyDescent="0.25">
      <c r="A163" s="61" t="s">
        <v>372</v>
      </c>
      <c r="B163" s="61" t="s">
        <v>497</v>
      </c>
      <c r="C163" s="61">
        <v>800</v>
      </c>
      <c r="D163" s="61">
        <v>5</v>
      </c>
      <c r="E163" s="61">
        <v>4</v>
      </c>
      <c r="F163" s="61">
        <v>3</v>
      </c>
      <c r="G163" s="61">
        <v>5140</v>
      </c>
      <c r="H163" s="61">
        <f t="shared" si="16"/>
        <v>1920</v>
      </c>
      <c r="I163" s="36"/>
      <c r="J163" s="36"/>
      <c r="K163" s="36"/>
      <c r="L163" s="36"/>
      <c r="M163" s="36"/>
      <c r="N163" s="36"/>
      <c r="O163" s="36"/>
      <c r="P163" s="36"/>
      <c r="Q163" s="36"/>
      <c r="R163" s="36"/>
    </row>
    <row r="164" spans="1:18" x14ac:dyDescent="0.25">
      <c r="A164" s="61" t="s">
        <v>373</v>
      </c>
      <c r="B164" s="61" t="s">
        <v>497</v>
      </c>
      <c r="C164" s="61"/>
      <c r="D164" s="61">
        <v>7</v>
      </c>
      <c r="E164" s="61">
        <v>12</v>
      </c>
      <c r="F164" s="61">
        <v>0</v>
      </c>
      <c r="G164" s="61"/>
      <c r="H164" s="61">
        <f t="shared" si="16"/>
        <v>3408</v>
      </c>
      <c r="I164" s="36"/>
      <c r="J164" s="36"/>
      <c r="K164" s="36"/>
      <c r="L164" s="36"/>
      <c r="M164" s="36"/>
      <c r="N164" s="36"/>
      <c r="O164" s="36"/>
      <c r="P164" s="36"/>
      <c r="Q164" s="36"/>
      <c r="R164" s="36"/>
    </row>
    <row r="165" spans="1:18" x14ac:dyDescent="0.25">
      <c r="A165" s="61" t="s">
        <v>374</v>
      </c>
      <c r="B165" s="61" t="s">
        <v>497</v>
      </c>
      <c r="C165" s="61">
        <v>2000</v>
      </c>
      <c r="D165" s="61">
        <v>7</v>
      </c>
      <c r="E165" s="61">
        <v>7</v>
      </c>
      <c r="F165" s="61"/>
      <c r="G165" s="61"/>
      <c r="H165" s="61">
        <f t="shared" si="16"/>
        <v>2688</v>
      </c>
      <c r="I165" s="36"/>
      <c r="J165" s="36"/>
      <c r="K165" s="36"/>
      <c r="L165" s="36"/>
      <c r="M165" s="36"/>
      <c r="N165" s="36"/>
      <c r="O165" s="36"/>
      <c r="P165" s="36"/>
      <c r="Q165" s="36"/>
      <c r="R165" s="36"/>
    </row>
    <row r="166" spans="1:18" x14ac:dyDescent="0.25">
      <c r="A166" s="61" t="s">
        <v>375</v>
      </c>
      <c r="B166" s="61" t="s">
        <v>497</v>
      </c>
      <c r="C166" s="61"/>
      <c r="D166" s="61">
        <v>6</v>
      </c>
      <c r="E166" s="61"/>
      <c r="F166" s="61">
        <v>1</v>
      </c>
      <c r="G166" s="61"/>
      <c r="H166" s="61">
        <f t="shared" si="16"/>
        <v>1488</v>
      </c>
      <c r="I166" s="36"/>
      <c r="J166" s="36"/>
      <c r="K166" s="36"/>
      <c r="L166" s="36"/>
      <c r="M166" s="36"/>
      <c r="N166" s="36"/>
      <c r="O166" s="36"/>
      <c r="P166" s="36"/>
      <c r="Q166" s="36"/>
      <c r="R166" s="36"/>
    </row>
    <row r="167" spans="1:18" x14ac:dyDescent="0.25">
      <c r="A167" s="61" t="s">
        <v>376</v>
      </c>
      <c r="B167" s="61" t="s">
        <v>497</v>
      </c>
      <c r="C167" s="61">
        <f>479+42</f>
        <v>521</v>
      </c>
      <c r="D167" s="61">
        <v>3</v>
      </c>
      <c r="E167" s="61">
        <v>4</v>
      </c>
      <c r="F167" s="61">
        <v>2</v>
      </c>
      <c r="G167" s="61">
        <v>2125</v>
      </c>
      <c r="H167" s="61">
        <f t="shared" si="16"/>
        <v>1392</v>
      </c>
      <c r="I167" s="36"/>
      <c r="J167" s="36"/>
      <c r="K167" s="36"/>
      <c r="L167" s="36"/>
      <c r="M167" s="36"/>
      <c r="N167" s="36"/>
      <c r="O167" s="36"/>
      <c r="P167" s="36"/>
      <c r="Q167" s="36"/>
      <c r="R167" s="36"/>
    </row>
    <row r="168" spans="1:18" x14ac:dyDescent="0.25">
      <c r="A168" s="61" t="s">
        <v>377</v>
      </c>
      <c r="B168" s="61" t="s">
        <v>497</v>
      </c>
      <c r="C168" s="61">
        <v>1309</v>
      </c>
      <c r="D168" s="61">
        <v>5</v>
      </c>
      <c r="E168" s="61">
        <v>2</v>
      </c>
      <c r="F168" s="61">
        <v>1</v>
      </c>
      <c r="G168" s="61"/>
      <c r="H168" s="61">
        <f t="shared" si="16"/>
        <v>1536</v>
      </c>
      <c r="I168" s="36"/>
      <c r="J168" s="36"/>
      <c r="K168" s="36"/>
      <c r="L168" s="36"/>
      <c r="M168" s="36"/>
      <c r="N168" s="36"/>
      <c r="O168" s="36"/>
      <c r="P168" s="36"/>
      <c r="Q168" s="36"/>
      <c r="R168" s="36"/>
    </row>
    <row r="169" spans="1:18" x14ac:dyDescent="0.25">
      <c r="A169" s="61" t="s">
        <v>378</v>
      </c>
      <c r="B169" s="61" t="s">
        <v>497</v>
      </c>
      <c r="C169" s="61"/>
      <c r="D169" s="61">
        <v>7</v>
      </c>
      <c r="E169" s="61">
        <v>10</v>
      </c>
      <c r="F169" s="61">
        <v>2</v>
      </c>
      <c r="G169" s="61">
        <f>894+260+3600</f>
        <v>4754</v>
      </c>
      <c r="H169" s="61">
        <f t="shared" si="16"/>
        <v>3216</v>
      </c>
      <c r="I169" s="36"/>
      <c r="J169" s="36"/>
      <c r="K169" s="36"/>
      <c r="L169" s="36"/>
      <c r="M169" s="36"/>
      <c r="N169" s="36"/>
      <c r="O169" s="36"/>
      <c r="P169" s="36"/>
      <c r="Q169" s="36"/>
      <c r="R169" s="36"/>
    </row>
    <row r="170" spans="1:18" x14ac:dyDescent="0.25">
      <c r="A170" s="61" t="s">
        <v>379</v>
      </c>
      <c r="B170" s="61" t="s">
        <v>497</v>
      </c>
      <c r="C170" s="61">
        <f>728+60</f>
        <v>788</v>
      </c>
      <c r="D170" s="61">
        <v>4</v>
      </c>
      <c r="E170" s="61">
        <v>6</v>
      </c>
      <c r="F170" s="61">
        <v>0</v>
      </c>
      <c r="G170" s="61">
        <v>7402</v>
      </c>
      <c r="H170" s="61">
        <f t="shared" si="16"/>
        <v>1824</v>
      </c>
      <c r="I170" s="36"/>
      <c r="J170" s="36"/>
      <c r="K170" s="36"/>
      <c r="L170" s="36"/>
      <c r="M170" s="36"/>
      <c r="N170" s="36"/>
      <c r="O170" s="36"/>
      <c r="P170" s="36"/>
      <c r="Q170" s="36"/>
      <c r="R170" s="36"/>
    </row>
    <row r="171" spans="1:18" x14ac:dyDescent="0.25">
      <c r="A171" s="61" t="s">
        <v>380</v>
      </c>
      <c r="B171" s="61" t="s">
        <v>497</v>
      </c>
      <c r="C171" s="61">
        <f>762+142</f>
        <v>904</v>
      </c>
      <c r="D171" s="61">
        <v>3</v>
      </c>
      <c r="E171" s="61">
        <v>7</v>
      </c>
      <c r="F171" s="61">
        <v>3</v>
      </c>
      <c r="G171" s="61">
        <v>2912</v>
      </c>
      <c r="H171" s="61">
        <f t="shared" si="16"/>
        <v>1872</v>
      </c>
      <c r="I171" s="36"/>
      <c r="J171" s="36"/>
      <c r="K171" s="36"/>
      <c r="L171" s="36"/>
      <c r="M171" s="36"/>
      <c r="N171" s="36"/>
      <c r="O171" s="36"/>
      <c r="P171" s="36"/>
      <c r="Q171" s="36"/>
      <c r="R171" s="36"/>
    </row>
    <row r="172" spans="1:18" x14ac:dyDescent="0.25">
      <c r="A172" s="61" t="s">
        <v>381</v>
      </c>
      <c r="B172" s="61" t="s">
        <v>497</v>
      </c>
      <c r="C172" s="61">
        <v>1250</v>
      </c>
      <c r="D172" s="61">
        <v>3</v>
      </c>
      <c r="E172" s="61">
        <v>9</v>
      </c>
      <c r="F172" s="61">
        <v>5</v>
      </c>
      <c r="G172" s="61"/>
      <c r="H172" s="61">
        <f t="shared" si="16"/>
        <v>2256</v>
      </c>
      <c r="I172" s="36"/>
      <c r="J172" s="36"/>
      <c r="K172" s="36"/>
      <c r="L172" s="36"/>
      <c r="M172" s="36"/>
      <c r="N172" s="36"/>
      <c r="O172" s="36"/>
      <c r="P172" s="36"/>
      <c r="Q172" s="36"/>
      <c r="R172" s="36"/>
    </row>
    <row r="173" spans="1:18" x14ac:dyDescent="0.25">
      <c r="A173" s="61"/>
      <c r="B173" s="61"/>
      <c r="C173" s="61"/>
      <c r="D173" s="61"/>
      <c r="E173" s="61"/>
      <c r="F173" s="61"/>
      <c r="G173" s="61"/>
      <c r="H173" s="61">
        <f t="shared" si="16"/>
        <v>0</v>
      </c>
      <c r="I173" s="36"/>
      <c r="J173" s="36"/>
      <c r="K173" s="36"/>
      <c r="L173" s="36"/>
      <c r="M173" s="36"/>
      <c r="N173" s="36"/>
      <c r="O173" s="36"/>
      <c r="P173" s="36"/>
      <c r="Q173" s="36"/>
      <c r="R173" s="36"/>
    </row>
    <row r="174" spans="1:18" x14ac:dyDescent="0.25">
      <c r="A174" s="61" t="s">
        <v>382</v>
      </c>
      <c r="B174" s="61" t="s">
        <v>494</v>
      </c>
      <c r="C174" s="61"/>
      <c r="D174" s="61"/>
      <c r="E174" s="61"/>
      <c r="F174" s="61"/>
      <c r="G174" s="61">
        <v>80</v>
      </c>
      <c r="H174" s="61">
        <f t="shared" si="16"/>
        <v>0</v>
      </c>
      <c r="I174" s="36"/>
      <c r="J174" s="36"/>
      <c r="K174" s="36"/>
      <c r="L174" s="36"/>
      <c r="M174" s="36"/>
      <c r="N174" s="36"/>
      <c r="O174" s="36"/>
      <c r="P174" s="36"/>
      <c r="Q174" s="36"/>
      <c r="R174" s="36"/>
    </row>
    <row r="175" spans="1:18" x14ac:dyDescent="0.25">
      <c r="A175" s="61" t="s">
        <v>383</v>
      </c>
      <c r="B175" s="61" t="s">
        <v>497</v>
      </c>
      <c r="C175" s="61"/>
      <c r="D175" s="61"/>
      <c r="E175" s="61"/>
      <c r="F175" s="61"/>
      <c r="G175" s="61">
        <v>50</v>
      </c>
      <c r="H175" s="61">
        <f t="shared" si="16"/>
        <v>0</v>
      </c>
      <c r="I175" s="36"/>
      <c r="J175" s="36"/>
      <c r="K175" s="36"/>
      <c r="L175" s="36"/>
      <c r="M175" s="36"/>
      <c r="N175" s="36"/>
      <c r="O175" s="36"/>
      <c r="P175" s="36"/>
      <c r="Q175" s="36"/>
      <c r="R175" s="36"/>
    </row>
    <row r="176" spans="1:18" x14ac:dyDescent="0.25">
      <c r="A176" s="61" t="s">
        <v>384</v>
      </c>
      <c r="B176" s="61" t="s">
        <v>497</v>
      </c>
      <c r="C176" s="61"/>
      <c r="D176" s="61"/>
      <c r="E176" s="61"/>
      <c r="F176" s="61"/>
      <c r="G176" s="61">
        <v>140</v>
      </c>
      <c r="H176" s="61">
        <f t="shared" si="16"/>
        <v>0</v>
      </c>
      <c r="I176" s="36"/>
      <c r="J176" s="36"/>
      <c r="K176" s="36"/>
      <c r="L176" s="36"/>
      <c r="M176" s="36"/>
      <c r="N176" s="36"/>
      <c r="O176" s="36"/>
      <c r="P176" s="36"/>
      <c r="Q176" s="36"/>
      <c r="R176" s="36"/>
    </row>
    <row r="177" spans="1:18" x14ac:dyDescent="0.25">
      <c r="A177" s="61" t="s">
        <v>385</v>
      </c>
      <c r="B177" s="61" t="s">
        <v>497</v>
      </c>
      <c r="C177" s="61"/>
      <c r="D177" s="61"/>
      <c r="E177" s="61"/>
      <c r="F177" s="61"/>
      <c r="G177" s="61"/>
      <c r="H177" s="61">
        <f t="shared" si="16"/>
        <v>0</v>
      </c>
      <c r="I177" s="36"/>
      <c r="J177" s="36"/>
      <c r="K177" s="36"/>
      <c r="L177" s="36"/>
      <c r="M177" s="36"/>
      <c r="N177" s="36"/>
      <c r="O177" s="36"/>
      <c r="P177" s="36"/>
      <c r="Q177" s="36"/>
      <c r="R177" s="36"/>
    </row>
    <row r="178" spans="1:18" x14ac:dyDescent="0.25">
      <c r="A178" s="61" t="s">
        <v>386</v>
      </c>
      <c r="B178" s="61" t="s">
        <v>497</v>
      </c>
      <c r="C178" s="61"/>
      <c r="D178" s="61"/>
      <c r="E178" s="61"/>
      <c r="F178" s="61"/>
      <c r="G178" s="61"/>
      <c r="H178" s="61">
        <f t="shared" si="16"/>
        <v>0</v>
      </c>
      <c r="I178" s="36"/>
      <c r="J178" s="36"/>
      <c r="K178" s="36"/>
      <c r="L178" s="36"/>
      <c r="M178" s="36"/>
      <c r="N178" s="36"/>
      <c r="O178" s="36"/>
      <c r="P178" s="36"/>
      <c r="Q178" s="36"/>
      <c r="R178" s="36"/>
    </row>
    <row r="179" spans="1:18" x14ac:dyDescent="0.25">
      <c r="A179" s="61" t="s">
        <v>387</v>
      </c>
      <c r="B179" s="61" t="s">
        <v>497</v>
      </c>
      <c r="C179" s="61"/>
      <c r="D179" s="61"/>
      <c r="E179" s="61"/>
      <c r="F179" s="61"/>
      <c r="G179" s="61">
        <v>488</v>
      </c>
      <c r="H179" s="61">
        <f t="shared" si="16"/>
        <v>0</v>
      </c>
      <c r="I179" s="36"/>
      <c r="J179" s="36"/>
      <c r="K179" s="36"/>
      <c r="L179" s="36"/>
      <c r="M179" s="36"/>
      <c r="N179" s="36"/>
      <c r="O179" s="36"/>
      <c r="P179" s="36"/>
      <c r="Q179" s="36"/>
      <c r="R179" s="36"/>
    </row>
    <row r="180" spans="1:18" x14ac:dyDescent="0.25">
      <c r="A180" s="61" t="s">
        <v>388</v>
      </c>
      <c r="B180" s="61" t="s">
        <v>497</v>
      </c>
      <c r="C180" s="61"/>
      <c r="D180" s="61"/>
      <c r="E180" s="61"/>
      <c r="F180" s="61"/>
      <c r="G180" s="61"/>
      <c r="H180" s="61">
        <f t="shared" si="16"/>
        <v>0</v>
      </c>
      <c r="I180" s="36"/>
      <c r="J180" s="36"/>
      <c r="K180" s="36"/>
      <c r="L180" s="36"/>
      <c r="M180" s="36"/>
      <c r="N180" s="36"/>
      <c r="O180" s="36"/>
      <c r="P180" s="36"/>
      <c r="Q180" s="36"/>
      <c r="R180" s="36"/>
    </row>
    <row r="181" spans="1:18" x14ac:dyDescent="0.25">
      <c r="A181" s="61" t="s">
        <v>389</v>
      </c>
      <c r="B181" s="61" t="s">
        <v>390</v>
      </c>
      <c r="C181" s="61"/>
      <c r="D181" s="61"/>
      <c r="E181" s="61"/>
      <c r="F181" s="61"/>
      <c r="G181" s="61"/>
      <c r="H181" s="61">
        <f t="shared" si="16"/>
        <v>0</v>
      </c>
      <c r="I181" s="36"/>
      <c r="J181" s="36"/>
      <c r="K181" s="36"/>
      <c r="L181" s="36"/>
      <c r="M181" s="36"/>
      <c r="N181" s="36"/>
      <c r="O181" s="36"/>
      <c r="P181" s="36"/>
      <c r="Q181" s="36"/>
      <c r="R181" s="36"/>
    </row>
    <row r="182" spans="1:18" x14ac:dyDescent="0.25">
      <c r="A182" s="61" t="s">
        <v>391</v>
      </c>
      <c r="B182" s="61" t="s">
        <v>392</v>
      </c>
      <c r="C182" s="61"/>
      <c r="D182" s="61"/>
      <c r="E182" s="61"/>
      <c r="F182" s="61"/>
      <c r="G182" s="61">
        <v>300</v>
      </c>
      <c r="H182" s="61">
        <f t="shared" si="16"/>
        <v>0</v>
      </c>
      <c r="I182" s="36"/>
      <c r="J182" s="36"/>
      <c r="K182" s="36"/>
      <c r="L182" s="36"/>
      <c r="M182" s="36"/>
      <c r="N182" s="36"/>
      <c r="O182" s="36"/>
      <c r="P182" s="36"/>
      <c r="Q182" s="36"/>
      <c r="R182" s="36"/>
    </row>
    <row r="183" spans="1:18" x14ac:dyDescent="0.25">
      <c r="A183" s="61" t="s">
        <v>393</v>
      </c>
      <c r="B183" s="61" t="s">
        <v>497</v>
      </c>
      <c r="C183" s="61"/>
      <c r="D183" s="61"/>
      <c r="E183" s="61"/>
      <c r="F183" s="61"/>
      <c r="G183" s="61"/>
      <c r="H183" s="61">
        <f t="shared" si="16"/>
        <v>0</v>
      </c>
      <c r="I183" s="36"/>
      <c r="J183" s="36"/>
      <c r="K183" s="36"/>
      <c r="L183" s="36"/>
      <c r="M183" s="36"/>
      <c r="N183" s="36"/>
      <c r="O183" s="36"/>
      <c r="P183" s="36"/>
      <c r="Q183" s="36"/>
      <c r="R183" s="36"/>
    </row>
    <row r="184" spans="1:18" x14ac:dyDescent="0.25">
      <c r="A184" s="61" t="s">
        <v>394</v>
      </c>
      <c r="B184" s="61" t="s">
        <v>497</v>
      </c>
      <c r="C184" s="61"/>
      <c r="D184" s="61"/>
      <c r="E184" s="61"/>
      <c r="F184" s="61"/>
      <c r="G184" s="61"/>
      <c r="H184" s="61">
        <f t="shared" si="16"/>
        <v>0</v>
      </c>
      <c r="I184" s="36"/>
      <c r="J184" s="36"/>
      <c r="K184" s="36"/>
      <c r="L184" s="36"/>
      <c r="M184" s="36"/>
      <c r="N184" s="36"/>
      <c r="O184" s="36"/>
      <c r="P184" s="36"/>
      <c r="Q184" s="36"/>
      <c r="R184" s="36"/>
    </row>
    <row r="185" spans="1:18" x14ac:dyDescent="0.25">
      <c r="A185" s="61" t="s">
        <v>395</v>
      </c>
      <c r="B185" s="61" t="s">
        <v>497</v>
      </c>
      <c r="C185" s="61"/>
      <c r="D185" s="61"/>
      <c r="E185" s="61"/>
      <c r="F185" s="61"/>
      <c r="G185" s="61"/>
      <c r="H185" s="61">
        <f t="shared" si="16"/>
        <v>0</v>
      </c>
      <c r="I185" s="36"/>
      <c r="J185" s="36"/>
      <c r="K185" s="36"/>
      <c r="L185" s="36"/>
      <c r="M185" s="36"/>
      <c r="N185" s="36"/>
      <c r="O185" s="36"/>
      <c r="P185" s="36"/>
      <c r="Q185" s="36"/>
      <c r="R185" s="36"/>
    </row>
    <row r="186" spans="1:18" x14ac:dyDescent="0.25">
      <c r="A186" s="61" t="s">
        <v>396</v>
      </c>
      <c r="B186" s="61" t="s">
        <v>497</v>
      </c>
      <c r="C186" s="61"/>
      <c r="D186" s="61"/>
      <c r="E186" s="61"/>
      <c r="F186" s="61"/>
      <c r="G186" s="61"/>
      <c r="H186" s="61">
        <f t="shared" si="16"/>
        <v>0</v>
      </c>
      <c r="I186" s="36"/>
      <c r="J186" s="36"/>
      <c r="K186" s="36"/>
      <c r="L186" s="36"/>
      <c r="M186" s="36"/>
      <c r="N186" s="36"/>
      <c r="O186" s="36"/>
      <c r="P186" s="36"/>
      <c r="Q186" s="36"/>
      <c r="R186" s="36"/>
    </row>
    <row r="187" spans="1:18" x14ac:dyDescent="0.25">
      <c r="A187" s="61" t="s">
        <v>397</v>
      </c>
      <c r="B187" s="61" t="s">
        <v>497</v>
      </c>
      <c r="C187" s="61"/>
      <c r="D187" s="61"/>
      <c r="E187" s="61"/>
      <c r="F187" s="61"/>
      <c r="G187" s="61"/>
      <c r="H187" s="61">
        <f t="shared" si="16"/>
        <v>0</v>
      </c>
      <c r="I187" s="36"/>
      <c r="J187" s="36"/>
      <c r="K187" s="36"/>
      <c r="L187" s="36"/>
      <c r="M187" s="36"/>
      <c r="N187" s="36"/>
      <c r="O187" s="36"/>
      <c r="P187" s="36"/>
      <c r="Q187" s="36"/>
      <c r="R187" s="36"/>
    </row>
    <row r="188" spans="1:18" x14ac:dyDescent="0.25">
      <c r="A188" s="61" t="s">
        <v>398</v>
      </c>
      <c r="B188" s="61" t="s">
        <v>503</v>
      </c>
      <c r="C188" s="61"/>
      <c r="D188" s="61"/>
      <c r="E188" s="61"/>
      <c r="F188" s="61"/>
      <c r="G188" s="61">
        <v>350</v>
      </c>
      <c r="H188" s="61">
        <f t="shared" si="16"/>
        <v>0</v>
      </c>
      <c r="I188" s="36"/>
      <c r="J188" s="36"/>
      <c r="K188" s="36"/>
      <c r="L188" s="36"/>
      <c r="M188" s="36"/>
      <c r="N188" s="36"/>
      <c r="O188" s="36"/>
      <c r="P188" s="36"/>
      <c r="Q188" s="36"/>
      <c r="R188" s="36"/>
    </row>
    <row r="189" spans="1:18" x14ac:dyDescent="0.25">
      <c r="A189" s="61" t="s">
        <v>399</v>
      </c>
      <c r="B189" s="61" t="s">
        <v>400</v>
      </c>
      <c r="C189" s="61"/>
      <c r="D189" s="61"/>
      <c r="E189" s="61"/>
      <c r="F189" s="61"/>
      <c r="G189" s="61">
        <v>120</v>
      </c>
      <c r="H189" s="61">
        <f t="shared" si="16"/>
        <v>0</v>
      </c>
      <c r="I189" s="36"/>
      <c r="J189" s="36"/>
      <c r="K189" s="36"/>
      <c r="L189" s="36"/>
      <c r="M189" s="36"/>
      <c r="N189" s="36"/>
      <c r="O189" s="36"/>
      <c r="P189" s="36"/>
      <c r="Q189" s="36"/>
      <c r="R189" s="36"/>
    </row>
    <row r="190" spans="1:18" x14ac:dyDescent="0.25">
      <c r="A190" s="61" t="s">
        <v>401</v>
      </c>
      <c r="B190" s="61" t="s">
        <v>497</v>
      </c>
      <c r="C190" s="61"/>
      <c r="D190" s="61"/>
      <c r="E190" s="61"/>
      <c r="F190" s="61"/>
      <c r="G190" s="61">
        <f>100+35+12</f>
        <v>147</v>
      </c>
      <c r="H190" s="61">
        <f t="shared" si="16"/>
        <v>0</v>
      </c>
      <c r="I190" s="36"/>
      <c r="J190" s="36"/>
      <c r="K190" s="36"/>
      <c r="L190" s="36"/>
      <c r="M190" s="36"/>
      <c r="N190" s="36"/>
      <c r="O190" s="36"/>
      <c r="P190" s="36"/>
      <c r="Q190" s="36"/>
      <c r="R190" s="36"/>
    </row>
    <row r="191" spans="1:18" x14ac:dyDescent="0.25">
      <c r="A191" s="61" t="s">
        <v>402</v>
      </c>
      <c r="B191" s="61" t="s">
        <v>403</v>
      </c>
      <c r="C191" s="61"/>
      <c r="D191" s="61"/>
      <c r="E191" s="61"/>
      <c r="F191" s="61"/>
      <c r="G191" s="61"/>
      <c r="H191" s="61">
        <f t="shared" si="16"/>
        <v>0</v>
      </c>
      <c r="I191" s="36"/>
      <c r="J191" s="36"/>
      <c r="K191" s="36"/>
      <c r="L191" s="36"/>
      <c r="M191" s="36"/>
      <c r="N191" s="36"/>
      <c r="O191" s="36"/>
      <c r="P191" s="36"/>
      <c r="Q191" s="36"/>
      <c r="R191" s="36"/>
    </row>
    <row r="192" spans="1:18" x14ac:dyDescent="0.25">
      <c r="A192" s="61"/>
      <c r="B192" s="61"/>
      <c r="C192" s="61"/>
      <c r="D192" s="61"/>
      <c r="E192" s="61"/>
      <c r="F192" s="61"/>
      <c r="G192" s="61"/>
      <c r="H192" s="61">
        <f t="shared" si="16"/>
        <v>0</v>
      </c>
      <c r="I192" s="36"/>
      <c r="J192" s="36"/>
      <c r="K192" s="36"/>
      <c r="L192" s="36"/>
      <c r="M192" s="36"/>
      <c r="N192" s="36"/>
      <c r="O192" s="36"/>
      <c r="P192" s="36"/>
      <c r="Q192" s="36"/>
      <c r="R192" s="36"/>
    </row>
    <row r="193" spans="1:18" x14ac:dyDescent="0.25">
      <c r="A193" s="61" t="s">
        <v>404</v>
      </c>
      <c r="B193" s="61" t="s">
        <v>405</v>
      </c>
      <c r="C193" s="61">
        <v>0</v>
      </c>
      <c r="D193" s="61">
        <v>0</v>
      </c>
      <c r="E193" s="61">
        <v>1</v>
      </c>
      <c r="F193" s="61">
        <v>0</v>
      </c>
      <c r="G193" s="61">
        <v>200</v>
      </c>
      <c r="H193" s="61">
        <f t="shared" si="16"/>
        <v>144</v>
      </c>
      <c r="I193" s="36"/>
      <c r="J193" s="36"/>
      <c r="K193" s="36"/>
      <c r="L193" s="36"/>
      <c r="M193" s="36"/>
      <c r="N193" s="36"/>
      <c r="O193" s="36"/>
      <c r="P193" s="36"/>
      <c r="Q193" s="36"/>
      <c r="R193" s="36"/>
    </row>
    <row r="194" spans="1:18" x14ac:dyDescent="0.25">
      <c r="A194" s="61" t="s">
        <v>406</v>
      </c>
      <c r="B194" s="61" t="s">
        <v>494</v>
      </c>
      <c r="C194" s="61">
        <v>0</v>
      </c>
      <c r="D194" s="61">
        <v>0</v>
      </c>
      <c r="E194" s="61">
        <v>0</v>
      </c>
      <c r="F194" s="61">
        <v>0</v>
      </c>
      <c r="G194" s="61">
        <v>175</v>
      </c>
      <c r="H194" s="61">
        <f t="shared" si="16"/>
        <v>0</v>
      </c>
      <c r="I194" s="36"/>
      <c r="J194" s="36"/>
      <c r="K194" s="36"/>
      <c r="L194" s="36"/>
      <c r="M194" s="36"/>
      <c r="N194" s="36"/>
      <c r="O194" s="36"/>
      <c r="P194" s="36"/>
      <c r="Q194" s="36"/>
      <c r="R194" s="36"/>
    </row>
    <row r="195" spans="1:18" x14ac:dyDescent="0.25">
      <c r="A195" s="61" t="s">
        <v>407</v>
      </c>
      <c r="B195" s="61" t="s">
        <v>392</v>
      </c>
      <c r="C195" s="61">
        <v>0</v>
      </c>
      <c r="D195" s="61">
        <v>0</v>
      </c>
      <c r="E195" s="61">
        <v>1</v>
      </c>
      <c r="F195" s="61">
        <v>0</v>
      </c>
      <c r="G195" s="61">
        <v>0</v>
      </c>
      <c r="H195" s="61">
        <f t="shared" si="16"/>
        <v>144</v>
      </c>
      <c r="I195" s="36"/>
      <c r="J195" s="36"/>
      <c r="K195" s="36"/>
      <c r="L195" s="36"/>
      <c r="M195" s="36"/>
      <c r="N195" s="36"/>
      <c r="O195" s="36"/>
      <c r="P195" s="36"/>
      <c r="Q195" s="36"/>
      <c r="R195" s="36"/>
    </row>
    <row r="196" spans="1:18" x14ac:dyDescent="0.25">
      <c r="A196" s="61" t="s">
        <v>408</v>
      </c>
      <c r="B196" s="61" t="s">
        <v>494</v>
      </c>
      <c r="C196" s="61">
        <v>0</v>
      </c>
      <c r="D196" s="61">
        <v>0</v>
      </c>
      <c r="E196" s="61">
        <v>1</v>
      </c>
      <c r="F196" s="61">
        <v>0</v>
      </c>
      <c r="G196" s="61">
        <v>0</v>
      </c>
      <c r="H196" s="61">
        <f>12*((D195*20)+(E195*12)+(F195*4))</f>
        <v>144</v>
      </c>
      <c r="I196" s="36"/>
      <c r="J196" s="36"/>
      <c r="K196" s="36"/>
      <c r="L196" s="36"/>
      <c r="M196" s="36"/>
      <c r="N196" s="36"/>
      <c r="O196" s="36"/>
      <c r="P196" s="36"/>
      <c r="Q196" s="36"/>
      <c r="R196" s="36"/>
    </row>
    <row r="197" spans="1:18" x14ac:dyDescent="0.25">
      <c r="A197" s="61"/>
      <c r="B197" s="61"/>
      <c r="C197" s="61"/>
      <c r="D197" s="61"/>
      <c r="E197" s="61"/>
      <c r="F197" s="61"/>
      <c r="G197" s="39" t="s">
        <v>409</v>
      </c>
      <c r="H197" s="39">
        <f>SUM(H153:H196)</f>
        <v>23616</v>
      </c>
      <c r="I197" s="36"/>
      <c r="J197" s="36"/>
      <c r="K197" s="36"/>
      <c r="L197" s="36"/>
      <c r="M197" s="36"/>
      <c r="N197" s="36"/>
      <c r="O197" s="36"/>
      <c r="P197" s="36"/>
      <c r="Q197" s="36"/>
      <c r="R197" s="36"/>
    </row>
    <row r="198" spans="1:18" x14ac:dyDescent="0.25">
      <c r="A198" s="61" t="s">
        <v>434</v>
      </c>
      <c r="B198" s="61" t="s">
        <v>438</v>
      </c>
      <c r="C198" s="36"/>
      <c r="D198" s="36"/>
      <c r="E198" s="36"/>
      <c r="F198" s="36"/>
      <c r="G198" s="36"/>
      <c r="H198" s="36"/>
      <c r="I198" s="43"/>
      <c r="J198" s="36"/>
      <c r="K198" s="36"/>
      <c r="L198" s="36"/>
      <c r="M198" s="36"/>
      <c r="N198" s="36"/>
      <c r="O198" s="36"/>
      <c r="P198" s="36"/>
      <c r="Q198" s="36"/>
      <c r="R198" s="36"/>
    </row>
    <row r="199" spans="1:18" x14ac:dyDescent="0.25">
      <c r="A199" s="61" t="s">
        <v>435</v>
      </c>
      <c r="B199" s="61">
        <v>1000.4129999999997</v>
      </c>
      <c r="C199" s="36"/>
      <c r="D199" s="36"/>
      <c r="E199" s="36"/>
      <c r="F199" s="36"/>
      <c r="G199" s="36"/>
      <c r="H199" s="36"/>
      <c r="I199" s="36"/>
      <c r="J199" s="36"/>
      <c r="K199" s="36"/>
      <c r="L199" s="36"/>
      <c r="M199" s="36"/>
      <c r="N199" s="36"/>
      <c r="O199" s="36"/>
      <c r="P199" s="36"/>
      <c r="Q199" s="36"/>
      <c r="R199" s="36"/>
    </row>
    <row r="200" spans="1:18" x14ac:dyDescent="0.25">
      <c r="A200" s="61" t="s">
        <v>436</v>
      </c>
      <c r="B200" s="61">
        <v>148.03020000000001</v>
      </c>
      <c r="C200" s="36"/>
      <c r="D200" s="36"/>
      <c r="E200" s="36"/>
      <c r="F200" s="36"/>
      <c r="G200" s="36"/>
      <c r="H200" s="36"/>
      <c r="I200" s="36"/>
      <c r="J200" s="36"/>
      <c r="K200" s="36"/>
      <c r="L200" s="36"/>
      <c r="M200" s="36"/>
      <c r="N200" s="36"/>
      <c r="O200" s="36"/>
      <c r="P200" s="36"/>
      <c r="Q200" s="36"/>
      <c r="R200" s="36"/>
    </row>
    <row r="201" spans="1:18" x14ac:dyDescent="0.25">
      <c r="A201" s="61" t="s">
        <v>437</v>
      </c>
      <c r="B201" s="61">
        <v>1082.9841750000001</v>
      </c>
      <c r="C201" s="36"/>
      <c r="D201" s="36"/>
      <c r="E201" s="36"/>
      <c r="F201" s="36"/>
      <c r="G201" s="36"/>
      <c r="H201" s="36"/>
      <c r="I201" s="36"/>
      <c r="J201" s="36"/>
      <c r="K201" s="36"/>
      <c r="L201" s="36"/>
      <c r="M201" s="36"/>
      <c r="N201" s="36"/>
      <c r="O201" s="36"/>
      <c r="P201" s="36"/>
      <c r="Q201" s="36"/>
      <c r="R201" s="36"/>
    </row>
    <row r="202" spans="1:18" x14ac:dyDescent="0.25">
      <c r="A202" s="36" t="s">
        <v>409</v>
      </c>
      <c r="B202" s="72">
        <f>SUM(B199:B201)</f>
        <v>2231.4273749999998</v>
      </c>
      <c r="C202" s="36"/>
      <c r="D202" s="36"/>
      <c r="E202" s="36"/>
      <c r="F202" s="36"/>
      <c r="G202" s="36"/>
      <c r="H202" s="36"/>
      <c r="I202" s="36"/>
      <c r="J202" s="36"/>
      <c r="K202" s="36"/>
      <c r="L202" s="36"/>
      <c r="M202" s="36"/>
      <c r="N202" s="36"/>
      <c r="O202" s="36"/>
      <c r="P202" s="36"/>
      <c r="Q202" s="36"/>
      <c r="R202" s="36"/>
    </row>
    <row r="203" spans="1:18" x14ac:dyDescent="0.25">
      <c r="A203" s="457"/>
      <c r="B203" s="457"/>
      <c r="C203" s="457"/>
      <c r="D203" s="457"/>
      <c r="E203" s="457"/>
      <c r="F203" s="457"/>
      <c r="G203" s="457"/>
      <c r="H203" s="457"/>
      <c r="I203" s="36"/>
      <c r="J203" s="36"/>
      <c r="K203" s="36"/>
      <c r="L203" s="36"/>
      <c r="M203" s="36"/>
      <c r="N203" s="36"/>
      <c r="O203" s="36"/>
      <c r="P203" s="36"/>
      <c r="Q203" s="36"/>
      <c r="R203" s="36"/>
    </row>
  </sheetData>
  <mergeCells count="15">
    <mergeCell ref="A3:A4"/>
    <mergeCell ref="B3:B4"/>
    <mergeCell ref="C3:C4"/>
    <mergeCell ref="A51:A67"/>
    <mergeCell ref="A5:A11"/>
    <mergeCell ref="A13:A29"/>
    <mergeCell ref="A31:A43"/>
    <mergeCell ref="A45:A49"/>
    <mergeCell ref="I1:L1"/>
    <mergeCell ref="M1:P1"/>
    <mergeCell ref="Q3:Q4"/>
    <mergeCell ref="D3:D4"/>
    <mergeCell ref="I3:L3"/>
    <mergeCell ref="M3:P3"/>
    <mergeCell ref="E3:H3"/>
  </mergeCells>
  <phoneticPr fontId="0" type="noConversion"/>
  <pageMargins left="0.75" right="0.75" top="1" bottom="1" header="0.5" footer="0.5"/>
  <pageSetup paperSize="5" scale="50" orientation="landscape" r:id="rId1"/>
  <headerFooter alignWithMargins="0">
    <oddFooter>&amp;L&amp;"Arial,Italic" 7/02/07&amp;C&amp;"Arial,Italic"&amp;A&amp;R&amp;"Arial,Italic"NJAES Report 2007-1 ©2007
New Jersey Agricultural Experiment Station</oddFooter>
  </headerFooter>
  <ignoredErrors>
    <ignoredError sqref="L11" formulaRange="1"/>
    <ignoredError sqref="D67" formula="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S199"/>
  <sheetViews>
    <sheetView topLeftCell="A107" zoomScale="70" zoomScaleNormal="70" workbookViewId="0">
      <selection activeCell="C147" sqref="C147"/>
    </sheetView>
  </sheetViews>
  <sheetFormatPr defaultColWidth="9.109375" defaultRowHeight="13.2" x14ac:dyDescent="0.25"/>
  <cols>
    <col min="1" max="1" width="28.6640625" style="5" customWidth="1"/>
    <col min="2" max="2" width="42.6640625" style="5" customWidth="1"/>
    <col min="3" max="3" width="23.6640625" style="5" customWidth="1"/>
    <col min="4" max="4" width="18.6640625" style="5" customWidth="1"/>
    <col min="5" max="16" width="14.6640625" style="5" customWidth="1"/>
    <col min="17" max="17" width="45.6640625" style="5" customWidth="1"/>
    <col min="18" max="18" width="34.44140625" style="5" customWidth="1"/>
    <col min="19" max="19" width="19.33203125" style="5" customWidth="1"/>
    <col min="20" max="20" width="14" style="5" customWidth="1"/>
    <col min="21" max="16384" width="9.109375" style="5"/>
  </cols>
  <sheetData>
    <row r="1" spans="1:17" ht="15.6" x14ac:dyDescent="0.3">
      <c r="A1" s="407" t="s">
        <v>1049</v>
      </c>
      <c r="E1" s="412" t="s">
        <v>433</v>
      </c>
      <c r="I1" s="1192" t="str">
        <f>'Bioenergy Calculator'!B3</f>
        <v>None</v>
      </c>
      <c r="J1" s="1193"/>
      <c r="K1" s="1193"/>
      <c r="L1" s="1194"/>
      <c r="M1" s="1195" t="str">
        <f>'Bioenergy Calculator'!B4</f>
        <v>None</v>
      </c>
      <c r="N1" s="1195"/>
      <c r="O1" s="1195"/>
      <c r="P1" s="1196"/>
    </row>
    <row r="3" spans="1:17" s="6" customFormat="1" ht="24.75" customHeight="1" x14ac:dyDescent="0.25">
      <c r="A3" s="1062" t="s">
        <v>567</v>
      </c>
      <c r="B3" s="1062" t="s">
        <v>506</v>
      </c>
      <c r="C3" s="1062" t="s">
        <v>1035</v>
      </c>
      <c r="D3" s="1062" t="s">
        <v>1051</v>
      </c>
      <c r="E3" s="1083" t="s">
        <v>523</v>
      </c>
      <c r="F3" s="1209"/>
      <c r="G3" s="1209"/>
      <c r="H3" s="1198"/>
      <c r="I3" s="1072" t="s">
        <v>275</v>
      </c>
      <c r="J3" s="1073"/>
      <c r="K3" s="1074"/>
      <c r="L3" s="1075"/>
      <c r="M3" s="1083" t="s">
        <v>274</v>
      </c>
      <c r="N3" s="1084"/>
      <c r="O3" s="1197"/>
      <c r="P3" s="1198"/>
      <c r="Q3" s="1060" t="s">
        <v>570</v>
      </c>
    </row>
    <row r="4" spans="1:17" s="6" customFormat="1" x14ac:dyDescent="0.25">
      <c r="A4" s="1063"/>
      <c r="B4" s="1063"/>
      <c r="C4" s="1063"/>
      <c r="D4" s="1071"/>
      <c r="E4" s="22">
        <v>2010</v>
      </c>
      <c r="F4" s="22">
        <v>2015</v>
      </c>
      <c r="G4" s="22">
        <v>2020</v>
      </c>
      <c r="H4" s="22">
        <v>2025</v>
      </c>
      <c r="I4" s="22">
        <v>2010</v>
      </c>
      <c r="J4" s="22">
        <v>2015</v>
      </c>
      <c r="K4" s="22">
        <v>2020</v>
      </c>
      <c r="L4" s="22">
        <v>2025</v>
      </c>
      <c r="M4" s="22">
        <v>2010</v>
      </c>
      <c r="N4" s="22">
        <v>2015</v>
      </c>
      <c r="O4" s="22">
        <v>2020</v>
      </c>
      <c r="P4" s="22">
        <v>2025</v>
      </c>
      <c r="Q4" s="1061"/>
    </row>
    <row r="5" spans="1:17" x14ac:dyDescent="0.25">
      <c r="A5" s="1064" t="s">
        <v>513</v>
      </c>
      <c r="B5" s="1" t="s">
        <v>511</v>
      </c>
      <c r="C5" s="13"/>
      <c r="D5" s="13"/>
      <c r="E5" s="13"/>
      <c r="F5" s="13"/>
      <c r="G5" s="13"/>
      <c r="H5" s="13"/>
      <c r="I5" s="7"/>
      <c r="J5" s="7"/>
      <c r="K5" s="7"/>
      <c r="L5" s="7"/>
      <c r="M5" s="7"/>
      <c r="N5" s="7"/>
      <c r="O5" s="7"/>
      <c r="P5" s="7"/>
      <c r="Q5" s="7"/>
    </row>
    <row r="6" spans="1:17" x14ac:dyDescent="0.25">
      <c r="A6" s="1064"/>
      <c r="B6" s="11" t="str">
        <f>IF('Prac. Rec. Assumptions'!$B$56='Prac. Rec. Assumptions'!$V$3,A74,IF('Prac. Rec. Assumptions'!B57="No",A74,"Sorghum- Converted to Energy Crop"))</f>
        <v>Sorghum</v>
      </c>
      <c r="C6" s="294">
        <f>IF('Prac. Rec. Assumptions'!$B$56='Prac. Rec. Assumptions'!$V$3,D74,IF('Prac. Rec. Assumptions'!B57="No",D74,0))</f>
        <v>0</v>
      </c>
      <c r="D6" s="294" t="s">
        <v>431</v>
      </c>
      <c r="E6" s="294">
        <f>C6*'Prac. Rec. Assumptions'!B4</f>
        <v>0</v>
      </c>
      <c r="F6" s="294">
        <f>$E6</f>
        <v>0</v>
      </c>
      <c r="G6" s="294">
        <f>$E6</f>
        <v>0</v>
      </c>
      <c r="H6" s="294">
        <f>$E6</f>
        <v>0</v>
      </c>
      <c r="I6" s="16" t="str">
        <f>IF('Conversion Tables'!F7="NA","NA",$D6/'Conversion Tables'!F7)</f>
        <v>NA</v>
      </c>
      <c r="J6" s="16" t="str">
        <f>IF('Conversion Tables'!G7="NA","NA",$D6/'Conversion Tables'!G7)</f>
        <v>NA</v>
      </c>
      <c r="K6" s="16" t="str">
        <f>IF('Conversion Tables'!H7="NA","NA",$D6/'Conversion Tables'!H7)</f>
        <v>NA</v>
      </c>
      <c r="L6" s="16" t="str">
        <f>IF('Conversion Tables'!H7="NA","NA",$D6/'Conversion Tables'!H7)</f>
        <v>NA</v>
      </c>
      <c r="M6" s="16" t="str">
        <f>IF('Conversion Tables'!K7="NA","NA",$C74*'Conversion Tables'!K7)</f>
        <v>NA</v>
      </c>
      <c r="N6" s="16" t="str">
        <f>IF('Conversion Tables'!L7="NA","NA",$C74*'Conversion Tables'!L7)</f>
        <v>NA</v>
      </c>
      <c r="O6" s="16" t="str">
        <f>IF('Conversion Tables'!M7="NA","NA",$C74*'Conversion Tables'!M7)</f>
        <v>NA</v>
      </c>
      <c r="P6" s="16" t="str">
        <f>IF('Conversion Tables'!N7="NA","NA",$C74*'Conversion Tables'!N7)</f>
        <v>NA</v>
      </c>
      <c r="Q6" s="15"/>
    </row>
    <row r="7" spans="1:17" x14ac:dyDescent="0.25">
      <c r="A7" s="1064"/>
      <c r="B7" s="11" t="str">
        <f>IF('Prac. Rec. Assumptions'!$B$56='Prac. Rec. Assumptions'!$V$3,A75,IF('Prac. Rec. Assumptions'!B59="No",A75,"Rye- Converted to Energy Crop"))</f>
        <v>Rye</v>
      </c>
      <c r="C7" s="294">
        <f>IF('Prac. Rec. Assumptions'!$B$56='Prac. Rec. Assumptions'!$V$3,D75,IF('Prac. Rec. Assumptions'!B59="No",D75,0))</f>
        <v>0.76439999999999997</v>
      </c>
      <c r="D7" s="294" t="s">
        <v>431</v>
      </c>
      <c r="E7" s="294">
        <f>C7*'Prac. Rec. Assumptions'!B5</f>
        <v>0</v>
      </c>
      <c r="F7" s="294">
        <f t="shared" ref="F7:H10" si="0">$E7</f>
        <v>0</v>
      </c>
      <c r="G7" s="294">
        <f t="shared" si="0"/>
        <v>0</v>
      </c>
      <c r="H7" s="294">
        <f t="shared" si="0"/>
        <v>0</v>
      </c>
      <c r="I7" s="16" t="str">
        <f>IF('Conversion Tables'!F8="NA","NA",$D7/'Conversion Tables'!F8)</f>
        <v>NA</v>
      </c>
      <c r="J7" s="16" t="str">
        <f>IF('Conversion Tables'!G8="NA","NA",$D7/'Conversion Tables'!G8)</f>
        <v>NA</v>
      </c>
      <c r="K7" s="16" t="str">
        <f>IF('Conversion Tables'!H8="NA","NA",$D7/'Conversion Tables'!H8)</f>
        <v>NA</v>
      </c>
      <c r="L7" s="16" t="str">
        <f>IF('Conversion Tables'!I8="NA","NA",$D7/'Conversion Tables'!I8)</f>
        <v>NA</v>
      </c>
      <c r="M7" s="16" t="str">
        <f>IF('Conversion Tables'!K8="NA","NA",$C75*'Conversion Tables'!K8)</f>
        <v>NA</v>
      </c>
      <c r="N7" s="16" t="str">
        <f>IF('Conversion Tables'!L8="NA","NA",$C75*'Conversion Tables'!L8)</f>
        <v>NA</v>
      </c>
      <c r="O7" s="16" t="str">
        <f>IF('Conversion Tables'!M8="NA","NA",$C75*'Conversion Tables'!M8)</f>
        <v>NA</v>
      </c>
      <c r="P7" s="16" t="str">
        <f>IF('Conversion Tables'!N8="NA","NA",$C75*'Conversion Tables'!N8)</f>
        <v>NA</v>
      </c>
      <c r="Q7" s="15"/>
    </row>
    <row r="8" spans="1:17" x14ac:dyDescent="0.25">
      <c r="A8" s="1064"/>
      <c r="B8" s="11" t="str">
        <f>IF('Prac. Rec. Assumptions'!$B$56='Prac. Rec. Assumptions'!$V$3,A76,IF('Prac. Rec. Assumptions'!B60="No",A76,"Corn for Grain- Converted to Energy Crop"))</f>
        <v>Corn for Grain</v>
      </c>
      <c r="C8" s="294">
        <f>IF('Prac. Rec. Assumptions'!$B$56='Prac. Rec. Assumptions'!$V$3,D76,IF('Prac. Rec. Assumptions'!B60="No",D76,0))</f>
        <v>3.5</v>
      </c>
      <c r="D8" s="294" t="s">
        <v>431</v>
      </c>
      <c r="E8" s="294">
        <f>C8*'Prac. Rec. Assumptions'!B6</f>
        <v>0</v>
      </c>
      <c r="F8" s="294">
        <f t="shared" si="0"/>
        <v>0</v>
      </c>
      <c r="G8" s="294">
        <f t="shared" si="0"/>
        <v>0</v>
      </c>
      <c r="H8" s="294">
        <f t="shared" si="0"/>
        <v>0</v>
      </c>
      <c r="I8" s="16" t="str">
        <f>IF('Conversion Tables'!F9="NA","NA",$D8/'Conversion Tables'!F9)</f>
        <v>NA</v>
      </c>
      <c r="J8" s="16" t="str">
        <f>IF('Conversion Tables'!G9="NA","NA",$D8/'Conversion Tables'!G9)</f>
        <v>NA</v>
      </c>
      <c r="K8" s="16" t="str">
        <f>IF('Conversion Tables'!H9="NA","NA",$D8/'Conversion Tables'!H9)</f>
        <v>NA</v>
      </c>
      <c r="L8" s="16" t="str">
        <f>IF('Conversion Tables'!I9="NA","NA",$D8/'Conversion Tables'!I9)</f>
        <v>NA</v>
      </c>
      <c r="M8" s="16" t="str">
        <f>IF('Conversion Tables'!K9="NA","NA",$C76*'Conversion Tables'!K9)</f>
        <v>NA</v>
      </c>
      <c r="N8" s="16" t="str">
        <f>IF('Conversion Tables'!L9="NA","NA",$C76*'Conversion Tables'!L9)</f>
        <v>NA</v>
      </c>
      <c r="O8" s="16" t="str">
        <f>IF('Conversion Tables'!M9="NA","NA",$C76*'Conversion Tables'!M9)</f>
        <v>NA</v>
      </c>
      <c r="P8" s="16" t="str">
        <f>IF('Conversion Tables'!N9="NA","NA",$C76*'Conversion Tables'!N9)</f>
        <v>NA</v>
      </c>
      <c r="Q8" s="15"/>
    </row>
    <row r="9" spans="1:17" x14ac:dyDescent="0.25">
      <c r="A9" s="1064"/>
      <c r="B9" s="11" t="str">
        <f>IF('Prac. Rec. Assumptions'!$B$56='Prac. Rec. Assumptions'!$V$3,A78,IF('Prac. Rec. Assumptions'!B64="No",A78,"Wheat- Converted to Energy Crop"))</f>
        <v>Wheat</v>
      </c>
      <c r="C9" s="294">
        <f>IF('Prac. Rec. Assumptions'!$B$56='Prac. Rec. Assumptions'!$V$3,D78,IF('Prac. Rec. Assumptions'!B64="No",D78,0))</f>
        <v>0</v>
      </c>
      <c r="D9" s="294" t="s">
        <v>431</v>
      </c>
      <c r="E9" s="294">
        <f>C9*'Prac. Rec. Assumptions'!B7</f>
        <v>0</v>
      </c>
      <c r="F9" s="294">
        <f t="shared" si="0"/>
        <v>0</v>
      </c>
      <c r="G9" s="294">
        <f t="shared" si="0"/>
        <v>0</v>
      </c>
      <c r="H9" s="294">
        <f t="shared" si="0"/>
        <v>0</v>
      </c>
      <c r="I9" s="16" t="str">
        <f>IF('Conversion Tables'!F10="NA","NA",$D9/'Conversion Tables'!F10)</f>
        <v>NA</v>
      </c>
      <c r="J9" s="16" t="str">
        <f>IF('Conversion Tables'!G10="NA","NA",$D9/'Conversion Tables'!G10)</f>
        <v>NA</v>
      </c>
      <c r="K9" s="16" t="str">
        <f>IF('Conversion Tables'!H10="NA","NA",$D9/'Conversion Tables'!H10)</f>
        <v>NA</v>
      </c>
      <c r="L9" s="16" t="str">
        <f>IF('Conversion Tables'!I10="NA","NA",$D9/'Conversion Tables'!I10)</f>
        <v>NA</v>
      </c>
      <c r="M9" s="16" t="str">
        <f>IF('Conversion Tables'!K10="NA","NA",$C78*'Conversion Tables'!K10)</f>
        <v>NA</v>
      </c>
      <c r="N9" s="16" t="str">
        <f>IF('Conversion Tables'!L10="NA","NA",$C78*'Conversion Tables'!L10)</f>
        <v>NA</v>
      </c>
      <c r="O9" s="16" t="str">
        <f>IF('Conversion Tables'!M10="NA","NA",$C78*'Conversion Tables'!M10)</f>
        <v>NA</v>
      </c>
      <c r="P9" s="16" t="str">
        <f>IF('Conversion Tables'!N10="NA","NA",$C78*'Conversion Tables'!N10)</f>
        <v>NA</v>
      </c>
      <c r="Q9" s="15"/>
    </row>
    <row r="10" spans="1:17" x14ac:dyDescent="0.25">
      <c r="A10" s="1064"/>
      <c r="B10" s="129" t="s">
        <v>301</v>
      </c>
      <c r="C10" s="294"/>
      <c r="D10" s="294" t="s">
        <v>431</v>
      </c>
      <c r="E10" s="294">
        <f>C10*'Prac. Rec. Assumptions'!B8</f>
        <v>0</v>
      </c>
      <c r="F10" s="294">
        <f t="shared" si="0"/>
        <v>0</v>
      </c>
      <c r="G10" s="294">
        <f t="shared" si="0"/>
        <v>0</v>
      </c>
      <c r="H10" s="294">
        <f t="shared" si="0"/>
        <v>0</v>
      </c>
      <c r="I10" s="16" t="str">
        <f>IF('Conversion Tables'!F11="NA","NA",$D10/'Conversion Tables'!F11)</f>
        <v>NA</v>
      </c>
      <c r="J10" s="16" t="str">
        <f>IF('Conversion Tables'!G11="NA","NA",$D10/'Conversion Tables'!G11)</f>
        <v>NA</v>
      </c>
      <c r="K10" s="16" t="str">
        <f>IF('Conversion Tables'!H11="NA","NA",$D10/'Conversion Tables'!H11)</f>
        <v>NA</v>
      </c>
      <c r="L10" s="16" t="str">
        <f>IF('Conversion Tables'!I11="NA","NA",$D10/'Conversion Tables'!I11)</f>
        <v>NA</v>
      </c>
      <c r="M10" s="16" t="str">
        <f>IF('Conversion Tables'!K11="NA","NA",E10*'Conversion Tables'!K11)</f>
        <v>NA</v>
      </c>
      <c r="N10" s="16" t="str">
        <f>IF('Conversion Tables'!L11="NA","NA",F10*'Conversion Tables'!L11)</f>
        <v>NA</v>
      </c>
      <c r="O10" s="16" t="str">
        <f>IF('Conversion Tables'!M11="NA","NA",G10*'Conversion Tables'!M11)</f>
        <v>NA</v>
      </c>
      <c r="P10" s="16" t="str">
        <f>IF('Conversion Tables'!N11="NA","NA",H10*'Conversion Tables'!N11)</f>
        <v>NA</v>
      </c>
      <c r="Q10" s="7"/>
    </row>
    <row r="11" spans="1:17" x14ac:dyDescent="0.25">
      <c r="A11" s="1065"/>
      <c r="B11" s="9" t="s">
        <v>524</v>
      </c>
      <c r="C11" s="295">
        <f t="shared" ref="C11:P11" si="1">SUM(C5:C10)</f>
        <v>4.2644000000000002</v>
      </c>
      <c r="D11" s="295">
        <f t="shared" si="1"/>
        <v>0</v>
      </c>
      <c r="E11" s="295">
        <f t="shared" si="1"/>
        <v>0</v>
      </c>
      <c r="F11" s="295">
        <f t="shared" si="1"/>
        <v>0</v>
      </c>
      <c r="G11" s="295">
        <f t="shared" si="1"/>
        <v>0</v>
      </c>
      <c r="H11" s="295">
        <f t="shared" si="1"/>
        <v>0</v>
      </c>
      <c r="I11" s="19">
        <f t="shared" si="1"/>
        <v>0</v>
      </c>
      <c r="J11" s="19">
        <f t="shared" si="1"/>
        <v>0</v>
      </c>
      <c r="K11" s="19">
        <f t="shared" si="1"/>
        <v>0</v>
      </c>
      <c r="L11" s="19">
        <f t="shared" si="1"/>
        <v>0</v>
      </c>
      <c r="M11" s="19">
        <f t="shared" si="1"/>
        <v>0</v>
      </c>
      <c r="N11" s="19">
        <f t="shared" si="1"/>
        <v>0</v>
      </c>
      <c r="O11" s="19">
        <f t="shared" si="1"/>
        <v>0</v>
      </c>
      <c r="P11" s="19">
        <f t="shared" si="1"/>
        <v>0</v>
      </c>
      <c r="Q11" s="19"/>
    </row>
    <row r="12" spans="1:17" x14ac:dyDescent="0.25">
      <c r="A12" s="8"/>
      <c r="C12" s="296"/>
      <c r="D12" s="296"/>
      <c r="E12" s="296"/>
      <c r="F12" s="296"/>
      <c r="G12" s="296"/>
      <c r="H12" s="296"/>
      <c r="I12" s="28"/>
      <c r="J12" s="28"/>
      <c r="K12" s="28"/>
      <c r="L12" s="28"/>
      <c r="M12" s="28"/>
      <c r="N12" s="28"/>
      <c r="O12" s="28"/>
      <c r="P12" s="28"/>
    </row>
    <row r="13" spans="1:17" x14ac:dyDescent="0.25">
      <c r="A13" s="1206" t="s">
        <v>514</v>
      </c>
      <c r="B13" s="1" t="s">
        <v>507</v>
      </c>
      <c r="C13" s="294">
        <f>D90</f>
        <v>0</v>
      </c>
      <c r="D13" s="294">
        <f>E13*'Conversion Tables'!C12</f>
        <v>0</v>
      </c>
      <c r="E13" s="294">
        <f>C13*'Prac. Rec. Assumptions'!B9</f>
        <v>0</v>
      </c>
      <c r="F13" s="294">
        <f>$E13</f>
        <v>0</v>
      </c>
      <c r="G13" s="294">
        <f>$E13</f>
        <v>0</v>
      </c>
      <c r="H13" s="294">
        <f>$E13</f>
        <v>0</v>
      </c>
      <c r="I13" s="16" t="str">
        <f>IF('Conversion Tables'!F12="NA","NA",(E13*'Conversion Tables'!$C12)/'Conversion Tables'!F12)</f>
        <v>NA</v>
      </c>
      <c r="J13" s="16" t="str">
        <f>IF('Conversion Tables'!G12="NA","NA",(F13*'Conversion Tables'!$C12)/'Conversion Tables'!G12)</f>
        <v>NA</v>
      </c>
      <c r="K13" s="16" t="str">
        <f>IF('Conversion Tables'!H12="NA","NA",(G13*'Conversion Tables'!$C12)/'Conversion Tables'!H12)</f>
        <v>NA</v>
      </c>
      <c r="L13" s="16" t="str">
        <f>IF('Conversion Tables'!I12="NA","NA",(H13*'Conversion Tables'!$C12)/'Conversion Tables'!I12)</f>
        <v>NA</v>
      </c>
      <c r="M13" s="16" t="str">
        <f>IF('Conversion Tables'!K12="NA","NA",E13*'Conversion Tables'!K12)</f>
        <v>NA</v>
      </c>
      <c r="N13" s="16" t="str">
        <f>IF('Conversion Tables'!L12="NA","NA",F13*'Conversion Tables'!L12)</f>
        <v>NA</v>
      </c>
      <c r="O13" s="16" t="str">
        <f>IF('Conversion Tables'!M12="NA","NA",G13*'Conversion Tables'!M12)</f>
        <v>NA</v>
      </c>
      <c r="P13" s="16" t="str">
        <f>IF('Conversion Tables'!N12="NA","NA",H13*'Conversion Tables'!N12)</f>
        <v>NA</v>
      </c>
      <c r="Q13" s="7"/>
    </row>
    <row r="14" spans="1:17" x14ac:dyDescent="0.25">
      <c r="A14" s="1207"/>
      <c r="B14" s="1" t="s">
        <v>504</v>
      </c>
      <c r="C14" s="294"/>
      <c r="D14" s="294"/>
      <c r="E14" s="294"/>
      <c r="F14" s="294"/>
      <c r="G14" s="294"/>
      <c r="H14" s="294"/>
      <c r="I14" s="16"/>
      <c r="J14" s="16"/>
      <c r="K14" s="16"/>
      <c r="L14" s="16"/>
      <c r="M14" s="16"/>
      <c r="N14" s="16"/>
      <c r="O14" s="16"/>
      <c r="P14" s="16"/>
      <c r="Q14" s="7"/>
    </row>
    <row r="15" spans="1:17" x14ac:dyDescent="0.25">
      <c r="A15" s="1207"/>
      <c r="B15" s="11" t="str">
        <f>IF('Prac. Rec. Assumptions'!$B$56='Prac. Rec. Assumptions'!$V$3,A81,IF('Prac. Rec. Assumptions'!B57="No",A81,"Sweet Corn- Converted to Energy Crop"))</f>
        <v>Sweet Corn</v>
      </c>
      <c r="C15" s="294">
        <f>IF('Prac. Rec. Assumptions'!$B$56='Prac. Rec. Assumptions'!$V$3,D81,IF('Prac. Rec. Assumptions'!B58="No",D81,0))</f>
        <v>11.9</v>
      </c>
      <c r="D15" s="294">
        <f>E15*'Conversion Tables'!C14</f>
        <v>149.76864</v>
      </c>
      <c r="E15" s="294">
        <f>C15*'Prac. Rec. Assumptions'!B11</f>
        <v>9.5200000000000014</v>
      </c>
      <c r="F15" s="294">
        <f>$E15</f>
        <v>9.5200000000000014</v>
      </c>
      <c r="G15" s="294">
        <f>$E15</f>
        <v>9.5200000000000014</v>
      </c>
      <c r="H15" s="294">
        <f>$E15</f>
        <v>9.5200000000000014</v>
      </c>
      <c r="I15" s="16" t="str">
        <f>IF('Conversion Tables'!F14="NA","NA",(E15*'Conversion Tables'!$C14)/'Conversion Tables'!F14)</f>
        <v>NA</v>
      </c>
      <c r="J15" s="16" t="str">
        <f>IF('Conversion Tables'!G14="NA","NA",(F15*'Conversion Tables'!$C14)/'Conversion Tables'!G14)</f>
        <v>NA</v>
      </c>
      <c r="K15" s="16" t="str">
        <f>IF('Conversion Tables'!H14="NA","NA",(G15*'Conversion Tables'!$C14)/'Conversion Tables'!H14)</f>
        <v>NA</v>
      </c>
      <c r="L15" s="16" t="str">
        <f>IF('Conversion Tables'!I14="NA","NA",(H15*'Conversion Tables'!$C14)/'Conversion Tables'!I14)</f>
        <v>NA</v>
      </c>
      <c r="M15" s="16" t="str">
        <f>IF('Conversion Tables'!K14="NA","NA",E15*'Conversion Tables'!K14)</f>
        <v>NA</v>
      </c>
      <c r="N15" s="16" t="str">
        <f>IF('Conversion Tables'!L14="NA","NA",F15*'Conversion Tables'!L14)</f>
        <v>NA</v>
      </c>
      <c r="O15" s="16" t="str">
        <f>IF('Conversion Tables'!M14="NA","NA",G15*'Conversion Tables'!M14)</f>
        <v>NA</v>
      </c>
      <c r="P15" s="16" t="str">
        <f>IF('Conversion Tables'!N14="NA","NA",H15*'Conversion Tables'!N14)</f>
        <v>NA</v>
      </c>
      <c r="Q15" s="15"/>
    </row>
    <row r="16" spans="1:17" x14ac:dyDescent="0.25">
      <c r="A16" s="1207"/>
      <c r="B16" s="11" t="str">
        <f>IF('Prac. Rec. Assumptions'!$B$56='Prac. Rec. Assumptions'!$V$3,A82,IF('Prac. Rec. Assumptions'!B58="No",A82,"Rye- Converted to Energy Crop"))</f>
        <v>Rye</v>
      </c>
      <c r="C16" s="294">
        <f>IF('Prac. Rec. Assumptions'!$B$56='Prac. Rec. Assumptions'!$V$3,D82,IF('Prac. Rec. Assumptions'!B59="No",D82,0))</f>
        <v>1.9124999999999999</v>
      </c>
      <c r="D16" s="294">
        <f>E16*'Conversion Tables'!C15</f>
        <v>0</v>
      </c>
      <c r="E16" s="294">
        <f>C16*'Prac. Rec. Assumptions'!B12</f>
        <v>0</v>
      </c>
      <c r="F16" s="294">
        <f t="shared" ref="F16:H23" si="2">$E16</f>
        <v>0</v>
      </c>
      <c r="G16" s="294">
        <f t="shared" si="2"/>
        <v>0</v>
      </c>
      <c r="H16" s="294">
        <f t="shared" si="2"/>
        <v>0</v>
      </c>
      <c r="I16" s="16" t="str">
        <f>IF('Conversion Tables'!F15="NA","NA",(E16*'Conversion Tables'!$C15)/'Conversion Tables'!F15)</f>
        <v>NA</v>
      </c>
      <c r="J16" s="16" t="str">
        <f>IF('Conversion Tables'!G15="NA","NA",(F16*'Conversion Tables'!$C15)/'Conversion Tables'!G15)</f>
        <v>NA</v>
      </c>
      <c r="K16" s="16" t="str">
        <f>IF('Conversion Tables'!H15="NA","NA",(G16*'Conversion Tables'!$C15)/'Conversion Tables'!H15)</f>
        <v>NA</v>
      </c>
      <c r="L16" s="16" t="str">
        <f>IF('Conversion Tables'!I15="NA","NA",(H16*'Conversion Tables'!$C15)/'Conversion Tables'!I15)</f>
        <v>NA</v>
      </c>
      <c r="M16" s="16" t="str">
        <f>IF('Conversion Tables'!K15="NA","NA",E16*'Conversion Tables'!K15)</f>
        <v>NA</v>
      </c>
      <c r="N16" s="16" t="str">
        <f>IF('Conversion Tables'!L15="NA","NA",F16*'Conversion Tables'!L15)</f>
        <v>NA</v>
      </c>
      <c r="O16" s="16" t="str">
        <f>IF('Conversion Tables'!M15="NA","NA",G16*'Conversion Tables'!M15)</f>
        <v>NA</v>
      </c>
      <c r="P16" s="16" t="str">
        <f>IF('Conversion Tables'!N15="NA","NA",H16*'Conversion Tables'!N15)</f>
        <v>NA</v>
      </c>
      <c r="Q16" s="15"/>
    </row>
    <row r="17" spans="1:17" x14ac:dyDescent="0.25">
      <c r="A17" s="1207"/>
      <c r="B17" s="11" t="str">
        <f>IF('Prac. Rec. Assumptions'!$B$56='Prac. Rec. Assumptions'!$V$3,A83,IF('Prac. Rec. Assumptions'!B59="No",A83,"Corn for Grain- Converted to Energy Crop"))</f>
        <v>Corn for Grain</v>
      </c>
      <c r="C17" s="294">
        <f>IF('Prac. Rec. Assumptions'!$B$56='Prac. Rec. Assumptions'!$V$3,D83,IF('Prac. Rec. Assumptions'!B60="No",D83,0))</f>
        <v>2.125</v>
      </c>
      <c r="D17" s="294">
        <f>E17*'Conversion Tables'!C16</f>
        <v>28.415924999999998</v>
      </c>
      <c r="E17" s="294">
        <f>C17*'Prac. Rec. Assumptions'!B13</f>
        <v>1.8062499999999999</v>
      </c>
      <c r="F17" s="294">
        <f t="shared" si="2"/>
        <v>1.8062499999999999</v>
      </c>
      <c r="G17" s="294">
        <f t="shared" si="2"/>
        <v>1.8062499999999999</v>
      </c>
      <c r="H17" s="294">
        <f t="shared" si="2"/>
        <v>1.8062499999999999</v>
      </c>
      <c r="I17" s="16" t="str">
        <f>IF('Conversion Tables'!F16="NA","NA",(E17*'Conversion Tables'!$C16)/'Conversion Tables'!F16)</f>
        <v>NA</v>
      </c>
      <c r="J17" s="16" t="str">
        <f>IF('Conversion Tables'!G16="NA","NA",(F17*'Conversion Tables'!$C16)/'Conversion Tables'!G16)</f>
        <v>NA</v>
      </c>
      <c r="K17" s="16" t="str">
        <f>IF('Conversion Tables'!H16="NA","NA",(G17*'Conversion Tables'!$C16)/'Conversion Tables'!H16)</f>
        <v>NA</v>
      </c>
      <c r="L17" s="16" t="str">
        <f>IF('Conversion Tables'!I16="NA","NA",(H17*'Conversion Tables'!$C16)/'Conversion Tables'!I16)</f>
        <v>NA</v>
      </c>
      <c r="M17" s="16" t="str">
        <f>IF('Conversion Tables'!K16="NA","NA",E17*'Conversion Tables'!K16)</f>
        <v>NA</v>
      </c>
      <c r="N17" s="16" t="str">
        <f>IF('Conversion Tables'!L16="NA","NA",F17*'Conversion Tables'!L16)</f>
        <v>NA</v>
      </c>
      <c r="O17" s="16" t="str">
        <f>IF('Conversion Tables'!M16="NA","NA",G17*'Conversion Tables'!M16)</f>
        <v>NA</v>
      </c>
      <c r="P17" s="16" t="str">
        <f>IF('Conversion Tables'!N16="NA","NA",H17*'Conversion Tables'!N16)</f>
        <v>NA</v>
      </c>
      <c r="Q17" s="15"/>
    </row>
    <row r="18" spans="1:17" x14ac:dyDescent="0.25">
      <c r="A18" s="1207"/>
      <c r="B18" s="11" t="str">
        <f>IF('Prac. Rec. Assumptions'!$B$56='Prac. Rec. Assumptions'!$V$3,A84,IF('Prac. Rec. Assumptions'!B60="No",A84,"Corn for Silage- Converted to Energy Crop"))</f>
        <v>Corn for Silage</v>
      </c>
      <c r="C18" s="294">
        <f>IF('Prac. Rec. Assumptions'!$B$56='Prac. Rec. Assumptions'!$V$3,D84,IF('Prac. Rec. Assumptions'!B61="No",D84,0))</f>
        <v>0</v>
      </c>
      <c r="D18" s="294">
        <f>E18*'Conversion Tables'!C17</f>
        <v>0</v>
      </c>
      <c r="E18" s="294">
        <f>C18*'Prac. Rec. Assumptions'!B14</f>
        <v>0</v>
      </c>
      <c r="F18" s="294">
        <f t="shared" si="2"/>
        <v>0</v>
      </c>
      <c r="G18" s="294">
        <f t="shared" si="2"/>
        <v>0</v>
      </c>
      <c r="H18" s="294">
        <f t="shared" si="2"/>
        <v>0</v>
      </c>
      <c r="I18" s="16" t="str">
        <f>IF('Conversion Tables'!F17="NA","NA",(E18*'Conversion Tables'!$C17)/'Conversion Tables'!F17)</f>
        <v>NA</v>
      </c>
      <c r="J18" s="16" t="str">
        <f>IF('Conversion Tables'!G17="NA","NA",(F18*'Conversion Tables'!$C17)/'Conversion Tables'!G17)</f>
        <v>NA</v>
      </c>
      <c r="K18" s="16" t="str">
        <f>IF('Conversion Tables'!H17="NA","NA",(G18*'Conversion Tables'!$C17)/'Conversion Tables'!H17)</f>
        <v>NA</v>
      </c>
      <c r="L18" s="16" t="str">
        <f>IF('Conversion Tables'!I17="NA","NA",(H18*'Conversion Tables'!$C17)/'Conversion Tables'!I17)</f>
        <v>NA</v>
      </c>
      <c r="M18" s="16" t="str">
        <f>IF('Conversion Tables'!K17="NA","NA",E18*'Conversion Tables'!K17)</f>
        <v>NA</v>
      </c>
      <c r="N18" s="16" t="str">
        <f>IF('Conversion Tables'!L17="NA","NA",F18*'Conversion Tables'!L17)</f>
        <v>NA</v>
      </c>
      <c r="O18" s="16" t="str">
        <f>IF('Conversion Tables'!M17="NA","NA",G18*'Conversion Tables'!M17)</f>
        <v>NA</v>
      </c>
      <c r="P18" s="16" t="str">
        <f>IF('Conversion Tables'!N17="NA","NA",H18*'Conversion Tables'!N17)</f>
        <v>NA</v>
      </c>
      <c r="Q18" s="15"/>
    </row>
    <row r="19" spans="1:17" x14ac:dyDescent="0.25">
      <c r="A19" s="1207"/>
      <c r="B19" s="11" t="str">
        <f>IF('Prac. Rec. Assumptions'!$B$56='Prac. Rec. Assumptions'!$V$3,A85,IF('Prac. Rec. Assumptions'!B61="No",A85,"Alfalfa Hay- Converted to Energy Crop"))</f>
        <v>Alfalfa Hay</v>
      </c>
      <c r="C19" s="294">
        <f>IF('Prac. Rec. Assumptions'!$B$56='Prac. Rec. Assumptions'!$V$3,D85,IF('Prac. Rec. Assumptions'!B62="No",D85,0))</f>
        <v>0</v>
      </c>
      <c r="D19" s="294">
        <f>E19*'Conversion Tables'!C18</f>
        <v>0</v>
      </c>
      <c r="E19" s="294">
        <f>C19*'Prac. Rec. Assumptions'!B15</f>
        <v>0</v>
      </c>
      <c r="F19" s="294">
        <f t="shared" si="2"/>
        <v>0</v>
      </c>
      <c r="G19" s="294">
        <f t="shared" si="2"/>
        <v>0</v>
      </c>
      <c r="H19" s="294">
        <f t="shared" si="2"/>
        <v>0</v>
      </c>
      <c r="I19" s="16" t="str">
        <f>IF('Conversion Tables'!F18="NA","NA",(E19*'Conversion Tables'!$C18)/'Conversion Tables'!F18)</f>
        <v>NA</v>
      </c>
      <c r="J19" s="16" t="str">
        <f>IF('Conversion Tables'!G18="NA","NA",(F19*'Conversion Tables'!$C18)/'Conversion Tables'!G18)</f>
        <v>NA</v>
      </c>
      <c r="K19" s="16" t="str">
        <f>IF('Conversion Tables'!H18="NA","NA",(G19*'Conversion Tables'!$C18)/'Conversion Tables'!H18)</f>
        <v>NA</v>
      </c>
      <c r="L19" s="16" t="str">
        <f>IF('Conversion Tables'!I18="NA","NA",(H19*'Conversion Tables'!$C18)/'Conversion Tables'!I18)</f>
        <v>NA</v>
      </c>
      <c r="M19" s="16" t="str">
        <f>IF('Conversion Tables'!K18="NA","NA",E19*'Conversion Tables'!K18)</f>
        <v>NA</v>
      </c>
      <c r="N19" s="16" t="str">
        <f>IF('Conversion Tables'!L18="NA","NA",F19*'Conversion Tables'!L18)</f>
        <v>NA</v>
      </c>
      <c r="O19" s="16" t="str">
        <f>IF('Conversion Tables'!M18="NA","NA",G19*'Conversion Tables'!M18)</f>
        <v>NA</v>
      </c>
      <c r="P19" s="16" t="str">
        <f>IF('Conversion Tables'!N18="NA","NA",H19*'Conversion Tables'!N18)</f>
        <v>NA</v>
      </c>
      <c r="Q19" s="15"/>
    </row>
    <row r="20" spans="1:17" x14ac:dyDescent="0.25">
      <c r="A20" s="1207"/>
      <c r="B20" s="11" t="str">
        <f>IF('Prac. Rec. Assumptions'!$B$56='Prac. Rec. Assumptions'!$V$3,A86,IF('Prac. Rec. Assumptions'!B62="No",A86,"Other Hay- Converted to Energy Crop"))</f>
        <v>Other Hay</v>
      </c>
      <c r="C20" s="294">
        <f>IF('Prac. Rec. Assumptions'!$B$56='Prac. Rec. Assumptions'!$V$3,D86,IF('Prac. Rec. Assumptions'!B63="No",D86,0))</f>
        <v>99.704999999999998</v>
      </c>
      <c r="D20" s="294">
        <f>E20*'Conversion Tables'!C19</f>
        <v>777.69899999999996</v>
      </c>
      <c r="E20" s="294">
        <f>C20*'Prac. Rec. Assumptions'!B16</f>
        <v>49.852499999999999</v>
      </c>
      <c r="F20" s="294">
        <f t="shared" si="2"/>
        <v>49.852499999999999</v>
      </c>
      <c r="G20" s="294">
        <f t="shared" si="2"/>
        <v>49.852499999999999</v>
      </c>
      <c r="H20" s="294">
        <f t="shared" si="2"/>
        <v>49.852499999999999</v>
      </c>
      <c r="I20" s="16" t="str">
        <f>IF('Conversion Tables'!F19="NA","NA",(E20*'Conversion Tables'!$C19)/'Conversion Tables'!F19)</f>
        <v>NA</v>
      </c>
      <c r="J20" s="16" t="str">
        <f>IF('Conversion Tables'!G19="NA","NA",(F20*'Conversion Tables'!$C19)/'Conversion Tables'!G19)</f>
        <v>NA</v>
      </c>
      <c r="K20" s="16" t="str">
        <f>IF('Conversion Tables'!H19="NA","NA",(G20*'Conversion Tables'!$C19)/'Conversion Tables'!H19)</f>
        <v>NA</v>
      </c>
      <c r="L20" s="16" t="str">
        <f>IF('Conversion Tables'!I19="NA","NA",(H20*'Conversion Tables'!$C19)/'Conversion Tables'!I19)</f>
        <v>NA</v>
      </c>
      <c r="M20" s="16" t="str">
        <f>IF('Conversion Tables'!K19="NA","NA",E20*'Conversion Tables'!K19)</f>
        <v>NA</v>
      </c>
      <c r="N20" s="16" t="str">
        <f>IF('Conversion Tables'!L19="NA","NA",F20*'Conversion Tables'!L19)</f>
        <v>NA</v>
      </c>
      <c r="O20" s="16" t="str">
        <f>IF('Conversion Tables'!M19="NA","NA",G20*'Conversion Tables'!M19)</f>
        <v>NA</v>
      </c>
      <c r="P20" s="16" t="str">
        <f>IF('Conversion Tables'!N19="NA","NA",H20*'Conversion Tables'!N19)</f>
        <v>NA</v>
      </c>
      <c r="Q20" s="15"/>
    </row>
    <row r="21" spans="1:17" x14ac:dyDescent="0.25">
      <c r="A21" s="1207"/>
      <c r="B21" s="11" t="str">
        <f>IF('Prac. Rec. Assumptions'!$B$56='Prac. Rec. Assumptions'!$V$3,A87,IF('Prac. Rec. Assumptions'!B63="No",A87,"Wheat- Converted to Energy Crop"))</f>
        <v>Wheat</v>
      </c>
      <c r="C21" s="294">
        <f>IF('Prac. Rec. Assumptions'!$B$56='Prac. Rec. Assumptions'!$V$3,D87,IF('Prac. Rec. Assumptions'!B64="No",D87,0))</f>
        <v>0</v>
      </c>
      <c r="D21" s="294">
        <f>E21*'Conversion Tables'!C20</f>
        <v>0</v>
      </c>
      <c r="E21" s="294">
        <f>C21*'Prac. Rec. Assumptions'!B17</f>
        <v>0</v>
      </c>
      <c r="F21" s="294">
        <f t="shared" si="2"/>
        <v>0</v>
      </c>
      <c r="G21" s="294">
        <f t="shared" si="2"/>
        <v>0</v>
      </c>
      <c r="H21" s="294">
        <f t="shared" si="2"/>
        <v>0</v>
      </c>
      <c r="I21" s="16" t="str">
        <f>IF('Conversion Tables'!F20="NA","NA",(E21*'Conversion Tables'!$C20)/'Conversion Tables'!F20)</f>
        <v>NA</v>
      </c>
      <c r="J21" s="16" t="str">
        <f>IF('Conversion Tables'!G20="NA","NA",(F21*'Conversion Tables'!$C20)/'Conversion Tables'!G20)</f>
        <v>NA</v>
      </c>
      <c r="K21" s="16" t="str">
        <f>IF('Conversion Tables'!H20="NA","NA",(G21*'Conversion Tables'!$C20)/'Conversion Tables'!H20)</f>
        <v>NA</v>
      </c>
      <c r="L21" s="16" t="str">
        <f>IF('Conversion Tables'!I20="NA","NA",(H21*'Conversion Tables'!$C20)/'Conversion Tables'!I20)</f>
        <v>NA</v>
      </c>
      <c r="M21" s="16" t="str">
        <f>IF('Conversion Tables'!K20="NA","NA",E21*'Conversion Tables'!K20)</f>
        <v>NA</v>
      </c>
      <c r="N21" s="16" t="str">
        <f>IF('Conversion Tables'!L20="NA","NA",F21*'Conversion Tables'!L20)</f>
        <v>NA</v>
      </c>
      <c r="O21" s="16" t="str">
        <f>IF('Conversion Tables'!M20="NA","NA",G21*'Conversion Tables'!M20)</f>
        <v>NA</v>
      </c>
      <c r="P21" s="16" t="str">
        <f>IF('Conversion Tables'!N20="NA","NA",H21*'Conversion Tables'!N20)</f>
        <v>NA</v>
      </c>
      <c r="Q21" s="15"/>
    </row>
    <row r="22" spans="1:17" x14ac:dyDescent="0.25">
      <c r="A22" s="1207"/>
      <c r="B22" s="148" t="s">
        <v>205</v>
      </c>
      <c r="C22" s="294">
        <f>'Biomass Data Assumptions'!P8*1000*'Energy Content Assumptions'!C18</f>
        <v>11655</v>
      </c>
      <c r="D22" s="294">
        <f>E22*'Conversion Tables'!C21</f>
        <v>90909</v>
      </c>
      <c r="E22" s="294">
        <f>C22*'Prac. Rec. Assumptions'!B18</f>
        <v>5827.5</v>
      </c>
      <c r="F22" s="294">
        <f t="shared" si="2"/>
        <v>5827.5</v>
      </c>
      <c r="G22" s="294">
        <f t="shared" si="2"/>
        <v>5827.5</v>
      </c>
      <c r="H22" s="294">
        <f t="shared" si="2"/>
        <v>5827.5</v>
      </c>
      <c r="I22" s="16" t="str">
        <f>IF('Conversion Tables'!F21="NA","NA",(E22*'Conversion Tables'!$C21)/'Conversion Tables'!F21)</f>
        <v>NA</v>
      </c>
      <c r="J22" s="16" t="str">
        <f>IF('Conversion Tables'!G21="NA","NA",(F22*'Conversion Tables'!$C21)/'Conversion Tables'!G21)</f>
        <v>NA</v>
      </c>
      <c r="K22" s="16" t="str">
        <f>IF('Conversion Tables'!H21="NA","NA",(G22*'Conversion Tables'!$C21)/'Conversion Tables'!H21)</f>
        <v>NA</v>
      </c>
      <c r="L22" s="16" t="str">
        <f>IF('Conversion Tables'!I21="NA","NA",(H22*'Conversion Tables'!$C21)/'Conversion Tables'!I21)</f>
        <v>NA</v>
      </c>
      <c r="M22" s="16" t="str">
        <f>IF('Conversion Tables'!K21="NA","NA",E22*'Conversion Tables'!K21)</f>
        <v>NA</v>
      </c>
      <c r="N22" s="16" t="str">
        <f>IF('Conversion Tables'!L21="NA","NA",F22*'Conversion Tables'!L21)</f>
        <v>NA</v>
      </c>
      <c r="O22" s="16" t="str">
        <f>IF('Conversion Tables'!M21="NA","NA",G22*'Conversion Tables'!M21)</f>
        <v>NA</v>
      </c>
      <c r="P22" s="16" t="str">
        <f>IF('Conversion Tables'!N21="NA","NA",H22*'Conversion Tables'!N21)</f>
        <v>NA</v>
      </c>
      <c r="Q22" s="15"/>
    </row>
    <row r="23" spans="1:17" x14ac:dyDescent="0.25">
      <c r="A23" s="1207"/>
      <c r="B23" s="2" t="s">
        <v>302</v>
      </c>
      <c r="C23" s="294">
        <f>B133</f>
        <v>1503.78</v>
      </c>
      <c r="D23" s="294">
        <f>E23*'Conversion Tables'!C22</f>
        <v>24565.750079999998</v>
      </c>
      <c r="E23" s="294">
        <f>C23*'Prac. Rec. Assumptions'!B19</f>
        <v>1503.78</v>
      </c>
      <c r="F23" s="297">
        <f t="shared" si="2"/>
        <v>1503.78</v>
      </c>
      <c r="G23" s="297">
        <f t="shared" si="2"/>
        <v>1503.78</v>
      </c>
      <c r="H23" s="297">
        <f t="shared" si="2"/>
        <v>1503.78</v>
      </c>
      <c r="I23" s="16" t="str">
        <f>IF('Conversion Tables'!F22="NA","NA",(E23*'Conversion Tables'!$C22)/'Conversion Tables'!F22)</f>
        <v>NA</v>
      </c>
      <c r="J23" s="16" t="str">
        <f>IF('Conversion Tables'!G22="NA","NA",(F23*'Conversion Tables'!$C22)/'Conversion Tables'!G22)</f>
        <v>NA</v>
      </c>
      <c r="K23" s="16" t="str">
        <f>IF('Conversion Tables'!H22="NA","NA",(G23*'Conversion Tables'!$C22)/'Conversion Tables'!H22)</f>
        <v>NA</v>
      </c>
      <c r="L23" s="16" t="str">
        <f>IF('Conversion Tables'!I22="NA","NA",(H23*'Conversion Tables'!$C22)/'Conversion Tables'!I22)</f>
        <v>NA</v>
      </c>
      <c r="M23" s="16" t="str">
        <f>IF('Conversion Tables'!K22="NA","NA",E23*'Conversion Tables'!K22)</f>
        <v>NA</v>
      </c>
      <c r="N23" s="16" t="str">
        <f>IF('Conversion Tables'!L22="NA","NA",F23*'Conversion Tables'!L22)</f>
        <v>NA</v>
      </c>
      <c r="O23" s="16" t="str">
        <f>IF('Conversion Tables'!M22="NA","NA",G23*'Conversion Tables'!M22)</f>
        <v>NA</v>
      </c>
      <c r="P23" s="16" t="str">
        <f>IF('Conversion Tables'!N22="NA","NA",H23*'Conversion Tables'!N22)</f>
        <v>NA</v>
      </c>
      <c r="Q23" s="7"/>
    </row>
    <row r="24" spans="1:17" x14ac:dyDescent="0.25">
      <c r="A24" s="1207"/>
      <c r="B24" s="1" t="s">
        <v>518</v>
      </c>
      <c r="C24" s="294"/>
      <c r="D24" s="294"/>
      <c r="E24" s="294"/>
      <c r="F24" s="294"/>
      <c r="G24" s="294"/>
      <c r="H24" s="294"/>
      <c r="I24" s="16"/>
      <c r="J24" s="16"/>
      <c r="K24" s="16"/>
      <c r="L24" s="16"/>
      <c r="M24" s="16"/>
      <c r="N24" s="16"/>
      <c r="O24" s="16"/>
      <c r="P24" s="16"/>
      <c r="Q24" s="7"/>
    </row>
    <row r="25" spans="1:17" x14ac:dyDescent="0.25">
      <c r="A25" s="1207"/>
      <c r="B25" s="11" t="s">
        <v>559</v>
      </c>
      <c r="C25" s="294">
        <f>C128</f>
        <v>24472.7</v>
      </c>
      <c r="D25" s="294">
        <f>E25*'Conversion Tables'!C24</f>
        <v>433166.79</v>
      </c>
      <c r="E25" s="294">
        <f>C25*'Prac. Rec. Assumptions'!B21</f>
        <v>24472.7</v>
      </c>
      <c r="F25" s="294">
        <f>($C25*(1+'Biomass Data Assumptions'!G$93))*'Prac. Rec. Assumptions'!$B21</f>
        <v>24535.951163052028</v>
      </c>
      <c r="G25" s="294">
        <f>($C25*(1+'Biomass Data Assumptions'!H$93))*'Prac. Rec. Assumptions'!$B21</f>
        <v>24621.20273064389</v>
      </c>
      <c r="H25" s="294">
        <f>($C25*(1+'Biomass Data Assumptions'!I$93))*'Prac. Rec. Assumptions'!$B21</f>
        <v>24698.204146533317</v>
      </c>
      <c r="I25" s="16" t="str">
        <f>IF('Conversion Tables'!F24="NA","NA",(E25*'Conversion Tables'!$C24)/'Conversion Tables'!F24)</f>
        <v>NA</v>
      </c>
      <c r="J25" s="16" t="str">
        <f>IF('Conversion Tables'!G24="NA","NA",(F25*'Conversion Tables'!$C24)/'Conversion Tables'!G24)</f>
        <v>NA</v>
      </c>
      <c r="K25" s="16" t="str">
        <f>IF('Conversion Tables'!H24="NA","NA",(G25*'Conversion Tables'!$C24)/'Conversion Tables'!H24)</f>
        <v>NA</v>
      </c>
      <c r="L25" s="16" t="str">
        <f>IF('Conversion Tables'!I24="NA","NA",(H25*'Conversion Tables'!$C24)/'Conversion Tables'!I24)</f>
        <v>NA</v>
      </c>
      <c r="M25" s="16" t="str">
        <f>IF('Conversion Tables'!K24="NA","NA",E25*'Conversion Tables'!K24)</f>
        <v>NA</v>
      </c>
      <c r="N25" s="16" t="str">
        <f>IF('Conversion Tables'!L24="NA","NA",F25*'Conversion Tables'!L24)</f>
        <v>NA</v>
      </c>
      <c r="O25" s="16" t="str">
        <f>IF('Conversion Tables'!M24="NA","NA",G25*'Conversion Tables'!M24)</f>
        <v>NA</v>
      </c>
      <c r="P25" s="16" t="str">
        <f>IF('Conversion Tables'!N24="NA","NA",H25*'Conversion Tables'!N24)</f>
        <v>NA</v>
      </c>
      <c r="Q25" s="13"/>
    </row>
    <row r="26" spans="1:17" x14ac:dyDescent="0.25">
      <c r="A26" s="1207"/>
      <c r="B26" s="11" t="s">
        <v>560</v>
      </c>
      <c r="C26" s="294">
        <f>C129</f>
        <v>7570.0166666666664</v>
      </c>
      <c r="D26" s="294">
        <f>E26*'Conversion Tables'!C25</f>
        <v>118092.26</v>
      </c>
      <c r="E26" s="294">
        <f>C26*'Prac. Rec. Assumptions'!B22</f>
        <v>7570.0166666666664</v>
      </c>
      <c r="F26" s="294">
        <f>($C26*(1+'Biomass Data Assumptions'!G$93))*'Prac. Rec. Assumptions'!$B22</f>
        <v>7589.5818294190358</v>
      </c>
      <c r="G26" s="294">
        <f>($C26*(1+'Biomass Data Assumptions'!H$93))*'Prac. Rec. Assumptions'!$B22</f>
        <v>7615.9522661722285</v>
      </c>
      <c r="H26" s="294">
        <f>($C26*(1+'Biomass Data Assumptions'!I$93))*'Prac. Rec. Assumptions'!$B22</f>
        <v>7639.7707251751126</v>
      </c>
      <c r="I26" s="16" t="str">
        <f>IF('Conversion Tables'!F25="NA","NA",(E26*'Conversion Tables'!$C25)/'Conversion Tables'!F25)</f>
        <v>NA</v>
      </c>
      <c r="J26" s="16" t="str">
        <f>IF('Conversion Tables'!G25="NA","NA",(F26*'Conversion Tables'!$C25)/'Conversion Tables'!G25)</f>
        <v>NA</v>
      </c>
      <c r="K26" s="16" t="str">
        <f>IF('Conversion Tables'!H25="NA","NA",(G26*'Conversion Tables'!$C25)/'Conversion Tables'!H25)</f>
        <v>NA</v>
      </c>
      <c r="L26" s="16" t="str">
        <f>IF('Conversion Tables'!I25="NA","NA",(H26*'Conversion Tables'!$C25)/'Conversion Tables'!I25)</f>
        <v>NA</v>
      </c>
      <c r="M26" s="16" t="str">
        <f>IF('Conversion Tables'!K25="NA","NA",E26*'Conversion Tables'!K25)</f>
        <v>NA</v>
      </c>
      <c r="N26" s="16" t="str">
        <f>IF('Conversion Tables'!L25="NA","NA",F26*'Conversion Tables'!L25)</f>
        <v>NA</v>
      </c>
      <c r="O26" s="16" t="str">
        <f>IF('Conversion Tables'!M25="NA","NA",G26*'Conversion Tables'!M25)</f>
        <v>NA</v>
      </c>
      <c r="P26" s="16" t="str">
        <f>IF('Conversion Tables'!N25="NA","NA",H26*'Conversion Tables'!N25)</f>
        <v>NA</v>
      </c>
      <c r="Q26" s="13"/>
    </row>
    <row r="27" spans="1:17" x14ac:dyDescent="0.25">
      <c r="A27" s="1207"/>
      <c r="B27" s="11" t="s">
        <v>561</v>
      </c>
      <c r="C27" s="294">
        <f>C130</f>
        <v>46938.213333333333</v>
      </c>
      <c r="D27" s="294">
        <f>E27*'Conversion Tables'!C26</f>
        <v>732236.12800000003</v>
      </c>
      <c r="E27" s="294">
        <f>C27*'Prac. Rec. Assumptions'!B23</f>
        <v>46938.213333333333</v>
      </c>
      <c r="F27" s="294">
        <f>($C27*(1+'Biomass Data Assumptions'!G$93))*'Prac. Rec. Assumptions'!$B23</f>
        <v>47059.52796493988</v>
      </c>
      <c r="G27" s="294">
        <f>($C27*(1+'Biomass Data Assumptions'!H$93))*'Prac. Rec. Assumptions'!$B23</f>
        <v>47223.0389901487</v>
      </c>
      <c r="H27" s="294">
        <f>($C27*(1+'Biomass Data Assumptions'!I$93))*'Prac. Rec. Assumptions'!$B23</f>
        <v>47370.726367756673</v>
      </c>
      <c r="I27" s="16" t="str">
        <f>IF('Conversion Tables'!F26="NA","NA",(E27*'Conversion Tables'!$C26)/'Conversion Tables'!F26)</f>
        <v>NA</v>
      </c>
      <c r="J27" s="16" t="str">
        <f>IF('Conversion Tables'!G26="NA","NA",(F27*'Conversion Tables'!$C26)/'Conversion Tables'!G26)</f>
        <v>NA</v>
      </c>
      <c r="K27" s="16" t="str">
        <f>IF('Conversion Tables'!H26="NA","NA",(G27*'Conversion Tables'!$C26)/'Conversion Tables'!H26)</f>
        <v>NA</v>
      </c>
      <c r="L27" s="16" t="str">
        <f>IF('Conversion Tables'!I26="NA","NA",(H27*'Conversion Tables'!$C26)/'Conversion Tables'!I26)</f>
        <v>NA</v>
      </c>
      <c r="M27" s="16" t="str">
        <f>IF('Conversion Tables'!K26="NA","NA",E27*'Conversion Tables'!K26)</f>
        <v>NA</v>
      </c>
      <c r="N27" s="16" t="str">
        <f>IF('Conversion Tables'!L26="NA","NA",F27*'Conversion Tables'!L26)</f>
        <v>NA</v>
      </c>
      <c r="O27" s="16" t="str">
        <f>IF('Conversion Tables'!M26="NA","NA",G27*'Conversion Tables'!M26)</f>
        <v>NA</v>
      </c>
      <c r="P27" s="16" t="str">
        <f>IF('Conversion Tables'!N26="NA","NA",H27*'Conversion Tables'!N26)</f>
        <v>NA</v>
      </c>
      <c r="Q27" s="13"/>
    </row>
    <row r="28" spans="1:17" x14ac:dyDescent="0.25">
      <c r="A28" s="1207"/>
      <c r="B28" s="11" t="s">
        <v>562</v>
      </c>
      <c r="C28" s="294">
        <f>C131</f>
        <v>1481.7449999999999</v>
      </c>
      <c r="D28" s="294">
        <f>E28*'Conversion Tables'!C27</f>
        <v>26226.886499999997</v>
      </c>
      <c r="E28" s="294">
        <f>C28*'Prac. Rec. Assumptions'!B24</f>
        <v>1481.7449999999999</v>
      </c>
      <c r="F28" s="294">
        <f>($C28*(1+'Biomass Data Assumptions'!G$93))*'Prac. Rec. Assumptions'!$B24</f>
        <v>1485.5746589504438</v>
      </c>
      <c r="G28" s="294">
        <f>($C28*(1+'Biomass Data Assumptions'!H$93))*'Prac. Rec. Assumptions'!$B24</f>
        <v>1490.7363731879984</v>
      </c>
      <c r="H28" s="294">
        <f>($C28*(1+'Biomass Data Assumptions'!I$93))*'Prac. Rec. Assumptions'!$B24</f>
        <v>1495.3985666928868</v>
      </c>
      <c r="I28" s="16" t="str">
        <f>IF('Conversion Tables'!F27="NA","NA",(E28*'Conversion Tables'!$C27)/'Conversion Tables'!F27)</f>
        <v>NA</v>
      </c>
      <c r="J28" s="16" t="str">
        <f>IF('Conversion Tables'!G27="NA","NA",(F28*'Conversion Tables'!$C27)/'Conversion Tables'!G27)</f>
        <v>NA</v>
      </c>
      <c r="K28" s="16" t="str">
        <f>IF('Conversion Tables'!H27="NA","NA",(G28*'Conversion Tables'!$C27)/'Conversion Tables'!H27)</f>
        <v>NA</v>
      </c>
      <c r="L28" s="16" t="str">
        <f>IF('Conversion Tables'!I27="NA","NA",(H28*'Conversion Tables'!$C27)/'Conversion Tables'!I27)</f>
        <v>NA</v>
      </c>
      <c r="M28" s="16" t="str">
        <f>IF('Conversion Tables'!K27="NA","NA",E28*'Conversion Tables'!K27)</f>
        <v>NA</v>
      </c>
      <c r="N28" s="16" t="str">
        <f>IF('Conversion Tables'!L27="NA","NA",F28*'Conversion Tables'!L27)</f>
        <v>NA</v>
      </c>
      <c r="O28" s="16" t="str">
        <f>IF('Conversion Tables'!M27="NA","NA",G28*'Conversion Tables'!M27)</f>
        <v>NA</v>
      </c>
      <c r="P28" s="16" t="str">
        <f>IF('Conversion Tables'!N27="NA","NA",H28*'Conversion Tables'!N27)</f>
        <v>NA</v>
      </c>
      <c r="Q28" s="13"/>
    </row>
    <row r="29" spans="1:17" x14ac:dyDescent="0.25">
      <c r="A29" s="1208"/>
      <c r="B29" s="9" t="s">
        <v>524</v>
      </c>
      <c r="C29" s="295">
        <f t="shared" ref="C29:P29" si="3">SUM(C13:C28)</f>
        <v>93737.097499999989</v>
      </c>
      <c r="D29" s="295">
        <f>SUM(D13:D28)</f>
        <v>1426152.698145</v>
      </c>
      <c r="E29" s="295">
        <f t="shared" si="3"/>
        <v>87855.133749999994</v>
      </c>
      <c r="F29" s="295">
        <f>SUM(F13:F28)</f>
        <v>88063.094366361387</v>
      </c>
      <c r="G29" s="295">
        <f>SUM(G13:G28)</f>
        <v>88343.389110152813</v>
      </c>
      <c r="H29" s="295">
        <f>SUM(H13:H28)</f>
        <v>88596.558556157994</v>
      </c>
      <c r="I29" s="19">
        <f t="shared" si="3"/>
        <v>0</v>
      </c>
      <c r="J29" s="19">
        <f t="shared" si="3"/>
        <v>0</v>
      </c>
      <c r="K29" s="19">
        <f t="shared" si="3"/>
        <v>0</v>
      </c>
      <c r="L29" s="19">
        <f t="shared" si="3"/>
        <v>0</v>
      </c>
      <c r="M29" s="19">
        <f t="shared" si="3"/>
        <v>0</v>
      </c>
      <c r="N29" s="19">
        <f t="shared" si="3"/>
        <v>0</v>
      </c>
      <c r="O29" s="19">
        <f t="shared" si="3"/>
        <v>0</v>
      </c>
      <c r="P29" s="19">
        <f t="shared" si="3"/>
        <v>0</v>
      </c>
      <c r="Q29" s="19"/>
    </row>
    <row r="30" spans="1:17" x14ac:dyDescent="0.25">
      <c r="A30" s="8"/>
      <c r="C30" s="296"/>
      <c r="D30" s="296"/>
      <c r="E30" s="296"/>
      <c r="F30" s="296"/>
      <c r="G30" s="296"/>
      <c r="H30" s="296"/>
      <c r="I30" s="28"/>
      <c r="J30" s="28"/>
      <c r="K30" s="28"/>
      <c r="L30" s="28"/>
      <c r="M30" s="28"/>
      <c r="N30" s="28"/>
      <c r="O30" s="28"/>
      <c r="P30" s="28"/>
    </row>
    <row r="31" spans="1:17" x14ac:dyDescent="0.25">
      <c r="A31" s="1064" t="s">
        <v>516</v>
      </c>
      <c r="B31" s="130" t="str">
        <f>'Bioenergy Calculator'!B34</f>
        <v>Solid wastes - Landfilled</v>
      </c>
      <c r="C31" s="294"/>
      <c r="D31" s="294"/>
      <c r="E31" s="294"/>
      <c r="F31" s="294"/>
      <c r="G31" s="294"/>
      <c r="H31" s="294"/>
      <c r="I31" s="16"/>
      <c r="J31" s="16"/>
      <c r="K31" s="16"/>
      <c r="L31" s="16"/>
      <c r="M31" s="16"/>
      <c r="N31" s="16"/>
      <c r="O31" s="16"/>
      <c r="P31" s="16"/>
      <c r="Q31" s="7"/>
    </row>
    <row r="32" spans="1:17" x14ac:dyDescent="0.25">
      <c r="A32" s="1064"/>
      <c r="B32" s="11" t="str">
        <f>'Bioenergy Calculator'!B35</f>
        <v>Food waste, Landfilled</v>
      </c>
      <c r="C32" s="294">
        <f>C141</f>
        <v>25933.064724000003</v>
      </c>
      <c r="D32" s="294">
        <f>E32*'Conversion Tables'!C29</f>
        <v>248957.42135040008</v>
      </c>
      <c r="E32" s="294">
        <f>C32*'Prac. Rec. Assumptions'!B26</f>
        <v>15559.838834400005</v>
      </c>
      <c r="F32" s="294">
        <f>($C32*(1+'Biomass Data Assumptions'!G$93)*(1+'Biomass Data Assumptions'!C$82))*'Prac. Rec. Assumptions'!$B26</f>
        <v>15589.462055355991</v>
      </c>
      <c r="G32" s="294">
        <f>($C32*(1+'Biomass Data Assumptions'!H$93)*(1+'Biomass Data Assumptions'!D$82))*'Prac. Rec. Assumptions'!$B26</f>
        <v>15633.006830960963</v>
      </c>
      <c r="H32" s="294">
        <f>($C32*(1+'Biomass Data Assumptions'!I$93)*(1+'Biomass Data Assumptions'!E$82))*'Prac. Rec. Assumptions'!$B26</f>
        <v>15671.250486188648</v>
      </c>
      <c r="I32" s="16" t="str">
        <f>IF('Conversion Tables'!F29="NA","NA",(E32*'Conversion Tables'!$C29)/'Conversion Tables'!F29)</f>
        <v>NA</v>
      </c>
      <c r="J32" s="16" t="str">
        <f>IF('Conversion Tables'!G29="NA","NA",(F32*'Conversion Tables'!$C29)/'Conversion Tables'!G29)</f>
        <v>NA</v>
      </c>
      <c r="K32" s="16" t="str">
        <f>IF('Conversion Tables'!H29="NA","NA",(G32*'Conversion Tables'!$C29)/'Conversion Tables'!H29)</f>
        <v>NA</v>
      </c>
      <c r="L32" s="16" t="str">
        <f>IF('Conversion Tables'!I29="NA","NA",(H32*'Conversion Tables'!$C29)/'Conversion Tables'!I29)</f>
        <v>NA</v>
      </c>
      <c r="M32" s="16" t="str">
        <f>IF('Conversion Tables'!K29="NA","NA",E32*'Conversion Tables'!K29)</f>
        <v>NA</v>
      </c>
      <c r="N32" s="16" t="str">
        <f>IF('Conversion Tables'!L29="NA","NA",F32*'Conversion Tables'!L29)</f>
        <v>NA</v>
      </c>
      <c r="O32" s="16" t="str">
        <f>IF('Conversion Tables'!M29="NA","NA",G32*'Conversion Tables'!M29)</f>
        <v>NA</v>
      </c>
      <c r="P32" s="16" t="str">
        <f>IF('Conversion Tables'!N29="NA","NA",H32*'Conversion Tables'!N29)</f>
        <v>NA</v>
      </c>
      <c r="Q32" s="7"/>
    </row>
    <row r="33" spans="1:17" x14ac:dyDescent="0.25">
      <c r="A33" s="1064"/>
      <c r="B33" s="11" t="str">
        <f>'Bioenergy Calculator'!B36</f>
        <v>Waste paper, Landfilled</v>
      </c>
      <c r="C33" s="294">
        <f>C142</f>
        <v>95650.715970000005</v>
      </c>
      <c r="D33" s="294">
        <f>E33*'Conversion Tables'!C30</f>
        <v>1111231.7578530721</v>
      </c>
      <c r="E33" s="294">
        <f>C33*'Prac. Rec. Assumptions'!B27</f>
        <v>76520.572776000001</v>
      </c>
      <c r="F33" s="294">
        <f>($C33*(1+'Biomass Data Assumptions'!G$93)*(1+'Biomass Data Assumptions'!C$82))*'Prac. Rec. Assumptions'!$B27</f>
        <v>76666.254608514282</v>
      </c>
      <c r="G33" s="294">
        <f>($C33*(1+'Biomass Data Assumptions'!H$93)*(1+'Biomass Data Assumptions'!D$82))*'Prac. Rec. Assumptions'!$B27</f>
        <v>76880.40021800017</v>
      </c>
      <c r="H33" s="294">
        <f>($C33*(1+'Biomass Data Assumptions'!I$93)*(1+'Biomass Data Assumptions'!E$82))*'Prac. Rec. Assumptions'!$B27</f>
        <v>77068.475842318367</v>
      </c>
      <c r="I33" s="16" t="str">
        <f>IF('Conversion Tables'!F30="NA","NA",(E33*'Conversion Tables'!$C30)/'Conversion Tables'!F30)</f>
        <v>NA</v>
      </c>
      <c r="J33" s="16" t="str">
        <f>IF('Conversion Tables'!G30="NA","NA",(F33*'Conversion Tables'!$C30)/'Conversion Tables'!G30)</f>
        <v>NA</v>
      </c>
      <c r="K33" s="16" t="str">
        <f>IF('Conversion Tables'!H30="NA","NA",(G33*'Conversion Tables'!$C30)/'Conversion Tables'!H30)</f>
        <v>NA</v>
      </c>
      <c r="L33" s="16" t="str">
        <f>IF('Conversion Tables'!I30="NA","NA",(H33*'Conversion Tables'!$C30)/'Conversion Tables'!I30)</f>
        <v>NA</v>
      </c>
      <c r="M33" s="16" t="str">
        <f>IF('Conversion Tables'!K30="NA","NA",E33*'Conversion Tables'!K30)</f>
        <v>NA</v>
      </c>
      <c r="N33" s="16" t="str">
        <f>IF('Conversion Tables'!L30="NA","NA",F33*'Conversion Tables'!L30)</f>
        <v>NA</v>
      </c>
      <c r="O33" s="16" t="str">
        <f>IF('Conversion Tables'!M30="NA","NA",G33*'Conversion Tables'!M30)</f>
        <v>NA</v>
      </c>
      <c r="P33" s="16" t="str">
        <f>IF('Conversion Tables'!N30="NA","NA",H33*'Conversion Tables'!N30)</f>
        <v>NA</v>
      </c>
      <c r="Q33" s="7"/>
    </row>
    <row r="34" spans="1:17" x14ac:dyDescent="0.25">
      <c r="A34" s="1064"/>
      <c r="B34" s="11" t="str">
        <f>'Bioenergy Calculator'!B37</f>
        <v>Other Biomass, Landfilled</v>
      </c>
      <c r="C34" s="294">
        <f>C143</f>
        <v>73575.372210000001</v>
      </c>
      <c r="D34" s="294">
        <f>E34*'Conversion Tables'!C31</f>
        <v>769292.31976820657</v>
      </c>
      <c r="E34" s="294">
        <f>C34*'Prac. Rec. Assumptions'!B28</f>
        <v>52974.267991200009</v>
      </c>
      <c r="F34" s="294">
        <f>($C34*(1+'Biomass Data Assumptions'!G$93)*(1+'Biomass Data Assumptions'!C$82))*'Prac. Rec. Assumptions'!$B28</f>
        <v>53075.121763683535</v>
      </c>
      <c r="G34" s="294">
        <f>($C34*(1+'Biomass Data Assumptions'!H$93)*(1+'Biomass Data Assumptions'!D$82))*'Prac. Rec. Assumptions'!$B28</f>
        <v>53223.372181767219</v>
      </c>
      <c r="H34" s="294">
        <f>($C34*(1+'Biomass Data Assumptions'!I$93)*(1+'Biomass Data Assumptions'!E$82))*'Prac. Rec. Assumptions'!$B28</f>
        <v>53353.574664103689</v>
      </c>
      <c r="I34" s="16" t="str">
        <f>IF('Conversion Tables'!F31="NA","NA",(E34*'Conversion Tables'!$C31)/'Conversion Tables'!F31)</f>
        <v>NA</v>
      </c>
      <c r="J34" s="16" t="str">
        <f>IF('Conversion Tables'!G31="NA","NA",(F34*'Conversion Tables'!$C31)/'Conversion Tables'!G31)</f>
        <v>NA</v>
      </c>
      <c r="K34" s="16" t="str">
        <f>IF('Conversion Tables'!H31="NA","NA",(G34*'Conversion Tables'!$C31)/'Conversion Tables'!H31)</f>
        <v>NA</v>
      </c>
      <c r="L34" s="16" t="str">
        <f>IF('Conversion Tables'!I31="NA","NA",(H34*'Conversion Tables'!$C31)/'Conversion Tables'!I31)</f>
        <v>NA</v>
      </c>
      <c r="M34" s="16" t="str">
        <f>IF('Conversion Tables'!K31="NA","NA",E34*'Conversion Tables'!K31)</f>
        <v>NA</v>
      </c>
      <c r="N34" s="16" t="str">
        <f>IF('Conversion Tables'!L31="NA","NA",F34*'Conversion Tables'!L31)</f>
        <v>NA</v>
      </c>
      <c r="O34" s="16" t="str">
        <f>IF('Conversion Tables'!M31="NA","NA",G34*'Conversion Tables'!M31)</f>
        <v>NA</v>
      </c>
      <c r="P34" s="16" t="str">
        <f>IF('Conversion Tables'!N31="NA","NA",H34*'Conversion Tables'!N31)</f>
        <v>NA</v>
      </c>
      <c r="Q34" s="7"/>
    </row>
    <row r="35" spans="1:17" x14ac:dyDescent="0.25">
      <c r="A35" s="1065"/>
      <c r="B35" s="11" t="str">
        <f>'Bioenergy Calculator'!B38</f>
        <v>C&amp;D (Non-recycled wood)</v>
      </c>
      <c r="C35" s="294">
        <f>C145</f>
        <v>86592.899200000014</v>
      </c>
      <c r="D35" s="294">
        <f>E35*'Conversion Tables'!C32</f>
        <v>980924.36213760031</v>
      </c>
      <c r="E35" s="294">
        <f>C35*'Prac. Rec. Assumptions'!B29</f>
        <v>55419.455488000021</v>
      </c>
      <c r="F35" s="294">
        <f>($C35*(1+'Biomass Data Assumptions'!G$93)*(1+'Biomass Data Assumptions'!C$83))*'Prac. Rec. Assumptions'!$B29</f>
        <v>58352.553825610652</v>
      </c>
      <c r="G35" s="294">
        <f>($C35*(1+'Biomass Data Assumptions'!H$93)*(1+'Biomass Data Assumptions'!D$83))*'Prac. Rec. Assumptions'!$B29</f>
        <v>61495.428898251797</v>
      </c>
      <c r="H35" s="294">
        <f>($C35*(1+'Biomass Data Assumptions'!I$93)*(1+'Biomass Data Assumptions'!E$83))*'Prac. Rec. Assumptions'!$B29</f>
        <v>64785.161849809228</v>
      </c>
      <c r="I35" s="16" t="str">
        <f>IF('Conversion Tables'!F32="NA","NA",(E35*'Conversion Tables'!$C32)/'Conversion Tables'!F32)</f>
        <v>NA</v>
      </c>
      <c r="J35" s="16" t="str">
        <f>IF('Conversion Tables'!G32="NA","NA",(F35*'Conversion Tables'!$C32)/'Conversion Tables'!G32)</f>
        <v>NA</v>
      </c>
      <c r="K35" s="16" t="str">
        <f>IF('Conversion Tables'!H32="NA","NA",(G35*'Conversion Tables'!$C32)/'Conversion Tables'!H32)</f>
        <v>NA</v>
      </c>
      <c r="L35" s="16" t="str">
        <f>IF('Conversion Tables'!I32="NA","NA",(H35*'Conversion Tables'!$C32)/'Conversion Tables'!I32)</f>
        <v>NA</v>
      </c>
      <c r="M35" s="16" t="str">
        <f>IF('Conversion Tables'!K32="NA","NA",E35*'Conversion Tables'!K32)</f>
        <v>NA</v>
      </c>
      <c r="N35" s="16" t="str">
        <f>IF('Conversion Tables'!L32="NA","NA",F35*'Conversion Tables'!L32)</f>
        <v>NA</v>
      </c>
      <c r="O35" s="16" t="str">
        <f>IF('Conversion Tables'!M32="NA","NA",G35*'Conversion Tables'!M32)</f>
        <v>NA</v>
      </c>
      <c r="P35" s="16" t="str">
        <f>IF('Conversion Tables'!N32="NA","NA",H35*'Conversion Tables'!N32)</f>
        <v>NA</v>
      </c>
      <c r="Q35" s="7"/>
    </row>
    <row r="36" spans="1:17" x14ac:dyDescent="0.25">
      <c r="A36" s="1065"/>
      <c r="B36" s="4" t="s">
        <v>280</v>
      </c>
      <c r="C36" s="294"/>
      <c r="D36" s="294"/>
      <c r="E36" s="294"/>
      <c r="F36" s="294"/>
      <c r="G36" s="294"/>
      <c r="H36" s="294"/>
      <c r="I36" s="16"/>
      <c r="J36" s="16"/>
      <c r="K36" s="16"/>
      <c r="L36" s="16"/>
      <c r="M36" s="16"/>
      <c r="N36" s="16"/>
      <c r="O36" s="16"/>
      <c r="P36" s="16"/>
      <c r="Q36" s="7"/>
    </row>
    <row r="37" spans="1:17" x14ac:dyDescent="0.25">
      <c r="A37" s="1065"/>
      <c r="B37" s="677" t="s">
        <v>563</v>
      </c>
      <c r="C37" s="299">
        <f>C132</f>
        <v>4689.3125</v>
      </c>
      <c r="D37" s="294">
        <f>E37*'Conversion Tables'!C34</f>
        <v>75029</v>
      </c>
      <c r="E37" s="294">
        <f>C37*'Prac. Rec. Assumptions'!B31</f>
        <v>4689.3125</v>
      </c>
      <c r="F37" s="294">
        <f>($C37*(1+'Biomass Data Assumptions'!G$93)*(1+'Biomass Data Assumptions'!C$84))*'Prac. Rec. Assumptions'!$B31</f>
        <v>5140.9042670422868</v>
      </c>
      <c r="G37" s="294">
        <f>($C37*(1+'Biomass Data Assumptions'!H$93)*(1+'Biomass Data Assumptions'!D$84))*'Prac. Rec. Assumptions'!$B31</f>
        <v>5640.9884585113314</v>
      </c>
      <c r="H37" s="294">
        <f>($C37*(1+'Biomass Data Assumptions'!I$93)*(1+'Biomass Data Assumptions'!E$84))*'Prac. Rec. Assumptions'!$B31</f>
        <v>6187.5775067983532</v>
      </c>
      <c r="I37" s="16" t="str">
        <f>IF('Conversion Tables'!F34="NA","NA",(E37*'Conversion Tables'!$C34)/'Conversion Tables'!F34)</f>
        <v>NA</v>
      </c>
      <c r="J37" s="16" t="str">
        <f>IF('Conversion Tables'!G34="NA","NA",(F37*'Conversion Tables'!$C34)/'Conversion Tables'!G34)</f>
        <v>NA</v>
      </c>
      <c r="K37" s="16" t="str">
        <f>IF('Conversion Tables'!H34="NA","NA",(G37*'Conversion Tables'!$C34)/'Conversion Tables'!H34)</f>
        <v>NA</v>
      </c>
      <c r="L37" s="16" t="str">
        <f>IF('Conversion Tables'!I34="NA","NA",(H37*'Conversion Tables'!$C34)/'Conversion Tables'!I34)</f>
        <v>NA</v>
      </c>
      <c r="M37" s="16" t="str">
        <f>IF('Conversion Tables'!K34="NA","NA",E37*'Conversion Tables'!K34)</f>
        <v>NA</v>
      </c>
      <c r="N37" s="16" t="str">
        <f>IF('Conversion Tables'!L34="NA","NA",F37*'Conversion Tables'!L34)</f>
        <v>NA</v>
      </c>
      <c r="O37" s="16" t="str">
        <f>IF('Conversion Tables'!M34="NA","NA",G37*'Conversion Tables'!M34)</f>
        <v>NA</v>
      </c>
      <c r="P37" s="16" t="str">
        <f>IF('Conversion Tables'!N34="NA","NA",H37*'Conversion Tables'!N34)</f>
        <v>NA</v>
      </c>
      <c r="Q37" s="18"/>
    </row>
    <row r="38" spans="1:17" x14ac:dyDescent="0.25">
      <c r="A38" s="1065"/>
      <c r="B38" s="11" t="s">
        <v>565</v>
      </c>
      <c r="C38" s="294">
        <f>C134</f>
        <v>11347.04</v>
      </c>
      <c r="D38" s="294">
        <f>E38*'Conversion Tables'!C35</f>
        <v>100421.304</v>
      </c>
      <c r="E38" s="294">
        <f>C38*'Prac. Rec. Assumptions'!B32</f>
        <v>5673.52</v>
      </c>
      <c r="F38" s="294">
        <f>($C38*(1+'Biomass Data Assumptions'!G$93)*(1+'Biomass Data Assumptions'!C$84))*'Prac. Rec. Assumptions'!$B32</f>
        <v>6219.8932524010188</v>
      </c>
      <c r="G38" s="294">
        <f>($C38*(1+'Biomass Data Assumptions'!H$93)*(1+'Biomass Data Assumptions'!D$84))*'Prac. Rec. Assumptions'!$B32</f>
        <v>6824.9366701692861</v>
      </c>
      <c r="H38" s="294">
        <f>($C38*(1+'Biomass Data Assumptions'!I$93)*(1+'Biomass Data Assumptions'!E$84))*'Prac. Rec. Assumptions'!$B32</f>
        <v>7486.2455288212495</v>
      </c>
      <c r="I38" s="16" t="str">
        <f>IF('Conversion Tables'!F35="NA","NA",(E38*'Conversion Tables'!$C35)/'Conversion Tables'!F35)</f>
        <v>NA</v>
      </c>
      <c r="J38" s="16" t="str">
        <f>IF('Conversion Tables'!G35="NA","NA",(F38*'Conversion Tables'!$C35)/'Conversion Tables'!G35)</f>
        <v>NA</v>
      </c>
      <c r="K38" s="16" t="str">
        <f>IF('Conversion Tables'!H35="NA","NA",(G38*'Conversion Tables'!$C35)/'Conversion Tables'!H35)</f>
        <v>NA</v>
      </c>
      <c r="L38" s="16" t="str">
        <f>IF('Conversion Tables'!I35="NA","NA",(H38*'Conversion Tables'!$C35)/'Conversion Tables'!I35)</f>
        <v>NA</v>
      </c>
      <c r="M38" s="16" t="str">
        <f>IF('Conversion Tables'!K35="NA","NA",E38*'Conversion Tables'!K35)</f>
        <v>NA</v>
      </c>
      <c r="N38" s="16" t="str">
        <f>IF('Conversion Tables'!L35="NA","NA",F38*'Conversion Tables'!L35)</f>
        <v>NA</v>
      </c>
      <c r="O38" s="16" t="str">
        <f>IF('Conversion Tables'!M35="NA","NA",G38*'Conversion Tables'!M35)</f>
        <v>NA</v>
      </c>
      <c r="P38" s="16" t="str">
        <f>IF('Conversion Tables'!N35="NA","NA",H38*'Conversion Tables'!N35)</f>
        <v>NA</v>
      </c>
      <c r="Q38" s="13"/>
    </row>
    <row r="39" spans="1:17" x14ac:dyDescent="0.25">
      <c r="A39" s="1065"/>
      <c r="B39" s="17" t="s">
        <v>555</v>
      </c>
      <c r="C39" s="294">
        <f>C124</f>
        <v>77009.544000000009</v>
      </c>
      <c r="D39" s="299">
        <f>E39*'Conversion Tables'!C36</f>
        <v>0</v>
      </c>
      <c r="E39" s="299">
        <f>C39*'Prac. Rec. Assumptions'!B33</f>
        <v>0</v>
      </c>
      <c r="F39" s="294">
        <f>($C39*(1+'Biomass Data Assumptions'!G$93)*(1+'Biomass Data Assumptions'!C$84))*'Prac. Rec. Assumptions'!$B33</f>
        <v>0</v>
      </c>
      <c r="G39" s="294">
        <f>($C39*(1+'Biomass Data Assumptions'!H$93)*(1+'Biomass Data Assumptions'!D$84))*'Prac. Rec. Assumptions'!$B33</f>
        <v>0</v>
      </c>
      <c r="H39" s="294">
        <f>($C39*(1+'Biomass Data Assumptions'!I$93)*(1+'Biomass Data Assumptions'!E$84))*'Prac. Rec. Assumptions'!$B33</f>
        <v>0</v>
      </c>
      <c r="I39" s="16" t="str">
        <f>IF('Conversion Tables'!F36="NA","NA",(E39*'Conversion Tables'!$C36)/'Conversion Tables'!F36)</f>
        <v>NA</v>
      </c>
      <c r="J39" s="16" t="str">
        <f>IF('Conversion Tables'!G36="NA","NA",(F39*'Conversion Tables'!$C36)/'Conversion Tables'!G36)</f>
        <v>NA</v>
      </c>
      <c r="K39" s="16" t="str">
        <f>IF('Conversion Tables'!H36="NA","NA",(G39*'Conversion Tables'!$C36)/'Conversion Tables'!H36)</f>
        <v>NA</v>
      </c>
      <c r="L39" s="16" t="str">
        <f>IF('Conversion Tables'!I36="NA","NA",(H39*'Conversion Tables'!$C36)/'Conversion Tables'!I36)</f>
        <v>NA</v>
      </c>
      <c r="M39" s="16" t="str">
        <f>IF('Conversion Tables'!K36="NA","NA",E39*'Conversion Tables'!K36)</f>
        <v>NA</v>
      </c>
      <c r="N39" s="16" t="str">
        <f>IF('Conversion Tables'!L36="NA","NA",F39*'Conversion Tables'!L36)</f>
        <v>NA</v>
      </c>
      <c r="O39" s="16" t="str">
        <f>IF('Conversion Tables'!M36="NA","NA",G39*'Conversion Tables'!M36)</f>
        <v>NA</v>
      </c>
      <c r="P39" s="16" t="str">
        <f>IF('Conversion Tables'!N36="NA","NA",H39*'Conversion Tables'!N36)</f>
        <v>NA</v>
      </c>
      <c r="Q39" s="27"/>
    </row>
    <row r="40" spans="1:17" x14ac:dyDescent="0.25">
      <c r="A40" s="1065"/>
      <c r="B40" s="17" t="s">
        <v>556</v>
      </c>
      <c r="C40" s="294">
        <f>C125</f>
        <v>22298.795999999998</v>
      </c>
      <c r="D40" s="299">
        <f>E40*'Conversion Tables'!C37</f>
        <v>0</v>
      </c>
      <c r="E40" s="299">
        <f>C40*'Prac. Rec. Assumptions'!B34</f>
        <v>0</v>
      </c>
      <c r="F40" s="294">
        <f>($C40*(1+'Biomass Data Assumptions'!G$93)*(1+'Biomass Data Assumptions'!C$84))*'Prac. Rec. Assumptions'!$B34</f>
        <v>0</v>
      </c>
      <c r="G40" s="294">
        <f>($C40*(1+'Biomass Data Assumptions'!H$93)*(1+'Biomass Data Assumptions'!D$84))*'Prac. Rec. Assumptions'!$B34</f>
        <v>0</v>
      </c>
      <c r="H40" s="294">
        <f>($C40*(1+'Biomass Data Assumptions'!I$93)*(1+'Biomass Data Assumptions'!E$84))*'Prac. Rec. Assumptions'!$B34</f>
        <v>0</v>
      </c>
      <c r="I40" s="16" t="str">
        <f>IF('Conversion Tables'!F37="NA","NA",(E40*'Conversion Tables'!$C37)/'Conversion Tables'!F37)</f>
        <v>NA</v>
      </c>
      <c r="J40" s="16" t="str">
        <f>IF('Conversion Tables'!G37="NA","NA",(F40*'Conversion Tables'!$C37)/'Conversion Tables'!G37)</f>
        <v>NA</v>
      </c>
      <c r="K40" s="16" t="str">
        <f>IF('Conversion Tables'!H37="NA","NA",(G40*'Conversion Tables'!$C37)/'Conversion Tables'!H37)</f>
        <v>NA</v>
      </c>
      <c r="L40" s="16" t="str">
        <f>IF('Conversion Tables'!I37="NA","NA",(H40*'Conversion Tables'!$C37)/'Conversion Tables'!I37)</f>
        <v>NA</v>
      </c>
      <c r="M40" s="16" t="str">
        <f>IF('Conversion Tables'!K37="NA","NA",E40*'Conversion Tables'!K37)</f>
        <v>NA</v>
      </c>
      <c r="N40" s="16" t="str">
        <f>IF('Conversion Tables'!L37="NA","NA",F40*'Conversion Tables'!L37)</f>
        <v>NA</v>
      </c>
      <c r="O40" s="16" t="str">
        <f>IF('Conversion Tables'!M37="NA","NA",G40*'Conversion Tables'!M37)</f>
        <v>NA</v>
      </c>
      <c r="P40" s="16" t="str">
        <f>IF('Conversion Tables'!N37="NA","NA",H40*'Conversion Tables'!N37)</f>
        <v>NA</v>
      </c>
      <c r="Q40" s="27"/>
    </row>
    <row r="41" spans="1:17" x14ac:dyDescent="0.25">
      <c r="A41" s="1065"/>
      <c r="B41" s="17" t="s">
        <v>557</v>
      </c>
      <c r="C41" s="294">
        <f>C126</f>
        <v>35479.701000000001</v>
      </c>
      <c r="D41" s="299">
        <f>E41*'Conversion Tables'!C38</f>
        <v>0</v>
      </c>
      <c r="E41" s="299">
        <f>C41*'Prac. Rec. Assumptions'!B35</f>
        <v>0</v>
      </c>
      <c r="F41" s="294">
        <f>($C41*(1+'Biomass Data Assumptions'!G$93)*(1+'Biomass Data Assumptions'!C$84))*'Prac. Rec. Assumptions'!$B35</f>
        <v>0</v>
      </c>
      <c r="G41" s="294">
        <f>($C41*(1+'Biomass Data Assumptions'!H$93)*(1+'Biomass Data Assumptions'!D$84))*'Prac. Rec. Assumptions'!$B35</f>
        <v>0</v>
      </c>
      <c r="H41" s="294">
        <f>($C41*(1+'Biomass Data Assumptions'!I$93)*(1+'Biomass Data Assumptions'!E$84))*'Prac. Rec. Assumptions'!$B35</f>
        <v>0</v>
      </c>
      <c r="I41" s="16" t="str">
        <f>IF('Conversion Tables'!F38="NA","NA",(E41*'Conversion Tables'!$C38)/'Conversion Tables'!F38)</f>
        <v>NA</v>
      </c>
      <c r="J41" s="16" t="str">
        <f>IF('Conversion Tables'!G38="NA","NA",(F41*'Conversion Tables'!$C38)/'Conversion Tables'!G38)</f>
        <v>NA</v>
      </c>
      <c r="K41" s="16" t="str">
        <f>IF('Conversion Tables'!H38="NA","NA",(G41*'Conversion Tables'!$C38)/'Conversion Tables'!H38)</f>
        <v>NA</v>
      </c>
      <c r="L41" s="16" t="str">
        <f>IF('Conversion Tables'!I38="NA","NA",(H41*'Conversion Tables'!$C38)/'Conversion Tables'!I38)</f>
        <v>NA</v>
      </c>
      <c r="M41" s="16" t="str">
        <f>IF('Conversion Tables'!K38="NA","NA",E41*'Conversion Tables'!K38)</f>
        <v>NA</v>
      </c>
      <c r="N41" s="16" t="str">
        <f>IF('Conversion Tables'!L38="NA","NA",F41*'Conversion Tables'!L38)</f>
        <v>NA</v>
      </c>
      <c r="O41" s="16" t="str">
        <f>IF('Conversion Tables'!M38="NA","NA",G41*'Conversion Tables'!M38)</f>
        <v>NA</v>
      </c>
      <c r="P41" s="16" t="str">
        <f>IF('Conversion Tables'!N38="NA","NA",H41*'Conversion Tables'!N38)</f>
        <v>NA</v>
      </c>
      <c r="Q41" s="27"/>
    </row>
    <row r="42" spans="1:17" x14ac:dyDescent="0.25">
      <c r="A42" s="1065"/>
      <c r="B42" s="17" t="s">
        <v>558</v>
      </c>
      <c r="C42" s="294">
        <f>C127</f>
        <v>16012.773000000001</v>
      </c>
      <c r="D42" s="299">
        <f>E42*'Conversion Tables'!C39</f>
        <v>232537.48950600001</v>
      </c>
      <c r="E42" s="299">
        <f>C42*'Prac. Rec. Assumptions'!B36</f>
        <v>16012.773000000001</v>
      </c>
      <c r="F42" s="294">
        <f>($C42*(1+'Biomass Data Assumptions'!G$93)*(1+'Biomass Data Assumptions'!C$84))*'Prac. Rec. Assumptions'!$B36</f>
        <v>17554.840510816783</v>
      </c>
      <c r="G42" s="294">
        <f>($C42*(1+'Biomass Data Assumptions'!H$93)*(1+'Biomass Data Assumptions'!D$84))*'Prac. Rec. Assumptions'!$B36</f>
        <v>19262.496939959081</v>
      </c>
      <c r="H42" s="294">
        <f>($C42*(1+'Biomass Data Assumptions'!I$93)*(1+'Biomass Data Assumptions'!E$84))*'Prac. Rec. Assumptions'!$B36</f>
        <v>21128.955265034692</v>
      </c>
      <c r="I42" s="16" t="str">
        <f>IF('Conversion Tables'!F39="NA","NA",(E42*'Conversion Tables'!$C39)/'Conversion Tables'!F39)</f>
        <v>NA</v>
      </c>
      <c r="J42" s="16" t="str">
        <f>IF('Conversion Tables'!G39="NA","NA",(F42*'Conversion Tables'!$C39)/'Conversion Tables'!G39)</f>
        <v>NA</v>
      </c>
      <c r="K42" s="16" t="str">
        <f>IF('Conversion Tables'!H39="NA","NA",(G42*'Conversion Tables'!$C39)/'Conversion Tables'!H39)</f>
        <v>NA</v>
      </c>
      <c r="L42" s="16" t="str">
        <f>IF('Conversion Tables'!I39="NA","NA",(H42*'Conversion Tables'!$C39)/'Conversion Tables'!I39)</f>
        <v>NA</v>
      </c>
      <c r="M42" s="16" t="str">
        <f>IF('Conversion Tables'!K39="NA","NA",E42*'Conversion Tables'!K39)</f>
        <v>NA</v>
      </c>
      <c r="N42" s="16" t="str">
        <f>IF('Conversion Tables'!L39="NA","NA",F42*'Conversion Tables'!L39)</f>
        <v>NA</v>
      </c>
      <c r="O42" s="16" t="str">
        <f>IF('Conversion Tables'!M39="NA","NA",G42*'Conversion Tables'!M39)</f>
        <v>NA</v>
      </c>
      <c r="P42" s="16" t="str">
        <f>IF('Conversion Tables'!N39="NA","NA",H42*'Conversion Tables'!N39)</f>
        <v>NA</v>
      </c>
      <c r="Q42" s="27"/>
    </row>
    <row r="43" spans="1:17" x14ac:dyDescent="0.25">
      <c r="A43" s="1065"/>
      <c r="B43" s="9" t="s">
        <v>524</v>
      </c>
      <c r="C43" s="295">
        <f t="shared" ref="C43:P43" si="4">SUM(C31:C42)</f>
        <v>448589.21860399994</v>
      </c>
      <c r="D43" s="295">
        <f t="shared" si="4"/>
        <v>3518393.6546152793</v>
      </c>
      <c r="E43" s="295">
        <f t="shared" si="4"/>
        <v>226849.74058960006</v>
      </c>
      <c r="F43" s="295">
        <f t="shared" si="4"/>
        <v>232599.0302834246</v>
      </c>
      <c r="G43" s="295">
        <f t="shared" si="4"/>
        <v>238960.63019761984</v>
      </c>
      <c r="H43" s="295">
        <f t="shared" si="4"/>
        <v>245681.24114307421</v>
      </c>
      <c r="I43" s="19">
        <f t="shared" si="4"/>
        <v>0</v>
      </c>
      <c r="J43" s="19">
        <f t="shared" si="4"/>
        <v>0</v>
      </c>
      <c r="K43" s="19">
        <f t="shared" si="4"/>
        <v>0</v>
      </c>
      <c r="L43" s="19">
        <f t="shared" si="4"/>
        <v>0</v>
      </c>
      <c r="M43" s="19">
        <f t="shared" si="4"/>
        <v>0</v>
      </c>
      <c r="N43" s="19">
        <f t="shared" si="4"/>
        <v>0</v>
      </c>
      <c r="O43" s="19">
        <f t="shared" si="4"/>
        <v>0</v>
      </c>
      <c r="P43" s="19">
        <f t="shared" si="4"/>
        <v>0</v>
      </c>
      <c r="Q43" s="19"/>
    </row>
    <row r="44" spans="1:17" x14ac:dyDescent="0.25">
      <c r="A44" s="8"/>
      <c r="C44" s="296"/>
      <c r="D44" s="296"/>
      <c r="E44" s="296"/>
      <c r="F44" s="296"/>
      <c r="G44" s="296"/>
      <c r="H44" s="296"/>
      <c r="I44" s="28"/>
      <c r="J44" s="28"/>
      <c r="K44" s="28"/>
      <c r="L44" s="28"/>
      <c r="M44" s="28"/>
      <c r="N44" s="28"/>
      <c r="O44" s="28"/>
      <c r="P44" s="28"/>
    </row>
    <row r="45" spans="1:17" x14ac:dyDescent="0.25">
      <c r="A45" s="1064" t="s">
        <v>515</v>
      </c>
      <c r="B45" s="2" t="s">
        <v>510</v>
      </c>
      <c r="C45" s="294"/>
      <c r="D45" s="294"/>
      <c r="E45" s="294"/>
      <c r="F45" s="294"/>
      <c r="G45" s="294"/>
      <c r="H45" s="294"/>
      <c r="I45" s="16"/>
      <c r="J45" s="16"/>
      <c r="K45" s="16"/>
      <c r="L45" s="16"/>
      <c r="M45" s="16"/>
      <c r="N45" s="16"/>
      <c r="O45" s="16"/>
      <c r="P45" s="16"/>
      <c r="Q45" s="7"/>
    </row>
    <row r="46" spans="1:17" x14ac:dyDescent="0.25">
      <c r="A46" s="1064"/>
      <c r="B46" s="12" t="s">
        <v>525</v>
      </c>
      <c r="C46" s="294">
        <f>D77</f>
        <v>0</v>
      </c>
      <c r="D46" s="294">
        <f>E46*'Conversion Tables'!C41</f>
        <v>0</v>
      </c>
      <c r="E46" s="294">
        <f>C46*'Prac. Rec. Assumptions'!B38</f>
        <v>0</v>
      </c>
      <c r="F46" s="294">
        <f>$E46</f>
        <v>0</v>
      </c>
      <c r="G46" s="294">
        <f>$E46</f>
        <v>0</v>
      </c>
      <c r="H46" s="294">
        <f>$E46</f>
        <v>0</v>
      </c>
      <c r="I46" s="16" t="str">
        <f>IF('Conversion Tables'!F41="NA","NA",(E46*'Conversion Tables'!$C41)/'Conversion Tables'!F41)</f>
        <v>NA</v>
      </c>
      <c r="J46" s="16" t="str">
        <f>IF('Conversion Tables'!G41="NA","NA",(F46*'Conversion Tables'!$C41)/'Conversion Tables'!G41)</f>
        <v>NA</v>
      </c>
      <c r="K46" s="16" t="str">
        <f>IF('Conversion Tables'!H41="NA","NA",(G46*'Conversion Tables'!$C41)/'Conversion Tables'!H41)</f>
        <v>NA</v>
      </c>
      <c r="L46" s="16" t="str">
        <f>IF('Conversion Tables'!I41="NA","NA",(H46*'Conversion Tables'!$C41)/'Conversion Tables'!I41)</f>
        <v>NA</v>
      </c>
      <c r="M46" s="16" t="str">
        <f>IF('Conversion Tables'!K41="NA","NA",E46*'Conversion Tables'!K41)</f>
        <v>NA</v>
      </c>
      <c r="N46" s="16" t="str">
        <f>IF('Conversion Tables'!L41="NA","NA",F46*'Conversion Tables'!L41)</f>
        <v>NA</v>
      </c>
      <c r="O46" s="16" t="str">
        <f>IF('Conversion Tables'!M41="NA","NA",G46*'Conversion Tables'!M41)</f>
        <v>NA</v>
      </c>
      <c r="P46" s="16" t="str">
        <f>IF('Conversion Tables'!N41="NA","NA",H46*'Conversion Tables'!N41)</f>
        <v>NA</v>
      </c>
      <c r="Q46" s="15"/>
    </row>
    <row r="47" spans="1:17" x14ac:dyDescent="0.25">
      <c r="A47" s="1065"/>
      <c r="B47" s="2" t="s">
        <v>508</v>
      </c>
      <c r="C47" s="294">
        <f t="shared" ref="C47:C48" si="5">C148</f>
        <v>3385.1338400000004</v>
      </c>
      <c r="D47" s="294"/>
      <c r="E47" s="294">
        <f>C47*'Prac. Rec. Assumptions'!B39</f>
        <v>1692.5669200000002</v>
      </c>
      <c r="F47" s="294">
        <f>($C47*(1+'Biomass Data Assumptions'!G$93))*'Prac. Rec. Assumptions'!$B39</f>
        <v>1696.941460865266</v>
      </c>
      <c r="G47" s="294">
        <f>($C47*(1+'Biomass Data Assumptions'!H$93))*'Prac. Rec. Assumptions'!$B39</f>
        <v>1702.8375811619285</v>
      </c>
      <c r="H47" s="294">
        <f>($C47*(1+'Biomass Data Assumptions'!I$93))*'Prac. Rec. Assumptions'!$B39</f>
        <v>1708.1631091718173</v>
      </c>
      <c r="I47" s="16" t="str">
        <f>IF('Conversion Tables'!F42="NA","NA",(E47*'Conversion Tables'!$C42)/'Conversion Tables'!F42)</f>
        <v>NA</v>
      </c>
      <c r="J47" s="16" t="str">
        <f>IF('Conversion Tables'!G42="NA","NA",(F47*'Conversion Tables'!$C42)/'Conversion Tables'!G42)</f>
        <v>NA</v>
      </c>
      <c r="K47" s="16" t="str">
        <f>IF('Conversion Tables'!H42="NA","NA",(G47*'Conversion Tables'!$C42)/'Conversion Tables'!H42)</f>
        <v>NA</v>
      </c>
      <c r="L47" s="16" t="str">
        <f>IF('Conversion Tables'!I42="NA","NA",(H47*'Conversion Tables'!$C42)/'Conversion Tables'!I42)</f>
        <v>NA</v>
      </c>
      <c r="M47" s="16" t="str">
        <f>IF('Conversion Tables'!K42="NA","NA",E47*'Conversion Tables'!K42)</f>
        <v>NA</v>
      </c>
      <c r="N47" s="16" t="str">
        <f>IF('Conversion Tables'!L42="NA","NA",F47*'Conversion Tables'!L42)</f>
        <v>NA</v>
      </c>
      <c r="O47" s="16" t="str">
        <f>IF('Conversion Tables'!M42="NA","NA",G47*'Conversion Tables'!M42)</f>
        <v>NA</v>
      </c>
      <c r="P47" s="16" t="str">
        <f>IF('Conversion Tables'!N42="NA","NA",H47*'Conversion Tables'!N42)</f>
        <v>NA</v>
      </c>
      <c r="Q47" s="7"/>
    </row>
    <row r="48" spans="1:17" x14ac:dyDescent="0.25">
      <c r="A48" s="1065"/>
      <c r="B48" s="1" t="s">
        <v>509</v>
      </c>
      <c r="C48" s="294">
        <f t="shared" si="5"/>
        <v>302.53502300000002</v>
      </c>
      <c r="D48" s="294"/>
      <c r="E48" s="294">
        <f>C48*'Prac. Rec. Assumptions'!B40</f>
        <v>302.53502300000002</v>
      </c>
      <c r="F48" s="294">
        <f>($C48*(1+'Biomass Data Assumptions'!G$93))*'Prac. Rec. Assumptions'!$B40</f>
        <v>303.31694293808295</v>
      </c>
      <c r="G48" s="294">
        <f>($C48*(1+'Biomass Data Assumptions'!H$93))*'Prac. Rec. Assumptions'!$B40</f>
        <v>304.37083502854256</v>
      </c>
      <c r="H48" s="294">
        <f>($C48*(1+'Biomass Data Assumptions'!I$93))*'Prac. Rec. Assumptions'!$B40</f>
        <v>305.32273756186089</v>
      </c>
      <c r="I48" s="16" t="str">
        <f>IF('Conversion Tables'!F43="NA","NA",(E48*'Conversion Tables'!$C43)/'Conversion Tables'!F43)</f>
        <v>NA</v>
      </c>
      <c r="J48" s="16" t="str">
        <f>IF('Conversion Tables'!G43="NA","NA",(F48*'Conversion Tables'!$C43)/'Conversion Tables'!G43)</f>
        <v>NA</v>
      </c>
      <c r="K48" s="16" t="str">
        <f>IF('Conversion Tables'!H43="NA","NA",(G48*'Conversion Tables'!$C43)/'Conversion Tables'!H43)</f>
        <v>NA</v>
      </c>
      <c r="L48" s="16" t="str">
        <f>IF('Conversion Tables'!I43="NA","NA",(H48*'Conversion Tables'!$C43)/'Conversion Tables'!I43)</f>
        <v>NA</v>
      </c>
      <c r="M48" s="16" t="str">
        <f>IF('Conversion Tables'!K43="NA","NA",E48*'Conversion Tables'!K43)</f>
        <v>NA</v>
      </c>
      <c r="N48" s="16" t="str">
        <f>IF('Conversion Tables'!L43="NA","NA",F48*'Conversion Tables'!L43)</f>
        <v>NA</v>
      </c>
      <c r="O48" s="16" t="str">
        <f>IF('Conversion Tables'!M43="NA","NA",G48*'Conversion Tables'!M43)</f>
        <v>NA</v>
      </c>
      <c r="P48" s="16" t="str">
        <f>IF('Conversion Tables'!N43="NA","NA",H48*'Conversion Tables'!N43)</f>
        <v>NA</v>
      </c>
      <c r="Q48" s="7"/>
    </row>
    <row r="49" spans="1:17" x14ac:dyDescent="0.25">
      <c r="A49" s="1065"/>
      <c r="B49" s="9" t="s">
        <v>524</v>
      </c>
      <c r="C49" s="295">
        <f t="shared" ref="C49:P49" si="6">SUM(C45:C48)</f>
        <v>3687.6688630000003</v>
      </c>
      <c r="D49" s="295">
        <f>SUM(D45:D48)</f>
        <v>0</v>
      </c>
      <c r="E49" s="295">
        <f t="shared" si="6"/>
        <v>1995.1019430000001</v>
      </c>
      <c r="F49" s="295">
        <f>SUM(F45:F48)</f>
        <v>2000.258403803349</v>
      </c>
      <c r="G49" s="295">
        <f>SUM(G45:G48)</f>
        <v>2007.2084161904711</v>
      </c>
      <c r="H49" s="295">
        <f>SUM(H45:H48)</f>
        <v>2013.485846733678</v>
      </c>
      <c r="I49" s="19">
        <f t="shared" si="6"/>
        <v>0</v>
      </c>
      <c r="J49" s="19">
        <f t="shared" si="6"/>
        <v>0</v>
      </c>
      <c r="K49" s="19">
        <f t="shared" si="6"/>
        <v>0</v>
      </c>
      <c r="L49" s="19">
        <f t="shared" si="6"/>
        <v>0</v>
      </c>
      <c r="M49" s="19">
        <f t="shared" si="6"/>
        <v>0</v>
      </c>
      <c r="N49" s="19">
        <f t="shared" si="6"/>
        <v>0</v>
      </c>
      <c r="O49" s="19">
        <f t="shared" si="6"/>
        <v>0</v>
      </c>
      <c r="P49" s="19">
        <f t="shared" si="6"/>
        <v>0</v>
      </c>
      <c r="Q49" s="19"/>
    </row>
    <row r="50" spans="1:17" x14ac:dyDescent="0.25">
      <c r="A50" s="8"/>
      <c r="C50" s="296"/>
      <c r="D50" s="296"/>
      <c r="E50" s="296"/>
      <c r="F50" s="296"/>
      <c r="G50" s="296"/>
      <c r="H50" s="296"/>
      <c r="I50" s="28"/>
      <c r="J50" s="28"/>
      <c r="K50" s="28"/>
      <c r="L50" s="28"/>
      <c r="M50" s="28"/>
      <c r="N50" s="28"/>
      <c r="O50" s="28"/>
      <c r="P50" s="28"/>
    </row>
    <row r="51" spans="1:17" x14ac:dyDescent="0.25">
      <c r="A51" s="1200" t="s">
        <v>517</v>
      </c>
      <c r="B51" s="2" t="s">
        <v>505</v>
      </c>
      <c r="C51" s="294"/>
      <c r="D51" s="294"/>
      <c r="E51" s="294"/>
      <c r="F51" s="294"/>
      <c r="G51" s="294"/>
      <c r="H51" s="294"/>
      <c r="I51" s="16"/>
      <c r="J51" s="16"/>
      <c r="K51" s="16"/>
      <c r="L51" s="16"/>
      <c r="M51" s="16"/>
      <c r="N51" s="16"/>
      <c r="O51" s="16"/>
      <c r="P51" s="16"/>
      <c r="Q51" s="7"/>
    </row>
    <row r="52" spans="1:17" x14ac:dyDescent="0.25">
      <c r="A52" s="1201"/>
      <c r="B52" s="12" t="s">
        <v>535</v>
      </c>
      <c r="C52" s="294">
        <f>G97</f>
        <v>4.5318399999999999</v>
      </c>
      <c r="D52" s="299">
        <f>E52*'Conversion Tables'!C45</f>
        <v>13.381617152</v>
      </c>
      <c r="E52" s="299">
        <f>C52*'Prac. Rec. Assumptions'!B42</f>
        <v>0.90636800000000006</v>
      </c>
      <c r="F52" s="294">
        <f t="shared" ref="F52:H59" si="7">$E52</f>
        <v>0.90636800000000006</v>
      </c>
      <c r="G52" s="294">
        <f t="shared" si="7"/>
        <v>0.90636800000000006</v>
      </c>
      <c r="H52" s="294">
        <f t="shared" si="7"/>
        <v>0.90636800000000006</v>
      </c>
      <c r="I52" s="16" t="str">
        <f>IF('Conversion Tables'!F45="NA","NA",(E52*'Conversion Tables'!$C45)/'Conversion Tables'!F45)</f>
        <v>NA</v>
      </c>
      <c r="J52" s="16" t="str">
        <f>IF('Conversion Tables'!G45="NA","NA",(F52*'Conversion Tables'!$C45)/'Conversion Tables'!G45)</f>
        <v>NA</v>
      </c>
      <c r="K52" s="16" t="str">
        <f>IF('Conversion Tables'!H45="NA","NA",(G52*'Conversion Tables'!$C45)/'Conversion Tables'!H45)</f>
        <v>NA</v>
      </c>
      <c r="L52" s="16" t="str">
        <f>IF('Conversion Tables'!I45="NA","NA",(H52*'Conversion Tables'!$C45)/'Conversion Tables'!I45)</f>
        <v>NA</v>
      </c>
      <c r="M52" s="16" t="str">
        <f>IF('Conversion Tables'!K45="NA","NA",E52*'Conversion Tables'!K45)</f>
        <v>NA</v>
      </c>
      <c r="N52" s="16" t="str">
        <f>IF('Conversion Tables'!L45="NA","NA",F52*'Conversion Tables'!L45)</f>
        <v>NA</v>
      </c>
      <c r="O52" s="16" t="str">
        <f>IF('Conversion Tables'!M45="NA","NA",G52*'Conversion Tables'!M45)</f>
        <v>NA</v>
      </c>
      <c r="P52" s="16" t="str">
        <f>IF('Conversion Tables'!N45="NA","NA",H52*'Conversion Tables'!N45)</f>
        <v>NA</v>
      </c>
      <c r="Q52" s="27"/>
    </row>
    <row r="53" spans="1:17" x14ac:dyDescent="0.25">
      <c r="A53" s="1201"/>
      <c r="B53" s="12" t="s">
        <v>539</v>
      </c>
      <c r="C53" s="294">
        <f>G102</f>
        <v>0</v>
      </c>
      <c r="D53" s="299">
        <f>E53*'Conversion Tables'!C46</f>
        <v>0</v>
      </c>
      <c r="E53" s="299">
        <f>C53*'Prac. Rec. Assumptions'!B43</f>
        <v>0</v>
      </c>
      <c r="F53" s="294">
        <f t="shared" si="7"/>
        <v>0</v>
      </c>
      <c r="G53" s="294">
        <f t="shared" si="7"/>
        <v>0</v>
      </c>
      <c r="H53" s="294">
        <f t="shared" si="7"/>
        <v>0</v>
      </c>
      <c r="I53" s="16" t="str">
        <f>IF('Conversion Tables'!F46="NA","NA",(E53*'Conversion Tables'!$C46)/'Conversion Tables'!F46)</f>
        <v>NA</v>
      </c>
      <c r="J53" s="16" t="str">
        <f>IF('Conversion Tables'!G46="NA","NA",(F53*'Conversion Tables'!$C46)/'Conversion Tables'!G46)</f>
        <v>NA</v>
      </c>
      <c r="K53" s="16" t="str">
        <f>IF('Conversion Tables'!H46="NA","NA",(G53*'Conversion Tables'!$C46)/'Conversion Tables'!H46)</f>
        <v>NA</v>
      </c>
      <c r="L53" s="16" t="str">
        <f>IF('Conversion Tables'!I46="NA","NA",(H53*'Conversion Tables'!$C46)/'Conversion Tables'!I46)</f>
        <v>NA</v>
      </c>
      <c r="M53" s="16" t="str">
        <f>IF('Conversion Tables'!K46="NA","NA",E53*'Conversion Tables'!K46)</f>
        <v>NA</v>
      </c>
      <c r="N53" s="16" t="str">
        <f>IF('Conversion Tables'!L46="NA","NA",F53*'Conversion Tables'!L46)</f>
        <v>NA</v>
      </c>
      <c r="O53" s="16" t="str">
        <f>IF('Conversion Tables'!M46="NA","NA",G53*'Conversion Tables'!M46)</f>
        <v>NA</v>
      </c>
      <c r="P53" s="16" t="str">
        <f>IF('Conversion Tables'!N46="NA","NA",H53*'Conversion Tables'!N46)</f>
        <v>NA</v>
      </c>
      <c r="Q53" s="27"/>
    </row>
    <row r="54" spans="1:17" x14ac:dyDescent="0.25">
      <c r="A54" s="1201"/>
      <c r="B54" s="12" t="s">
        <v>545</v>
      </c>
      <c r="C54" s="294">
        <f>G106</f>
        <v>444.60011250000002</v>
      </c>
      <c r="D54" s="299">
        <f>E54*'Conversion Tables'!C47</f>
        <v>3938.4456365699998</v>
      </c>
      <c r="E54" s="299">
        <f>C54*'Prac. Rec. Assumptions'!B44</f>
        <v>266.76006749999999</v>
      </c>
      <c r="F54" s="294">
        <f t="shared" si="7"/>
        <v>266.76006749999999</v>
      </c>
      <c r="G54" s="294">
        <f t="shared" si="7"/>
        <v>266.76006749999999</v>
      </c>
      <c r="H54" s="294">
        <f t="shared" si="7"/>
        <v>266.76006749999999</v>
      </c>
      <c r="I54" s="16" t="str">
        <f>IF('Conversion Tables'!F47="NA","NA",(E54*'Conversion Tables'!$C47)/'Conversion Tables'!F47)</f>
        <v>NA</v>
      </c>
      <c r="J54" s="16" t="str">
        <f>IF('Conversion Tables'!G47="NA","NA",(F54*'Conversion Tables'!$C47)/'Conversion Tables'!G47)</f>
        <v>NA</v>
      </c>
      <c r="K54" s="16" t="str">
        <f>IF('Conversion Tables'!H47="NA","NA",(G54*'Conversion Tables'!$C47)/'Conversion Tables'!H47)</f>
        <v>NA</v>
      </c>
      <c r="L54" s="16" t="str">
        <f>IF('Conversion Tables'!I47="NA","NA",(H54*'Conversion Tables'!$C47)/'Conversion Tables'!I47)</f>
        <v>NA</v>
      </c>
      <c r="M54" s="16" t="str">
        <f>IF('Conversion Tables'!K47="NA","NA",E54*'Conversion Tables'!K47)</f>
        <v>NA</v>
      </c>
      <c r="N54" s="16" t="str">
        <f>IF('Conversion Tables'!L47="NA","NA",F54*'Conversion Tables'!L47)</f>
        <v>NA</v>
      </c>
      <c r="O54" s="16" t="str">
        <f>IF('Conversion Tables'!M47="NA","NA",G54*'Conversion Tables'!M47)</f>
        <v>NA</v>
      </c>
      <c r="P54" s="16" t="str">
        <f>IF('Conversion Tables'!N47="NA","NA",H54*'Conversion Tables'!N47)</f>
        <v>NA</v>
      </c>
      <c r="Q54" s="27"/>
    </row>
    <row r="55" spans="1:17" x14ac:dyDescent="0.25">
      <c r="A55" s="1201"/>
      <c r="B55" s="12" t="s">
        <v>546</v>
      </c>
      <c r="C55" s="294">
        <f>G108</f>
        <v>8.0664999999999996</v>
      </c>
      <c r="D55" s="299">
        <f>E55*'Conversion Tables'!C48</f>
        <v>23.818761199999997</v>
      </c>
      <c r="E55" s="299">
        <f>C55*'Prac. Rec. Assumptions'!B45</f>
        <v>1.6133</v>
      </c>
      <c r="F55" s="294">
        <f t="shared" si="7"/>
        <v>1.6133</v>
      </c>
      <c r="G55" s="294">
        <f t="shared" si="7"/>
        <v>1.6133</v>
      </c>
      <c r="H55" s="294">
        <f t="shared" si="7"/>
        <v>1.6133</v>
      </c>
      <c r="I55" s="16" t="str">
        <f>IF('Conversion Tables'!F48="NA","NA",(E55*'Conversion Tables'!$C48)/'Conversion Tables'!F48)</f>
        <v>NA</v>
      </c>
      <c r="J55" s="16" t="str">
        <f>IF('Conversion Tables'!G48="NA","NA",(F55*'Conversion Tables'!$C48)/'Conversion Tables'!G48)</f>
        <v>NA</v>
      </c>
      <c r="K55" s="16" t="str">
        <f>IF('Conversion Tables'!H48="NA","NA",(G55*'Conversion Tables'!$C48)/'Conversion Tables'!H48)</f>
        <v>NA</v>
      </c>
      <c r="L55" s="16" t="str">
        <f>IF('Conversion Tables'!I48="NA","NA",(H55*'Conversion Tables'!$C48)/'Conversion Tables'!I48)</f>
        <v>NA</v>
      </c>
      <c r="M55" s="16" t="str">
        <f>IF('Conversion Tables'!K48="NA","NA",E55*'Conversion Tables'!K48)</f>
        <v>NA</v>
      </c>
      <c r="N55" s="16" t="str">
        <f>IF('Conversion Tables'!L48="NA","NA",F55*'Conversion Tables'!L48)</f>
        <v>NA</v>
      </c>
      <c r="O55" s="16" t="str">
        <f>IF('Conversion Tables'!M48="NA","NA",G55*'Conversion Tables'!M48)</f>
        <v>NA</v>
      </c>
      <c r="P55" s="16" t="str">
        <f>IF('Conversion Tables'!N48="NA","NA",H55*'Conversion Tables'!N48)</f>
        <v>NA</v>
      </c>
      <c r="Q55" s="27"/>
    </row>
    <row r="56" spans="1:17" x14ac:dyDescent="0.25">
      <c r="A56" s="1201"/>
      <c r="B56" s="12" t="s">
        <v>547</v>
      </c>
      <c r="C56" s="294">
        <f>G110</f>
        <v>7.8840000000000003</v>
      </c>
      <c r="D56" s="299">
        <f>E56*'Conversion Tables'!C49</f>
        <v>23.279875200000003</v>
      </c>
      <c r="E56" s="299">
        <f>C56*'Prac. Rec. Assumptions'!B46</f>
        <v>1.5768000000000002</v>
      </c>
      <c r="F56" s="294">
        <f t="shared" si="7"/>
        <v>1.5768000000000002</v>
      </c>
      <c r="G56" s="294">
        <f t="shared" si="7"/>
        <v>1.5768000000000002</v>
      </c>
      <c r="H56" s="294">
        <f t="shared" si="7"/>
        <v>1.5768000000000002</v>
      </c>
      <c r="I56" s="16" t="str">
        <f>IF('Conversion Tables'!F49="NA","NA",(E56*'Conversion Tables'!$C49)/'Conversion Tables'!F49)</f>
        <v>NA</v>
      </c>
      <c r="J56" s="16" t="str">
        <f>IF('Conversion Tables'!G49="NA","NA",(F56*'Conversion Tables'!$C49)/'Conversion Tables'!G49)</f>
        <v>NA</v>
      </c>
      <c r="K56" s="16" t="str">
        <f>IF('Conversion Tables'!H49="NA","NA",(G56*'Conversion Tables'!$C49)/'Conversion Tables'!H49)</f>
        <v>NA</v>
      </c>
      <c r="L56" s="16" t="str">
        <f>IF('Conversion Tables'!I49="NA","NA",(H56*'Conversion Tables'!$C49)/'Conversion Tables'!I49)</f>
        <v>NA</v>
      </c>
      <c r="M56" s="16" t="str">
        <f>IF('Conversion Tables'!K49="NA","NA",E56*'Conversion Tables'!K49)</f>
        <v>NA</v>
      </c>
      <c r="N56" s="16" t="str">
        <f>IF('Conversion Tables'!L49="NA","NA",F56*'Conversion Tables'!L49)</f>
        <v>NA</v>
      </c>
      <c r="O56" s="16" t="str">
        <f>IF('Conversion Tables'!M49="NA","NA",G56*'Conversion Tables'!M49)</f>
        <v>NA</v>
      </c>
      <c r="P56" s="16" t="str">
        <f>IF('Conversion Tables'!N49="NA","NA",H56*'Conversion Tables'!N49)</f>
        <v>NA</v>
      </c>
      <c r="Q56" s="27"/>
    </row>
    <row r="57" spans="1:17" x14ac:dyDescent="0.25">
      <c r="A57" s="1201"/>
      <c r="B57" s="133" t="s">
        <v>605</v>
      </c>
      <c r="C57" s="294">
        <f>G115</f>
        <v>729.94524999999999</v>
      </c>
      <c r="D57" s="299">
        <f>E57*'Conversion Tables'!C50</f>
        <v>5388.4558354999999</v>
      </c>
      <c r="E57" s="299">
        <f>C57*'Prac. Rec. Assumptions'!B47</f>
        <v>364.97262499999999</v>
      </c>
      <c r="F57" s="294">
        <f t="shared" si="7"/>
        <v>364.97262499999999</v>
      </c>
      <c r="G57" s="294">
        <f t="shared" si="7"/>
        <v>364.97262499999999</v>
      </c>
      <c r="H57" s="294">
        <f t="shared" si="7"/>
        <v>364.97262499999999</v>
      </c>
      <c r="I57" s="16" t="str">
        <f>IF('Conversion Tables'!F50="NA","NA",(E57*'Conversion Tables'!$C50)/'Conversion Tables'!F50)</f>
        <v>NA</v>
      </c>
      <c r="J57" s="16" t="str">
        <f>IF('Conversion Tables'!G50="NA","NA",(F57*'Conversion Tables'!$C50)/'Conversion Tables'!G50)</f>
        <v>NA</v>
      </c>
      <c r="K57" s="16" t="str">
        <f>IF('Conversion Tables'!H50="NA","NA",(G57*'Conversion Tables'!$C50)/'Conversion Tables'!H50)</f>
        <v>NA</v>
      </c>
      <c r="L57" s="16" t="str">
        <f>IF('Conversion Tables'!I50="NA","NA",(H57*'Conversion Tables'!$C50)/'Conversion Tables'!I50)</f>
        <v>NA</v>
      </c>
      <c r="M57" s="16" t="str">
        <f>IF('Conversion Tables'!K50="NA","NA",E57*'Conversion Tables'!K50)</f>
        <v>NA</v>
      </c>
      <c r="N57" s="16" t="str">
        <f>IF('Conversion Tables'!L50="NA","NA",F57*'Conversion Tables'!L50)</f>
        <v>NA</v>
      </c>
      <c r="O57" s="16" t="str">
        <f>IF('Conversion Tables'!M50="NA","NA",G57*'Conversion Tables'!M50)</f>
        <v>NA</v>
      </c>
      <c r="P57" s="16" t="str">
        <f>IF('Conversion Tables'!N50="NA","NA",H57*'Conversion Tables'!N50)</f>
        <v>NA</v>
      </c>
      <c r="Q57" s="27"/>
    </row>
    <row r="58" spans="1:17" x14ac:dyDescent="0.25">
      <c r="A58" s="1201"/>
      <c r="B58" s="12" t="s">
        <v>551</v>
      </c>
      <c r="C58" s="294">
        <f>G117</f>
        <v>35.587499999999999</v>
      </c>
      <c r="D58" s="299">
        <f>E58*'Conversion Tables'!C51</f>
        <v>427.04999999999995</v>
      </c>
      <c r="E58" s="299">
        <f>C58*'Prac. Rec. Assumptions'!B48</f>
        <v>35.587499999999999</v>
      </c>
      <c r="F58" s="294">
        <f t="shared" si="7"/>
        <v>35.587499999999999</v>
      </c>
      <c r="G58" s="294">
        <f t="shared" si="7"/>
        <v>35.587499999999999</v>
      </c>
      <c r="H58" s="294">
        <f t="shared" si="7"/>
        <v>35.587499999999999</v>
      </c>
      <c r="I58" s="16" t="str">
        <f>IF('Conversion Tables'!F51="NA","NA",(E58*'Conversion Tables'!$C51)/'Conversion Tables'!F51)</f>
        <v>NA</v>
      </c>
      <c r="J58" s="16" t="str">
        <f>IF('Conversion Tables'!G51="NA","NA",(F58*'Conversion Tables'!$C51)/'Conversion Tables'!G51)</f>
        <v>NA</v>
      </c>
      <c r="K58" s="16" t="str">
        <f>IF('Conversion Tables'!H51="NA","NA",(G58*'Conversion Tables'!$C51)/'Conversion Tables'!H51)</f>
        <v>NA</v>
      </c>
      <c r="L58" s="16" t="str">
        <f>IF('Conversion Tables'!I51="NA","NA",(H58*'Conversion Tables'!$C51)/'Conversion Tables'!I51)</f>
        <v>NA</v>
      </c>
      <c r="M58" s="16" t="str">
        <f>IF('Conversion Tables'!K51="NA","NA",E58*'Conversion Tables'!K51)</f>
        <v>NA</v>
      </c>
      <c r="N58" s="16" t="str">
        <f>IF('Conversion Tables'!L51="NA","NA",F58*'Conversion Tables'!L51)</f>
        <v>NA</v>
      </c>
      <c r="O58" s="16" t="str">
        <f>IF('Conversion Tables'!M51="NA","NA",G58*'Conversion Tables'!M51)</f>
        <v>NA</v>
      </c>
      <c r="P58" s="16" t="str">
        <f>IF('Conversion Tables'!N51="NA","NA",H58*'Conversion Tables'!N51)</f>
        <v>NA</v>
      </c>
      <c r="Q58" s="27"/>
    </row>
    <row r="59" spans="1:17" x14ac:dyDescent="0.25">
      <c r="A59" s="1201"/>
      <c r="B59" s="12" t="s">
        <v>552</v>
      </c>
      <c r="C59" s="294">
        <f>G119</f>
        <v>0</v>
      </c>
      <c r="D59" s="299">
        <f>E59*'Conversion Tables'!C52</f>
        <v>0</v>
      </c>
      <c r="E59" s="299">
        <f>C59*'Prac. Rec. Assumptions'!B49</f>
        <v>0</v>
      </c>
      <c r="F59" s="294">
        <f t="shared" si="7"/>
        <v>0</v>
      </c>
      <c r="G59" s="294">
        <f t="shared" si="7"/>
        <v>0</v>
      </c>
      <c r="H59" s="294">
        <f t="shared" si="7"/>
        <v>0</v>
      </c>
      <c r="I59" s="16" t="str">
        <f>IF('Conversion Tables'!F52="NA","NA",(E59*'Conversion Tables'!$C52)/'Conversion Tables'!F52)</f>
        <v>NA</v>
      </c>
      <c r="J59" s="16" t="str">
        <f>IF('Conversion Tables'!G52="NA","NA",(F59*'Conversion Tables'!$C52)/'Conversion Tables'!G52)</f>
        <v>NA</v>
      </c>
      <c r="K59" s="16" t="str">
        <f>IF('Conversion Tables'!H52="NA","NA",(G59*'Conversion Tables'!$C52)/'Conversion Tables'!H52)</f>
        <v>NA</v>
      </c>
      <c r="L59" s="16" t="str">
        <f>IF('Conversion Tables'!I52="NA","NA",(H59*'Conversion Tables'!$C52)/'Conversion Tables'!I52)</f>
        <v>NA</v>
      </c>
      <c r="M59" s="16" t="str">
        <f>IF('Conversion Tables'!K52="NA","NA",E59*'Conversion Tables'!K52)</f>
        <v>NA</v>
      </c>
      <c r="N59" s="16" t="str">
        <f>IF('Conversion Tables'!L52="NA","NA",F59*'Conversion Tables'!L52)</f>
        <v>NA</v>
      </c>
      <c r="O59" s="16" t="str">
        <f>IF('Conversion Tables'!M52="NA","NA",G59*'Conversion Tables'!M52)</f>
        <v>NA</v>
      </c>
      <c r="P59" s="16" t="str">
        <f>IF('Conversion Tables'!N52="NA","NA",H59*'Conversion Tables'!N52)</f>
        <v>NA</v>
      </c>
      <c r="Q59" s="27"/>
    </row>
    <row r="60" spans="1:17" x14ac:dyDescent="0.25">
      <c r="A60" s="1202"/>
      <c r="B60" s="129" t="s">
        <v>305</v>
      </c>
      <c r="C60" s="294">
        <f>'Biomass Data Assumptions'!AE8</f>
        <v>6059.0673769999976</v>
      </c>
      <c r="D60" s="299">
        <f>E60*'Conversion Tables'!C53</f>
        <v>72708.808523999964</v>
      </c>
      <c r="E60" s="299">
        <f>C60*'Prac. Rec. Assumptions'!B50</f>
        <v>6059.0673769999976</v>
      </c>
      <c r="F60" s="294">
        <f>($C60*(1+'Biomass Data Assumptions'!G$93*(4/5)))*'Prac. Rec. Assumptions'!$B50</f>
        <v>6071.5953958489472</v>
      </c>
      <c r="G60" s="294">
        <f>($C60*(1+'Biomass Data Assumptions'!H$93*(9/10)))*'Prac. Rec. Assumptions'!$B50</f>
        <v>6092.1576876553745</v>
      </c>
      <c r="H60" s="294">
        <f>($C60*(1+'Biomass Data Assumptions'!I$93*(14/15)))*'Prac. Rec. Assumptions'!$B50</f>
        <v>6111.1766727920049</v>
      </c>
      <c r="I60" s="16" t="str">
        <f>IF('Conversion Tables'!F53="NA","NA",(E60*'Conversion Tables'!$C53)/'Conversion Tables'!F53)</f>
        <v>NA</v>
      </c>
      <c r="J60" s="16" t="str">
        <f>IF('Conversion Tables'!G53="NA","NA",(F60*'Conversion Tables'!$C53)/'Conversion Tables'!G53)</f>
        <v>NA</v>
      </c>
      <c r="K60" s="16" t="str">
        <f>IF('Conversion Tables'!H53="NA","NA",(G60*'Conversion Tables'!$C53)/'Conversion Tables'!H53)</f>
        <v>NA</v>
      </c>
      <c r="L60" s="16" t="str">
        <f>IF('Conversion Tables'!I53="NA","NA",(H60*'Conversion Tables'!$C53)/'Conversion Tables'!I53)</f>
        <v>NA</v>
      </c>
      <c r="M60" s="16" t="str">
        <f>IF('Conversion Tables'!K53="NA","NA",E60*'Conversion Tables'!K53)</f>
        <v>NA</v>
      </c>
      <c r="N60" s="16" t="str">
        <f>IF('Conversion Tables'!L53="NA","NA",F60*'Conversion Tables'!L53)</f>
        <v>NA</v>
      </c>
      <c r="O60" s="16" t="str">
        <f>IF('Conversion Tables'!M53="NA","NA",G60*'Conversion Tables'!M53)</f>
        <v>NA</v>
      </c>
      <c r="P60" s="16" t="str">
        <f>IF('Conversion Tables'!N53="NA","NA",H60*'Conversion Tables'!N53)</f>
        <v>NA</v>
      </c>
      <c r="Q60" s="7"/>
    </row>
    <row r="61" spans="1:17" x14ac:dyDescent="0.25">
      <c r="A61" s="1202"/>
      <c r="B61" s="9" t="s">
        <v>257</v>
      </c>
      <c r="C61" s="295">
        <f>SUM(C52:C60)</f>
        <v>7289.6825794999977</v>
      </c>
      <c r="D61" s="295">
        <f t="shared" ref="D61:H61" si="8">SUM(D52:D60)</f>
        <v>82523.240249621958</v>
      </c>
      <c r="E61" s="295">
        <f t="shared" si="8"/>
        <v>6730.4840374999976</v>
      </c>
      <c r="F61" s="295">
        <f t="shared" si="8"/>
        <v>6743.0120563489472</v>
      </c>
      <c r="G61" s="295">
        <f t="shared" si="8"/>
        <v>6763.5743481553745</v>
      </c>
      <c r="H61" s="295">
        <f t="shared" si="8"/>
        <v>6782.5933332920049</v>
      </c>
      <c r="I61" s="19">
        <f t="shared" ref="I61:P61" si="9">SUM(I52:I60)</f>
        <v>0</v>
      </c>
      <c r="J61" s="19">
        <f t="shared" si="9"/>
        <v>0</v>
      </c>
      <c r="K61" s="19">
        <f t="shared" si="9"/>
        <v>0</v>
      </c>
      <c r="L61" s="19">
        <f t="shared" si="9"/>
        <v>0</v>
      </c>
      <c r="M61" s="19">
        <f t="shared" si="9"/>
        <v>0</v>
      </c>
      <c r="N61" s="19">
        <f t="shared" si="9"/>
        <v>0</v>
      </c>
      <c r="O61" s="19">
        <f t="shared" si="9"/>
        <v>0</v>
      </c>
      <c r="P61" s="19">
        <f t="shared" si="9"/>
        <v>0</v>
      </c>
      <c r="Q61" s="7"/>
    </row>
    <row r="62" spans="1:17" x14ac:dyDescent="0.25">
      <c r="A62" s="1202"/>
      <c r="B62" s="7" t="s">
        <v>256</v>
      </c>
      <c r="C62" s="298" t="s">
        <v>251</v>
      </c>
      <c r="D62" s="13"/>
      <c r="E62" s="298" t="s">
        <v>251</v>
      </c>
      <c r="F62" s="298"/>
      <c r="G62" s="298"/>
      <c r="H62" s="298"/>
      <c r="I62" s="7"/>
      <c r="J62" s="7"/>
      <c r="K62" s="7"/>
      <c r="L62" s="7"/>
      <c r="M62" s="7"/>
      <c r="N62" s="7"/>
      <c r="O62" s="7"/>
      <c r="P62" s="7"/>
      <c r="Q62" s="7"/>
    </row>
    <row r="63" spans="1:17" x14ac:dyDescent="0.25">
      <c r="A63" s="1203"/>
      <c r="B63" s="133" t="s">
        <v>304</v>
      </c>
      <c r="C63" s="294">
        <f>'Biomass Data Assumptions'!AB8</f>
        <v>321.98156719999997</v>
      </c>
      <c r="D63" s="294">
        <f>E63*'Conversion Tables'!C55</f>
        <v>199306.59009679998</v>
      </c>
      <c r="E63" s="299">
        <f>C63*'Prac. Rec. Assumptions'!B51</f>
        <v>321.98156719999997</v>
      </c>
      <c r="F63" s="294">
        <f>($C63*(1+'Biomass Data Assumptions'!G$93*(4/5)))*'Prac. Rec. Assumptions'!$B51</f>
        <v>322.64731175966733</v>
      </c>
      <c r="G63" s="294">
        <f>($C63*(1+'Biomass Data Assumptions'!H$93*(9/10)))*'Prac. Rec. Assumptions'!$B51</f>
        <v>323.74000119999096</v>
      </c>
      <c r="H63" s="294">
        <f>($C63*(1+'Biomass Data Assumptions'!I$93*(14/15)))*'Prac. Rec. Assumptions'!$B51</f>
        <v>324.75067862934111</v>
      </c>
      <c r="I63" s="16" t="str">
        <f>IF('Conversion Tables'!F55="NA","NA",(E63*'Conversion Tables'!$C55)/'Conversion Tables'!F55)</f>
        <v>NA</v>
      </c>
      <c r="J63" s="16" t="str">
        <f>IF('Conversion Tables'!G55="NA","NA",(F63*'Conversion Tables'!$C55)/'Conversion Tables'!G55)</f>
        <v>NA</v>
      </c>
      <c r="K63" s="16" t="str">
        <f>IF('Conversion Tables'!H55="NA","NA",(G63*'Conversion Tables'!$C55)/'Conversion Tables'!H55)</f>
        <v>NA</v>
      </c>
      <c r="L63" s="16" t="str">
        <f>IF('Conversion Tables'!I55="NA","NA",(H63*'Conversion Tables'!$C55)/'Conversion Tables'!I55)</f>
        <v>NA</v>
      </c>
      <c r="M63" s="16" t="str">
        <f>IF('Conversion Tables'!K55="NA","NA",E63*'Conversion Tables'!K55)</f>
        <v>NA</v>
      </c>
      <c r="N63" s="16" t="str">
        <f>IF('Conversion Tables'!L55="NA","NA",F63*'Conversion Tables'!L55)</f>
        <v>NA</v>
      </c>
      <c r="O63" s="16" t="str">
        <f>IF('Conversion Tables'!M55="NA","NA",G63*'Conversion Tables'!M55)</f>
        <v>NA</v>
      </c>
      <c r="P63" s="16" t="str">
        <f>IF('Conversion Tables'!N55="NA","NA",H63*'Conversion Tables'!N55)</f>
        <v>NA</v>
      </c>
      <c r="Q63" s="7"/>
    </row>
    <row r="64" spans="1:17" x14ac:dyDescent="0.25">
      <c r="A64" s="1204"/>
      <c r="B64" s="17" t="s">
        <v>512</v>
      </c>
      <c r="C64" s="294">
        <f>'Biomass Data Assumptions'!X8</f>
        <v>1194.1632</v>
      </c>
      <c r="D64" s="300">
        <f>E64*'Conversion Tables'!C56</f>
        <v>604246.57920000004</v>
      </c>
      <c r="E64" s="299">
        <f>C64*'Prac. Rec. Assumptions'!B52</f>
        <v>1194.1632</v>
      </c>
      <c r="F64" s="832">
        <f>($C64*(1+'Biomass Data Assumptions'!G$93*(3/5))*(1+('Biomass Data Assumptions'!C$82-((1+'Biomass Data Assumptions'!$B$82)^2 - 1))))*'Prac. Rec. Assumptions'!$B52</f>
        <v>1195.5278562810452</v>
      </c>
      <c r="G64" s="832">
        <f>($C64*(1+'Biomass Data Assumptions'!H$93*(4/5))*(1+('Biomass Data Assumptions'!D$82-((1+'Biomass Data Assumptions'!$B$82)^2 - 1))))*'Prac. Rec. Assumptions'!$B52</f>
        <v>1198.6572611681706</v>
      </c>
      <c r="H64" s="832">
        <f>($C64*(1+'Biomass Data Assumptions'!I$93*(13/15))*(1+('Biomass Data Assumptions'!E$82-((1+'Biomass Data Assumptions'!$B$82)^2 - 1))))*'Prac. Rec. Assumptions'!$B52</f>
        <v>1201.5764707419853</v>
      </c>
      <c r="I64" s="16" t="str">
        <f>IF('Conversion Tables'!F56="NA","NA",(E64*'Conversion Tables'!$C56)/'Conversion Tables'!F56)</f>
        <v>NA</v>
      </c>
      <c r="J64" s="16" t="str">
        <f>IF('Conversion Tables'!G56="NA","NA",(F64*'Conversion Tables'!$C56)/'Conversion Tables'!G56)</f>
        <v>NA</v>
      </c>
      <c r="K64" s="16" t="str">
        <f>IF('Conversion Tables'!H56="NA","NA",(G64*'Conversion Tables'!$C56)/'Conversion Tables'!H56)</f>
        <v>NA</v>
      </c>
      <c r="L64" s="16" t="str">
        <f>IF('Conversion Tables'!I56="NA","NA",(H64*'Conversion Tables'!$C56)/'Conversion Tables'!I56)</f>
        <v>NA</v>
      </c>
      <c r="M64" s="16" t="str">
        <f>IF('Conversion Tables'!K56="NA","NA",E64*'Conversion Tables'!K56)</f>
        <v>NA</v>
      </c>
      <c r="N64" s="16" t="str">
        <f>IF('Conversion Tables'!L56="NA","NA",F64*'Conversion Tables'!L56)</f>
        <v>NA</v>
      </c>
      <c r="O64" s="16" t="str">
        <f>IF('Conversion Tables'!M56="NA","NA",G64*'Conversion Tables'!M56)</f>
        <v>NA</v>
      </c>
      <c r="P64" s="16" t="str">
        <f>IF('Conversion Tables'!N56="NA","NA",H64*'Conversion Tables'!N56)</f>
        <v>NA</v>
      </c>
      <c r="Q64" s="7"/>
    </row>
    <row r="65" spans="1:19" x14ac:dyDescent="0.25">
      <c r="A65" s="1204"/>
      <c r="B65" s="9" t="s">
        <v>248</v>
      </c>
      <c r="C65" s="295">
        <f>SUM(C63:C64)</f>
        <v>1516.1447671999999</v>
      </c>
      <c r="D65" s="295">
        <f>SUM(D63:D64)</f>
        <v>803553.16929680004</v>
      </c>
      <c r="E65" s="295">
        <f t="shared" ref="E65:P65" si="10">SUM(E63:E64)</f>
        <v>1516.1447671999999</v>
      </c>
      <c r="F65" s="295">
        <f>SUM(F63:F64)</f>
        <v>1518.1751680407124</v>
      </c>
      <c r="G65" s="295">
        <f>SUM(G63:G64)</f>
        <v>1522.3972623681616</v>
      </c>
      <c r="H65" s="295">
        <f>SUM(H63:H64)</f>
        <v>1526.3271493713264</v>
      </c>
      <c r="I65" s="19">
        <f t="shared" si="10"/>
        <v>0</v>
      </c>
      <c r="J65" s="19">
        <f t="shared" si="10"/>
        <v>0</v>
      </c>
      <c r="K65" s="19">
        <f t="shared" si="10"/>
        <v>0</v>
      </c>
      <c r="L65" s="19">
        <f t="shared" si="10"/>
        <v>0</v>
      </c>
      <c r="M65" s="19">
        <f t="shared" si="10"/>
        <v>0</v>
      </c>
      <c r="N65" s="19">
        <f t="shared" si="10"/>
        <v>0</v>
      </c>
      <c r="O65" s="19">
        <f t="shared" si="10"/>
        <v>0</v>
      </c>
      <c r="P65" s="19">
        <f t="shared" si="10"/>
        <v>0</v>
      </c>
      <c r="Q65" s="19">
        <f>SUM(Q51:Q64)</f>
        <v>0</v>
      </c>
    </row>
    <row r="66" spans="1:19" x14ac:dyDescent="0.25">
      <c r="A66" s="1204"/>
      <c r="B66" s="9"/>
      <c r="C66" s="295"/>
      <c r="D66" s="295"/>
      <c r="E66" s="295"/>
      <c r="F66" s="295"/>
      <c r="G66" s="295"/>
      <c r="H66" s="295"/>
      <c r="I66" s="19"/>
      <c r="J66" s="19"/>
      <c r="K66" s="19"/>
      <c r="L66" s="19"/>
      <c r="M66" s="19"/>
      <c r="N66" s="19"/>
      <c r="O66" s="19"/>
      <c r="P66" s="19"/>
      <c r="Q66" s="19"/>
    </row>
    <row r="67" spans="1:19" x14ac:dyDescent="0.25">
      <c r="A67" s="1205"/>
      <c r="B67" s="9" t="s">
        <v>258</v>
      </c>
      <c r="C67" s="295">
        <f>C61+(C63*1000000/29487.1582406855)+(C64*1000000/25364.5039539246)</f>
        <v>65289.158135847931</v>
      </c>
      <c r="D67" s="295">
        <f t="shared" ref="D67" si="11">D61+D65</f>
        <v>886076.40954642196</v>
      </c>
      <c r="E67" s="295">
        <f>E61+(E63*1000000/29487.1582406855)+(E64*1000000/25364.5039539246)</f>
        <v>64729.959593847932</v>
      </c>
      <c r="F67" s="295">
        <f t="shared" ref="F67:H67" si="12">F61+(F63*1000000/29487.1582406855)+(F64*1000000/25364.5039539246)</f>
        <v>64818.866865471296</v>
      </c>
      <c r="G67" s="295">
        <f t="shared" si="12"/>
        <v>64999.862942912019</v>
      </c>
      <c r="H67" s="295">
        <f t="shared" si="12"/>
        <v>65168.247447833026</v>
      </c>
      <c r="I67" s="19">
        <f t="shared" ref="I67:P67" si="13">I61+I65</f>
        <v>0</v>
      </c>
      <c r="J67" s="19">
        <f t="shared" si="13"/>
        <v>0</v>
      </c>
      <c r="K67" s="19">
        <f t="shared" si="13"/>
        <v>0</v>
      </c>
      <c r="L67" s="19">
        <f t="shared" si="13"/>
        <v>0</v>
      </c>
      <c r="M67" s="19">
        <f t="shared" si="13"/>
        <v>0</v>
      </c>
      <c r="N67" s="19">
        <f t="shared" si="13"/>
        <v>0</v>
      </c>
      <c r="O67" s="19">
        <f t="shared" si="13"/>
        <v>0</v>
      </c>
      <c r="P67" s="19">
        <f t="shared" si="13"/>
        <v>0</v>
      </c>
      <c r="Q67" s="19"/>
    </row>
    <row r="68" spans="1:19" customFormat="1" x14ac:dyDescent="0.25">
      <c r="B68" s="270" t="s">
        <v>162</v>
      </c>
      <c r="C68" s="132">
        <f>C11+C29+C43+C49+C67</f>
        <v>611307.40750284784</v>
      </c>
      <c r="D68" s="132"/>
      <c r="E68" s="132">
        <f>E11+E29+E43+E49+E67</f>
        <v>381429.93587644794</v>
      </c>
      <c r="F68" s="132">
        <f>F11+F29+F43+F49+F67</f>
        <v>387481.24991906062</v>
      </c>
      <c r="G68" s="132">
        <f>G11+G29+G43+G49+G67</f>
        <v>394311.09066687513</v>
      </c>
      <c r="H68" s="132">
        <f>H11+H29+H43+H49+H67</f>
        <v>401459.5329937989</v>
      </c>
      <c r="I68" s="264"/>
    </row>
    <row r="69" spans="1:19" ht="13.8" thickBot="1" x14ac:dyDescent="0.3">
      <c r="A69" s="10"/>
      <c r="B69" s="10"/>
      <c r="C69" s="10"/>
      <c r="D69" s="10"/>
      <c r="E69" s="10"/>
      <c r="F69" s="10"/>
      <c r="G69" s="10"/>
      <c r="H69" s="10"/>
      <c r="I69" s="1003">
        <f>SUM(I8:I66)/2</f>
        <v>0</v>
      </c>
      <c r="J69" s="1003">
        <f>SUM(J8:J66)/2</f>
        <v>0</v>
      </c>
      <c r="K69" s="1003">
        <f>SUM(K8:K66)/2</f>
        <v>0</v>
      </c>
      <c r="L69" s="1003">
        <f>SUM(L8:L66)/2</f>
        <v>0</v>
      </c>
      <c r="M69" s="1003">
        <f>SUM(M8:M66)/2</f>
        <v>0</v>
      </c>
      <c r="N69" s="1003">
        <f t="shared" ref="N69:P69" si="14">SUM(N8:N66)/2</f>
        <v>0</v>
      </c>
      <c r="O69" s="1003">
        <f t="shared" si="14"/>
        <v>0</v>
      </c>
      <c r="P69" s="1003">
        <f t="shared" si="14"/>
        <v>0</v>
      </c>
      <c r="Q69" s="10"/>
      <c r="R69" s="10"/>
      <c r="S69" s="10"/>
    </row>
    <row r="70" spans="1:19" x14ac:dyDescent="0.25">
      <c r="A70" s="35" t="s">
        <v>23</v>
      </c>
      <c r="B70" s="36"/>
      <c r="C70" s="36"/>
      <c r="D70" s="36"/>
      <c r="E70" s="36"/>
      <c r="F70" s="36"/>
      <c r="G70" s="36"/>
      <c r="H70" s="36"/>
      <c r="I70" s="36"/>
      <c r="J70" s="36"/>
      <c r="K70" s="36"/>
      <c r="L70" s="36"/>
      <c r="M70" s="36"/>
      <c r="N70" s="36"/>
      <c r="O70" s="36"/>
      <c r="P70" s="36"/>
      <c r="Q70" s="36"/>
      <c r="R70" s="36"/>
    </row>
    <row r="71" spans="1:19" x14ac:dyDescent="0.25">
      <c r="A71" s="36"/>
      <c r="B71" s="36"/>
      <c r="C71" s="36"/>
      <c r="D71" s="36"/>
      <c r="E71" s="36"/>
      <c r="F71" s="36"/>
      <c r="G71" s="36"/>
      <c r="H71" s="36"/>
      <c r="I71" s="36"/>
      <c r="J71" s="36"/>
      <c r="K71" s="36"/>
      <c r="L71" s="36"/>
      <c r="M71" s="36"/>
      <c r="N71" s="36"/>
      <c r="O71" s="36"/>
      <c r="P71" s="36"/>
      <c r="Q71" s="36"/>
      <c r="R71" s="36"/>
    </row>
    <row r="72" spans="1:19" x14ac:dyDescent="0.25">
      <c r="A72" s="36"/>
      <c r="B72" s="36"/>
      <c r="C72" s="36"/>
      <c r="D72" s="36"/>
      <c r="E72" s="36"/>
      <c r="F72" s="36"/>
      <c r="G72" s="36"/>
      <c r="H72" s="36"/>
      <c r="I72" s="36"/>
      <c r="J72" s="36"/>
      <c r="K72" s="36"/>
      <c r="L72" s="36"/>
      <c r="M72" s="36"/>
      <c r="N72" s="36"/>
      <c r="O72" s="36"/>
      <c r="P72" s="36"/>
      <c r="Q72" s="36"/>
      <c r="R72" s="36"/>
    </row>
    <row r="73" spans="1:19" ht="26.4" x14ac:dyDescent="0.25">
      <c r="A73" s="37" t="s">
        <v>1037</v>
      </c>
      <c r="B73" s="454" t="s">
        <v>297</v>
      </c>
      <c r="C73" s="37" t="s">
        <v>1042</v>
      </c>
      <c r="D73" s="37" t="s">
        <v>1041</v>
      </c>
      <c r="E73" s="150" t="s">
        <v>598</v>
      </c>
      <c r="F73" s="38"/>
      <c r="G73" s="38"/>
      <c r="H73" s="36"/>
      <c r="I73" s="36"/>
      <c r="J73" s="36"/>
      <c r="K73" s="36"/>
      <c r="L73" s="36"/>
      <c r="M73" s="36"/>
      <c r="N73" s="36"/>
      <c r="O73" s="36"/>
      <c r="P73" s="36"/>
      <c r="Q73" s="36"/>
      <c r="R73" s="36"/>
    </row>
    <row r="74" spans="1:19" x14ac:dyDescent="0.25">
      <c r="A74" s="39" t="s">
        <v>519</v>
      </c>
      <c r="B74" s="21">
        <v>0</v>
      </c>
      <c r="C74" s="40">
        <f>'Biomass Data Assumptions'!B38*B74</f>
        <v>0</v>
      </c>
      <c r="D74" s="40">
        <f>(C74*'Biomass Data Assumptions'!C38)/2000</f>
        <v>0</v>
      </c>
      <c r="E74" s="41"/>
      <c r="F74" s="41"/>
      <c r="G74" s="41"/>
      <c r="H74" s="36"/>
      <c r="I74" s="36"/>
      <c r="J74" s="36"/>
      <c r="K74" s="36"/>
      <c r="L74" s="36"/>
      <c r="M74" s="36"/>
      <c r="N74" s="36"/>
      <c r="O74" s="36"/>
      <c r="P74" s="36"/>
      <c r="Q74" s="36"/>
      <c r="R74" s="36"/>
    </row>
    <row r="75" spans="1:19" x14ac:dyDescent="0.25">
      <c r="A75" s="39" t="s">
        <v>520</v>
      </c>
      <c r="B75" s="21">
        <v>1</v>
      </c>
      <c r="C75" s="40">
        <f>'Biomass Data Assumptions'!B39*B75</f>
        <v>27.3</v>
      </c>
      <c r="D75" s="40">
        <f>(C75*'Biomass Data Assumptions'!C39)/2000</f>
        <v>0.76439999999999997</v>
      </c>
      <c r="E75" s="41"/>
      <c r="F75" s="41"/>
      <c r="G75" s="41"/>
      <c r="H75" s="36"/>
      <c r="I75" s="36"/>
      <c r="J75" s="36"/>
      <c r="K75" s="36"/>
      <c r="L75" s="36"/>
      <c r="M75" s="36"/>
      <c r="N75" s="36"/>
      <c r="O75" s="36"/>
      <c r="P75" s="36"/>
      <c r="Q75" s="36"/>
      <c r="R75" s="36"/>
    </row>
    <row r="76" spans="1:19" x14ac:dyDescent="0.25">
      <c r="A76" s="39" t="s">
        <v>521</v>
      </c>
      <c r="B76" s="21">
        <v>1</v>
      </c>
      <c r="C76" s="40">
        <f>'Biomass Data Assumptions'!B40*B76</f>
        <v>125</v>
      </c>
      <c r="D76" s="40">
        <f>(C76*'Biomass Data Assumptions'!C40)/2000</f>
        <v>3.5</v>
      </c>
      <c r="E76" s="41"/>
      <c r="F76" s="41"/>
      <c r="G76" s="41"/>
      <c r="H76" s="36"/>
      <c r="I76" s="36"/>
      <c r="J76" s="36"/>
      <c r="K76" s="36"/>
      <c r="L76" s="36"/>
      <c r="M76" s="36"/>
      <c r="N76" s="36"/>
      <c r="O76" s="36"/>
      <c r="P76" s="36"/>
      <c r="Q76" s="36"/>
      <c r="R76" s="36"/>
    </row>
    <row r="77" spans="1:19" x14ac:dyDescent="0.25">
      <c r="A77" s="39" t="s">
        <v>525</v>
      </c>
      <c r="B77" s="21">
        <v>0</v>
      </c>
      <c r="C77" s="40">
        <f>'Biomass Data Assumptions'!B41*B77</f>
        <v>0</v>
      </c>
      <c r="D77" s="40">
        <f>(C77*'Biomass Data Assumptions'!C41)/2000</f>
        <v>0</v>
      </c>
      <c r="E77" s="41"/>
      <c r="F77" s="41"/>
      <c r="G77" s="41"/>
      <c r="H77" s="36"/>
      <c r="I77" s="36"/>
      <c r="J77" s="36"/>
      <c r="K77" s="36"/>
      <c r="L77" s="36"/>
      <c r="M77" s="36"/>
      <c r="N77" s="36"/>
      <c r="O77" s="36"/>
      <c r="P77" s="36"/>
      <c r="Q77" s="36"/>
      <c r="R77" s="36"/>
    </row>
    <row r="78" spans="1:19" x14ac:dyDescent="0.25">
      <c r="A78" s="39" t="s">
        <v>522</v>
      </c>
      <c r="B78" s="21">
        <v>0</v>
      </c>
      <c r="C78" s="40">
        <f>'Biomass Data Assumptions'!B42*B78</f>
        <v>0</v>
      </c>
      <c r="D78" s="40">
        <f>(C78*'Biomass Data Assumptions'!C42)/2000</f>
        <v>0</v>
      </c>
      <c r="E78" s="41"/>
      <c r="F78" s="41"/>
      <c r="G78" s="41"/>
      <c r="H78" s="36"/>
      <c r="I78" s="36"/>
      <c r="J78" s="36"/>
      <c r="K78" s="36"/>
      <c r="L78" s="36"/>
      <c r="M78" s="36"/>
      <c r="N78" s="36"/>
      <c r="O78" s="36"/>
      <c r="P78" s="36"/>
      <c r="Q78" s="36"/>
      <c r="R78" s="36"/>
    </row>
    <row r="79" spans="1:19" x14ac:dyDescent="0.25">
      <c r="A79" s="36"/>
      <c r="B79" s="36"/>
      <c r="C79" s="36"/>
      <c r="D79" s="36"/>
      <c r="E79" s="36"/>
      <c r="F79" s="36"/>
      <c r="G79" s="36"/>
      <c r="H79" s="36"/>
      <c r="I79" s="36"/>
      <c r="J79" s="36"/>
      <c r="K79" s="36"/>
      <c r="L79" s="36"/>
      <c r="M79" s="36"/>
      <c r="N79" s="36"/>
      <c r="O79" s="36"/>
      <c r="P79" s="36"/>
      <c r="Q79" s="36"/>
      <c r="R79" s="36"/>
    </row>
    <row r="80" spans="1:19" ht="39.6" x14ac:dyDescent="0.25">
      <c r="A80" s="37" t="s">
        <v>1038</v>
      </c>
      <c r="B80" s="454" t="s">
        <v>297</v>
      </c>
      <c r="C80" s="37" t="s">
        <v>1041</v>
      </c>
      <c r="D80" s="37" t="s">
        <v>1036</v>
      </c>
      <c r="E80" s="150" t="s">
        <v>598</v>
      </c>
      <c r="F80" s="38"/>
      <c r="G80" s="38"/>
      <c r="H80" s="36"/>
      <c r="I80" s="36"/>
      <c r="J80" s="36"/>
      <c r="K80" s="36"/>
      <c r="L80" s="36"/>
      <c r="M80" s="36"/>
      <c r="N80" s="36"/>
      <c r="O80" s="36"/>
      <c r="P80" s="36"/>
      <c r="Q80" s="36"/>
      <c r="R80" s="36"/>
    </row>
    <row r="81" spans="1:18" x14ac:dyDescent="0.25">
      <c r="A81" s="39" t="s">
        <v>527</v>
      </c>
      <c r="B81" s="21">
        <v>14</v>
      </c>
      <c r="C81" s="40">
        <f>'Biomass Data Assumptions'!B49*B81</f>
        <v>14</v>
      </c>
      <c r="D81" s="40">
        <f>C81*'Energy Content Assumptions'!C11</f>
        <v>11.9</v>
      </c>
      <c r="E81" s="41"/>
      <c r="F81" s="41"/>
      <c r="G81" s="41"/>
      <c r="H81" s="36"/>
      <c r="I81" s="36"/>
      <c r="J81" s="36"/>
      <c r="K81" s="36"/>
      <c r="L81" s="36"/>
      <c r="M81" s="36"/>
      <c r="N81" s="36"/>
      <c r="O81" s="36"/>
      <c r="P81" s="36"/>
      <c r="Q81" s="36"/>
      <c r="R81" s="36"/>
    </row>
    <row r="82" spans="1:18" x14ac:dyDescent="0.25">
      <c r="A82" s="39" t="s">
        <v>520</v>
      </c>
      <c r="B82" s="21">
        <v>1</v>
      </c>
      <c r="C82" s="40">
        <f>'Biomass Data Assumptions'!B50*B82</f>
        <v>2.25</v>
      </c>
      <c r="D82" s="40">
        <f>C82*'Energy Content Assumptions'!C12</f>
        <v>1.9124999999999999</v>
      </c>
      <c r="E82" s="41"/>
      <c r="F82" s="41"/>
      <c r="G82" s="41"/>
      <c r="H82" s="36"/>
      <c r="I82" s="36"/>
      <c r="J82" s="36"/>
      <c r="K82" s="36"/>
      <c r="L82" s="36"/>
      <c r="M82" s="36"/>
      <c r="N82" s="36"/>
      <c r="O82" s="36"/>
      <c r="P82" s="36"/>
      <c r="Q82" s="36"/>
      <c r="R82" s="36"/>
    </row>
    <row r="83" spans="1:18" x14ac:dyDescent="0.25">
      <c r="A83" s="39" t="s">
        <v>521</v>
      </c>
      <c r="B83" s="21">
        <v>1</v>
      </c>
      <c r="C83" s="40">
        <f>'Biomass Data Assumptions'!B51*B83</f>
        <v>2.5</v>
      </c>
      <c r="D83" s="40">
        <f>C83*'Energy Content Assumptions'!C13</f>
        <v>2.125</v>
      </c>
      <c r="E83" s="41"/>
      <c r="F83" s="41"/>
      <c r="G83" s="41"/>
      <c r="H83" s="36"/>
      <c r="I83" s="36"/>
      <c r="J83" s="36"/>
      <c r="K83" s="36"/>
      <c r="L83" s="36"/>
      <c r="M83" s="36"/>
      <c r="N83" s="36"/>
      <c r="O83" s="36"/>
      <c r="P83" s="36"/>
      <c r="Q83" s="36"/>
      <c r="R83" s="36"/>
    </row>
    <row r="84" spans="1:18" x14ac:dyDescent="0.25">
      <c r="A84" s="39" t="s">
        <v>528</v>
      </c>
      <c r="B84" s="21">
        <v>0</v>
      </c>
      <c r="C84" s="40">
        <f>'Biomass Data Assumptions'!B52*B84</f>
        <v>0</v>
      </c>
      <c r="D84" s="40">
        <f>C84*'Energy Content Assumptions'!C14</f>
        <v>0</v>
      </c>
      <c r="E84" s="41"/>
      <c r="F84" s="41"/>
      <c r="G84" s="41"/>
      <c r="H84" s="36"/>
      <c r="I84" s="36"/>
      <c r="J84" s="36"/>
      <c r="K84" s="36"/>
      <c r="L84" s="36"/>
      <c r="M84" s="36"/>
      <c r="N84" s="36"/>
      <c r="O84" s="36"/>
      <c r="P84" s="36"/>
      <c r="Q84" s="36"/>
      <c r="R84" s="36"/>
    </row>
    <row r="85" spans="1:18" x14ac:dyDescent="0.25">
      <c r="A85" s="39" t="s">
        <v>529</v>
      </c>
      <c r="B85" s="21">
        <v>0</v>
      </c>
      <c r="C85" s="40">
        <f>'Biomass Data Assumptions'!B53*B85</f>
        <v>0</v>
      </c>
      <c r="D85" s="40">
        <f>C85*'Energy Content Assumptions'!C15</f>
        <v>0</v>
      </c>
      <c r="E85" s="41"/>
      <c r="F85" s="41"/>
      <c r="G85" s="41"/>
      <c r="H85" s="36"/>
      <c r="I85" s="36"/>
      <c r="J85" s="36"/>
      <c r="K85" s="36"/>
      <c r="L85" s="36"/>
      <c r="M85" s="36"/>
      <c r="N85" s="36"/>
      <c r="O85" s="36"/>
      <c r="P85" s="36"/>
      <c r="Q85" s="36"/>
      <c r="R85" s="36"/>
    </row>
    <row r="86" spans="1:18" x14ac:dyDescent="0.25">
      <c r="A86" s="39" t="s">
        <v>530</v>
      </c>
      <c r="B86" s="21">
        <v>69</v>
      </c>
      <c r="C86" s="40">
        <f>'Biomass Data Assumptions'!B54*B86</f>
        <v>117.3</v>
      </c>
      <c r="D86" s="40">
        <f>C86*'Energy Content Assumptions'!C16</f>
        <v>99.704999999999998</v>
      </c>
      <c r="E86" s="41"/>
      <c r="F86" s="41"/>
      <c r="G86" s="41"/>
      <c r="H86" s="36"/>
      <c r="I86" s="36"/>
      <c r="J86" s="36"/>
      <c r="K86" s="36"/>
      <c r="L86" s="36"/>
      <c r="M86" s="36"/>
      <c r="N86" s="36"/>
      <c r="O86" s="36"/>
      <c r="P86" s="36"/>
      <c r="Q86" s="36"/>
      <c r="R86" s="36"/>
    </row>
    <row r="87" spans="1:18" x14ac:dyDescent="0.25">
      <c r="A87" s="39" t="s">
        <v>522</v>
      </c>
      <c r="B87" s="21">
        <v>0</v>
      </c>
      <c r="C87" s="40">
        <f>'Biomass Data Assumptions'!B55*B87</f>
        <v>0</v>
      </c>
      <c r="D87" s="40">
        <f>C87*'Energy Content Assumptions'!C17</f>
        <v>0</v>
      </c>
      <c r="E87" s="41"/>
      <c r="F87" s="41"/>
      <c r="G87" s="41"/>
      <c r="H87" s="36"/>
      <c r="I87" s="36"/>
      <c r="J87" s="36"/>
      <c r="K87" s="36"/>
      <c r="L87" s="36"/>
      <c r="M87" s="36"/>
      <c r="N87" s="36"/>
      <c r="O87" s="36"/>
      <c r="P87" s="36"/>
      <c r="Q87" s="36"/>
      <c r="R87" s="36"/>
    </row>
    <row r="88" spans="1:18" x14ac:dyDescent="0.25">
      <c r="A88" s="43"/>
      <c r="B88" s="41"/>
      <c r="C88" s="41"/>
      <c r="D88" s="41"/>
      <c r="E88" s="41"/>
      <c r="F88" s="41"/>
      <c r="G88" s="41"/>
      <c r="H88" s="36"/>
      <c r="I88" s="36"/>
      <c r="J88" s="36"/>
      <c r="K88" s="36"/>
      <c r="L88" s="36"/>
      <c r="M88" s="36"/>
      <c r="N88" s="36"/>
      <c r="O88" s="36"/>
      <c r="P88" s="36"/>
      <c r="Q88" s="36"/>
      <c r="R88" s="36"/>
    </row>
    <row r="89" spans="1:18" x14ac:dyDescent="0.25">
      <c r="A89" s="43"/>
      <c r="B89" s="640" t="s">
        <v>297</v>
      </c>
      <c r="C89" s="122" t="s">
        <v>299</v>
      </c>
      <c r="D89" s="122" t="s">
        <v>300</v>
      </c>
      <c r="E89" s="41"/>
      <c r="F89" s="41"/>
      <c r="G89" s="41"/>
      <c r="H89" s="36"/>
      <c r="I89" s="36"/>
      <c r="J89" s="36"/>
      <c r="K89" s="36"/>
      <c r="L89" s="36"/>
      <c r="M89" s="36"/>
      <c r="N89" s="36"/>
      <c r="O89" s="36"/>
      <c r="P89" s="36"/>
      <c r="Q89" s="36"/>
      <c r="R89" s="36"/>
    </row>
    <row r="90" spans="1:18" x14ac:dyDescent="0.25">
      <c r="A90" s="43" t="s">
        <v>296</v>
      </c>
      <c r="B90" s="85">
        <f>IF('Prac. Rec. Assumptions'!B56='Prac. Rec. Assumptions'!V3,0,SUM(IF('Prac. Rec. Assumptions'!B57="Yes",B74,0),IF('Prac. Rec. Assumptions'!B58="Yes",B81,0),IF('Prac. Rec. Assumptions'!B59="Yes",B82,0),IF('Prac. Rec. Assumptions'!B60="Yes",B83,0),IF('Prac. Rec. Assumptions'!B61="Yes",B84,0),IF('Prac. Rec. Assumptions'!B62="Yes",B85,0),IF('Prac. Rec. Assumptions'!B63="Yes",B86,0),IF('Prac. Rec. Assumptions'!B64="Yes",B87,0)))</f>
        <v>0</v>
      </c>
      <c r="C90" s="41">
        <f>IF('Prac. Rec. Assumptions'!B56='Prac. Rec. Assumptions'!V1,'Biomass Data Assumptions'!C46,IF('Prac. Rec. Assumptions'!B56='Prac. Rec. Assumptions'!V2,'Biomass Data Assumptions'!C45,0))</f>
        <v>0</v>
      </c>
      <c r="D90" s="41">
        <f>(C90*'Energy Content Assumptions'!C9)*B90</f>
        <v>0</v>
      </c>
      <c r="E90" s="41"/>
      <c r="F90" s="41"/>
      <c r="G90" s="41"/>
      <c r="H90" s="36"/>
      <c r="I90" s="36"/>
      <c r="J90" s="36"/>
      <c r="K90" s="36"/>
      <c r="L90" s="36"/>
      <c r="M90" s="36"/>
      <c r="N90" s="36"/>
      <c r="O90" s="36"/>
      <c r="P90" s="36"/>
      <c r="Q90" s="36"/>
      <c r="R90" s="36"/>
    </row>
    <row r="91" spans="1:18" x14ac:dyDescent="0.25">
      <c r="A91" s="36"/>
      <c r="B91" s="36"/>
      <c r="C91" s="36"/>
      <c r="D91" s="36"/>
      <c r="E91" s="36"/>
      <c r="F91" s="36"/>
      <c r="G91" s="36"/>
      <c r="H91" s="36"/>
      <c r="I91" s="36"/>
      <c r="J91" s="36"/>
      <c r="K91" s="36"/>
      <c r="L91" s="36"/>
      <c r="M91" s="36"/>
      <c r="N91" s="36"/>
      <c r="O91" s="36"/>
      <c r="P91" s="36"/>
      <c r="Q91" s="36"/>
      <c r="R91" s="36"/>
    </row>
    <row r="92" spans="1:18" ht="39.6" x14ac:dyDescent="0.25">
      <c r="A92" s="42" t="s">
        <v>531</v>
      </c>
      <c r="B92" s="455" t="s">
        <v>298</v>
      </c>
      <c r="C92" s="38" t="s">
        <v>1050</v>
      </c>
      <c r="D92" s="38" t="s">
        <v>1045</v>
      </c>
      <c r="E92" s="38" t="s">
        <v>1048</v>
      </c>
      <c r="F92" s="38" t="s">
        <v>1047</v>
      </c>
      <c r="G92" s="38" t="s">
        <v>1046</v>
      </c>
      <c r="H92" s="36" t="s">
        <v>615</v>
      </c>
      <c r="I92" s="36"/>
      <c r="J92" s="38"/>
      <c r="K92" s="38"/>
      <c r="L92" s="38"/>
      <c r="M92" s="38"/>
      <c r="N92" s="36"/>
      <c r="O92" s="36"/>
      <c r="P92" s="36"/>
      <c r="Q92" s="36"/>
      <c r="R92" s="36"/>
    </row>
    <row r="93" spans="1:18" ht="12" customHeight="1" x14ac:dyDescent="0.25">
      <c r="A93" s="42"/>
      <c r="B93" s="38"/>
      <c r="C93" s="38"/>
      <c r="D93" s="38"/>
      <c r="E93" s="38"/>
      <c r="F93" s="36"/>
      <c r="G93" s="36"/>
      <c r="H93" s="36"/>
      <c r="I93" s="36"/>
      <c r="J93" s="38"/>
      <c r="K93" s="38"/>
      <c r="L93" s="38"/>
      <c r="M93" s="38"/>
      <c r="N93" s="36"/>
      <c r="O93" s="36"/>
      <c r="P93" s="36"/>
      <c r="Q93" s="36"/>
      <c r="R93" s="36"/>
    </row>
    <row r="94" spans="1:18" ht="16.5" hidden="1" customHeight="1" x14ac:dyDescent="0.25">
      <c r="A94" s="43" t="s">
        <v>535</v>
      </c>
      <c r="B94" s="36"/>
      <c r="C94" s="41"/>
      <c r="D94" s="41"/>
      <c r="E94" s="44"/>
      <c r="F94" s="36"/>
      <c r="G94" s="36"/>
      <c r="H94" s="36"/>
      <c r="I94" s="36"/>
      <c r="J94" s="44"/>
      <c r="K94" s="44"/>
      <c r="L94" s="44"/>
      <c r="M94" s="44"/>
      <c r="N94" s="36"/>
      <c r="O94" s="36"/>
      <c r="P94" s="36"/>
      <c r="Q94" s="36"/>
      <c r="R94" s="36"/>
    </row>
    <row r="95" spans="1:18" ht="12.75" hidden="1" customHeight="1" x14ac:dyDescent="0.25">
      <c r="A95" s="45" t="s">
        <v>536</v>
      </c>
      <c r="B95" s="85">
        <v>0</v>
      </c>
      <c r="C95" s="41">
        <f>ROUND('Biomass Data Assumptions'!B59/1000*B95,0)</f>
        <v>0</v>
      </c>
      <c r="D95" s="41">
        <f>'Biomass Data Assumptions'!C59*C95</f>
        <v>0</v>
      </c>
      <c r="E95" s="41">
        <f>('Biomass Data Assumptions'!D59*'Energy Content Assumptions'!C43*D95)/2000</f>
        <v>0</v>
      </c>
      <c r="F95" s="41">
        <f>('Biomass Data Assumptions'!E59*B95*365)/2000</f>
        <v>0</v>
      </c>
      <c r="G95" s="41">
        <f>(F95+E95)</f>
        <v>0</v>
      </c>
      <c r="H95" s="36"/>
      <c r="I95" s="36"/>
      <c r="J95" s="41"/>
      <c r="K95" s="41"/>
      <c r="L95" s="41"/>
      <c r="M95" s="41"/>
      <c r="N95" s="36"/>
      <c r="O95" s="36"/>
      <c r="P95" s="36"/>
      <c r="Q95" s="36"/>
      <c r="R95" s="36"/>
    </row>
    <row r="96" spans="1:18" ht="12.75" hidden="1" customHeight="1" x14ac:dyDescent="0.25">
      <c r="A96" s="45" t="s">
        <v>537</v>
      </c>
      <c r="B96" s="85">
        <v>4</v>
      </c>
      <c r="C96" s="41">
        <f>ROUND('Biomass Data Assumptions'!$B$60/1000*B96,0)</f>
        <v>4</v>
      </c>
      <c r="D96" s="41">
        <f>'Biomass Data Assumptions'!$C$60*C96</f>
        <v>134320</v>
      </c>
      <c r="E96" s="41">
        <f>('Biomass Data Assumptions'!$D$60*'Energy Content Assumptions'!$C$44*D96)/2000</f>
        <v>1.6118400000000002</v>
      </c>
      <c r="F96" s="41">
        <f>('Biomass Data Assumptions'!$E$60*B96*365)/2000</f>
        <v>2.92</v>
      </c>
      <c r="G96" s="41">
        <f>F96+E96</f>
        <v>4.5318399999999999</v>
      </c>
      <c r="H96" s="36"/>
      <c r="I96" s="36"/>
      <c r="J96" s="41"/>
      <c r="K96" s="41"/>
      <c r="L96" s="41"/>
      <c r="M96" s="41"/>
      <c r="N96" s="36"/>
      <c r="O96" s="36"/>
      <c r="P96" s="36"/>
      <c r="Q96" s="36"/>
      <c r="R96" s="36"/>
    </row>
    <row r="97" spans="1:18" x14ac:dyDescent="0.25">
      <c r="A97" s="467" t="s">
        <v>535</v>
      </c>
      <c r="B97" s="85">
        <v>4</v>
      </c>
      <c r="C97" s="41">
        <f>ROUND('Biomass Data Assumptions'!$B$60/1000*B97,0)</f>
        <v>4</v>
      </c>
      <c r="D97" s="41">
        <f>'Biomass Data Assumptions'!$C$60*C97</f>
        <v>134320</v>
      </c>
      <c r="E97" s="41">
        <f>('Biomass Data Assumptions'!$D$60*'Energy Content Assumptions'!$C$44*D97)/2000</f>
        <v>1.6118400000000002</v>
      </c>
      <c r="F97" s="41">
        <f>('Biomass Data Assumptions'!$E$60*B97*365)/2000</f>
        <v>2.92</v>
      </c>
      <c r="G97" s="41">
        <f>F97+E97</f>
        <v>4.5318399999999999</v>
      </c>
      <c r="H97" s="36"/>
      <c r="I97" s="36"/>
      <c r="J97" s="41"/>
      <c r="K97" s="41"/>
      <c r="L97" s="41"/>
      <c r="M97" s="41"/>
      <c r="N97" s="36"/>
      <c r="O97" s="36"/>
      <c r="P97" s="36"/>
      <c r="Q97" s="36"/>
      <c r="R97" s="36"/>
    </row>
    <row r="98" spans="1:18" x14ac:dyDescent="0.25">
      <c r="A98" s="46"/>
      <c r="B98" s="41"/>
      <c r="C98" s="41"/>
      <c r="D98" s="41"/>
      <c r="E98" s="41"/>
      <c r="F98" s="41"/>
      <c r="G98" s="41"/>
      <c r="H98" s="36"/>
      <c r="I98" s="36"/>
      <c r="J98" s="41"/>
      <c r="K98" s="41"/>
      <c r="L98" s="41"/>
      <c r="M98" s="41"/>
      <c r="N98" s="36"/>
      <c r="O98" s="36"/>
      <c r="P98" s="36"/>
      <c r="Q98" s="36"/>
      <c r="R98" s="36"/>
    </row>
    <row r="99" spans="1:18" x14ac:dyDescent="0.25">
      <c r="A99" s="43" t="s">
        <v>539</v>
      </c>
      <c r="B99" s="47"/>
      <c r="C99" s="41"/>
      <c r="D99" s="41"/>
      <c r="E99" s="41"/>
      <c r="F99" s="41"/>
      <c r="G99" s="41"/>
      <c r="H99" s="36"/>
      <c r="I99" s="36"/>
      <c r="J99" s="41"/>
      <c r="K99" s="41"/>
      <c r="L99" s="41"/>
      <c r="M99" s="41"/>
      <c r="N99" s="36"/>
      <c r="O99" s="36"/>
      <c r="P99" s="36"/>
      <c r="Q99" s="36"/>
      <c r="R99" s="36"/>
    </row>
    <row r="100" spans="1:18" x14ac:dyDescent="0.25">
      <c r="A100" s="460" t="s">
        <v>603</v>
      </c>
      <c r="B100" s="85">
        <v>0</v>
      </c>
      <c r="C100" s="41">
        <f>ROUND('Biomass Data Assumptions'!B62/1000*B100,0)</f>
        <v>0</v>
      </c>
      <c r="D100" s="41">
        <f>'Biomass Data Assumptions'!C62*C100</f>
        <v>0</v>
      </c>
      <c r="E100" s="41">
        <f>('Biomass Data Assumptions'!D62*'Energy Content Assumptions'!C46*D100)/2000</f>
        <v>0</v>
      </c>
      <c r="F100" s="41">
        <f>('Biomass Data Assumptions'!E62*B100*365)/2000</f>
        <v>0</v>
      </c>
      <c r="G100" s="41">
        <f>F100+E100</f>
        <v>0</v>
      </c>
      <c r="H100" s="36"/>
      <c r="I100" s="36"/>
      <c r="J100" s="41"/>
      <c r="K100" s="41"/>
      <c r="L100" s="41"/>
      <c r="M100" s="41"/>
      <c r="N100" s="36"/>
      <c r="O100" s="36"/>
      <c r="P100" s="36"/>
      <c r="Q100" s="36"/>
      <c r="R100" s="36"/>
    </row>
    <row r="101" spans="1:18" hidden="1" x14ac:dyDescent="0.25">
      <c r="A101" s="45" t="s">
        <v>541</v>
      </c>
      <c r="B101" s="85">
        <v>0</v>
      </c>
      <c r="C101" s="41">
        <f>ROUND('Biomass Data Assumptions'!B63/1000*B101,0)</f>
        <v>0</v>
      </c>
      <c r="D101" s="41">
        <f>'Biomass Data Assumptions'!C63*C101</f>
        <v>0</v>
      </c>
      <c r="E101" s="41">
        <f>('Biomass Data Assumptions'!D63*'Energy Content Assumptions'!C47*D101)/2000</f>
        <v>0</v>
      </c>
      <c r="F101" s="41">
        <f>('Biomass Data Assumptions'!E63*B101*365)/2000</f>
        <v>0</v>
      </c>
      <c r="G101" s="41">
        <f>F101+E101</f>
        <v>0</v>
      </c>
      <c r="H101" s="36"/>
      <c r="I101" s="36"/>
      <c r="J101" s="41"/>
      <c r="K101" s="41"/>
      <c r="L101" s="41"/>
      <c r="M101" s="41"/>
      <c r="N101" s="36"/>
      <c r="O101" s="36"/>
      <c r="P101" s="36"/>
      <c r="Q101" s="36"/>
      <c r="R101" s="36"/>
    </row>
    <row r="102" spans="1:18" x14ac:dyDescent="0.25">
      <c r="A102" s="460" t="s">
        <v>604</v>
      </c>
      <c r="B102" s="85">
        <v>0</v>
      </c>
      <c r="C102" s="41">
        <f>ROUND('Biomass Data Assumptions'!B64/1000*B102,0)</f>
        <v>0</v>
      </c>
      <c r="D102" s="41">
        <f>'Biomass Data Assumptions'!C64*C102</f>
        <v>0</v>
      </c>
      <c r="E102" s="41">
        <f>('Biomass Data Assumptions'!D64*'Energy Content Assumptions'!C48*D102)/2000</f>
        <v>0</v>
      </c>
      <c r="F102" s="41">
        <f>'Biomass Data Assumptions'!E64*B102*365/2000</f>
        <v>0</v>
      </c>
      <c r="G102" s="41">
        <f>F102+E102</f>
        <v>0</v>
      </c>
      <c r="H102" s="36"/>
      <c r="I102" s="36"/>
      <c r="J102" s="41"/>
      <c r="K102" s="41"/>
      <c r="L102" s="41"/>
      <c r="M102" s="41"/>
      <c r="N102" s="36"/>
      <c r="O102" s="36"/>
      <c r="P102" s="36"/>
      <c r="Q102" s="36"/>
      <c r="R102" s="36"/>
    </row>
    <row r="103" spans="1:18" ht="15" hidden="1" customHeight="1" x14ac:dyDescent="0.25">
      <c r="A103" s="45" t="s">
        <v>543</v>
      </c>
      <c r="B103" s="85">
        <v>0</v>
      </c>
      <c r="C103" s="41">
        <f>ROUND('Biomass Data Assumptions'!B65/1000*B103,0)</f>
        <v>0</v>
      </c>
      <c r="D103" s="41">
        <f>'Biomass Data Assumptions'!C65*C103</f>
        <v>0</v>
      </c>
      <c r="E103" s="41">
        <f>('Biomass Data Assumptions'!D65*'Energy Content Assumptions'!C49*D103)/2000</f>
        <v>0</v>
      </c>
      <c r="F103" s="41">
        <f>'Biomass Data Assumptions'!E65*B103*365/2000</f>
        <v>0</v>
      </c>
      <c r="G103" s="41">
        <f>F103+E103</f>
        <v>0</v>
      </c>
      <c r="H103" s="36"/>
      <c r="I103" s="36"/>
      <c r="J103" s="41"/>
      <c r="K103" s="41"/>
      <c r="L103" s="41"/>
      <c r="M103" s="41"/>
      <c r="N103" s="36"/>
      <c r="O103" s="36"/>
      <c r="P103" s="36"/>
      <c r="Q103" s="36"/>
      <c r="R103" s="36"/>
    </row>
    <row r="104" spans="1:18" ht="15" customHeight="1" x14ac:dyDescent="0.25">
      <c r="A104" s="46" t="s">
        <v>544</v>
      </c>
      <c r="B104" s="85">
        <f>B100+B102</f>
        <v>0</v>
      </c>
      <c r="C104" s="41">
        <f>C100+C102</f>
        <v>0</v>
      </c>
      <c r="D104" s="41">
        <f t="shared" ref="D104:G104" si="15">D100+D102</f>
        <v>0</v>
      </c>
      <c r="E104" s="41">
        <f t="shared" si="15"/>
        <v>0</v>
      </c>
      <c r="F104" s="41">
        <f t="shared" si="15"/>
        <v>0</v>
      </c>
      <c r="G104" s="41">
        <f t="shared" si="15"/>
        <v>0</v>
      </c>
      <c r="H104" s="36"/>
      <c r="I104" s="36"/>
      <c r="J104" s="41"/>
      <c r="K104" s="41"/>
      <c r="L104" s="41"/>
      <c r="M104" s="41"/>
      <c r="N104" s="36"/>
      <c r="O104" s="36"/>
      <c r="P104" s="36"/>
      <c r="Q104" s="36"/>
      <c r="R104" s="36"/>
    </row>
    <row r="105" spans="1:18" x14ac:dyDescent="0.25">
      <c r="A105" s="46"/>
      <c r="B105" s="41"/>
      <c r="C105" s="41"/>
      <c r="D105" s="41"/>
      <c r="E105" s="41"/>
      <c r="F105" s="41"/>
      <c r="G105" s="41"/>
      <c r="H105" s="36"/>
      <c r="I105" s="36"/>
      <c r="J105" s="41"/>
      <c r="K105" s="41"/>
      <c r="L105" s="41"/>
      <c r="M105" s="41"/>
      <c r="N105" s="36"/>
      <c r="O105" s="36"/>
      <c r="P105" s="36"/>
      <c r="Q105" s="36"/>
      <c r="R105" s="36"/>
    </row>
    <row r="106" spans="1:18" x14ac:dyDescent="0.25">
      <c r="A106" s="43" t="s">
        <v>545</v>
      </c>
      <c r="B106" s="85">
        <v>129</v>
      </c>
      <c r="C106" s="41">
        <f>ROUND('Biomass Data Assumptions'!B66/1000*B106,0)</f>
        <v>129</v>
      </c>
      <c r="D106" s="41">
        <f>'Biomass Data Assumptions'!C66*C106</f>
        <v>2613217.5</v>
      </c>
      <c r="E106" s="41">
        <f>('Biomass Data Assumptions'!D66*'Energy Content Assumptions'!C50*D106)/2000</f>
        <v>91.462612500000006</v>
      </c>
      <c r="F106" s="41">
        <f>'Biomass Data Assumptions'!E66*B106*365/2000</f>
        <v>353.13749999999999</v>
      </c>
      <c r="G106" s="41">
        <f>F106+E106</f>
        <v>444.60011250000002</v>
      </c>
      <c r="H106" s="36"/>
      <c r="I106" s="36"/>
      <c r="J106" s="41"/>
      <c r="K106" s="41"/>
      <c r="L106" s="41"/>
      <c r="M106" s="41"/>
      <c r="N106" s="36"/>
      <c r="O106" s="36"/>
      <c r="P106" s="36"/>
      <c r="Q106" s="36"/>
      <c r="R106" s="36"/>
    </row>
    <row r="107" spans="1:18" x14ac:dyDescent="0.25">
      <c r="A107" s="43"/>
      <c r="B107" s="41"/>
      <c r="C107" s="41"/>
      <c r="D107" s="41"/>
      <c r="E107" s="41"/>
      <c r="F107" s="41"/>
      <c r="G107" s="41"/>
      <c r="H107" s="36"/>
      <c r="I107" s="36"/>
      <c r="J107" s="41"/>
      <c r="K107" s="41"/>
      <c r="L107" s="41"/>
      <c r="M107" s="41"/>
      <c r="N107" s="36"/>
      <c r="O107" s="36"/>
      <c r="P107" s="36"/>
      <c r="Q107" s="36"/>
      <c r="R107" s="36"/>
    </row>
    <row r="108" spans="1:18" x14ac:dyDescent="0.25">
      <c r="A108" s="43" t="s">
        <v>546</v>
      </c>
      <c r="B108" s="85">
        <v>36</v>
      </c>
      <c r="C108" s="41">
        <f>ROUND('Biomass Data Assumptions'!B67/1000*B108,0)</f>
        <v>4</v>
      </c>
      <c r="D108" s="41">
        <f>'Biomass Data Assumptions'!C67*C108</f>
        <v>59860</v>
      </c>
      <c r="E108" s="41">
        <f>('Biomass Data Assumptions'!D67*'Energy Content Assumptions'!C51*D108)/2000</f>
        <v>1.4964999999999999</v>
      </c>
      <c r="F108" s="41">
        <f>'Biomass Data Assumptions'!E67*B108*365/2000</f>
        <v>6.57</v>
      </c>
      <c r="G108" s="41">
        <f>F108+E108</f>
        <v>8.0664999999999996</v>
      </c>
      <c r="H108" s="36"/>
      <c r="I108" s="36"/>
      <c r="J108" s="41"/>
      <c r="K108" s="41"/>
      <c r="L108" s="41"/>
      <c r="M108" s="41"/>
      <c r="N108" s="36"/>
      <c r="O108" s="36"/>
      <c r="P108" s="36"/>
      <c r="Q108" s="36"/>
      <c r="R108" s="36"/>
    </row>
    <row r="109" spans="1:18" x14ac:dyDescent="0.25">
      <c r="A109" s="43"/>
      <c r="B109" s="41"/>
      <c r="C109" s="41"/>
      <c r="D109" s="41"/>
      <c r="E109" s="41"/>
      <c r="F109" s="41"/>
      <c r="G109" s="41"/>
      <c r="H109" s="36"/>
      <c r="I109" s="36"/>
      <c r="J109" s="41"/>
      <c r="K109" s="41"/>
      <c r="L109" s="41"/>
      <c r="M109" s="41"/>
      <c r="N109" s="36"/>
      <c r="O109" s="36"/>
      <c r="P109" s="36"/>
      <c r="Q109" s="36"/>
      <c r="R109" s="36"/>
    </row>
    <row r="110" spans="1:18" x14ac:dyDescent="0.25">
      <c r="A110" s="43" t="s">
        <v>547</v>
      </c>
      <c r="B110" s="85">
        <v>35</v>
      </c>
      <c r="C110" s="41">
        <f>ROUND('Biomass Data Assumptions'!B68/1000*B110,0)</f>
        <v>4</v>
      </c>
      <c r="D110" s="41">
        <f>'Biomass Data Assumptions'!C68*C110</f>
        <v>59860</v>
      </c>
      <c r="E110" s="41">
        <f>('Biomass Data Assumptions'!D68*'Energy Content Assumptions'!C52*D110)/2000</f>
        <v>1.4964999999999999</v>
      </c>
      <c r="F110" s="41">
        <f>'Biomass Data Assumptions'!E68*B110*365/2000</f>
        <v>6.3875000000000002</v>
      </c>
      <c r="G110" s="41">
        <f>F110+E110</f>
        <v>7.8840000000000003</v>
      </c>
      <c r="H110" s="36"/>
      <c r="I110" s="36"/>
      <c r="J110" s="41"/>
      <c r="K110" s="41"/>
      <c r="L110" s="41"/>
      <c r="M110" s="41"/>
      <c r="N110" s="36"/>
      <c r="O110" s="36"/>
      <c r="P110" s="36"/>
      <c r="Q110" s="36"/>
      <c r="R110" s="36"/>
    </row>
    <row r="111" spans="1:18" ht="12" customHeight="1" x14ac:dyDescent="0.25">
      <c r="A111" s="43"/>
      <c r="B111" s="41"/>
      <c r="C111" s="41"/>
      <c r="D111" s="41"/>
      <c r="E111" s="41"/>
      <c r="F111" s="41"/>
      <c r="G111" s="41"/>
      <c r="H111" s="36"/>
      <c r="I111" s="36"/>
      <c r="J111" s="41"/>
      <c r="K111" s="41"/>
      <c r="L111" s="41"/>
      <c r="M111" s="41"/>
      <c r="N111" s="36"/>
      <c r="O111" s="36"/>
      <c r="P111" s="36"/>
      <c r="Q111" s="36"/>
      <c r="R111" s="36"/>
    </row>
    <row r="112" spans="1:18" hidden="1" x14ac:dyDescent="0.25">
      <c r="A112" s="43"/>
      <c r="B112" s="36"/>
      <c r="C112" s="41"/>
      <c r="D112" s="41"/>
      <c r="E112" s="41"/>
      <c r="F112" s="41"/>
      <c r="G112" s="41"/>
      <c r="H112" s="36"/>
      <c r="I112" s="36"/>
      <c r="J112" s="41"/>
      <c r="K112" s="41"/>
      <c r="L112" s="41"/>
      <c r="M112" s="41"/>
      <c r="N112" s="36"/>
      <c r="O112" s="36"/>
      <c r="P112" s="36"/>
      <c r="Q112" s="36"/>
      <c r="R112" s="36"/>
    </row>
    <row r="113" spans="1:18" ht="15" hidden="1" customHeight="1" x14ac:dyDescent="0.25">
      <c r="A113" s="45"/>
      <c r="B113" s="85"/>
      <c r="C113" s="41"/>
      <c r="D113" s="41"/>
      <c r="E113" s="41"/>
      <c r="F113" s="41"/>
      <c r="G113" s="41"/>
      <c r="H113" s="36"/>
      <c r="I113" s="36"/>
      <c r="J113" s="41"/>
      <c r="K113" s="41"/>
      <c r="L113" s="41"/>
      <c r="M113" s="41"/>
      <c r="N113" s="36"/>
      <c r="O113" s="36"/>
      <c r="P113" s="36"/>
      <c r="Q113" s="36"/>
      <c r="R113" s="36"/>
    </row>
    <row r="114" spans="1:18" ht="15" hidden="1" customHeight="1" x14ac:dyDescent="0.25">
      <c r="A114" s="45"/>
      <c r="B114" s="85"/>
      <c r="C114" s="41"/>
      <c r="D114" s="41"/>
      <c r="E114" s="41"/>
      <c r="F114" s="41"/>
      <c r="G114" s="41"/>
      <c r="H114" s="36"/>
      <c r="I114" s="36"/>
      <c r="J114" s="41"/>
      <c r="K114" s="41"/>
      <c r="L114" s="41"/>
      <c r="M114" s="41"/>
      <c r="N114" s="36"/>
      <c r="O114" s="36"/>
      <c r="P114" s="36"/>
      <c r="Q114" s="36"/>
      <c r="R114" s="36"/>
    </row>
    <row r="115" spans="1:18" x14ac:dyDescent="0.25">
      <c r="A115" s="467" t="s">
        <v>605</v>
      </c>
      <c r="B115" s="85">
        <v>4255</v>
      </c>
      <c r="C115" s="41">
        <f>ROUND('Biomass Data Assumptions'!$B$71/1000*B115,0)</f>
        <v>1702</v>
      </c>
      <c r="D115" s="41">
        <f>'Biomass Data Assumptions'!$C$71*C115</f>
        <v>29197810</v>
      </c>
      <c r="E115" s="41">
        <f>('Biomass Data Assumptions'!$D$71*'Energy Content Assumptions'!$C$55*D115)/2000</f>
        <v>729.94524999999999</v>
      </c>
      <c r="F115" s="41">
        <f>'Biomass Data Assumptions'!$E$71*B115*365/2000</f>
        <v>0</v>
      </c>
      <c r="G115" s="41">
        <f>F115+E115</f>
        <v>729.94524999999999</v>
      </c>
      <c r="H115" s="36"/>
      <c r="I115" s="36"/>
      <c r="J115" s="41"/>
      <c r="K115" s="41"/>
      <c r="L115" s="41"/>
      <c r="M115" s="41"/>
      <c r="N115" s="36"/>
      <c r="O115" s="36"/>
      <c r="P115" s="36"/>
      <c r="Q115" s="36"/>
      <c r="R115" s="36"/>
    </row>
    <row r="116" spans="1:18" x14ac:dyDescent="0.25">
      <c r="A116" s="46"/>
      <c r="B116" s="41"/>
      <c r="C116" s="41"/>
      <c r="D116" s="41"/>
      <c r="E116" s="41"/>
      <c r="F116" s="41"/>
      <c r="G116" s="41"/>
      <c r="H116" s="36"/>
      <c r="I116" s="36"/>
      <c r="J116" s="41"/>
      <c r="K116" s="41"/>
      <c r="L116" s="41"/>
      <c r="M116" s="41"/>
      <c r="N116" s="36"/>
      <c r="O116" s="36"/>
      <c r="P116" s="36"/>
      <c r="Q116" s="36"/>
      <c r="R116" s="36"/>
    </row>
    <row r="117" spans="1:18" x14ac:dyDescent="0.25">
      <c r="A117" s="43" t="s">
        <v>551</v>
      </c>
      <c r="B117" s="85">
        <f>129+775+3078</f>
        <v>3982</v>
      </c>
      <c r="C117" s="41">
        <f>ROUND('Biomass Data Assumptions'!B72/1000*B117,0)</f>
        <v>20</v>
      </c>
      <c r="D117" s="41">
        <f>'Biomass Data Assumptions'!C72*C117</f>
        <v>365000</v>
      </c>
      <c r="E117" s="41">
        <f>('Biomass Data Assumptions'!D72*'Energy Content Assumptions'!C56*D117)/2000</f>
        <v>35.587499999999999</v>
      </c>
      <c r="F117" s="41">
        <f>'Biomass Data Assumptions'!E72*B117*365/2000</f>
        <v>0</v>
      </c>
      <c r="G117" s="41">
        <f>F117+E117</f>
        <v>35.587499999999999</v>
      </c>
      <c r="H117" s="150" t="s">
        <v>609</v>
      </c>
      <c r="I117" s="36"/>
      <c r="J117" s="41"/>
      <c r="K117" s="41"/>
      <c r="L117" s="41"/>
      <c r="M117" s="41"/>
      <c r="N117" s="36"/>
      <c r="O117" s="36"/>
      <c r="P117" s="36"/>
      <c r="Q117" s="36"/>
      <c r="R117" s="36"/>
    </row>
    <row r="118" spans="1:18" x14ac:dyDescent="0.25">
      <c r="A118" s="43"/>
      <c r="B118" s="41"/>
      <c r="C118" s="41"/>
      <c r="D118" s="41"/>
      <c r="E118" s="41"/>
      <c r="F118" s="41"/>
      <c r="G118" s="41"/>
      <c r="H118" s="36"/>
      <c r="I118" s="36"/>
      <c r="J118" s="41"/>
      <c r="K118" s="41"/>
      <c r="L118" s="41"/>
      <c r="M118" s="41"/>
      <c r="N118" s="36"/>
      <c r="O118" s="36"/>
      <c r="P118" s="36"/>
      <c r="Q118" s="36"/>
      <c r="R118" s="36"/>
    </row>
    <row r="119" spans="1:18" x14ac:dyDescent="0.25">
      <c r="A119" s="43" t="s">
        <v>552</v>
      </c>
      <c r="B119" s="85">
        <v>0</v>
      </c>
      <c r="C119" s="41">
        <f>ROUND('Biomass Data Assumptions'!B73/1000*B119,0)</f>
        <v>0</v>
      </c>
      <c r="D119" s="41">
        <f>'Biomass Data Assumptions'!C73*C119</f>
        <v>0</v>
      </c>
      <c r="E119" s="41">
        <f>('Biomass Data Assumptions'!D73*'Energy Content Assumptions'!C57*D119)/2000</f>
        <v>0</v>
      </c>
      <c r="F119" s="41">
        <f>'Biomass Data Assumptions'!E73*B119*365/2000</f>
        <v>0</v>
      </c>
      <c r="G119" s="41">
        <f>F119+E119</f>
        <v>0</v>
      </c>
      <c r="H119" s="36"/>
      <c r="I119" s="36"/>
      <c r="J119" s="41"/>
      <c r="K119" s="41"/>
      <c r="L119" s="41"/>
      <c r="M119" s="41"/>
      <c r="N119" s="36"/>
      <c r="O119" s="36"/>
      <c r="P119" s="36"/>
      <c r="Q119" s="36"/>
      <c r="R119" s="36"/>
    </row>
    <row r="120" spans="1:18" x14ac:dyDescent="0.25">
      <c r="A120" s="43"/>
      <c r="B120" s="41"/>
      <c r="C120" s="41"/>
      <c r="D120" s="41"/>
      <c r="E120" s="41"/>
      <c r="F120" s="41"/>
      <c r="G120" s="41"/>
      <c r="H120" s="36"/>
      <c r="I120" s="36"/>
      <c r="J120" s="41"/>
      <c r="K120" s="41"/>
      <c r="L120" s="41"/>
      <c r="M120" s="41"/>
      <c r="N120" s="36"/>
      <c r="O120" s="36"/>
      <c r="P120" s="36"/>
      <c r="Q120" s="36"/>
      <c r="R120" s="36"/>
    </row>
    <row r="121" spans="1:18" x14ac:dyDescent="0.25">
      <c r="A121" s="43" t="s">
        <v>553</v>
      </c>
      <c r="B121" s="86">
        <f t="shared" ref="B121:G121" si="16">B97+B104+B106+B108+B110+B115+B117+B119</f>
        <v>8441</v>
      </c>
      <c r="C121" s="48">
        <f t="shared" si="16"/>
        <v>1863</v>
      </c>
      <c r="D121" s="48">
        <f t="shared" si="16"/>
        <v>32430067.5</v>
      </c>
      <c r="E121" s="48">
        <f t="shared" si="16"/>
        <v>861.60020249999991</v>
      </c>
      <c r="F121" s="48">
        <f t="shared" si="16"/>
        <v>369.01499999999999</v>
      </c>
      <c r="G121" s="48">
        <f t="shared" si="16"/>
        <v>1230.6152025000001</v>
      </c>
      <c r="H121" s="36"/>
      <c r="I121" s="36"/>
      <c r="J121" s="48"/>
      <c r="K121" s="48"/>
      <c r="L121" s="48"/>
      <c r="M121" s="48"/>
      <c r="N121" s="36"/>
      <c r="O121" s="36"/>
      <c r="P121" s="36"/>
      <c r="Q121" s="36"/>
      <c r="R121" s="36"/>
    </row>
    <row r="122" spans="1:18" x14ac:dyDescent="0.25">
      <c r="A122" s="36"/>
      <c r="B122" s="36"/>
      <c r="C122" s="36"/>
      <c r="D122" s="36"/>
      <c r="E122" s="36"/>
      <c r="F122" s="36"/>
      <c r="G122" s="36"/>
      <c r="H122" s="36"/>
      <c r="I122" s="36"/>
      <c r="J122" s="36"/>
      <c r="K122" s="36"/>
      <c r="L122" s="36"/>
      <c r="M122" s="36"/>
      <c r="N122" s="36"/>
      <c r="O122" s="36"/>
      <c r="P122" s="36"/>
      <c r="Q122" s="36"/>
      <c r="R122" s="36"/>
    </row>
    <row r="123" spans="1:18" x14ac:dyDescent="0.25">
      <c r="A123" s="49" t="s">
        <v>1014</v>
      </c>
      <c r="B123" s="49" t="s">
        <v>1043</v>
      </c>
      <c r="C123" s="49" t="s">
        <v>1044</v>
      </c>
      <c r="D123" s="546" t="s">
        <v>1012</v>
      </c>
      <c r="E123" s="36"/>
      <c r="F123" s="36"/>
      <c r="G123" s="36"/>
      <c r="H123" s="36"/>
      <c r="I123" s="36"/>
      <c r="J123" s="36"/>
      <c r="K123" s="36"/>
      <c r="L123" s="36"/>
      <c r="M123" s="36"/>
      <c r="N123" s="36"/>
      <c r="O123" s="36"/>
      <c r="P123" s="36"/>
      <c r="Q123" s="36"/>
      <c r="R123" s="36"/>
    </row>
    <row r="124" spans="1:18" x14ac:dyDescent="0.25">
      <c r="A124" s="50" t="s">
        <v>555</v>
      </c>
      <c r="B124" s="87">
        <v>85566.16</v>
      </c>
      <c r="C124" s="543">
        <f>B124*'Energy Content Assumptions'!C33</f>
        <v>77009.544000000009</v>
      </c>
      <c r="D124" s="36"/>
      <c r="E124" s="36"/>
      <c r="F124" s="36"/>
      <c r="G124" s="36"/>
      <c r="H124" s="36"/>
      <c r="I124" s="36"/>
      <c r="J124" s="36"/>
      <c r="K124" s="36"/>
      <c r="L124" s="36"/>
      <c r="M124" s="36"/>
      <c r="N124" s="36"/>
      <c r="O124" s="36"/>
      <c r="P124" s="36"/>
      <c r="Q124" s="36"/>
      <c r="R124" s="36"/>
    </row>
    <row r="125" spans="1:18" x14ac:dyDescent="0.25">
      <c r="A125" s="50" t="s">
        <v>556</v>
      </c>
      <c r="B125" s="87">
        <v>24776.44</v>
      </c>
      <c r="C125" s="543">
        <f>B125*'Energy Content Assumptions'!C34</f>
        <v>22298.795999999998</v>
      </c>
      <c r="D125" s="36"/>
      <c r="E125" s="36"/>
      <c r="F125" s="36"/>
      <c r="G125" s="36"/>
      <c r="H125" s="36"/>
      <c r="I125" s="36"/>
      <c r="J125" s="36"/>
      <c r="K125" s="36"/>
      <c r="L125" s="36"/>
      <c r="M125" s="36"/>
      <c r="N125" s="36"/>
      <c r="O125" s="36"/>
      <c r="P125" s="36"/>
      <c r="Q125" s="36"/>
      <c r="R125" s="36"/>
    </row>
    <row r="126" spans="1:18" x14ac:dyDescent="0.25">
      <c r="A126" s="50" t="s">
        <v>557</v>
      </c>
      <c r="B126" s="87">
        <v>39421.89</v>
      </c>
      <c r="C126" s="543">
        <f>B126*'Energy Content Assumptions'!C35</f>
        <v>35479.701000000001</v>
      </c>
      <c r="D126" s="36"/>
      <c r="E126" s="36"/>
      <c r="F126" s="36"/>
      <c r="G126" s="36"/>
      <c r="H126" s="36"/>
      <c r="I126" s="36"/>
      <c r="J126" s="36"/>
      <c r="K126" s="36"/>
      <c r="L126" s="36"/>
      <c r="M126" s="36"/>
      <c r="N126" s="36"/>
      <c r="O126" s="36"/>
      <c r="P126" s="36"/>
      <c r="Q126" s="36"/>
      <c r="R126" s="36"/>
    </row>
    <row r="127" spans="1:18" x14ac:dyDescent="0.25">
      <c r="A127" s="50" t="s">
        <v>558</v>
      </c>
      <c r="B127" s="87">
        <v>17791.97</v>
      </c>
      <c r="C127" s="543">
        <f>B127*'Energy Content Assumptions'!C36</f>
        <v>16012.773000000001</v>
      </c>
      <c r="D127" s="36"/>
      <c r="E127" s="36"/>
      <c r="F127" s="36"/>
      <c r="G127" s="36"/>
      <c r="H127" s="36"/>
      <c r="I127" s="36"/>
      <c r="J127" s="36"/>
      <c r="K127" s="36"/>
      <c r="L127" s="36"/>
      <c r="M127" s="36"/>
      <c r="N127" s="36"/>
      <c r="O127" s="36"/>
      <c r="P127" s="36"/>
      <c r="Q127" s="36"/>
      <c r="R127" s="36"/>
    </row>
    <row r="128" spans="1:18" x14ac:dyDescent="0.25">
      <c r="A128" s="50" t="s">
        <v>559</v>
      </c>
      <c r="B128" s="87">
        <v>48945.4</v>
      </c>
      <c r="C128" s="543">
        <f>B128*'Energy Content Assumptions'!C21</f>
        <v>24472.7</v>
      </c>
      <c r="D128" s="36"/>
      <c r="E128" s="36"/>
      <c r="F128" s="36"/>
      <c r="G128" s="36"/>
      <c r="H128" s="36"/>
      <c r="I128" s="36"/>
      <c r="J128" s="36"/>
      <c r="K128" s="36"/>
      <c r="L128" s="36"/>
      <c r="M128" s="36"/>
      <c r="N128" s="36"/>
      <c r="O128" s="36"/>
      <c r="P128" s="36"/>
      <c r="Q128" s="36"/>
      <c r="R128" s="36"/>
    </row>
    <row r="129" spans="1:18" x14ac:dyDescent="0.25">
      <c r="A129" s="50" t="s">
        <v>560</v>
      </c>
      <c r="B129" s="87">
        <v>22710.05</v>
      </c>
      <c r="C129" s="543">
        <f>B129*'Energy Content Assumptions'!C22</f>
        <v>7570.0166666666664</v>
      </c>
      <c r="D129" s="36"/>
      <c r="E129" s="36"/>
      <c r="F129" s="36"/>
      <c r="G129" s="36"/>
      <c r="H129" s="36"/>
      <c r="I129" s="36"/>
      <c r="J129" s="36"/>
      <c r="K129" s="36"/>
      <c r="L129" s="36"/>
      <c r="M129" s="36"/>
      <c r="N129" s="36"/>
      <c r="O129" s="36"/>
      <c r="P129" s="36"/>
      <c r="Q129" s="36"/>
      <c r="R129" s="36"/>
    </row>
    <row r="130" spans="1:18" x14ac:dyDescent="0.25">
      <c r="A130" s="50" t="s">
        <v>561</v>
      </c>
      <c r="B130" s="87">
        <v>140814.64000000001</v>
      </c>
      <c r="C130" s="543">
        <f>B130*'Energy Content Assumptions'!C23</f>
        <v>46938.213333333333</v>
      </c>
      <c r="D130" s="36"/>
      <c r="E130" s="36"/>
      <c r="F130" s="36"/>
      <c r="G130" s="36"/>
      <c r="H130" s="36"/>
      <c r="I130" s="36"/>
      <c r="J130" s="36"/>
      <c r="K130" s="36"/>
      <c r="L130" s="36"/>
      <c r="M130" s="36"/>
      <c r="N130" s="36"/>
      <c r="O130" s="36"/>
      <c r="P130" s="36"/>
      <c r="Q130" s="36"/>
      <c r="R130" s="36"/>
    </row>
    <row r="131" spans="1:18" x14ac:dyDescent="0.25">
      <c r="A131" s="50" t="s">
        <v>562</v>
      </c>
      <c r="B131" s="87">
        <v>2963.49</v>
      </c>
      <c r="C131" s="543">
        <f>B131*'Energy Content Assumptions'!C24</f>
        <v>1481.7449999999999</v>
      </c>
      <c r="D131" s="36"/>
      <c r="E131" s="36"/>
      <c r="F131" s="36"/>
      <c r="G131" s="36"/>
      <c r="H131" s="36"/>
      <c r="I131" s="36"/>
      <c r="J131" s="36"/>
      <c r="K131" s="36"/>
      <c r="L131" s="36"/>
      <c r="M131" s="36"/>
      <c r="N131" s="36"/>
      <c r="O131" s="36"/>
      <c r="P131" s="36"/>
      <c r="Q131" s="36"/>
      <c r="R131" s="36"/>
    </row>
    <row r="132" spans="1:18" x14ac:dyDescent="0.25">
      <c r="A132" s="50" t="s">
        <v>563</v>
      </c>
      <c r="B132" s="87">
        <v>18757.25</v>
      </c>
      <c r="C132" s="543">
        <f>B132*'Energy Content Assumptions'!C31</f>
        <v>4689.3125</v>
      </c>
      <c r="D132" s="36"/>
      <c r="E132" s="36"/>
      <c r="F132" s="36"/>
      <c r="G132" s="36"/>
      <c r="H132" s="36"/>
      <c r="I132" s="36"/>
      <c r="J132" s="36"/>
      <c r="K132" s="36"/>
      <c r="L132" s="36"/>
      <c r="M132" s="36"/>
      <c r="N132" s="36"/>
      <c r="O132" s="36"/>
      <c r="P132" s="36"/>
      <c r="Q132" s="36"/>
      <c r="R132" s="36"/>
    </row>
    <row r="133" spans="1:18" x14ac:dyDescent="0.25">
      <c r="A133" s="50" t="s">
        <v>564</v>
      </c>
      <c r="B133" s="87">
        <v>1503.78</v>
      </c>
      <c r="C133" s="543">
        <f>B133*'Energy Content Assumptions'!C19</f>
        <v>1353.402</v>
      </c>
      <c r="D133" s="36"/>
      <c r="E133" s="36"/>
      <c r="F133" s="36"/>
      <c r="G133" s="36"/>
      <c r="H133" s="36"/>
      <c r="I133" s="36"/>
      <c r="J133" s="36"/>
      <c r="K133" s="36"/>
      <c r="L133" s="36"/>
      <c r="M133" s="36"/>
      <c r="N133" s="36"/>
      <c r="O133" s="36"/>
      <c r="P133" s="36"/>
      <c r="Q133" s="36"/>
      <c r="R133" s="36"/>
    </row>
    <row r="134" spans="1:18" x14ac:dyDescent="0.25">
      <c r="A134" s="50" t="s">
        <v>565</v>
      </c>
      <c r="B134" s="87">
        <v>14183.8</v>
      </c>
      <c r="C134" s="543">
        <f>B134*'Energy Content Assumptions'!C32</f>
        <v>11347.04</v>
      </c>
      <c r="D134" s="36"/>
      <c r="E134" s="36"/>
      <c r="F134" s="36"/>
      <c r="G134" s="36"/>
      <c r="H134" s="36"/>
      <c r="I134" s="36"/>
      <c r="J134" s="36"/>
      <c r="K134" s="36"/>
      <c r="L134" s="36"/>
      <c r="M134" s="36"/>
      <c r="N134" s="36"/>
      <c r="O134" s="36"/>
      <c r="P134" s="36"/>
      <c r="Q134" s="36"/>
      <c r="R134" s="36"/>
    </row>
    <row r="135" spans="1:18" x14ac:dyDescent="0.25">
      <c r="A135" s="36"/>
      <c r="B135" s="36"/>
      <c r="C135" s="36"/>
      <c r="D135" s="36"/>
      <c r="E135" s="36"/>
      <c r="F135" s="36"/>
      <c r="G135" s="36"/>
      <c r="H135" s="36"/>
      <c r="I135" s="36"/>
      <c r="J135" s="36"/>
      <c r="K135" s="36"/>
      <c r="L135" s="36"/>
      <c r="M135" s="36"/>
      <c r="N135" s="36"/>
      <c r="O135" s="36"/>
      <c r="P135" s="36"/>
      <c r="Q135" s="36"/>
      <c r="R135" s="36"/>
    </row>
    <row r="136" spans="1:18" x14ac:dyDescent="0.25">
      <c r="A136" s="49" t="s">
        <v>462</v>
      </c>
      <c r="B136" s="49" t="s">
        <v>1039</v>
      </c>
      <c r="C136" s="49" t="s">
        <v>1040</v>
      </c>
      <c r="D136" s="36"/>
      <c r="E136" s="36"/>
      <c r="F136" s="36"/>
      <c r="G136" s="36"/>
      <c r="H136" s="36"/>
      <c r="I136" s="36"/>
      <c r="J136" s="36"/>
      <c r="K136" s="36"/>
      <c r="L136" s="36"/>
      <c r="M136" s="36"/>
      <c r="N136" s="36"/>
      <c r="O136" s="36"/>
      <c r="P136" s="36"/>
      <c r="Q136" s="36"/>
      <c r="R136" s="36"/>
    </row>
    <row r="137" spans="1:18" x14ac:dyDescent="0.25">
      <c r="A137" s="50" t="s">
        <v>211</v>
      </c>
      <c r="B137" s="87">
        <f>'Biomass Data Assumptions'!$M$8</f>
        <v>1092372.81</v>
      </c>
      <c r="C137" s="544"/>
      <c r="D137" s="546" t="s">
        <v>1016</v>
      </c>
      <c r="E137" s="36"/>
      <c r="F137" s="36"/>
      <c r="G137" s="36"/>
      <c r="H137" s="36"/>
      <c r="I137" s="36"/>
      <c r="J137" s="36"/>
      <c r="K137" s="36"/>
      <c r="L137" s="36"/>
      <c r="M137" s="36"/>
      <c r="N137" s="36"/>
      <c r="O137" s="36"/>
      <c r="P137" s="36"/>
      <c r="Q137" s="36"/>
      <c r="R137" s="36"/>
    </row>
    <row r="138" spans="1:18" x14ac:dyDescent="0.25">
      <c r="A138" s="50" t="s">
        <v>208</v>
      </c>
      <c r="B138" s="87">
        <f>'Biomass Data Assumptions'!$F$8</f>
        <v>609889.30000000005</v>
      </c>
      <c r="C138" s="543">
        <f>B138*'Energy Content Assumptions'!$C$28</f>
        <v>304944.65000000002</v>
      </c>
      <c r="D138" s="546" t="s">
        <v>1016</v>
      </c>
      <c r="E138" s="36"/>
      <c r="F138" s="36"/>
      <c r="G138" s="36"/>
      <c r="H138" s="36"/>
      <c r="I138" s="36"/>
      <c r="J138" s="36"/>
      <c r="K138" s="36"/>
      <c r="L138" s="36"/>
      <c r="M138" s="36"/>
      <c r="N138" s="36"/>
      <c r="O138" s="36"/>
      <c r="P138" s="36"/>
      <c r="Q138" s="36"/>
      <c r="R138" s="36"/>
    </row>
    <row r="139" spans="1:18" x14ac:dyDescent="0.25">
      <c r="A139" s="50" t="s">
        <v>209</v>
      </c>
      <c r="B139" s="87">
        <f>'Biomass Data Assumptions'!$H$8</f>
        <v>63469.9</v>
      </c>
      <c r="C139" s="543"/>
      <c r="D139" s="36" t="s">
        <v>1020</v>
      </c>
      <c r="E139" s="36"/>
      <c r="F139" s="36"/>
      <c r="G139" s="36"/>
      <c r="H139" s="36"/>
      <c r="I139" s="36"/>
      <c r="J139" s="36"/>
      <c r="K139" s="36"/>
      <c r="L139" s="36"/>
      <c r="M139" s="36"/>
      <c r="N139" s="36"/>
      <c r="O139" s="36"/>
      <c r="P139" s="36"/>
      <c r="Q139" s="36"/>
      <c r="R139" s="36"/>
    </row>
    <row r="140" spans="1:18" x14ac:dyDescent="0.25">
      <c r="A140" s="50" t="s">
        <v>210</v>
      </c>
      <c r="B140" s="87">
        <f>'Biomass Data Assumptions'!$I$8</f>
        <v>546419.4</v>
      </c>
      <c r="C140" s="543">
        <f>B140*'Energy Content Assumptions'!$C$28</f>
        <v>273209.7</v>
      </c>
      <c r="D140" s="36" t="s">
        <v>1021</v>
      </c>
      <c r="E140" s="36"/>
      <c r="F140" s="36"/>
      <c r="G140" s="36"/>
      <c r="H140" s="36"/>
      <c r="I140" s="36"/>
      <c r="J140" s="36"/>
      <c r="K140" s="36"/>
      <c r="L140" s="36"/>
      <c r="M140" s="36"/>
      <c r="N140" s="36"/>
      <c r="O140" s="36"/>
      <c r="P140" s="36"/>
      <c r="Q140" s="36"/>
      <c r="R140" s="36"/>
    </row>
    <row r="141" spans="1:18" x14ac:dyDescent="0.25">
      <c r="A141" s="50" t="str">
        <f>'Bioenergy Calculator'!B35</f>
        <v>Food waste, Landfilled</v>
      </c>
      <c r="B141" s="87">
        <f>IF('Bioenergy Calculator'!H75="No",'Biomass Data Assumptions'!J8,'Biomass Data Assumptions'!F8*'Biomass Data Assumptions'!I41)</f>
        <v>86443.549080000012</v>
      </c>
      <c r="C141" s="543">
        <f>B141*'Energy Content Assumptions'!C26</f>
        <v>25933.064724000003</v>
      </c>
      <c r="D141" s="150" t="s">
        <v>1063</v>
      </c>
      <c r="E141" s="36"/>
      <c r="F141" s="36"/>
      <c r="G141" s="36"/>
      <c r="H141" s="36"/>
      <c r="I141" s="36"/>
      <c r="J141" s="36"/>
      <c r="K141" s="36"/>
      <c r="L141" s="36"/>
      <c r="M141" s="36"/>
      <c r="N141" s="36"/>
      <c r="O141" s="36"/>
      <c r="P141" s="36"/>
      <c r="Q141" s="36"/>
      <c r="R141" s="36"/>
    </row>
    <row r="142" spans="1:18" x14ac:dyDescent="0.25">
      <c r="A142" s="50" t="str">
        <f>'Bioenergy Calculator'!B36</f>
        <v>Waste paper, Landfilled</v>
      </c>
      <c r="B142" s="87">
        <f>IF('Bioenergy Calculator'!H75="No",'Biomass Data Assumptions'!K8,'Biomass Data Assumptions'!F8*'Biomass Data Assumptions'!I42)</f>
        <v>106278.5733</v>
      </c>
      <c r="C142" s="543">
        <f>B142*'Energy Content Assumptions'!C27</f>
        <v>95650.715970000005</v>
      </c>
      <c r="D142" s="150" t="s">
        <v>1063</v>
      </c>
      <c r="E142" s="36"/>
      <c r="F142" s="36"/>
      <c r="G142" s="36"/>
      <c r="H142" s="36"/>
      <c r="I142" s="36"/>
      <c r="J142" s="36"/>
      <c r="K142" s="36"/>
      <c r="L142" s="36"/>
      <c r="M142" s="36"/>
      <c r="N142" s="36"/>
      <c r="O142" s="36"/>
      <c r="P142" s="36"/>
      <c r="Q142" s="36"/>
      <c r="R142" s="36"/>
    </row>
    <row r="143" spans="1:18" x14ac:dyDescent="0.25">
      <c r="A143" s="50" t="str">
        <f>'Bioenergy Calculator'!B37</f>
        <v>Other Biomass, Landfilled</v>
      </c>
      <c r="B143" s="87">
        <f>IF('Bioenergy Calculator'!H75="No",'Biomass Data Assumptions'!L8,'Biomass Data Assumptions'!F8*'Biomass Data Assumptions'!I43)</f>
        <v>147150.74442</v>
      </c>
      <c r="C143" s="543">
        <f>B143*'Energy Content Assumptions'!$C$28</f>
        <v>73575.372210000001</v>
      </c>
      <c r="D143" s="546" t="s">
        <v>1064</v>
      </c>
      <c r="E143" s="36"/>
      <c r="F143" s="36"/>
      <c r="G143" s="36"/>
      <c r="H143" s="36"/>
      <c r="I143" s="36"/>
      <c r="J143" s="36"/>
      <c r="K143" s="36"/>
      <c r="L143" s="36"/>
      <c r="M143" s="36"/>
      <c r="N143" s="36"/>
      <c r="O143" s="36"/>
      <c r="P143" s="36"/>
      <c r="Q143" s="36"/>
      <c r="R143" s="36"/>
    </row>
    <row r="144" spans="1:18" x14ac:dyDescent="0.25">
      <c r="A144" s="50" t="s">
        <v>463</v>
      </c>
      <c r="B144" s="87">
        <v>270602.81</v>
      </c>
      <c r="C144" s="543">
        <f>B144*'Energy Content Assumptions'!C29</f>
        <v>216482.24800000002</v>
      </c>
      <c r="D144" s="151" t="s">
        <v>206</v>
      </c>
      <c r="E144" s="36"/>
      <c r="F144" s="36"/>
      <c r="G144" s="36"/>
      <c r="H144" s="36"/>
      <c r="I144" s="36"/>
      <c r="J144" s="36"/>
      <c r="K144" s="36"/>
      <c r="L144" s="36"/>
      <c r="M144" s="36"/>
      <c r="N144" s="36"/>
      <c r="O144" s="36"/>
      <c r="P144" s="36"/>
      <c r="Q144" s="36"/>
      <c r="R144" s="36"/>
    </row>
    <row r="145" spans="1:18" x14ac:dyDescent="0.25">
      <c r="A145" s="709" t="s">
        <v>179</v>
      </c>
      <c r="B145" s="710">
        <v>0.4</v>
      </c>
      <c r="C145" s="543">
        <f>C144*B145</f>
        <v>86592.899200000014</v>
      </c>
      <c r="D145" s="36" t="s">
        <v>1202</v>
      </c>
      <c r="E145" s="36"/>
      <c r="F145" s="36"/>
      <c r="G145" s="36"/>
      <c r="H145" s="36"/>
      <c r="I145" s="36"/>
      <c r="J145" s="36"/>
      <c r="K145" s="36"/>
      <c r="L145" s="36"/>
      <c r="M145" s="36"/>
      <c r="N145" s="36"/>
      <c r="O145" s="36"/>
      <c r="P145" s="36"/>
      <c r="Q145" s="36"/>
      <c r="R145" s="36"/>
    </row>
    <row r="146" spans="1:18" x14ac:dyDescent="0.25">
      <c r="A146" s="711"/>
      <c r="B146" s="713"/>
      <c r="C146" s="543"/>
      <c r="D146" s="150" t="s">
        <v>1553</v>
      </c>
      <c r="E146" s="36"/>
      <c r="F146" s="36"/>
      <c r="G146" s="36"/>
      <c r="H146" s="36"/>
      <c r="I146" s="36"/>
      <c r="J146" s="36"/>
      <c r="K146" s="36"/>
      <c r="L146" s="36"/>
      <c r="M146" s="36"/>
      <c r="N146" s="36"/>
      <c r="O146" s="36"/>
      <c r="P146" s="36"/>
      <c r="Q146" s="36"/>
      <c r="R146" s="36"/>
    </row>
    <row r="147" spans="1:18" x14ac:dyDescent="0.25">
      <c r="A147" s="1238" t="s">
        <v>1568</v>
      </c>
      <c r="B147" s="49" t="s">
        <v>1039</v>
      </c>
      <c r="C147" s="49" t="s">
        <v>1571</v>
      </c>
      <c r="D147" s="150"/>
      <c r="E147" s="36"/>
      <c r="F147" s="36"/>
      <c r="G147" s="36"/>
      <c r="H147" s="36"/>
      <c r="I147" s="36"/>
      <c r="J147" s="36"/>
      <c r="K147" s="36"/>
      <c r="L147" s="36"/>
      <c r="M147" s="36"/>
      <c r="N147" s="36"/>
      <c r="O147" s="36"/>
      <c r="P147" s="36"/>
      <c r="Q147" s="36"/>
      <c r="R147" s="36"/>
    </row>
    <row r="148" spans="1:18" x14ac:dyDescent="0.25">
      <c r="A148" s="1236" t="s">
        <v>508</v>
      </c>
      <c r="B148" s="549">
        <f>'Biomass Data Assumptions'!R8/2000</f>
        <v>3982.5104000000006</v>
      </c>
      <c r="C148" s="1239">
        <f>B148*'Energy Content Assumptions'!C39</f>
        <v>3385.1338400000004</v>
      </c>
      <c r="D148" s="150" t="s">
        <v>1567</v>
      </c>
      <c r="E148" s="36"/>
      <c r="F148" s="36"/>
      <c r="G148" s="36"/>
      <c r="H148" s="36"/>
      <c r="I148" s="36"/>
      <c r="J148" s="36"/>
      <c r="K148" s="36"/>
      <c r="L148" s="36"/>
      <c r="M148" s="36"/>
      <c r="N148" s="36"/>
      <c r="O148" s="36"/>
      <c r="P148" s="36"/>
      <c r="Q148" s="36"/>
      <c r="R148" s="36"/>
    </row>
    <row r="149" spans="1:18" x14ac:dyDescent="0.25">
      <c r="A149" s="1236" t="s">
        <v>509</v>
      </c>
      <c r="B149" s="549">
        <f>'Biomass Data Assumptions'!S8/2000</f>
        <v>6050.70046</v>
      </c>
      <c r="C149" s="1239">
        <f>B149*'Energy Content Assumptions'!C40</f>
        <v>302.53502300000002</v>
      </c>
      <c r="D149" s="150" t="s">
        <v>1566</v>
      </c>
      <c r="E149" s="36"/>
      <c r="F149" s="36"/>
      <c r="G149" s="36"/>
      <c r="H149" s="36"/>
      <c r="I149" s="36"/>
      <c r="J149" s="36"/>
      <c r="K149" s="36"/>
      <c r="L149" s="36"/>
      <c r="M149" s="36"/>
      <c r="N149" s="36"/>
      <c r="O149" s="36"/>
      <c r="P149" s="36"/>
      <c r="Q149" s="36"/>
      <c r="R149" s="36"/>
    </row>
    <row r="150" spans="1:18" x14ac:dyDescent="0.25">
      <c r="A150" s="36"/>
      <c r="B150" s="36"/>
      <c r="C150" s="36"/>
      <c r="D150" s="36"/>
      <c r="E150" s="36"/>
      <c r="F150" s="36"/>
      <c r="G150" s="36"/>
      <c r="H150" s="36"/>
      <c r="I150" s="36"/>
      <c r="J150" s="36"/>
      <c r="K150" s="36"/>
      <c r="L150" s="36"/>
      <c r="M150" s="36"/>
      <c r="N150" s="36"/>
      <c r="O150" s="36"/>
      <c r="P150" s="36"/>
      <c r="Q150" s="36"/>
      <c r="R150" s="36"/>
    </row>
    <row r="151" spans="1:18" x14ac:dyDescent="0.25">
      <c r="A151" s="36"/>
      <c r="B151" s="36"/>
      <c r="C151" s="36"/>
      <c r="D151" s="36"/>
      <c r="E151" s="36"/>
      <c r="F151" s="36"/>
      <c r="G151" s="36"/>
      <c r="H151" s="36"/>
      <c r="I151" s="36"/>
      <c r="J151" s="36"/>
      <c r="K151" s="36"/>
      <c r="L151" s="36"/>
      <c r="M151" s="36"/>
      <c r="N151" s="36"/>
      <c r="O151" s="36"/>
      <c r="P151" s="36"/>
      <c r="Q151" s="36"/>
      <c r="R151" s="36"/>
    </row>
    <row r="152" spans="1:18" x14ac:dyDescent="0.25">
      <c r="A152" s="36"/>
      <c r="B152" s="36"/>
      <c r="C152" s="36"/>
      <c r="D152" s="36"/>
      <c r="E152" s="36"/>
      <c r="F152" s="36"/>
      <c r="G152" s="36"/>
      <c r="H152" s="36"/>
      <c r="I152" s="36"/>
      <c r="J152" s="36"/>
      <c r="K152" s="36"/>
      <c r="L152" s="36"/>
      <c r="M152" s="36"/>
      <c r="N152" s="36"/>
      <c r="O152" s="36"/>
      <c r="P152" s="36"/>
      <c r="Q152" s="36"/>
      <c r="R152" s="36"/>
    </row>
    <row r="153" spans="1:18" x14ac:dyDescent="0.25">
      <c r="A153" s="36"/>
      <c r="B153" s="36"/>
      <c r="C153" s="36"/>
      <c r="D153" s="36"/>
      <c r="E153" s="36"/>
      <c r="F153" s="36"/>
      <c r="G153" s="36"/>
      <c r="H153" s="36"/>
      <c r="I153" s="36"/>
      <c r="J153" s="36"/>
      <c r="K153" s="36"/>
      <c r="L153" s="36"/>
      <c r="M153" s="36"/>
      <c r="N153" s="36"/>
      <c r="O153" s="36"/>
      <c r="P153" s="36"/>
      <c r="Q153" s="36"/>
      <c r="R153" s="36"/>
    </row>
    <row r="154" spans="1:18" x14ac:dyDescent="0.25">
      <c r="A154" s="36"/>
      <c r="B154" s="457"/>
      <c r="C154" s="457"/>
      <c r="D154" s="457"/>
      <c r="E154" s="457"/>
      <c r="F154" s="457"/>
      <c r="G154" s="457"/>
      <c r="H154" s="457"/>
      <c r="I154" s="457"/>
      <c r="J154" s="457"/>
      <c r="K154" s="457"/>
      <c r="L154" s="457"/>
      <c r="M154" s="457"/>
      <c r="N154" s="457"/>
      <c r="O154" s="457"/>
      <c r="P154" s="457"/>
      <c r="Q154" s="457"/>
      <c r="R154" s="36"/>
    </row>
    <row r="155" spans="1:18" x14ac:dyDescent="0.25">
      <c r="A155" s="36"/>
      <c r="B155" s="36"/>
      <c r="C155" s="36"/>
      <c r="D155" s="36"/>
      <c r="E155" s="36"/>
      <c r="F155" s="36"/>
      <c r="G155" s="36"/>
      <c r="H155" s="36"/>
      <c r="I155" s="36"/>
      <c r="J155" s="36"/>
      <c r="K155" s="36"/>
      <c r="L155" s="36"/>
      <c r="M155" s="36"/>
      <c r="N155" s="36"/>
      <c r="O155" s="36"/>
      <c r="P155" s="36"/>
      <c r="Q155" s="36"/>
      <c r="R155" s="36"/>
    </row>
    <row r="156" spans="1:18" x14ac:dyDescent="0.25">
      <c r="A156" s="36"/>
      <c r="B156" s="36"/>
      <c r="C156" s="36"/>
      <c r="D156" s="36"/>
      <c r="E156" s="36"/>
      <c r="F156" s="36"/>
      <c r="G156" s="36"/>
      <c r="H156" s="36"/>
      <c r="I156" s="36"/>
      <c r="J156" s="36"/>
      <c r="K156" s="36"/>
      <c r="L156" s="36"/>
      <c r="M156" s="36"/>
      <c r="N156" s="36"/>
      <c r="O156" s="36"/>
      <c r="P156" s="36"/>
      <c r="Q156" s="36"/>
      <c r="R156" s="36"/>
    </row>
    <row r="157" spans="1:18" x14ac:dyDescent="0.25">
      <c r="A157" s="36"/>
      <c r="B157" s="36"/>
      <c r="C157" s="36"/>
      <c r="D157" s="36"/>
      <c r="E157" s="36"/>
      <c r="F157" s="36"/>
      <c r="G157" s="36"/>
      <c r="H157" s="36"/>
      <c r="I157" s="36"/>
      <c r="J157" s="36"/>
      <c r="K157" s="36"/>
      <c r="L157" s="36"/>
      <c r="M157" s="36"/>
      <c r="N157" s="36"/>
      <c r="O157" s="36"/>
      <c r="P157" s="36"/>
      <c r="Q157" s="36"/>
      <c r="R157" s="36"/>
    </row>
    <row r="158" spans="1:18" x14ac:dyDescent="0.25">
      <c r="A158" s="36"/>
      <c r="B158" s="36"/>
      <c r="C158" s="36"/>
      <c r="D158" s="36"/>
      <c r="E158" s="36"/>
      <c r="F158" s="36"/>
      <c r="G158" s="36"/>
      <c r="H158" s="36"/>
      <c r="I158" s="36"/>
      <c r="J158" s="36"/>
      <c r="K158" s="36"/>
      <c r="L158" s="36"/>
      <c r="M158" s="36"/>
      <c r="N158" s="36"/>
      <c r="O158" s="36"/>
      <c r="P158" s="36"/>
      <c r="Q158" s="36"/>
      <c r="R158" s="36"/>
    </row>
    <row r="159" spans="1:18" x14ac:dyDescent="0.25">
      <c r="A159" s="36"/>
      <c r="B159" s="36"/>
      <c r="C159" s="36"/>
      <c r="D159" s="36"/>
      <c r="E159" s="36"/>
      <c r="F159" s="36"/>
      <c r="G159" s="36"/>
      <c r="H159" s="36"/>
      <c r="I159" s="36"/>
      <c r="J159" s="36"/>
      <c r="K159" s="36"/>
      <c r="L159" s="36"/>
      <c r="M159" s="36"/>
      <c r="N159" s="36"/>
      <c r="O159" s="36"/>
      <c r="P159" s="36"/>
      <c r="Q159" s="36"/>
      <c r="R159" s="36"/>
    </row>
    <row r="160" spans="1:18" x14ac:dyDescent="0.25">
      <c r="A160" s="36"/>
      <c r="B160" s="36"/>
      <c r="C160" s="36"/>
      <c r="D160" s="36"/>
      <c r="E160" s="36"/>
      <c r="F160" s="36"/>
      <c r="G160" s="36"/>
      <c r="H160" s="36"/>
      <c r="I160" s="36"/>
      <c r="J160" s="36"/>
      <c r="K160" s="36"/>
      <c r="L160" s="36"/>
      <c r="M160" s="36"/>
      <c r="N160" s="36"/>
      <c r="O160" s="36"/>
      <c r="P160" s="36"/>
      <c r="Q160" s="36"/>
      <c r="R160" s="36"/>
    </row>
    <row r="161" spans="1:18" x14ac:dyDescent="0.25">
      <c r="A161" s="36"/>
      <c r="B161" s="36"/>
      <c r="C161" s="36"/>
      <c r="D161" s="36"/>
      <c r="E161" s="36"/>
      <c r="F161" s="36"/>
      <c r="G161" s="36"/>
      <c r="H161" s="36"/>
      <c r="I161" s="36"/>
      <c r="J161" s="36"/>
      <c r="K161" s="36"/>
      <c r="L161" s="36"/>
      <c r="M161" s="36"/>
      <c r="N161" s="36"/>
      <c r="O161" s="36"/>
      <c r="P161" s="36"/>
      <c r="Q161" s="36"/>
      <c r="R161" s="36"/>
    </row>
    <row r="162" spans="1:18" x14ac:dyDescent="0.25">
      <c r="A162" s="36"/>
      <c r="B162" s="36"/>
      <c r="C162" s="36"/>
      <c r="D162" s="36"/>
      <c r="E162" s="36"/>
      <c r="F162" s="36"/>
      <c r="G162" s="36"/>
      <c r="H162" s="36"/>
      <c r="I162" s="36"/>
      <c r="J162" s="36"/>
      <c r="K162" s="36"/>
      <c r="L162" s="36"/>
      <c r="M162" s="36"/>
      <c r="N162" s="36"/>
      <c r="O162" s="36"/>
      <c r="P162" s="36"/>
      <c r="Q162" s="36"/>
      <c r="R162" s="36"/>
    </row>
    <row r="163" spans="1:18" x14ac:dyDescent="0.25">
      <c r="A163" s="36"/>
      <c r="B163" s="36"/>
      <c r="C163" s="36"/>
      <c r="D163" s="36"/>
      <c r="E163" s="36"/>
      <c r="F163" s="36"/>
      <c r="G163" s="36"/>
      <c r="H163" s="36"/>
      <c r="I163" s="36"/>
      <c r="J163" s="36"/>
      <c r="K163" s="36"/>
      <c r="L163" s="36"/>
      <c r="M163" s="36"/>
      <c r="N163" s="36"/>
      <c r="O163" s="36"/>
      <c r="P163" s="36"/>
      <c r="Q163" s="36"/>
      <c r="R163" s="36"/>
    </row>
    <row r="164" spans="1:18" x14ac:dyDescent="0.25">
      <c r="A164" s="36"/>
      <c r="B164" s="36"/>
      <c r="C164" s="36"/>
      <c r="D164" s="36"/>
      <c r="E164" s="36"/>
      <c r="F164" s="36"/>
      <c r="G164" s="36"/>
      <c r="H164" s="36"/>
      <c r="I164" s="36"/>
      <c r="J164" s="36"/>
      <c r="K164" s="36"/>
      <c r="L164" s="36"/>
      <c r="M164" s="36"/>
      <c r="N164" s="36"/>
      <c r="O164" s="36"/>
      <c r="P164" s="36"/>
      <c r="Q164" s="36"/>
      <c r="R164" s="36"/>
    </row>
    <row r="165" spans="1:18" x14ac:dyDescent="0.25">
      <c r="A165" s="36"/>
      <c r="B165" s="36"/>
      <c r="C165" s="36"/>
      <c r="D165" s="36"/>
      <c r="E165" s="36"/>
      <c r="F165" s="36"/>
      <c r="G165" s="36"/>
      <c r="H165" s="36"/>
      <c r="I165" s="36"/>
      <c r="J165" s="36"/>
      <c r="K165" s="36"/>
      <c r="L165" s="36"/>
      <c r="M165" s="36"/>
      <c r="N165" s="36"/>
      <c r="O165" s="36"/>
      <c r="P165" s="36"/>
      <c r="Q165" s="36"/>
      <c r="R165" s="36"/>
    </row>
    <row r="166" spans="1:18" x14ac:dyDescent="0.25">
      <c r="A166" s="36"/>
      <c r="B166" s="36"/>
      <c r="C166" s="36"/>
      <c r="D166" s="36"/>
      <c r="E166" s="36"/>
      <c r="F166" s="36"/>
      <c r="G166" s="36"/>
      <c r="H166" s="36"/>
      <c r="I166" s="36"/>
      <c r="J166" s="36"/>
      <c r="K166" s="36"/>
      <c r="L166" s="36"/>
      <c r="M166" s="36"/>
      <c r="N166" s="36"/>
      <c r="O166" s="36"/>
      <c r="P166" s="36"/>
      <c r="Q166" s="36"/>
      <c r="R166" s="36"/>
    </row>
    <row r="167" spans="1:18" x14ac:dyDescent="0.25">
      <c r="A167" s="36"/>
      <c r="B167" s="36"/>
      <c r="C167" s="36"/>
      <c r="D167" s="36"/>
      <c r="E167" s="36"/>
      <c r="F167" s="36"/>
      <c r="G167" s="36"/>
      <c r="H167" s="36"/>
      <c r="I167" s="36"/>
      <c r="J167" s="36"/>
      <c r="K167" s="36"/>
      <c r="L167" s="36"/>
      <c r="M167" s="36"/>
      <c r="N167" s="36"/>
      <c r="O167" s="36"/>
      <c r="P167" s="36"/>
      <c r="Q167" s="36"/>
      <c r="R167" s="36"/>
    </row>
    <row r="168" spans="1:18" x14ac:dyDescent="0.25">
      <c r="A168" s="36"/>
      <c r="B168" s="36"/>
      <c r="C168" s="36"/>
      <c r="D168" s="36"/>
      <c r="E168" s="36"/>
      <c r="F168" s="36"/>
      <c r="G168" s="36"/>
      <c r="H168" s="36"/>
      <c r="I168" s="36"/>
      <c r="J168" s="36"/>
      <c r="K168" s="36"/>
      <c r="L168" s="36"/>
      <c r="M168" s="36"/>
      <c r="N168" s="36"/>
      <c r="O168" s="36"/>
      <c r="P168" s="36"/>
      <c r="Q168" s="36"/>
      <c r="R168" s="36"/>
    </row>
    <row r="169" spans="1:18" x14ac:dyDescent="0.25">
      <c r="A169" s="36"/>
      <c r="B169" s="36"/>
      <c r="C169" s="36"/>
      <c r="D169" s="36"/>
      <c r="E169" s="36"/>
      <c r="F169" s="36"/>
      <c r="G169" s="36"/>
      <c r="H169" s="36"/>
      <c r="I169" s="36"/>
      <c r="J169" s="36"/>
      <c r="K169" s="36"/>
      <c r="L169" s="36"/>
      <c r="M169" s="36"/>
      <c r="N169" s="36"/>
      <c r="O169" s="36"/>
      <c r="P169" s="36"/>
      <c r="Q169" s="36"/>
      <c r="R169" s="36"/>
    </row>
    <row r="170" spans="1:18" x14ac:dyDescent="0.25">
      <c r="A170" s="36"/>
      <c r="B170" s="36"/>
      <c r="C170" s="36"/>
      <c r="D170" s="36"/>
      <c r="E170" s="36"/>
      <c r="F170" s="36"/>
      <c r="G170" s="36"/>
      <c r="H170" s="36"/>
      <c r="I170" s="36"/>
      <c r="J170" s="36"/>
      <c r="K170" s="36"/>
      <c r="L170" s="36"/>
      <c r="M170" s="36"/>
      <c r="N170" s="36"/>
      <c r="O170" s="36"/>
      <c r="P170" s="36"/>
      <c r="Q170" s="36"/>
      <c r="R170" s="36"/>
    </row>
    <row r="171" spans="1:18" x14ac:dyDescent="0.25">
      <c r="P171" s="36"/>
      <c r="Q171" s="36"/>
      <c r="R171" s="36"/>
    </row>
    <row r="172" spans="1:18" x14ac:dyDescent="0.25">
      <c r="P172" s="36"/>
      <c r="Q172" s="36"/>
      <c r="R172" s="36"/>
    </row>
    <row r="173" spans="1:18" x14ac:dyDescent="0.25">
      <c r="P173" s="36"/>
      <c r="Q173" s="36"/>
      <c r="R173" s="36"/>
    </row>
    <row r="174" spans="1:18" x14ac:dyDescent="0.25">
      <c r="P174" s="36"/>
      <c r="Q174" s="36"/>
      <c r="R174" s="36"/>
    </row>
    <row r="175" spans="1:18" x14ac:dyDescent="0.25">
      <c r="Q175" s="36"/>
      <c r="R175" s="36"/>
    </row>
    <row r="176" spans="1:18" x14ac:dyDescent="0.25">
      <c r="P176" s="36"/>
      <c r="Q176" s="36"/>
      <c r="R176" s="36"/>
    </row>
    <row r="177" spans="16:18" x14ac:dyDescent="0.25">
      <c r="P177" s="36"/>
      <c r="Q177" s="36"/>
      <c r="R177" s="36"/>
    </row>
    <row r="178" spans="16:18" x14ac:dyDescent="0.25">
      <c r="P178" s="36"/>
      <c r="Q178" s="36"/>
      <c r="R178" s="36"/>
    </row>
    <row r="179" spans="16:18" x14ac:dyDescent="0.25">
      <c r="P179" s="36"/>
      <c r="Q179" s="36"/>
      <c r="R179" s="36"/>
    </row>
    <row r="180" spans="16:18" x14ac:dyDescent="0.25">
      <c r="P180" s="36"/>
      <c r="Q180" s="36"/>
      <c r="R180" s="36"/>
    </row>
    <row r="181" spans="16:18" x14ac:dyDescent="0.25">
      <c r="P181" s="36"/>
      <c r="Q181" s="36"/>
      <c r="R181" s="36"/>
    </row>
    <row r="182" spans="16:18" x14ac:dyDescent="0.25">
      <c r="P182" s="36"/>
      <c r="Q182" s="36"/>
      <c r="R182" s="36"/>
    </row>
    <row r="183" spans="16:18" x14ac:dyDescent="0.25">
      <c r="P183" s="36"/>
      <c r="Q183" s="36"/>
      <c r="R183" s="36"/>
    </row>
    <row r="184" spans="16:18" x14ac:dyDescent="0.25">
      <c r="P184" s="36"/>
      <c r="Q184" s="36"/>
      <c r="R184" s="36"/>
    </row>
    <row r="185" spans="16:18" x14ac:dyDescent="0.25">
      <c r="P185" s="36"/>
      <c r="Q185" s="36"/>
      <c r="R185" s="36"/>
    </row>
    <row r="186" spans="16:18" x14ac:dyDescent="0.25">
      <c r="P186" s="36"/>
      <c r="Q186" s="36"/>
      <c r="R186" s="36"/>
    </row>
    <row r="187" spans="16:18" x14ac:dyDescent="0.25">
      <c r="P187" s="36"/>
      <c r="Q187" s="36"/>
      <c r="R187" s="36"/>
    </row>
    <row r="188" spans="16:18" x14ac:dyDescent="0.25">
      <c r="P188" s="36"/>
      <c r="Q188" s="36"/>
      <c r="R188" s="36"/>
    </row>
    <row r="189" spans="16:18" x14ac:dyDescent="0.25">
      <c r="P189" s="36"/>
      <c r="Q189" s="36"/>
      <c r="R189" s="36"/>
    </row>
    <row r="190" spans="16:18" x14ac:dyDescent="0.25">
      <c r="P190" s="36"/>
      <c r="Q190" s="36"/>
      <c r="R190" s="36"/>
    </row>
    <row r="191" spans="16:18" x14ac:dyDescent="0.25">
      <c r="P191" s="36"/>
      <c r="Q191" s="36"/>
      <c r="R191" s="36"/>
    </row>
    <row r="192" spans="16:18" x14ac:dyDescent="0.25">
      <c r="P192" s="36"/>
      <c r="Q192" s="36"/>
      <c r="R192" s="36"/>
    </row>
    <row r="193" spans="16:18" x14ac:dyDescent="0.25">
      <c r="P193" s="36"/>
      <c r="Q193" s="36"/>
      <c r="R193" s="36"/>
    </row>
    <row r="194" spans="16:18" x14ac:dyDescent="0.25">
      <c r="P194" s="36"/>
      <c r="Q194" s="36"/>
      <c r="R194" s="36"/>
    </row>
    <row r="195" spans="16:18" x14ac:dyDescent="0.25">
      <c r="P195" s="36"/>
      <c r="Q195" s="36"/>
      <c r="R195" s="36"/>
    </row>
    <row r="196" spans="16:18" x14ac:dyDescent="0.25">
      <c r="P196" s="36"/>
      <c r="Q196" s="36"/>
      <c r="R196" s="36"/>
    </row>
    <row r="197" spans="16:18" x14ac:dyDescent="0.25">
      <c r="P197" s="36"/>
      <c r="Q197" s="36"/>
      <c r="R197" s="36"/>
    </row>
    <row r="198" spans="16:18" x14ac:dyDescent="0.25">
      <c r="P198" s="36"/>
      <c r="Q198" s="36"/>
      <c r="R198" s="36"/>
    </row>
    <row r="199" spans="16:18" x14ac:dyDescent="0.25">
      <c r="P199" s="36"/>
      <c r="Q199" s="36"/>
      <c r="R199" s="36"/>
    </row>
  </sheetData>
  <mergeCells count="15">
    <mergeCell ref="A3:A4"/>
    <mergeCell ref="B3:B4"/>
    <mergeCell ref="C3:C4"/>
    <mergeCell ref="A51:A67"/>
    <mergeCell ref="A5:A11"/>
    <mergeCell ref="A13:A29"/>
    <mergeCell ref="A31:A43"/>
    <mergeCell ref="A45:A49"/>
    <mergeCell ref="I1:L1"/>
    <mergeCell ref="M1:P1"/>
    <mergeCell ref="Q3:Q4"/>
    <mergeCell ref="D3:D4"/>
    <mergeCell ref="I3:L3"/>
    <mergeCell ref="M3:P3"/>
    <mergeCell ref="E3:H3"/>
  </mergeCells>
  <phoneticPr fontId="0" type="noConversion"/>
  <pageMargins left="0.75" right="0.75" top="1" bottom="1" header="0.5" footer="0.5"/>
  <pageSetup paperSize="5" scale="50" orientation="landscape" r:id="rId1"/>
  <headerFooter alignWithMargins="0">
    <oddFooter>&amp;L&amp;"Arial,Italic" 7/02/07&amp;C&amp;"Arial,Italic"&amp;A&amp;R&amp;"Arial,Italic"NJAES Report 2007-1 ©2007
New Jersey Agricultural Experiment Station</oddFooter>
  </headerFooter>
  <ignoredErrors>
    <ignoredError sqref="L11" formulaRange="1"/>
    <ignoredError sqref="D67" formula="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S199"/>
  <sheetViews>
    <sheetView topLeftCell="A115" zoomScale="70" zoomScaleNormal="75" workbookViewId="0">
      <selection activeCell="C147" sqref="C147"/>
    </sheetView>
  </sheetViews>
  <sheetFormatPr defaultColWidth="9.109375" defaultRowHeight="13.2" x14ac:dyDescent="0.25"/>
  <cols>
    <col min="1" max="1" width="28.6640625" style="5" customWidth="1"/>
    <col min="2" max="2" width="42.6640625" style="5" customWidth="1"/>
    <col min="3" max="3" width="23.6640625" style="5" customWidth="1"/>
    <col min="4" max="4" width="18.6640625" style="5" customWidth="1"/>
    <col min="5" max="16" width="14.6640625" style="5" customWidth="1"/>
    <col min="17" max="17" width="45.6640625" style="5" customWidth="1"/>
    <col min="18" max="18" width="34.44140625" style="5" customWidth="1"/>
    <col min="19" max="19" width="19.33203125" style="5" customWidth="1"/>
    <col min="20" max="20" width="14" style="5" customWidth="1"/>
    <col min="21" max="16384" width="9.109375" style="5"/>
  </cols>
  <sheetData>
    <row r="1" spans="1:17" ht="15.6" x14ac:dyDescent="0.3">
      <c r="A1" s="407" t="s">
        <v>449</v>
      </c>
      <c r="E1" s="412" t="s">
        <v>433</v>
      </c>
      <c r="I1" s="1192" t="str">
        <f>'Bioenergy Calculator'!B3</f>
        <v>None</v>
      </c>
      <c r="J1" s="1193"/>
      <c r="K1" s="1193"/>
      <c r="L1" s="1194"/>
      <c r="M1" s="1195" t="str">
        <f>'Bioenergy Calculator'!B4</f>
        <v>None</v>
      </c>
      <c r="N1" s="1195"/>
      <c r="O1" s="1195"/>
      <c r="P1" s="1196"/>
    </row>
    <row r="3" spans="1:17" s="6" customFormat="1" ht="24.75" customHeight="1" x14ac:dyDescent="0.25">
      <c r="A3" s="1062" t="s">
        <v>567</v>
      </c>
      <c r="B3" s="1062" t="s">
        <v>506</v>
      </c>
      <c r="C3" s="1062" t="s">
        <v>1035</v>
      </c>
      <c r="D3" s="1062" t="s">
        <v>1051</v>
      </c>
      <c r="E3" s="1083" t="s">
        <v>523</v>
      </c>
      <c r="F3" s="1209"/>
      <c r="G3" s="1209"/>
      <c r="H3" s="1198"/>
      <c r="I3" s="1072" t="s">
        <v>275</v>
      </c>
      <c r="J3" s="1073"/>
      <c r="K3" s="1074"/>
      <c r="L3" s="1075"/>
      <c r="M3" s="1083" t="s">
        <v>274</v>
      </c>
      <c r="N3" s="1084"/>
      <c r="O3" s="1197"/>
      <c r="P3" s="1198"/>
      <c r="Q3" s="1060" t="s">
        <v>570</v>
      </c>
    </row>
    <row r="4" spans="1:17" s="6" customFormat="1" x14ac:dyDescent="0.25">
      <c r="A4" s="1063"/>
      <c r="B4" s="1063"/>
      <c r="C4" s="1063"/>
      <c r="D4" s="1071"/>
      <c r="E4" s="22">
        <v>2010</v>
      </c>
      <c r="F4" s="22">
        <v>2015</v>
      </c>
      <c r="G4" s="22">
        <v>2020</v>
      </c>
      <c r="H4" s="22">
        <v>2025</v>
      </c>
      <c r="I4" s="22">
        <v>2010</v>
      </c>
      <c r="J4" s="22">
        <v>2015</v>
      </c>
      <c r="K4" s="22">
        <v>2020</v>
      </c>
      <c r="L4" s="22">
        <v>2025</v>
      </c>
      <c r="M4" s="22">
        <v>2010</v>
      </c>
      <c r="N4" s="22">
        <v>2015</v>
      </c>
      <c r="O4" s="22">
        <v>2020</v>
      </c>
      <c r="P4" s="22">
        <v>2025</v>
      </c>
      <c r="Q4" s="1061"/>
    </row>
    <row r="5" spans="1:17" x14ac:dyDescent="0.25">
      <c r="A5" s="1064" t="s">
        <v>513</v>
      </c>
      <c r="B5" s="1" t="s">
        <v>511</v>
      </c>
      <c r="C5" s="13"/>
      <c r="D5" s="13"/>
      <c r="E5" s="13"/>
      <c r="F5" s="13"/>
      <c r="G5" s="13"/>
      <c r="H5" s="13"/>
      <c r="I5" s="7"/>
      <c r="J5" s="7"/>
      <c r="K5" s="7"/>
      <c r="L5" s="7"/>
      <c r="M5" s="7"/>
      <c r="N5" s="7"/>
      <c r="O5" s="7"/>
      <c r="P5" s="7"/>
      <c r="Q5" s="7"/>
    </row>
    <row r="6" spans="1:17" x14ac:dyDescent="0.25">
      <c r="A6" s="1064"/>
      <c r="B6" s="11" t="str">
        <f>IF('Prac. Rec. Assumptions'!$B$56='Prac. Rec. Assumptions'!$V$3,A74,IF('Prac. Rec. Assumptions'!B57="No",A74,"Sorghum- Converted to Energy Crop"))</f>
        <v>Sorghum</v>
      </c>
      <c r="C6" s="294">
        <f>IF('Prac. Rec. Assumptions'!$B$56='Prac. Rec. Assumptions'!$V$3,D74,IF('Prac. Rec. Assumptions'!B57="No",D74,0))</f>
        <v>502.81</v>
      </c>
      <c r="D6" s="294" t="s">
        <v>431</v>
      </c>
      <c r="E6" s="294">
        <f>C6*'Prac. Rec. Assumptions'!B4</f>
        <v>0</v>
      </c>
      <c r="F6" s="294">
        <f>$E6</f>
        <v>0</v>
      </c>
      <c r="G6" s="294">
        <f>$E6</f>
        <v>0</v>
      </c>
      <c r="H6" s="294">
        <f>$E6</f>
        <v>0</v>
      </c>
      <c r="I6" s="16" t="str">
        <f>IF('Conversion Tables'!F7="NA","NA",$D6/'Conversion Tables'!F7)</f>
        <v>NA</v>
      </c>
      <c r="J6" s="16" t="str">
        <f>IF('Conversion Tables'!G7="NA","NA",$D6/'Conversion Tables'!G7)</f>
        <v>NA</v>
      </c>
      <c r="K6" s="16" t="str">
        <f>IF('Conversion Tables'!H7="NA","NA",$D6/'Conversion Tables'!H7)</f>
        <v>NA</v>
      </c>
      <c r="L6" s="16" t="str">
        <f>IF('Conversion Tables'!H7="NA","NA",$D6/'Conversion Tables'!H7)</f>
        <v>NA</v>
      </c>
      <c r="M6" s="16" t="str">
        <f>IF('Conversion Tables'!K7="NA","NA",$C74*'Conversion Tables'!K7)</f>
        <v>NA</v>
      </c>
      <c r="N6" s="16" t="str">
        <f>IF('Conversion Tables'!L7="NA","NA",$C74*'Conversion Tables'!L7)</f>
        <v>NA</v>
      </c>
      <c r="O6" s="16" t="str">
        <f>IF('Conversion Tables'!M7="NA","NA",$C74*'Conversion Tables'!M7)</f>
        <v>NA</v>
      </c>
      <c r="P6" s="16" t="str">
        <f>IF('Conversion Tables'!N7="NA","NA",$C74*'Conversion Tables'!N7)</f>
        <v>NA</v>
      </c>
      <c r="Q6" s="15"/>
    </row>
    <row r="7" spans="1:17" x14ac:dyDescent="0.25">
      <c r="A7" s="1064"/>
      <c r="B7" s="11" t="str">
        <f>IF('Prac. Rec. Assumptions'!$B$56='Prac. Rec. Assumptions'!$V$3,A75,IF('Prac. Rec. Assumptions'!B59="No",A75,"Rye- Converted to Energy Crop"))</f>
        <v>Rye</v>
      </c>
      <c r="C7" s="294">
        <f>IF('Prac. Rec. Assumptions'!$B$56='Prac. Rec. Assumptions'!$V$3,D75,IF('Prac. Rec. Assumptions'!B59="No",D75,0))</f>
        <v>1787.9316000000001</v>
      </c>
      <c r="D7" s="294" t="s">
        <v>431</v>
      </c>
      <c r="E7" s="294">
        <f>C7*'Prac. Rec. Assumptions'!B5</f>
        <v>0</v>
      </c>
      <c r="F7" s="294">
        <f t="shared" ref="F7:H10" si="0">$E7</f>
        <v>0</v>
      </c>
      <c r="G7" s="294">
        <f t="shared" si="0"/>
        <v>0</v>
      </c>
      <c r="H7" s="294">
        <f t="shared" si="0"/>
        <v>0</v>
      </c>
      <c r="I7" s="16" t="str">
        <f>IF('Conversion Tables'!F8="NA","NA",$D7/'Conversion Tables'!F8)</f>
        <v>NA</v>
      </c>
      <c r="J7" s="16" t="str">
        <f>IF('Conversion Tables'!G8="NA","NA",$D7/'Conversion Tables'!G8)</f>
        <v>NA</v>
      </c>
      <c r="K7" s="16" t="str">
        <f>IF('Conversion Tables'!H8="NA","NA",$D7/'Conversion Tables'!H8)</f>
        <v>NA</v>
      </c>
      <c r="L7" s="16" t="str">
        <f>IF('Conversion Tables'!H8="NA","NA",$D7/'Conversion Tables'!H8)</f>
        <v>NA</v>
      </c>
      <c r="M7" s="16" t="str">
        <f>IF('Conversion Tables'!K8="NA","NA",$C75*'Conversion Tables'!K8)</f>
        <v>NA</v>
      </c>
      <c r="N7" s="16" t="str">
        <f>IF('Conversion Tables'!L8="NA","NA",$C75*'Conversion Tables'!L8)</f>
        <v>NA</v>
      </c>
      <c r="O7" s="16" t="str">
        <f>IF('Conversion Tables'!M8="NA","NA",$C75*'Conversion Tables'!M8)</f>
        <v>NA</v>
      </c>
      <c r="P7" s="16" t="str">
        <f>IF('Conversion Tables'!N8="NA","NA",$C75*'Conversion Tables'!N8)</f>
        <v>NA</v>
      </c>
      <c r="Q7" s="15"/>
    </row>
    <row r="8" spans="1:17" x14ac:dyDescent="0.25">
      <c r="A8" s="1064"/>
      <c r="B8" s="11" t="str">
        <f>IF('Prac. Rec. Assumptions'!$B$56='Prac. Rec. Assumptions'!$V$3,A76,IF('Prac. Rec. Assumptions'!B60="No",A76,"Corn for Grain- Converted to Energy Crop"))</f>
        <v>Corn for Grain</v>
      </c>
      <c r="C8" s="294">
        <f>IF('Prac. Rec. Assumptions'!$B$56='Prac. Rec. Assumptions'!$V$3,D76,IF('Prac. Rec. Assumptions'!B60="No",D76,0))</f>
        <v>24916.5</v>
      </c>
      <c r="D8" s="294" t="s">
        <v>431</v>
      </c>
      <c r="E8" s="294">
        <f>C8*'Prac. Rec. Assumptions'!B6</f>
        <v>0</v>
      </c>
      <c r="F8" s="294">
        <f t="shared" si="0"/>
        <v>0</v>
      </c>
      <c r="G8" s="294">
        <f t="shared" si="0"/>
        <v>0</v>
      </c>
      <c r="H8" s="294">
        <f t="shared" si="0"/>
        <v>0</v>
      </c>
      <c r="I8" s="16" t="str">
        <f>IF('Conversion Tables'!F9="NA","NA",$D8/'Conversion Tables'!F9)</f>
        <v>NA</v>
      </c>
      <c r="J8" s="16" t="str">
        <f>IF('Conversion Tables'!G9="NA","NA",$D8/'Conversion Tables'!G9)</f>
        <v>NA</v>
      </c>
      <c r="K8" s="16" t="str">
        <f>IF('Conversion Tables'!H9="NA","NA",$D8/'Conversion Tables'!H9)</f>
        <v>NA</v>
      </c>
      <c r="L8" s="16" t="str">
        <f>IF('Conversion Tables'!H9="NA","NA",$D8/'Conversion Tables'!H9)</f>
        <v>NA</v>
      </c>
      <c r="M8" s="16" t="str">
        <f>IF('Conversion Tables'!K9="NA","NA",$C76*'Conversion Tables'!K9)</f>
        <v>NA</v>
      </c>
      <c r="N8" s="16" t="str">
        <f>IF('Conversion Tables'!L9="NA","NA",$C76*'Conversion Tables'!L9)</f>
        <v>NA</v>
      </c>
      <c r="O8" s="16" t="str">
        <f>IF('Conversion Tables'!M9="NA","NA",$C76*'Conversion Tables'!M9)</f>
        <v>NA</v>
      </c>
      <c r="P8" s="16" t="str">
        <f>IF('Conversion Tables'!N9="NA","NA",$C76*'Conversion Tables'!N9)</f>
        <v>NA</v>
      </c>
      <c r="Q8" s="15"/>
    </row>
    <row r="9" spans="1:17" x14ac:dyDescent="0.25">
      <c r="A9" s="1064"/>
      <c r="B9" s="11" t="str">
        <f>IF('Prac. Rec. Assumptions'!$B$56='Prac. Rec. Assumptions'!$V$3,A78,IF('Prac. Rec. Assumptions'!B64="No",A78,"Wheat- Converted to Energy Crop"))</f>
        <v>Wheat</v>
      </c>
      <c r="C9" s="294">
        <f>IF('Prac. Rec. Assumptions'!$B$56='Prac. Rec. Assumptions'!$V$3,D78,IF('Prac. Rec. Assumptions'!B64="No",D78,0))</f>
        <v>4882.68</v>
      </c>
      <c r="D9" s="294" t="s">
        <v>431</v>
      </c>
      <c r="E9" s="294">
        <f>C9*'Prac. Rec. Assumptions'!B7</f>
        <v>0</v>
      </c>
      <c r="F9" s="294">
        <f t="shared" si="0"/>
        <v>0</v>
      </c>
      <c r="G9" s="294">
        <f t="shared" si="0"/>
        <v>0</v>
      </c>
      <c r="H9" s="294">
        <f t="shared" si="0"/>
        <v>0</v>
      </c>
      <c r="I9" s="16" t="str">
        <f>IF('Conversion Tables'!F10="NA","NA",$D9/'Conversion Tables'!F10)</f>
        <v>NA</v>
      </c>
      <c r="J9" s="16" t="str">
        <f>IF('Conversion Tables'!G10="NA","NA",$D9/'Conversion Tables'!G10)</f>
        <v>NA</v>
      </c>
      <c r="K9" s="16" t="str">
        <f>IF('Conversion Tables'!H10="NA","NA",$D9/'Conversion Tables'!H10)</f>
        <v>NA</v>
      </c>
      <c r="L9" s="16" t="str">
        <f>IF('Conversion Tables'!H10="NA","NA",$D9/'Conversion Tables'!H10)</f>
        <v>NA</v>
      </c>
      <c r="M9" s="16" t="str">
        <f>IF('Conversion Tables'!K10="NA","NA",$C78*'Conversion Tables'!K10)</f>
        <v>NA</v>
      </c>
      <c r="N9" s="16" t="str">
        <f>IF('Conversion Tables'!L10="NA","NA",$C78*'Conversion Tables'!L10)</f>
        <v>NA</v>
      </c>
      <c r="O9" s="16" t="str">
        <f>IF('Conversion Tables'!M10="NA","NA",$C78*'Conversion Tables'!M10)</f>
        <v>NA</v>
      </c>
      <c r="P9" s="16" t="str">
        <f>IF('Conversion Tables'!N10="NA","NA",$C78*'Conversion Tables'!N10)</f>
        <v>NA</v>
      </c>
      <c r="Q9" s="15"/>
    </row>
    <row r="10" spans="1:17" x14ac:dyDescent="0.25">
      <c r="A10" s="1064"/>
      <c r="B10" s="129" t="s">
        <v>301</v>
      </c>
      <c r="C10" s="294"/>
      <c r="D10" s="294" t="s">
        <v>431</v>
      </c>
      <c r="E10" s="294">
        <f>C10*'Prac. Rec. Assumptions'!B8</f>
        <v>0</v>
      </c>
      <c r="F10" s="294">
        <f t="shared" si="0"/>
        <v>0</v>
      </c>
      <c r="G10" s="294">
        <f t="shared" si="0"/>
        <v>0</v>
      </c>
      <c r="H10" s="294">
        <f t="shared" si="0"/>
        <v>0</v>
      </c>
      <c r="I10" s="16" t="str">
        <f>IF('Conversion Tables'!F11="NA","NA",$D10/'Conversion Tables'!F11)</f>
        <v>NA</v>
      </c>
      <c r="J10" s="16" t="str">
        <f>IF('Conversion Tables'!G11="NA","NA",$D10/'Conversion Tables'!G11)</f>
        <v>NA</v>
      </c>
      <c r="K10" s="16" t="str">
        <f>IF('Conversion Tables'!H11="NA","NA",$D10/'Conversion Tables'!H11)</f>
        <v>NA</v>
      </c>
      <c r="L10" s="16" t="str">
        <f>IF('Conversion Tables'!H11="NA","NA",$D10/'Conversion Tables'!H11)</f>
        <v>NA</v>
      </c>
      <c r="M10" s="16" t="str">
        <f>IF('Conversion Tables'!K11="NA","NA",E10*'Conversion Tables'!K11)</f>
        <v>NA</v>
      </c>
      <c r="N10" s="16" t="str">
        <f>IF('Conversion Tables'!L11="NA","NA",F10*'Conversion Tables'!L11)</f>
        <v>NA</v>
      </c>
      <c r="O10" s="16" t="str">
        <f>IF('Conversion Tables'!M11="NA","NA",G10*'Conversion Tables'!M11)</f>
        <v>NA</v>
      </c>
      <c r="P10" s="16" t="str">
        <f>IF('Conversion Tables'!N11="NA","NA",H10*'Conversion Tables'!N11)</f>
        <v>NA</v>
      </c>
      <c r="Q10" s="7"/>
    </row>
    <row r="11" spans="1:17" x14ac:dyDescent="0.25">
      <c r="A11" s="1065"/>
      <c r="B11" s="9" t="s">
        <v>524</v>
      </c>
      <c r="C11" s="295">
        <f t="shared" ref="C11:P11" si="1">SUM(C5:C10)</f>
        <v>32089.921600000001</v>
      </c>
      <c r="D11" s="295">
        <f t="shared" si="1"/>
        <v>0</v>
      </c>
      <c r="E11" s="295">
        <f t="shared" si="1"/>
        <v>0</v>
      </c>
      <c r="F11" s="295">
        <f t="shared" si="1"/>
        <v>0</v>
      </c>
      <c r="G11" s="295">
        <f t="shared" si="1"/>
        <v>0</v>
      </c>
      <c r="H11" s="295">
        <f t="shared" si="1"/>
        <v>0</v>
      </c>
      <c r="I11" s="19">
        <f t="shared" si="1"/>
        <v>0</v>
      </c>
      <c r="J11" s="19">
        <f t="shared" si="1"/>
        <v>0</v>
      </c>
      <c r="K11" s="19">
        <f t="shared" si="1"/>
        <v>0</v>
      </c>
      <c r="L11" s="19">
        <f t="shared" si="1"/>
        <v>0</v>
      </c>
      <c r="M11" s="19">
        <f t="shared" si="1"/>
        <v>0</v>
      </c>
      <c r="N11" s="19">
        <f t="shared" si="1"/>
        <v>0</v>
      </c>
      <c r="O11" s="19">
        <f t="shared" si="1"/>
        <v>0</v>
      </c>
      <c r="P11" s="19">
        <f t="shared" si="1"/>
        <v>0</v>
      </c>
      <c r="Q11" s="19"/>
    </row>
    <row r="12" spans="1:17" x14ac:dyDescent="0.25">
      <c r="A12" s="8"/>
      <c r="C12" s="296"/>
      <c r="D12" s="296"/>
      <c r="E12" s="296"/>
      <c r="F12" s="296"/>
      <c r="G12" s="296"/>
      <c r="H12" s="296"/>
      <c r="I12" s="28"/>
      <c r="J12" s="28"/>
      <c r="K12" s="28"/>
      <c r="L12" s="28"/>
      <c r="M12" s="28"/>
      <c r="N12" s="28"/>
      <c r="O12" s="28"/>
      <c r="P12" s="28"/>
    </row>
    <row r="13" spans="1:17" x14ac:dyDescent="0.25">
      <c r="A13" s="1206" t="s">
        <v>514</v>
      </c>
      <c r="B13" s="1" t="s">
        <v>507</v>
      </c>
      <c r="C13" s="294">
        <f>D90</f>
        <v>0</v>
      </c>
      <c r="D13" s="294">
        <f>E13*'Conversion Tables'!C12</f>
        <v>0</v>
      </c>
      <c r="E13" s="294">
        <f>C13*'Prac. Rec. Assumptions'!B9</f>
        <v>0</v>
      </c>
      <c r="F13" s="294">
        <f>$E13</f>
        <v>0</v>
      </c>
      <c r="G13" s="294">
        <f>$E13</f>
        <v>0</v>
      </c>
      <c r="H13" s="294">
        <f>$E13</f>
        <v>0</v>
      </c>
      <c r="I13" s="16" t="str">
        <f>IF('Conversion Tables'!F12="NA","NA",(E13*'Conversion Tables'!$C12)/'Conversion Tables'!F12)</f>
        <v>NA</v>
      </c>
      <c r="J13" s="16" t="str">
        <f>IF('Conversion Tables'!G12="NA","NA",(F13*'Conversion Tables'!$C12)/'Conversion Tables'!G12)</f>
        <v>NA</v>
      </c>
      <c r="K13" s="16" t="str">
        <f>IF('Conversion Tables'!H12="NA","NA",(G13*'Conversion Tables'!$C12)/'Conversion Tables'!H12)</f>
        <v>NA</v>
      </c>
      <c r="L13" s="16" t="str">
        <f>IF('Conversion Tables'!I12="NA","NA",(H13*'Conversion Tables'!$C12)/'Conversion Tables'!I12)</f>
        <v>NA</v>
      </c>
      <c r="M13" s="16" t="str">
        <f>IF('Conversion Tables'!K12="NA","NA",E13*'Conversion Tables'!K12)</f>
        <v>NA</v>
      </c>
      <c r="N13" s="16" t="str">
        <f>IF('Conversion Tables'!L12="NA","NA",F13*'Conversion Tables'!L12)</f>
        <v>NA</v>
      </c>
      <c r="O13" s="16" t="str">
        <f>IF('Conversion Tables'!M12="NA","NA",G13*'Conversion Tables'!M12)</f>
        <v>NA</v>
      </c>
      <c r="P13" s="16" t="str">
        <f>IF('Conversion Tables'!N12="NA","NA",H13*'Conversion Tables'!N12)</f>
        <v>NA</v>
      </c>
      <c r="Q13" s="7"/>
    </row>
    <row r="14" spans="1:17" x14ac:dyDescent="0.25">
      <c r="A14" s="1207"/>
      <c r="B14" s="1" t="s">
        <v>504</v>
      </c>
      <c r="C14" s="294"/>
      <c r="D14" s="294"/>
      <c r="E14" s="294"/>
      <c r="F14" s="294"/>
      <c r="G14" s="294"/>
      <c r="H14" s="294"/>
      <c r="I14" s="16"/>
      <c r="J14" s="16"/>
      <c r="K14" s="16"/>
      <c r="L14" s="16"/>
      <c r="M14" s="16"/>
      <c r="N14" s="16"/>
      <c r="O14" s="16"/>
      <c r="P14" s="16"/>
      <c r="Q14" s="7"/>
    </row>
    <row r="15" spans="1:17" x14ac:dyDescent="0.25">
      <c r="A15" s="1207"/>
      <c r="B15" s="11" t="str">
        <f>IF('Prac. Rec. Assumptions'!$B$56='Prac. Rec. Assumptions'!$V$3,A81,IF('Prac. Rec. Assumptions'!B57="No",A81,"Sweet Corn- Converted to Energy Crop"))</f>
        <v>Sweet Corn</v>
      </c>
      <c r="C15" s="294">
        <f>IF('Prac. Rec. Assumptions'!$B$56='Prac. Rec. Assumptions'!$V$3,D81,IF('Prac. Rec. Assumptions'!B58="No",D81,0))</f>
        <v>1056.55</v>
      </c>
      <c r="D15" s="294">
        <f>E15*'Conversion Tables'!C14</f>
        <v>13297.31568</v>
      </c>
      <c r="E15" s="294">
        <f>C15*'Prac. Rec. Assumptions'!B11</f>
        <v>845.24</v>
      </c>
      <c r="F15" s="294">
        <f>$E15</f>
        <v>845.24</v>
      </c>
      <c r="G15" s="294">
        <f>$E15</f>
        <v>845.24</v>
      </c>
      <c r="H15" s="294">
        <f>$E15</f>
        <v>845.24</v>
      </c>
      <c r="I15" s="16" t="str">
        <f>IF('Conversion Tables'!F14="NA","NA",(E15*'Conversion Tables'!$C14)/'Conversion Tables'!F14)</f>
        <v>NA</v>
      </c>
      <c r="J15" s="16" t="str">
        <f>IF('Conversion Tables'!G14="NA","NA",(F15*'Conversion Tables'!$C14)/'Conversion Tables'!G14)</f>
        <v>NA</v>
      </c>
      <c r="K15" s="16" t="str">
        <f>IF('Conversion Tables'!H14="NA","NA",(G15*'Conversion Tables'!$C14)/'Conversion Tables'!H14)</f>
        <v>NA</v>
      </c>
      <c r="L15" s="16" t="str">
        <f>IF('Conversion Tables'!I14="NA","NA",(H15*'Conversion Tables'!$C14)/'Conversion Tables'!I14)</f>
        <v>NA</v>
      </c>
      <c r="M15" s="16" t="str">
        <f>IF('Conversion Tables'!K14="NA","NA",E15*'Conversion Tables'!K14)</f>
        <v>NA</v>
      </c>
      <c r="N15" s="16" t="str">
        <f>IF('Conversion Tables'!L14="NA","NA",F15*'Conversion Tables'!L14)</f>
        <v>NA</v>
      </c>
      <c r="O15" s="16" t="str">
        <f>IF('Conversion Tables'!M14="NA","NA",G15*'Conversion Tables'!M14)</f>
        <v>NA</v>
      </c>
      <c r="P15" s="16" t="str">
        <f>IF('Conversion Tables'!N14="NA","NA",H15*'Conversion Tables'!N14)</f>
        <v>NA</v>
      </c>
      <c r="Q15" s="15"/>
    </row>
    <row r="16" spans="1:17" x14ac:dyDescent="0.25">
      <c r="A16" s="1207"/>
      <c r="B16" s="11" t="str">
        <f>IF('Prac. Rec. Assumptions'!$B$56='Prac. Rec. Assumptions'!$V$3,A82,IF('Prac. Rec. Assumptions'!B58="No",A82,"Rye- Converted to Energy Crop"))</f>
        <v>Rye</v>
      </c>
      <c r="C16" s="294">
        <f>IF('Prac. Rec. Assumptions'!$B$56='Prac. Rec. Assumptions'!$V$3,D82,IF('Prac. Rec. Assumptions'!B59="No",D82,0))</f>
        <v>5953.6125000000002</v>
      </c>
      <c r="D16" s="294">
        <f>E16*'Conversion Tables'!C15</f>
        <v>0</v>
      </c>
      <c r="E16" s="294">
        <f>C16*'Prac. Rec. Assumptions'!B12</f>
        <v>0</v>
      </c>
      <c r="F16" s="294">
        <f t="shared" ref="F16:H23" si="2">$E16</f>
        <v>0</v>
      </c>
      <c r="G16" s="294">
        <f t="shared" si="2"/>
        <v>0</v>
      </c>
      <c r="H16" s="294">
        <f t="shared" si="2"/>
        <v>0</v>
      </c>
      <c r="I16" s="16" t="str">
        <f>IF('Conversion Tables'!F15="NA","NA",(E16*'Conversion Tables'!$C15)/'Conversion Tables'!F15)</f>
        <v>NA</v>
      </c>
      <c r="J16" s="16" t="str">
        <f>IF('Conversion Tables'!G15="NA","NA",(F16*'Conversion Tables'!$C15)/'Conversion Tables'!G15)</f>
        <v>NA</v>
      </c>
      <c r="K16" s="16" t="str">
        <f>IF('Conversion Tables'!H15="NA","NA",(G16*'Conversion Tables'!$C15)/'Conversion Tables'!H15)</f>
        <v>NA</v>
      </c>
      <c r="L16" s="16" t="str">
        <f>IF('Conversion Tables'!I15="NA","NA",(H16*'Conversion Tables'!$C15)/'Conversion Tables'!I15)</f>
        <v>NA</v>
      </c>
      <c r="M16" s="16" t="str">
        <f>IF('Conversion Tables'!K15="NA","NA",E16*'Conversion Tables'!K15)</f>
        <v>NA</v>
      </c>
      <c r="N16" s="16" t="str">
        <f>IF('Conversion Tables'!L15="NA","NA",F16*'Conversion Tables'!L15)</f>
        <v>NA</v>
      </c>
      <c r="O16" s="16" t="str">
        <f>IF('Conversion Tables'!M15="NA","NA",G16*'Conversion Tables'!M15)</f>
        <v>NA</v>
      </c>
      <c r="P16" s="16" t="str">
        <f>IF('Conversion Tables'!N15="NA","NA",H16*'Conversion Tables'!N15)</f>
        <v>NA</v>
      </c>
      <c r="Q16" s="15"/>
    </row>
    <row r="17" spans="1:17" x14ac:dyDescent="0.25">
      <c r="A17" s="1207"/>
      <c r="B17" s="11" t="str">
        <f>IF('Prac. Rec. Assumptions'!$B$56='Prac. Rec. Assumptions'!$V$3,A83,IF('Prac. Rec. Assumptions'!B59="No",A83,"Corn for Grain- Converted to Energy Crop"))</f>
        <v>Corn for Grain</v>
      </c>
      <c r="C17" s="294">
        <f>IF('Prac. Rec. Assumptions'!$B$56='Prac. Rec. Assumptions'!$V$3,D83,IF('Prac. Rec. Assumptions'!B60="No",D83,0))</f>
        <v>15127.875</v>
      </c>
      <c r="D17" s="294">
        <f>E17*'Conversion Tables'!C16</f>
        <v>202292.97007499999</v>
      </c>
      <c r="E17" s="294">
        <f>C17*'Prac. Rec. Assumptions'!B13</f>
        <v>12858.69375</v>
      </c>
      <c r="F17" s="294">
        <f t="shared" si="2"/>
        <v>12858.69375</v>
      </c>
      <c r="G17" s="294">
        <f t="shared" si="2"/>
        <v>12858.69375</v>
      </c>
      <c r="H17" s="294">
        <f t="shared" si="2"/>
        <v>12858.69375</v>
      </c>
      <c r="I17" s="16" t="str">
        <f>IF('Conversion Tables'!F16="NA","NA",(E17*'Conversion Tables'!$C16)/'Conversion Tables'!F16)</f>
        <v>NA</v>
      </c>
      <c r="J17" s="16" t="str">
        <f>IF('Conversion Tables'!G16="NA","NA",(F17*'Conversion Tables'!$C16)/'Conversion Tables'!G16)</f>
        <v>NA</v>
      </c>
      <c r="K17" s="16" t="str">
        <f>IF('Conversion Tables'!H16="NA","NA",(G17*'Conversion Tables'!$C16)/'Conversion Tables'!H16)</f>
        <v>NA</v>
      </c>
      <c r="L17" s="16" t="str">
        <f>IF('Conversion Tables'!I16="NA","NA",(H17*'Conversion Tables'!$C16)/'Conversion Tables'!I16)</f>
        <v>NA</v>
      </c>
      <c r="M17" s="16" t="str">
        <f>IF('Conversion Tables'!K16="NA","NA",E17*'Conversion Tables'!K16)</f>
        <v>NA</v>
      </c>
      <c r="N17" s="16" t="str">
        <f>IF('Conversion Tables'!L16="NA","NA",F17*'Conversion Tables'!L16)</f>
        <v>NA</v>
      </c>
      <c r="O17" s="16" t="str">
        <f>IF('Conversion Tables'!M16="NA","NA",G17*'Conversion Tables'!M16)</f>
        <v>NA</v>
      </c>
      <c r="P17" s="16" t="str">
        <f>IF('Conversion Tables'!N16="NA","NA",H17*'Conversion Tables'!N16)</f>
        <v>NA</v>
      </c>
      <c r="Q17" s="15"/>
    </row>
    <row r="18" spans="1:17" x14ac:dyDescent="0.25">
      <c r="A18" s="1207"/>
      <c r="B18" s="11" t="str">
        <f>IF('Prac. Rec. Assumptions'!$B$56='Prac. Rec. Assumptions'!$V$3,A84,IF('Prac. Rec. Assumptions'!B60="No",A84,"Corn for Silage- Converted to Energy Crop"))</f>
        <v>Corn for Silage</v>
      </c>
      <c r="C18" s="294">
        <f>IF('Prac. Rec. Assumptions'!$B$56='Prac. Rec. Assumptions'!$V$3,D84,IF('Prac. Rec. Assumptions'!B61="No",D84,0))</f>
        <v>4746.9799999999996</v>
      </c>
      <c r="D18" s="294">
        <f>E18*'Conversion Tables'!C17</f>
        <v>56009.617019999991</v>
      </c>
      <c r="E18" s="294">
        <f>C18*'Prac. Rec. Assumptions'!B14</f>
        <v>3560.2349999999997</v>
      </c>
      <c r="F18" s="294">
        <f t="shared" si="2"/>
        <v>3560.2349999999997</v>
      </c>
      <c r="G18" s="294">
        <f t="shared" si="2"/>
        <v>3560.2349999999997</v>
      </c>
      <c r="H18" s="294">
        <f t="shared" si="2"/>
        <v>3560.2349999999997</v>
      </c>
      <c r="I18" s="16" t="str">
        <f>IF('Conversion Tables'!F17="NA","NA",(E18*'Conversion Tables'!$C17)/'Conversion Tables'!F17)</f>
        <v>NA</v>
      </c>
      <c r="J18" s="16" t="str">
        <f>IF('Conversion Tables'!G17="NA","NA",(F18*'Conversion Tables'!$C17)/'Conversion Tables'!G17)</f>
        <v>NA</v>
      </c>
      <c r="K18" s="16" t="str">
        <f>IF('Conversion Tables'!H17="NA","NA",(G18*'Conversion Tables'!$C17)/'Conversion Tables'!H17)</f>
        <v>NA</v>
      </c>
      <c r="L18" s="16" t="str">
        <f>IF('Conversion Tables'!I17="NA","NA",(H18*'Conversion Tables'!$C17)/'Conversion Tables'!I17)</f>
        <v>NA</v>
      </c>
      <c r="M18" s="16" t="str">
        <f>IF('Conversion Tables'!K17="NA","NA",E18*'Conversion Tables'!K17)</f>
        <v>NA</v>
      </c>
      <c r="N18" s="16" t="str">
        <f>IF('Conversion Tables'!L17="NA","NA",F18*'Conversion Tables'!L17)</f>
        <v>NA</v>
      </c>
      <c r="O18" s="16" t="str">
        <f>IF('Conversion Tables'!M17="NA","NA",G18*'Conversion Tables'!M17)</f>
        <v>NA</v>
      </c>
      <c r="P18" s="16" t="str">
        <f>IF('Conversion Tables'!N17="NA","NA",H18*'Conversion Tables'!N17)</f>
        <v>NA</v>
      </c>
      <c r="Q18" s="15"/>
    </row>
    <row r="19" spans="1:17" x14ac:dyDescent="0.25">
      <c r="A19" s="1207"/>
      <c r="B19" s="11" t="str">
        <f>IF('Prac. Rec. Assumptions'!$B$56='Prac. Rec. Assumptions'!$V$3,A85,IF('Prac. Rec. Assumptions'!B61="No",A85,"Alfalfa Hay- Converted to Energy Crop"))</f>
        <v>Alfalfa Hay</v>
      </c>
      <c r="C19" s="294">
        <f>IF('Prac. Rec. Assumptions'!$B$56='Prac. Rec. Assumptions'!$V$3,D85,IF('Prac. Rec. Assumptions'!B62="No",D85,0))</f>
        <v>4420</v>
      </c>
      <c r="D19" s="294">
        <f>E19*'Conversion Tables'!C18</f>
        <v>0</v>
      </c>
      <c r="E19" s="294">
        <f>C19*'Prac. Rec. Assumptions'!B15</f>
        <v>0</v>
      </c>
      <c r="F19" s="294">
        <f t="shared" si="2"/>
        <v>0</v>
      </c>
      <c r="G19" s="294">
        <f t="shared" si="2"/>
        <v>0</v>
      </c>
      <c r="H19" s="294">
        <f t="shared" si="2"/>
        <v>0</v>
      </c>
      <c r="I19" s="16" t="str">
        <f>IF('Conversion Tables'!F18="NA","NA",(E19*'Conversion Tables'!$C18)/'Conversion Tables'!F18)</f>
        <v>NA</v>
      </c>
      <c r="J19" s="16" t="str">
        <f>IF('Conversion Tables'!G18="NA","NA",(F19*'Conversion Tables'!$C18)/'Conversion Tables'!G18)</f>
        <v>NA</v>
      </c>
      <c r="K19" s="16" t="str">
        <f>IF('Conversion Tables'!H18="NA","NA",(G19*'Conversion Tables'!$C18)/'Conversion Tables'!H18)</f>
        <v>NA</v>
      </c>
      <c r="L19" s="16" t="str">
        <f>IF('Conversion Tables'!I18="NA","NA",(H19*'Conversion Tables'!$C18)/'Conversion Tables'!I18)</f>
        <v>NA</v>
      </c>
      <c r="M19" s="16" t="str">
        <f>IF('Conversion Tables'!K18="NA","NA",E19*'Conversion Tables'!K18)</f>
        <v>NA</v>
      </c>
      <c r="N19" s="16" t="str">
        <f>IF('Conversion Tables'!L18="NA","NA",F19*'Conversion Tables'!L18)</f>
        <v>NA</v>
      </c>
      <c r="O19" s="16" t="str">
        <f>IF('Conversion Tables'!M18="NA","NA",G19*'Conversion Tables'!M18)</f>
        <v>NA</v>
      </c>
      <c r="P19" s="16" t="str">
        <f>IF('Conversion Tables'!N18="NA","NA",H19*'Conversion Tables'!N18)</f>
        <v>NA</v>
      </c>
      <c r="Q19" s="15"/>
    </row>
    <row r="20" spans="1:17" x14ac:dyDescent="0.25">
      <c r="A20" s="1207"/>
      <c r="B20" s="11" t="str">
        <f>IF('Prac. Rec. Assumptions'!$B$56='Prac. Rec. Assumptions'!$V$3,A86,IF('Prac. Rec. Assumptions'!B62="No",A86,"Other Hay- Converted to Energy Crop"))</f>
        <v>Other Hay</v>
      </c>
      <c r="C20" s="294">
        <f>IF('Prac. Rec. Assumptions'!$B$56='Prac. Rec. Assumptions'!$V$3,D86,IF('Prac. Rec. Assumptions'!B63="No",D86,0))</f>
        <v>6509.7249999999995</v>
      </c>
      <c r="D20" s="294">
        <f>E20*'Conversion Tables'!C19</f>
        <v>50775.854999999996</v>
      </c>
      <c r="E20" s="294">
        <f>C20*'Prac. Rec. Assumptions'!B16</f>
        <v>3254.8624999999997</v>
      </c>
      <c r="F20" s="294">
        <f t="shared" si="2"/>
        <v>3254.8624999999997</v>
      </c>
      <c r="G20" s="294">
        <f t="shared" si="2"/>
        <v>3254.8624999999997</v>
      </c>
      <c r="H20" s="294">
        <f t="shared" si="2"/>
        <v>3254.8624999999997</v>
      </c>
      <c r="I20" s="16" t="str">
        <f>IF('Conversion Tables'!F19="NA","NA",(E20*'Conversion Tables'!$C19)/'Conversion Tables'!F19)</f>
        <v>NA</v>
      </c>
      <c r="J20" s="16" t="str">
        <f>IF('Conversion Tables'!G19="NA","NA",(F20*'Conversion Tables'!$C19)/'Conversion Tables'!G19)</f>
        <v>NA</v>
      </c>
      <c r="K20" s="16" t="str">
        <f>IF('Conversion Tables'!H19="NA","NA",(G20*'Conversion Tables'!$C19)/'Conversion Tables'!H19)</f>
        <v>NA</v>
      </c>
      <c r="L20" s="16" t="str">
        <f>IF('Conversion Tables'!I19="NA","NA",(H20*'Conversion Tables'!$C19)/'Conversion Tables'!I19)</f>
        <v>NA</v>
      </c>
      <c r="M20" s="16" t="str">
        <f>IF('Conversion Tables'!K19="NA","NA",E20*'Conversion Tables'!K19)</f>
        <v>NA</v>
      </c>
      <c r="N20" s="16" t="str">
        <f>IF('Conversion Tables'!L19="NA","NA",F20*'Conversion Tables'!L19)</f>
        <v>NA</v>
      </c>
      <c r="O20" s="16" t="str">
        <f>IF('Conversion Tables'!M19="NA","NA",G20*'Conversion Tables'!M19)</f>
        <v>NA</v>
      </c>
      <c r="P20" s="16" t="str">
        <f>IF('Conversion Tables'!N19="NA","NA",H20*'Conversion Tables'!N19)</f>
        <v>NA</v>
      </c>
      <c r="Q20" s="15"/>
    </row>
    <row r="21" spans="1:17" x14ac:dyDescent="0.25">
      <c r="A21" s="1207"/>
      <c r="B21" s="11" t="str">
        <f>IF('Prac. Rec. Assumptions'!$B$56='Prac. Rec. Assumptions'!$V$3,A87,IF('Prac. Rec. Assumptions'!B63="No",A87,"Wheat- Converted to Energy Crop"))</f>
        <v>Wheat</v>
      </c>
      <c r="C21" s="294">
        <f>IF('Prac. Rec. Assumptions'!$B$56='Prac. Rec. Assumptions'!$V$3,D87,IF('Prac. Rec. Assumptions'!B64="No",D87,0))</f>
        <v>4544.3125</v>
      </c>
      <c r="D21" s="294">
        <f>E21*'Conversion Tables'!C20</f>
        <v>0</v>
      </c>
      <c r="E21" s="294">
        <f>C21*'Prac. Rec. Assumptions'!B17</f>
        <v>0</v>
      </c>
      <c r="F21" s="294">
        <f t="shared" si="2"/>
        <v>0</v>
      </c>
      <c r="G21" s="294">
        <f t="shared" si="2"/>
        <v>0</v>
      </c>
      <c r="H21" s="294">
        <f t="shared" si="2"/>
        <v>0</v>
      </c>
      <c r="I21" s="16" t="str">
        <f>IF('Conversion Tables'!F20="NA","NA",(E21*'Conversion Tables'!$C20)/'Conversion Tables'!F20)</f>
        <v>NA</v>
      </c>
      <c r="J21" s="16" t="str">
        <f>IF('Conversion Tables'!G20="NA","NA",(F21*'Conversion Tables'!$C20)/'Conversion Tables'!G20)</f>
        <v>NA</v>
      </c>
      <c r="K21" s="16" t="str">
        <f>IF('Conversion Tables'!H20="NA","NA",(G21*'Conversion Tables'!$C20)/'Conversion Tables'!H20)</f>
        <v>NA</v>
      </c>
      <c r="L21" s="16" t="str">
        <f>IF('Conversion Tables'!I20="NA","NA",(H21*'Conversion Tables'!$C20)/'Conversion Tables'!I20)</f>
        <v>NA</v>
      </c>
      <c r="M21" s="16" t="str">
        <f>IF('Conversion Tables'!K20="NA","NA",E21*'Conversion Tables'!K20)</f>
        <v>NA</v>
      </c>
      <c r="N21" s="16" t="str">
        <f>IF('Conversion Tables'!L20="NA","NA",F21*'Conversion Tables'!L20)</f>
        <v>NA</v>
      </c>
      <c r="O21" s="16" t="str">
        <f>IF('Conversion Tables'!M20="NA","NA",G21*'Conversion Tables'!M20)</f>
        <v>NA</v>
      </c>
      <c r="P21" s="16" t="str">
        <f>IF('Conversion Tables'!N20="NA","NA",H21*'Conversion Tables'!N20)</f>
        <v>NA</v>
      </c>
      <c r="Q21" s="15"/>
    </row>
    <row r="22" spans="1:17" x14ac:dyDescent="0.25">
      <c r="A22" s="1207"/>
      <c r="B22" s="148" t="s">
        <v>205</v>
      </c>
      <c r="C22" s="294">
        <f>'Biomass Data Assumptions'!P9*1000*'Energy Content Assumptions'!C18</f>
        <v>127223</v>
      </c>
      <c r="D22" s="294">
        <f>E22*'Conversion Tables'!C21</f>
        <v>992339.4</v>
      </c>
      <c r="E22" s="294">
        <f>C22*'Prac. Rec. Assumptions'!B18</f>
        <v>63611.5</v>
      </c>
      <c r="F22" s="294">
        <f t="shared" si="2"/>
        <v>63611.5</v>
      </c>
      <c r="G22" s="294">
        <f t="shared" si="2"/>
        <v>63611.5</v>
      </c>
      <c r="H22" s="294">
        <f t="shared" si="2"/>
        <v>63611.5</v>
      </c>
      <c r="I22" s="16" t="str">
        <f>IF('Conversion Tables'!F21="NA","NA",(E22*'Conversion Tables'!$C21)/'Conversion Tables'!F21)</f>
        <v>NA</v>
      </c>
      <c r="J22" s="16" t="str">
        <f>IF('Conversion Tables'!G21="NA","NA",(F22*'Conversion Tables'!$C21)/'Conversion Tables'!G21)</f>
        <v>NA</v>
      </c>
      <c r="K22" s="16" t="str">
        <f>IF('Conversion Tables'!H21="NA","NA",(G22*'Conversion Tables'!$C21)/'Conversion Tables'!H21)</f>
        <v>NA</v>
      </c>
      <c r="L22" s="16" t="str">
        <f>IF('Conversion Tables'!I21="NA","NA",(H22*'Conversion Tables'!$C21)/'Conversion Tables'!I21)</f>
        <v>NA</v>
      </c>
      <c r="M22" s="16" t="str">
        <f>IF('Conversion Tables'!K21="NA","NA",E22*'Conversion Tables'!K21)</f>
        <v>NA</v>
      </c>
      <c r="N22" s="16" t="str">
        <f>IF('Conversion Tables'!L21="NA","NA",F22*'Conversion Tables'!L21)</f>
        <v>NA</v>
      </c>
      <c r="O22" s="16" t="str">
        <f>IF('Conversion Tables'!M21="NA","NA",G22*'Conversion Tables'!M21)</f>
        <v>NA</v>
      </c>
      <c r="P22" s="16" t="str">
        <f>IF('Conversion Tables'!N21="NA","NA",H22*'Conversion Tables'!N21)</f>
        <v>NA</v>
      </c>
      <c r="Q22" s="15"/>
    </row>
    <row r="23" spans="1:17" x14ac:dyDescent="0.25">
      <c r="A23" s="1207"/>
      <c r="B23" s="2" t="s">
        <v>302</v>
      </c>
      <c r="C23" s="294">
        <f>B133</f>
        <v>13.56</v>
      </c>
      <c r="D23" s="294">
        <f>E23*'Conversion Tables'!C22</f>
        <v>221.51615999999999</v>
      </c>
      <c r="E23" s="294">
        <f>C23*'Prac. Rec. Assumptions'!B19</f>
        <v>13.56</v>
      </c>
      <c r="F23" s="297">
        <f t="shared" si="2"/>
        <v>13.56</v>
      </c>
      <c r="G23" s="297">
        <f t="shared" si="2"/>
        <v>13.56</v>
      </c>
      <c r="H23" s="297">
        <f t="shared" si="2"/>
        <v>13.56</v>
      </c>
      <c r="I23" s="16" t="str">
        <f>IF('Conversion Tables'!F22="NA","NA",(E23*'Conversion Tables'!$C22)/'Conversion Tables'!F22)</f>
        <v>NA</v>
      </c>
      <c r="J23" s="16" t="str">
        <f>IF('Conversion Tables'!G22="NA","NA",(F23*'Conversion Tables'!$C22)/'Conversion Tables'!G22)</f>
        <v>NA</v>
      </c>
      <c r="K23" s="16" t="str">
        <f>IF('Conversion Tables'!H22="NA","NA",(G23*'Conversion Tables'!$C22)/'Conversion Tables'!H22)</f>
        <v>NA</v>
      </c>
      <c r="L23" s="16" t="str">
        <f>IF('Conversion Tables'!I22="NA","NA",(H23*'Conversion Tables'!$C22)/'Conversion Tables'!I22)</f>
        <v>NA</v>
      </c>
      <c r="M23" s="16" t="str">
        <f>IF('Conversion Tables'!K22="NA","NA",E23*'Conversion Tables'!K22)</f>
        <v>NA</v>
      </c>
      <c r="N23" s="16" t="str">
        <f>IF('Conversion Tables'!L22="NA","NA",F23*'Conversion Tables'!L22)</f>
        <v>NA</v>
      </c>
      <c r="O23" s="16" t="str">
        <f>IF('Conversion Tables'!M22="NA","NA",G23*'Conversion Tables'!M22)</f>
        <v>NA</v>
      </c>
      <c r="P23" s="16" t="str">
        <f>IF('Conversion Tables'!N22="NA","NA",H23*'Conversion Tables'!N22)</f>
        <v>NA</v>
      </c>
      <c r="Q23" s="7"/>
    </row>
    <row r="24" spans="1:17" x14ac:dyDescent="0.25">
      <c r="A24" s="1207"/>
      <c r="B24" s="1" t="s">
        <v>518</v>
      </c>
      <c r="C24" s="294"/>
      <c r="D24" s="294"/>
      <c r="E24" s="294"/>
      <c r="F24" s="294"/>
      <c r="G24" s="294"/>
      <c r="H24" s="294"/>
      <c r="I24" s="16"/>
      <c r="J24" s="16"/>
      <c r="K24" s="16"/>
      <c r="L24" s="16"/>
      <c r="M24" s="16"/>
      <c r="N24" s="16"/>
      <c r="O24" s="16"/>
      <c r="P24" s="16"/>
      <c r="Q24" s="7"/>
    </row>
    <row r="25" spans="1:17" x14ac:dyDescent="0.25">
      <c r="A25" s="1207"/>
      <c r="B25" s="11" t="s">
        <v>559</v>
      </c>
      <c r="C25" s="294">
        <f>C128</f>
        <v>27440.83</v>
      </c>
      <c r="D25" s="294">
        <f>E25*'Conversion Tables'!C24</f>
        <v>485702.69099999999</v>
      </c>
      <c r="E25" s="294">
        <f>C25*'Prac. Rec. Assumptions'!B21</f>
        <v>27440.83</v>
      </c>
      <c r="F25" s="294">
        <f>($C25*(1+'Biomass Data Assumptions'!G$94))*'Prac. Rec. Assumptions'!$B21</f>
        <v>28204.615167227836</v>
      </c>
      <c r="G25" s="294">
        <f>($C25*(1+'Biomass Data Assumptions'!H$94))*'Prac. Rec. Assumptions'!$B21</f>
        <v>29165.506184062851</v>
      </c>
      <c r="H25" s="294">
        <f>($C25*(1+'Biomass Data Assumptions'!I$94))*'Prac. Rec. Assumptions'!$B21</f>
        <v>29830.738426487096</v>
      </c>
      <c r="I25" s="16" t="str">
        <f>IF('Conversion Tables'!F24="NA","NA",(E25*'Conversion Tables'!$C24)/'Conversion Tables'!F24)</f>
        <v>NA</v>
      </c>
      <c r="J25" s="16" t="str">
        <f>IF('Conversion Tables'!G24="NA","NA",(F25*'Conversion Tables'!$C24)/'Conversion Tables'!G24)</f>
        <v>NA</v>
      </c>
      <c r="K25" s="16" t="str">
        <f>IF('Conversion Tables'!H24="NA","NA",(G25*'Conversion Tables'!$C24)/'Conversion Tables'!H24)</f>
        <v>NA</v>
      </c>
      <c r="L25" s="16" t="str">
        <f>IF('Conversion Tables'!I24="NA","NA",(H25*'Conversion Tables'!$C24)/'Conversion Tables'!I24)</f>
        <v>NA</v>
      </c>
      <c r="M25" s="16" t="str">
        <f>IF('Conversion Tables'!K24="NA","NA",E25*'Conversion Tables'!K24)</f>
        <v>NA</v>
      </c>
      <c r="N25" s="16" t="str">
        <f>IF('Conversion Tables'!L24="NA","NA",F25*'Conversion Tables'!L24)</f>
        <v>NA</v>
      </c>
      <c r="O25" s="16" t="str">
        <f>IF('Conversion Tables'!M24="NA","NA",G25*'Conversion Tables'!M24)</f>
        <v>NA</v>
      </c>
      <c r="P25" s="16" t="str">
        <f>IF('Conversion Tables'!N24="NA","NA",H25*'Conversion Tables'!N24)</f>
        <v>NA</v>
      </c>
      <c r="Q25" s="13"/>
    </row>
    <row r="26" spans="1:17" x14ac:dyDescent="0.25">
      <c r="A26" s="1207"/>
      <c r="B26" s="11" t="s">
        <v>560</v>
      </c>
      <c r="C26" s="294">
        <f>C129</f>
        <v>300.70333333333332</v>
      </c>
      <c r="D26" s="294">
        <f>E26*'Conversion Tables'!C25</f>
        <v>4690.9719999999998</v>
      </c>
      <c r="E26" s="294">
        <f>C26*'Prac. Rec. Assumptions'!B22</f>
        <v>300.70333333333332</v>
      </c>
      <c r="F26" s="294">
        <f>($C26*(1+'Biomass Data Assumptions'!G$94))*'Prac. Rec. Assumptions'!$B22</f>
        <v>309.07307818930042</v>
      </c>
      <c r="G26" s="294">
        <f>($C26*(1+'Biomass Data Assumptions'!H$94))*'Prac. Rec. Assumptions'!$B22</f>
        <v>319.60275720164606</v>
      </c>
      <c r="H26" s="294">
        <f>($C26*(1+'Biomass Data Assumptions'!I$94))*'Prac. Rec. Assumptions'!$B22</f>
        <v>326.89253497942389</v>
      </c>
      <c r="I26" s="16" t="str">
        <f>IF('Conversion Tables'!F25="NA","NA",(E26*'Conversion Tables'!$C25)/'Conversion Tables'!F25)</f>
        <v>NA</v>
      </c>
      <c r="J26" s="16" t="str">
        <f>IF('Conversion Tables'!G25="NA","NA",(F26*'Conversion Tables'!$C25)/'Conversion Tables'!G25)</f>
        <v>NA</v>
      </c>
      <c r="K26" s="16" t="str">
        <f>IF('Conversion Tables'!H25="NA","NA",(G26*'Conversion Tables'!$C25)/'Conversion Tables'!H25)</f>
        <v>NA</v>
      </c>
      <c r="L26" s="16" t="str">
        <f>IF('Conversion Tables'!I25="NA","NA",(H26*'Conversion Tables'!$C25)/'Conversion Tables'!I25)</f>
        <v>NA</v>
      </c>
      <c r="M26" s="16" t="str">
        <f>IF('Conversion Tables'!K25="NA","NA",E26*'Conversion Tables'!K25)</f>
        <v>NA</v>
      </c>
      <c r="N26" s="16" t="str">
        <f>IF('Conversion Tables'!L25="NA","NA",F26*'Conversion Tables'!L25)</f>
        <v>NA</v>
      </c>
      <c r="O26" s="16" t="str">
        <f>IF('Conversion Tables'!M25="NA","NA",G26*'Conversion Tables'!M25)</f>
        <v>NA</v>
      </c>
      <c r="P26" s="16" t="str">
        <f>IF('Conversion Tables'!N25="NA","NA",H26*'Conversion Tables'!N25)</f>
        <v>NA</v>
      </c>
      <c r="Q26" s="13"/>
    </row>
    <row r="27" spans="1:17" x14ac:dyDescent="0.25">
      <c r="A27" s="1207"/>
      <c r="B27" s="11" t="s">
        <v>561</v>
      </c>
      <c r="C27" s="294">
        <f>C130</f>
        <v>16737.106666666667</v>
      </c>
      <c r="D27" s="294">
        <f>E27*'Conversion Tables'!C26</f>
        <v>261098.864</v>
      </c>
      <c r="E27" s="294">
        <f>C27*'Prac. Rec. Assumptions'!B23</f>
        <v>16737.106666666667</v>
      </c>
      <c r="F27" s="294">
        <f>($C27*(1+'Biomass Data Assumptions'!G$94))*'Prac. Rec. Assumptions'!$B23</f>
        <v>17202.965527871307</v>
      </c>
      <c r="G27" s="294">
        <f>($C27*(1+'Biomass Data Assumptions'!H$94))*'Prac. Rec. Assumptions'!$B23</f>
        <v>17789.046030677142</v>
      </c>
      <c r="H27" s="294">
        <f>($C27*(1+'Biomass Data Assumptions'!I$94))*'Prac. Rec. Assumptions'!$B23</f>
        <v>18194.794071081185</v>
      </c>
      <c r="I27" s="16" t="str">
        <f>IF('Conversion Tables'!F26="NA","NA",(E27*'Conversion Tables'!$C26)/'Conversion Tables'!F26)</f>
        <v>NA</v>
      </c>
      <c r="J27" s="16" t="str">
        <f>IF('Conversion Tables'!G26="NA","NA",(F27*'Conversion Tables'!$C26)/'Conversion Tables'!G26)</f>
        <v>NA</v>
      </c>
      <c r="K27" s="16" t="str">
        <f>IF('Conversion Tables'!H26="NA","NA",(G27*'Conversion Tables'!$C26)/'Conversion Tables'!H26)</f>
        <v>NA</v>
      </c>
      <c r="L27" s="16" t="str">
        <f>IF('Conversion Tables'!I26="NA","NA",(H27*'Conversion Tables'!$C26)/'Conversion Tables'!I26)</f>
        <v>NA</v>
      </c>
      <c r="M27" s="16" t="str">
        <f>IF('Conversion Tables'!K26="NA","NA",E27*'Conversion Tables'!K26)</f>
        <v>NA</v>
      </c>
      <c r="N27" s="16" t="str">
        <f>IF('Conversion Tables'!L26="NA","NA",F27*'Conversion Tables'!L26)</f>
        <v>NA</v>
      </c>
      <c r="O27" s="16" t="str">
        <f>IF('Conversion Tables'!M26="NA","NA",G27*'Conversion Tables'!M26)</f>
        <v>NA</v>
      </c>
      <c r="P27" s="16" t="str">
        <f>IF('Conversion Tables'!N26="NA","NA",H27*'Conversion Tables'!N26)</f>
        <v>NA</v>
      </c>
      <c r="Q27" s="13"/>
    </row>
    <row r="28" spans="1:17" x14ac:dyDescent="0.25">
      <c r="A28" s="1207"/>
      <c r="B28" s="11" t="s">
        <v>562</v>
      </c>
      <c r="C28" s="294">
        <f>C131</f>
        <v>735.83500000000004</v>
      </c>
      <c r="D28" s="294">
        <f>E28*'Conversion Tables'!C27</f>
        <v>13024.279500000001</v>
      </c>
      <c r="E28" s="294">
        <f>C28*'Prac. Rec. Assumptions'!B24</f>
        <v>735.83500000000004</v>
      </c>
      <c r="F28" s="294">
        <f>($C28*(1+'Biomass Data Assumptions'!G$94))*'Prac. Rec. Assumptions'!$B24</f>
        <v>756.31615375982051</v>
      </c>
      <c r="G28" s="294">
        <f>($C28*(1+'Biomass Data Assumptions'!H$94))*'Prac. Rec. Assumptions'!$B24</f>
        <v>782.08276655443319</v>
      </c>
      <c r="H28" s="294">
        <f>($C28*(1+'Biomass Data Assumptions'!I$94))*'Prac. Rec. Assumptions'!$B24</f>
        <v>799.92119079685756</v>
      </c>
      <c r="I28" s="16" t="str">
        <f>IF('Conversion Tables'!F27="NA","NA",(E28*'Conversion Tables'!$C27)/'Conversion Tables'!F27)</f>
        <v>NA</v>
      </c>
      <c r="J28" s="16" t="str">
        <f>IF('Conversion Tables'!G27="NA","NA",(F28*'Conversion Tables'!$C27)/'Conversion Tables'!G27)</f>
        <v>NA</v>
      </c>
      <c r="K28" s="16" t="str">
        <f>IF('Conversion Tables'!H27="NA","NA",(G28*'Conversion Tables'!$C27)/'Conversion Tables'!H27)</f>
        <v>NA</v>
      </c>
      <c r="L28" s="16" t="str">
        <f>IF('Conversion Tables'!I27="NA","NA",(H28*'Conversion Tables'!$C27)/'Conversion Tables'!I27)</f>
        <v>NA</v>
      </c>
      <c r="M28" s="16" t="str">
        <f>IF('Conversion Tables'!K27="NA","NA",E28*'Conversion Tables'!K27)</f>
        <v>NA</v>
      </c>
      <c r="N28" s="16" t="str">
        <f>IF('Conversion Tables'!L27="NA","NA",F28*'Conversion Tables'!L27)</f>
        <v>NA</v>
      </c>
      <c r="O28" s="16" t="str">
        <f>IF('Conversion Tables'!M27="NA","NA",G28*'Conversion Tables'!M27)</f>
        <v>NA</v>
      </c>
      <c r="P28" s="16" t="str">
        <f>IF('Conversion Tables'!N27="NA","NA",H28*'Conversion Tables'!N27)</f>
        <v>NA</v>
      </c>
      <c r="Q28" s="13"/>
    </row>
    <row r="29" spans="1:17" x14ac:dyDescent="0.25">
      <c r="A29" s="1208"/>
      <c r="B29" s="9" t="s">
        <v>524</v>
      </c>
      <c r="C29" s="295">
        <f t="shared" ref="C29:P29" si="3">SUM(C13:C28)</f>
        <v>214810.09</v>
      </c>
      <c r="D29" s="295">
        <f>SUM(D13:D28)</f>
        <v>2079453.480435</v>
      </c>
      <c r="E29" s="295">
        <f t="shared" si="3"/>
        <v>129358.56625000002</v>
      </c>
      <c r="F29" s="295">
        <f>SUM(F13:F28)</f>
        <v>130617.06117704826</v>
      </c>
      <c r="G29" s="295">
        <f>SUM(G13:G28)</f>
        <v>132200.32898849607</v>
      </c>
      <c r="H29" s="295">
        <f>SUM(H13:H28)</f>
        <v>133296.43747334456</v>
      </c>
      <c r="I29" s="19">
        <f t="shared" si="3"/>
        <v>0</v>
      </c>
      <c r="J29" s="19">
        <f t="shared" si="3"/>
        <v>0</v>
      </c>
      <c r="K29" s="19">
        <f t="shared" si="3"/>
        <v>0</v>
      </c>
      <c r="L29" s="19">
        <f t="shared" si="3"/>
        <v>0</v>
      </c>
      <c r="M29" s="19">
        <f t="shared" si="3"/>
        <v>0</v>
      </c>
      <c r="N29" s="19">
        <f t="shared" si="3"/>
        <v>0</v>
      </c>
      <c r="O29" s="19">
        <f t="shared" si="3"/>
        <v>0</v>
      </c>
      <c r="P29" s="19">
        <f t="shared" si="3"/>
        <v>0</v>
      </c>
      <c r="Q29" s="19"/>
    </row>
    <row r="30" spans="1:17" x14ac:dyDescent="0.25">
      <c r="A30" s="8"/>
      <c r="C30" s="296"/>
      <c r="D30" s="296"/>
      <c r="E30" s="296"/>
      <c r="F30" s="296"/>
      <c r="G30" s="296"/>
      <c r="H30" s="296"/>
      <c r="I30" s="28"/>
      <c r="J30" s="28"/>
      <c r="K30" s="28"/>
      <c r="L30" s="28"/>
      <c r="M30" s="28"/>
      <c r="N30" s="28"/>
      <c r="O30" s="28"/>
      <c r="P30" s="28"/>
    </row>
    <row r="31" spans="1:17" x14ac:dyDescent="0.25">
      <c r="A31" s="1064" t="s">
        <v>516</v>
      </c>
      <c r="B31" s="130" t="str">
        <f>'Bioenergy Calculator'!B34</f>
        <v>Solid wastes - Landfilled</v>
      </c>
      <c r="C31" s="294"/>
      <c r="D31" s="294"/>
      <c r="E31" s="294"/>
      <c r="F31" s="294"/>
      <c r="G31" s="294"/>
      <c r="H31" s="294"/>
      <c r="I31" s="16"/>
      <c r="J31" s="16"/>
      <c r="K31" s="16"/>
      <c r="L31" s="16"/>
      <c r="M31" s="16"/>
      <c r="N31" s="16"/>
      <c r="O31" s="16"/>
      <c r="P31" s="16"/>
      <c r="Q31" s="7"/>
    </row>
    <row r="32" spans="1:17" x14ac:dyDescent="0.25">
      <c r="A32" s="1064"/>
      <c r="B32" s="11" t="str">
        <f>'Bioenergy Calculator'!B35</f>
        <v>Food waste, Landfilled</v>
      </c>
      <c r="C32" s="294">
        <f>C141</f>
        <v>15554.725354499999</v>
      </c>
      <c r="D32" s="294">
        <f>E32*'Conversion Tables'!C29</f>
        <v>149325.3634032</v>
      </c>
      <c r="E32" s="294">
        <f>C32*'Prac. Rec. Assumptions'!B26</f>
        <v>9332.8352126999998</v>
      </c>
      <c r="F32" s="294">
        <f>($C32*(1+'Biomass Data Assumptions'!G$94)*(1+'Biomass Data Assumptions'!C$82))*'Prac. Rec. Assumptions'!$B26</f>
        <v>9586.0911816261596</v>
      </c>
      <c r="G32" s="294">
        <f>($C32*(1+'Biomass Data Assumptions'!H$94)*(1+'Biomass Data Assumptions'!D$82))*'Prac. Rec. Assumptions'!$B26</f>
        <v>9905.9451340827181</v>
      </c>
      <c r="H32" s="294">
        <f>($C32*(1+'Biomass Data Assumptions'!I$94)*(1+'Biomass Data Assumptions'!E$82))*'Prac. Rec. Assumptions'!$B26</f>
        <v>10125.00920533771</v>
      </c>
      <c r="I32" s="16" t="str">
        <f>IF('Conversion Tables'!F29="NA","NA",(E32*'Conversion Tables'!$C29)/'Conversion Tables'!F29)</f>
        <v>NA</v>
      </c>
      <c r="J32" s="16" t="str">
        <f>IF('Conversion Tables'!G29="NA","NA",(F32*'Conversion Tables'!$C29)/'Conversion Tables'!G29)</f>
        <v>NA</v>
      </c>
      <c r="K32" s="16" t="str">
        <f>IF('Conversion Tables'!H29="NA","NA",(G32*'Conversion Tables'!$C29)/'Conversion Tables'!H29)</f>
        <v>NA</v>
      </c>
      <c r="L32" s="16" t="str">
        <f>IF('Conversion Tables'!I29="NA","NA",(H32*'Conversion Tables'!$C29)/'Conversion Tables'!I29)</f>
        <v>NA</v>
      </c>
      <c r="M32" s="16" t="str">
        <f>IF('Conversion Tables'!K29="NA","NA",E32*'Conversion Tables'!K29)</f>
        <v>NA</v>
      </c>
      <c r="N32" s="16" t="str">
        <f>IF('Conversion Tables'!L29="NA","NA",F32*'Conversion Tables'!L29)</f>
        <v>NA</v>
      </c>
      <c r="O32" s="16" t="str">
        <f>IF('Conversion Tables'!M29="NA","NA",G32*'Conversion Tables'!M29)</f>
        <v>NA</v>
      </c>
      <c r="P32" s="16" t="str">
        <f>IF('Conversion Tables'!N29="NA","NA",H32*'Conversion Tables'!N29)</f>
        <v>NA</v>
      </c>
      <c r="Q32" s="7"/>
    </row>
    <row r="33" spans="1:17" x14ac:dyDescent="0.25">
      <c r="A33" s="1064"/>
      <c r="B33" s="11" t="str">
        <f>'Bioenergy Calculator'!B36</f>
        <v>Waste paper, Landfilled</v>
      </c>
      <c r="C33" s="294">
        <f>C142</f>
        <v>46664.176063499996</v>
      </c>
      <c r="D33" s="294">
        <f>E33*'Conversion Tables'!C30</f>
        <v>542125.73183531757</v>
      </c>
      <c r="E33" s="294">
        <f>C33*'Prac. Rec. Assumptions'!B27</f>
        <v>37331.340850799999</v>
      </c>
      <c r="F33" s="294">
        <f>($C33*(1+'Biomass Data Assumptions'!G$94)*(1+'Biomass Data Assumptions'!C$82))*'Prac. Rec. Assumptions'!$B27</f>
        <v>38344.364726504631</v>
      </c>
      <c r="G33" s="294">
        <f>($C33*(1+'Biomass Data Assumptions'!H$94)*(1+'Biomass Data Assumptions'!D$82))*'Prac. Rec. Assumptions'!$B27</f>
        <v>39623.780536330865</v>
      </c>
      <c r="H33" s="294">
        <f>($C33*(1+'Biomass Data Assumptions'!I$94)*(1+'Biomass Data Assumptions'!E$82))*'Prac. Rec. Assumptions'!$B27</f>
        <v>40500.036821350841</v>
      </c>
      <c r="I33" s="16" t="str">
        <f>IF('Conversion Tables'!F30="NA","NA",(E33*'Conversion Tables'!$C30)/'Conversion Tables'!F30)</f>
        <v>NA</v>
      </c>
      <c r="J33" s="16" t="str">
        <f>IF('Conversion Tables'!G30="NA","NA",(F33*'Conversion Tables'!$C30)/'Conversion Tables'!G30)</f>
        <v>NA</v>
      </c>
      <c r="K33" s="16" t="str">
        <f>IF('Conversion Tables'!H30="NA","NA",(G33*'Conversion Tables'!$C30)/'Conversion Tables'!H30)</f>
        <v>NA</v>
      </c>
      <c r="L33" s="16" t="str">
        <f>IF('Conversion Tables'!I30="NA","NA",(H33*'Conversion Tables'!$C30)/'Conversion Tables'!I30)</f>
        <v>NA</v>
      </c>
      <c r="M33" s="16" t="str">
        <f>IF('Conversion Tables'!K30="NA","NA",E33*'Conversion Tables'!K30)</f>
        <v>NA</v>
      </c>
      <c r="N33" s="16" t="str">
        <f>IF('Conversion Tables'!L30="NA","NA",F33*'Conversion Tables'!L30)</f>
        <v>NA</v>
      </c>
      <c r="O33" s="16" t="str">
        <f>IF('Conversion Tables'!M30="NA","NA",G33*'Conversion Tables'!M30)</f>
        <v>NA</v>
      </c>
      <c r="P33" s="16" t="str">
        <f>IF('Conversion Tables'!N30="NA","NA",H33*'Conversion Tables'!N30)</f>
        <v>NA</v>
      </c>
      <c r="Q33" s="7"/>
    </row>
    <row r="34" spans="1:17" x14ac:dyDescent="0.25">
      <c r="A34" s="1064"/>
      <c r="B34" s="11" t="str">
        <f>'Bioenergy Calculator'!B37</f>
        <v>Other Biomass, Landfilled</v>
      </c>
      <c r="C34" s="294">
        <f>C143</f>
        <v>35894.494755499989</v>
      </c>
      <c r="D34" s="294">
        <f>E34*'Conversion Tables'!C31</f>
        <v>375307.09404434706</v>
      </c>
      <c r="E34" s="294">
        <f>C34*'Prac. Rec. Assumptions'!B28</f>
        <v>25844.036223959996</v>
      </c>
      <c r="F34" s="294">
        <f>($C34*(1+'Biomass Data Assumptions'!G$94)*(1+'Biomass Data Assumptions'!C$82))*'Prac. Rec. Assumptions'!$B28</f>
        <v>26545.340413490216</v>
      </c>
      <c r="G34" s="294">
        <f>($C34*(1+'Biomass Data Assumptions'!H$94)*(1+'Biomass Data Assumptions'!D$82))*'Prac. Rec. Assumptions'!$B28</f>
        <v>27431.06452039563</v>
      </c>
      <c r="H34" s="294">
        <f>($C34*(1+'Biomass Data Assumptions'!I$94)*(1+'Biomass Data Assumptions'!E$82))*'Prac. Rec. Assumptions'!$B28</f>
        <v>28037.686159356763</v>
      </c>
      <c r="I34" s="16" t="str">
        <f>IF('Conversion Tables'!F31="NA","NA",(E34*'Conversion Tables'!$C31)/'Conversion Tables'!F31)</f>
        <v>NA</v>
      </c>
      <c r="J34" s="16" t="str">
        <f>IF('Conversion Tables'!G31="NA","NA",(F34*'Conversion Tables'!$C31)/'Conversion Tables'!G31)</f>
        <v>NA</v>
      </c>
      <c r="K34" s="16" t="str">
        <f>IF('Conversion Tables'!H31="NA","NA",(G34*'Conversion Tables'!$C31)/'Conversion Tables'!H31)</f>
        <v>NA</v>
      </c>
      <c r="L34" s="16" t="str">
        <f>IF('Conversion Tables'!I31="NA","NA",(H34*'Conversion Tables'!$C31)/'Conversion Tables'!I31)</f>
        <v>NA</v>
      </c>
      <c r="M34" s="16" t="str">
        <f>IF('Conversion Tables'!K31="NA","NA",E34*'Conversion Tables'!K31)</f>
        <v>NA</v>
      </c>
      <c r="N34" s="16" t="str">
        <f>IF('Conversion Tables'!L31="NA","NA",F34*'Conversion Tables'!L31)</f>
        <v>NA</v>
      </c>
      <c r="O34" s="16" t="str">
        <f>IF('Conversion Tables'!M31="NA","NA",G34*'Conversion Tables'!M31)</f>
        <v>NA</v>
      </c>
      <c r="P34" s="16" t="str">
        <f>IF('Conversion Tables'!N31="NA","NA",H34*'Conversion Tables'!N31)</f>
        <v>NA</v>
      </c>
      <c r="Q34" s="7"/>
    </row>
    <row r="35" spans="1:17" x14ac:dyDescent="0.25">
      <c r="A35" s="1065"/>
      <c r="B35" s="11" t="str">
        <f>'Bioenergy Calculator'!B38</f>
        <v>C&amp;D (Non-recycled wood)</v>
      </c>
      <c r="C35" s="294">
        <f>C145</f>
        <v>23711.446400000004</v>
      </c>
      <c r="D35" s="294">
        <f>E35*'Conversion Tables'!C32</f>
        <v>268603.26481920009</v>
      </c>
      <c r="E35" s="294">
        <f>C35*'Prac. Rec. Assumptions'!B29</f>
        <v>15175.325696000005</v>
      </c>
      <c r="F35" s="294">
        <f>($C35*(1+'Biomass Data Assumptions'!G$94)*(1+'Biomass Data Assumptions'!C$83))*'Prac. Rec. Assumptions'!$B29</f>
        <v>16380.892387385544</v>
      </c>
      <c r="G35" s="294">
        <f>($C35*(1+'Biomass Data Assumptions'!H$94)*(1+'Biomass Data Assumptions'!D$83))*'Prac. Rec. Assumptions'!$B29</f>
        <v>17789.490032758582</v>
      </c>
      <c r="H35" s="294">
        <f>($C35*(1+'Biomass Data Assumptions'!I$94)*(1+'Biomass Data Assumptions'!E$83))*'Prac. Rec. Assumptions'!$B29</f>
        <v>19108.851503586287</v>
      </c>
      <c r="I35" s="16" t="str">
        <f>IF('Conversion Tables'!F32="NA","NA",(E35*'Conversion Tables'!$C32)/'Conversion Tables'!F32)</f>
        <v>NA</v>
      </c>
      <c r="J35" s="16" t="str">
        <f>IF('Conversion Tables'!G32="NA","NA",(F35*'Conversion Tables'!$C32)/'Conversion Tables'!G32)</f>
        <v>NA</v>
      </c>
      <c r="K35" s="16" t="str">
        <f>IF('Conversion Tables'!H32="NA","NA",(G35*'Conversion Tables'!$C32)/'Conversion Tables'!H32)</f>
        <v>NA</v>
      </c>
      <c r="L35" s="16" t="str">
        <f>IF('Conversion Tables'!I32="NA","NA",(H35*'Conversion Tables'!$C32)/'Conversion Tables'!I32)</f>
        <v>NA</v>
      </c>
      <c r="M35" s="16" t="str">
        <f>IF('Conversion Tables'!K32="NA","NA",E35*'Conversion Tables'!K32)</f>
        <v>NA</v>
      </c>
      <c r="N35" s="16" t="str">
        <f>IF('Conversion Tables'!L32="NA","NA",F35*'Conversion Tables'!L32)</f>
        <v>NA</v>
      </c>
      <c r="O35" s="16" t="str">
        <f>IF('Conversion Tables'!M32="NA","NA",G35*'Conversion Tables'!M32)</f>
        <v>NA</v>
      </c>
      <c r="P35" s="16" t="str">
        <f>IF('Conversion Tables'!N32="NA","NA",H35*'Conversion Tables'!N32)</f>
        <v>NA</v>
      </c>
      <c r="Q35" s="7"/>
    </row>
    <row r="36" spans="1:17" x14ac:dyDescent="0.25">
      <c r="A36" s="1065"/>
      <c r="B36" s="4" t="s">
        <v>280</v>
      </c>
      <c r="C36" s="294"/>
      <c r="D36" s="294"/>
      <c r="E36" s="294"/>
      <c r="F36" s="294"/>
      <c r="G36" s="294"/>
      <c r="H36" s="294"/>
      <c r="I36" s="16"/>
      <c r="J36" s="16"/>
      <c r="K36" s="16"/>
      <c r="L36" s="16"/>
      <c r="M36" s="16"/>
      <c r="N36" s="16"/>
      <c r="O36" s="16"/>
      <c r="P36" s="16"/>
      <c r="Q36" s="7"/>
    </row>
    <row r="37" spans="1:17" x14ac:dyDescent="0.25">
      <c r="A37" s="1065"/>
      <c r="B37" s="677" t="s">
        <v>563</v>
      </c>
      <c r="C37" s="299">
        <f>C132</f>
        <v>3203.1975000000002</v>
      </c>
      <c r="D37" s="294">
        <f>E37*'Conversion Tables'!C34</f>
        <v>51251.16</v>
      </c>
      <c r="E37" s="294">
        <f>C37*'Prac. Rec. Assumptions'!B31</f>
        <v>3203.1975000000002</v>
      </c>
      <c r="F37" s="294">
        <f>($C37*(1+'Biomass Data Assumptions'!G$94)*(1+'Biomass Data Assumptions'!C$84))*'Prac. Rec. Assumptions'!$B31</f>
        <v>3600.1117433387271</v>
      </c>
      <c r="G37" s="294">
        <f>($C37*(1+'Biomass Data Assumptions'!H$94)*(1+'Biomass Data Assumptions'!D$84))*'Prac. Rec. Assumptions'!$B31</f>
        <v>4070.752045442804</v>
      </c>
      <c r="H37" s="294">
        <f>($C37*(1+'Biomass Data Assumptions'!I$94)*(1+'Biomass Data Assumptions'!E$84))*'Prac. Rec. Assumptions'!$B31</f>
        <v>4552.7988662941325</v>
      </c>
      <c r="I37" s="16" t="str">
        <f>IF('Conversion Tables'!F34="NA","NA",(E37*'Conversion Tables'!$C34)/'Conversion Tables'!F34)</f>
        <v>NA</v>
      </c>
      <c r="J37" s="16" t="str">
        <f>IF('Conversion Tables'!G34="NA","NA",(F37*'Conversion Tables'!$C34)/'Conversion Tables'!G34)</f>
        <v>NA</v>
      </c>
      <c r="K37" s="16" t="str">
        <f>IF('Conversion Tables'!H34="NA","NA",(G37*'Conversion Tables'!$C34)/'Conversion Tables'!H34)</f>
        <v>NA</v>
      </c>
      <c r="L37" s="16" t="str">
        <f>IF('Conversion Tables'!I34="NA","NA",(H37*'Conversion Tables'!$C34)/'Conversion Tables'!I34)</f>
        <v>NA</v>
      </c>
      <c r="M37" s="16" t="str">
        <f>IF('Conversion Tables'!K34="NA","NA",E37*'Conversion Tables'!K34)</f>
        <v>NA</v>
      </c>
      <c r="N37" s="16" t="str">
        <f>IF('Conversion Tables'!L34="NA","NA",F37*'Conversion Tables'!L34)</f>
        <v>NA</v>
      </c>
      <c r="O37" s="16" t="str">
        <f>IF('Conversion Tables'!M34="NA","NA",G37*'Conversion Tables'!M34)</f>
        <v>NA</v>
      </c>
      <c r="P37" s="16" t="str">
        <f>IF('Conversion Tables'!N34="NA","NA",H37*'Conversion Tables'!N34)</f>
        <v>NA</v>
      </c>
      <c r="Q37" s="18"/>
    </row>
    <row r="38" spans="1:17" x14ac:dyDescent="0.25">
      <c r="A38" s="1065"/>
      <c r="B38" s="11" t="s">
        <v>565</v>
      </c>
      <c r="C38" s="294">
        <f>C134</f>
        <v>5111.6239999999998</v>
      </c>
      <c r="D38" s="294">
        <f>E38*'Conversion Tables'!C35</f>
        <v>45237.872399999993</v>
      </c>
      <c r="E38" s="294">
        <f>C38*'Prac. Rec. Assumptions'!B32</f>
        <v>2555.8119999999999</v>
      </c>
      <c r="F38" s="294">
        <f>($C38*(1+'Biomass Data Assumptions'!G$94)*(1+'Biomass Data Assumptions'!C$84))*'Prac. Rec. Assumptions'!$B32</f>
        <v>2872.5074850882716</v>
      </c>
      <c r="G38" s="294">
        <f>($C38*(1+'Biomass Data Assumptions'!H$94)*(1+'Biomass Data Assumptions'!D$84))*'Prac. Rec. Assumptions'!$B32</f>
        <v>3248.0285485884842</v>
      </c>
      <c r="H38" s="294">
        <f>($C38*(1+'Biomass Data Assumptions'!I$94)*(1+'Biomass Data Assumptions'!E$84))*'Prac. Rec. Assumptions'!$B32</f>
        <v>3632.6508047227617</v>
      </c>
      <c r="I38" s="16" t="str">
        <f>IF('Conversion Tables'!F35="NA","NA",(E38*'Conversion Tables'!$C35)/'Conversion Tables'!F35)</f>
        <v>NA</v>
      </c>
      <c r="J38" s="16" t="str">
        <f>IF('Conversion Tables'!G35="NA","NA",(F38*'Conversion Tables'!$C35)/'Conversion Tables'!G35)</f>
        <v>NA</v>
      </c>
      <c r="K38" s="16" t="str">
        <f>IF('Conversion Tables'!H35="NA","NA",(G38*'Conversion Tables'!$C35)/'Conversion Tables'!H35)</f>
        <v>NA</v>
      </c>
      <c r="L38" s="16" t="str">
        <f>IF('Conversion Tables'!I35="NA","NA",(H38*'Conversion Tables'!$C35)/'Conversion Tables'!I35)</f>
        <v>NA</v>
      </c>
      <c r="M38" s="16" t="str">
        <f>IF('Conversion Tables'!K35="NA","NA",E38*'Conversion Tables'!K35)</f>
        <v>NA</v>
      </c>
      <c r="N38" s="16" t="str">
        <f>IF('Conversion Tables'!L35="NA","NA",F38*'Conversion Tables'!L35)</f>
        <v>NA</v>
      </c>
      <c r="O38" s="16" t="str">
        <f>IF('Conversion Tables'!M35="NA","NA",G38*'Conversion Tables'!M35)</f>
        <v>NA</v>
      </c>
      <c r="P38" s="16" t="str">
        <f>IF('Conversion Tables'!N35="NA","NA",H38*'Conversion Tables'!N35)</f>
        <v>NA</v>
      </c>
      <c r="Q38" s="13"/>
    </row>
    <row r="39" spans="1:17" x14ac:dyDescent="0.25">
      <c r="A39" s="1065"/>
      <c r="B39" s="17" t="s">
        <v>555</v>
      </c>
      <c r="C39" s="294">
        <f>C124</f>
        <v>37134.18</v>
      </c>
      <c r="D39" s="299">
        <f>E39*'Conversion Tables'!C36</f>
        <v>0</v>
      </c>
      <c r="E39" s="299">
        <f>C39*'Prac. Rec. Assumptions'!B33</f>
        <v>0</v>
      </c>
      <c r="F39" s="294">
        <f>($C39*(1+'Biomass Data Assumptions'!G$94)*(1+'Biomass Data Assumptions'!C$84))*'Prac. Rec. Assumptions'!$B33</f>
        <v>0</v>
      </c>
      <c r="G39" s="294">
        <f>($C39*(1+'Biomass Data Assumptions'!H$94)*(1+'Biomass Data Assumptions'!D$84))*'Prac. Rec. Assumptions'!$B33</f>
        <v>0</v>
      </c>
      <c r="H39" s="294">
        <f>($C39*(1+'Biomass Data Assumptions'!I$94)*(1+'Biomass Data Assumptions'!E$84))*'Prac. Rec. Assumptions'!$B33</f>
        <v>0</v>
      </c>
      <c r="I39" s="16" t="str">
        <f>IF('Conversion Tables'!F36="NA","NA",(E39*'Conversion Tables'!$C36)/'Conversion Tables'!F36)</f>
        <v>NA</v>
      </c>
      <c r="J39" s="16" t="str">
        <f>IF('Conversion Tables'!G36="NA","NA",(F39*'Conversion Tables'!$C36)/'Conversion Tables'!G36)</f>
        <v>NA</v>
      </c>
      <c r="K39" s="16" t="str">
        <f>IF('Conversion Tables'!H36="NA","NA",(G39*'Conversion Tables'!$C36)/'Conversion Tables'!H36)</f>
        <v>NA</v>
      </c>
      <c r="L39" s="16" t="str">
        <f>IF('Conversion Tables'!I36="NA","NA",(H39*'Conversion Tables'!$C36)/'Conversion Tables'!I36)</f>
        <v>NA</v>
      </c>
      <c r="M39" s="16" t="str">
        <f>IF('Conversion Tables'!K36="NA","NA",E39*'Conversion Tables'!K36)</f>
        <v>NA</v>
      </c>
      <c r="N39" s="16" t="str">
        <f>IF('Conversion Tables'!L36="NA","NA",F39*'Conversion Tables'!L36)</f>
        <v>NA</v>
      </c>
      <c r="O39" s="16" t="str">
        <f>IF('Conversion Tables'!M36="NA","NA",G39*'Conversion Tables'!M36)</f>
        <v>NA</v>
      </c>
      <c r="P39" s="16" t="str">
        <f>IF('Conversion Tables'!N36="NA","NA",H39*'Conversion Tables'!N36)</f>
        <v>NA</v>
      </c>
      <c r="Q39" s="27"/>
    </row>
    <row r="40" spans="1:17" x14ac:dyDescent="0.25">
      <c r="A40" s="1065"/>
      <c r="B40" s="17" t="s">
        <v>556</v>
      </c>
      <c r="C40" s="294">
        <f>C125</f>
        <v>5303.7449999999999</v>
      </c>
      <c r="D40" s="299">
        <f>E40*'Conversion Tables'!C37</f>
        <v>0</v>
      </c>
      <c r="E40" s="299">
        <f>C40*'Prac. Rec. Assumptions'!B34</f>
        <v>0</v>
      </c>
      <c r="F40" s="294">
        <f>($C40*(1+'Biomass Data Assumptions'!G$94)*(1+'Biomass Data Assumptions'!C$84))*'Prac. Rec. Assumptions'!$B34</f>
        <v>0</v>
      </c>
      <c r="G40" s="294">
        <f>($C40*(1+'Biomass Data Assumptions'!H$94)*(1+'Biomass Data Assumptions'!D$84))*'Prac. Rec. Assumptions'!$B34</f>
        <v>0</v>
      </c>
      <c r="H40" s="294">
        <f>($C40*(1+'Biomass Data Assumptions'!I$94)*(1+'Biomass Data Assumptions'!E$84))*'Prac. Rec. Assumptions'!$B34</f>
        <v>0</v>
      </c>
      <c r="I40" s="16" t="str">
        <f>IF('Conversion Tables'!F37="NA","NA",(E40*'Conversion Tables'!$C37)/'Conversion Tables'!F37)</f>
        <v>NA</v>
      </c>
      <c r="J40" s="16" t="str">
        <f>IF('Conversion Tables'!G37="NA","NA",(F40*'Conversion Tables'!$C37)/'Conversion Tables'!G37)</f>
        <v>NA</v>
      </c>
      <c r="K40" s="16" t="str">
        <f>IF('Conversion Tables'!H37="NA","NA",(G40*'Conversion Tables'!$C37)/'Conversion Tables'!H37)</f>
        <v>NA</v>
      </c>
      <c r="L40" s="16" t="str">
        <f>IF('Conversion Tables'!I37="NA","NA",(H40*'Conversion Tables'!$C37)/'Conversion Tables'!I37)</f>
        <v>NA</v>
      </c>
      <c r="M40" s="16" t="str">
        <f>IF('Conversion Tables'!K37="NA","NA",E40*'Conversion Tables'!K37)</f>
        <v>NA</v>
      </c>
      <c r="N40" s="16" t="str">
        <f>IF('Conversion Tables'!L37="NA","NA",F40*'Conversion Tables'!L37)</f>
        <v>NA</v>
      </c>
      <c r="O40" s="16" t="str">
        <f>IF('Conversion Tables'!M37="NA","NA",G40*'Conversion Tables'!M37)</f>
        <v>NA</v>
      </c>
      <c r="P40" s="16" t="str">
        <f>IF('Conversion Tables'!N37="NA","NA",H40*'Conversion Tables'!N37)</f>
        <v>NA</v>
      </c>
      <c r="Q40" s="27"/>
    </row>
    <row r="41" spans="1:17" x14ac:dyDescent="0.25">
      <c r="A41" s="1065"/>
      <c r="B41" s="17" t="s">
        <v>557</v>
      </c>
      <c r="C41" s="294">
        <f>C126</f>
        <v>24812.325000000001</v>
      </c>
      <c r="D41" s="299">
        <f>E41*'Conversion Tables'!C38</f>
        <v>0</v>
      </c>
      <c r="E41" s="299">
        <f>C41*'Prac. Rec. Assumptions'!B35</f>
        <v>0</v>
      </c>
      <c r="F41" s="294">
        <f>($C41*(1+'Biomass Data Assumptions'!G$94)*(1+'Biomass Data Assumptions'!C$84))*'Prac. Rec. Assumptions'!$B35</f>
        <v>0</v>
      </c>
      <c r="G41" s="294">
        <f>($C41*(1+'Biomass Data Assumptions'!H$94)*(1+'Biomass Data Assumptions'!D$84))*'Prac. Rec. Assumptions'!$B35</f>
        <v>0</v>
      </c>
      <c r="H41" s="294">
        <f>($C41*(1+'Biomass Data Assumptions'!I$94)*(1+'Biomass Data Assumptions'!E$84))*'Prac. Rec. Assumptions'!$B35</f>
        <v>0</v>
      </c>
      <c r="I41" s="16" t="str">
        <f>IF('Conversion Tables'!F38="NA","NA",(E41*'Conversion Tables'!$C38)/'Conversion Tables'!F38)</f>
        <v>NA</v>
      </c>
      <c r="J41" s="16" t="str">
        <f>IF('Conversion Tables'!G38="NA","NA",(F41*'Conversion Tables'!$C38)/'Conversion Tables'!G38)</f>
        <v>NA</v>
      </c>
      <c r="K41" s="16" t="str">
        <f>IF('Conversion Tables'!H38="NA","NA",(G41*'Conversion Tables'!$C38)/'Conversion Tables'!H38)</f>
        <v>NA</v>
      </c>
      <c r="L41" s="16" t="str">
        <f>IF('Conversion Tables'!I38="NA","NA",(H41*'Conversion Tables'!$C38)/'Conversion Tables'!I38)</f>
        <v>NA</v>
      </c>
      <c r="M41" s="16" t="str">
        <f>IF('Conversion Tables'!K38="NA","NA",E41*'Conversion Tables'!K38)</f>
        <v>NA</v>
      </c>
      <c r="N41" s="16" t="str">
        <f>IF('Conversion Tables'!L38="NA","NA",F41*'Conversion Tables'!L38)</f>
        <v>NA</v>
      </c>
      <c r="O41" s="16" t="str">
        <f>IF('Conversion Tables'!M38="NA","NA",G41*'Conversion Tables'!M38)</f>
        <v>NA</v>
      </c>
      <c r="P41" s="16" t="str">
        <f>IF('Conversion Tables'!N38="NA","NA",H41*'Conversion Tables'!N38)</f>
        <v>NA</v>
      </c>
      <c r="Q41" s="27"/>
    </row>
    <row r="42" spans="1:17" x14ac:dyDescent="0.25">
      <c r="A42" s="1065"/>
      <c r="B42" s="17" t="s">
        <v>558</v>
      </c>
      <c r="C42" s="294">
        <f>C127</f>
        <v>2396.799</v>
      </c>
      <c r="D42" s="299">
        <f>E42*'Conversion Tables'!C39</f>
        <v>34806.315078</v>
      </c>
      <c r="E42" s="299">
        <f>C42*'Prac. Rec. Assumptions'!B36</f>
        <v>2396.799</v>
      </c>
      <c r="F42" s="294">
        <f>($C42*(1+'Biomass Data Assumptions'!G$94)*(1+'Biomass Data Assumptions'!C$84))*'Prac. Rec. Assumptions'!$B36</f>
        <v>2693.7908843655496</v>
      </c>
      <c r="G42" s="294">
        <f>($C42*(1+'Biomass Data Assumptions'!H$94)*(1+'Biomass Data Assumptions'!D$84))*'Prac. Rec. Assumptions'!$B36</f>
        <v>3045.9484411327321</v>
      </c>
      <c r="H42" s="294">
        <f>($C42*(1+'Biomass Data Assumptions'!I$94)*(1+'Biomass Data Assumptions'!E$84))*'Prac. Rec. Assumptions'!$B36</f>
        <v>3406.6409485943063</v>
      </c>
      <c r="I42" s="16" t="str">
        <f>IF('Conversion Tables'!F39="NA","NA",(E42*'Conversion Tables'!$C39)/'Conversion Tables'!F39)</f>
        <v>NA</v>
      </c>
      <c r="J42" s="16" t="str">
        <f>IF('Conversion Tables'!G39="NA","NA",(F42*'Conversion Tables'!$C39)/'Conversion Tables'!G39)</f>
        <v>NA</v>
      </c>
      <c r="K42" s="16" t="str">
        <f>IF('Conversion Tables'!H39="NA","NA",(G42*'Conversion Tables'!$C39)/'Conversion Tables'!H39)</f>
        <v>NA</v>
      </c>
      <c r="L42" s="16" t="str">
        <f>IF('Conversion Tables'!I39="NA","NA",(H42*'Conversion Tables'!$C39)/'Conversion Tables'!I39)</f>
        <v>NA</v>
      </c>
      <c r="M42" s="16" t="str">
        <f>IF('Conversion Tables'!K39="NA","NA",E42*'Conversion Tables'!K39)</f>
        <v>NA</v>
      </c>
      <c r="N42" s="16" t="str">
        <f>IF('Conversion Tables'!L39="NA","NA",F42*'Conversion Tables'!L39)</f>
        <v>NA</v>
      </c>
      <c r="O42" s="16" t="str">
        <f>IF('Conversion Tables'!M39="NA","NA",G42*'Conversion Tables'!M39)</f>
        <v>NA</v>
      </c>
      <c r="P42" s="16" t="str">
        <f>IF('Conversion Tables'!N39="NA","NA",H42*'Conversion Tables'!N39)</f>
        <v>NA</v>
      </c>
      <c r="Q42" s="27"/>
    </row>
    <row r="43" spans="1:17" x14ac:dyDescent="0.25">
      <c r="A43" s="1065"/>
      <c r="B43" s="9" t="s">
        <v>524</v>
      </c>
      <c r="C43" s="295">
        <f t="shared" ref="C43:P43" si="4">SUM(C31:C42)</f>
        <v>199786.7130735</v>
      </c>
      <c r="D43" s="295">
        <f t="shared" si="4"/>
        <v>1466656.8015800647</v>
      </c>
      <c r="E43" s="295">
        <f t="shared" si="4"/>
        <v>95839.346483459987</v>
      </c>
      <c r="F43" s="295">
        <f t="shared" si="4"/>
        <v>100023.09882179908</v>
      </c>
      <c r="G43" s="295">
        <f t="shared" si="4"/>
        <v>105115.00925873179</v>
      </c>
      <c r="H43" s="295">
        <f t="shared" si="4"/>
        <v>109363.67430924279</v>
      </c>
      <c r="I43" s="19">
        <f t="shared" si="4"/>
        <v>0</v>
      </c>
      <c r="J43" s="19">
        <f t="shared" si="4"/>
        <v>0</v>
      </c>
      <c r="K43" s="19">
        <f t="shared" si="4"/>
        <v>0</v>
      </c>
      <c r="L43" s="19">
        <f t="shared" si="4"/>
        <v>0</v>
      </c>
      <c r="M43" s="19">
        <f t="shared" si="4"/>
        <v>0</v>
      </c>
      <c r="N43" s="19">
        <f t="shared" si="4"/>
        <v>0</v>
      </c>
      <c r="O43" s="19">
        <f t="shared" si="4"/>
        <v>0</v>
      </c>
      <c r="P43" s="19">
        <f t="shared" si="4"/>
        <v>0</v>
      </c>
      <c r="Q43" s="19"/>
    </row>
    <row r="44" spans="1:17" x14ac:dyDescent="0.25">
      <c r="A44" s="8"/>
      <c r="C44" s="296"/>
      <c r="D44" s="296"/>
      <c r="E44" s="296"/>
      <c r="F44" s="296"/>
      <c r="G44" s="296"/>
      <c r="H44" s="296"/>
      <c r="I44" s="28"/>
      <c r="J44" s="28"/>
      <c r="K44" s="28"/>
      <c r="L44" s="28"/>
      <c r="M44" s="28"/>
      <c r="N44" s="28"/>
      <c r="O44" s="28"/>
      <c r="P44" s="28"/>
    </row>
    <row r="45" spans="1:17" x14ac:dyDescent="0.25">
      <c r="A45" s="1064" t="s">
        <v>515</v>
      </c>
      <c r="B45" s="2" t="s">
        <v>510</v>
      </c>
      <c r="C45" s="294"/>
      <c r="D45" s="294"/>
      <c r="E45" s="294"/>
      <c r="F45" s="294"/>
      <c r="G45" s="294"/>
      <c r="H45" s="294"/>
      <c r="I45" s="16"/>
      <c r="J45" s="16"/>
      <c r="K45" s="16"/>
      <c r="L45" s="16"/>
      <c r="M45" s="16"/>
      <c r="N45" s="16"/>
      <c r="O45" s="16"/>
      <c r="P45" s="16"/>
      <c r="Q45" s="7"/>
    </row>
    <row r="46" spans="1:17" x14ac:dyDescent="0.25">
      <c r="A46" s="1064"/>
      <c r="B46" s="12" t="s">
        <v>525</v>
      </c>
      <c r="C46" s="294">
        <f>D77</f>
        <v>19214.400000000001</v>
      </c>
      <c r="D46" s="294">
        <f>E46*'Conversion Tables'!C41</f>
        <v>0</v>
      </c>
      <c r="E46" s="294">
        <f>C46*'Prac. Rec. Assumptions'!B38</f>
        <v>19214.400000000001</v>
      </c>
      <c r="F46" s="294">
        <f>$E46</f>
        <v>19214.400000000001</v>
      </c>
      <c r="G46" s="294">
        <f>$E46</f>
        <v>19214.400000000001</v>
      </c>
      <c r="H46" s="294">
        <f>$E46</f>
        <v>19214.400000000001</v>
      </c>
      <c r="I46" s="16" t="str">
        <f>IF('Conversion Tables'!F41="NA","NA",(E46*'Conversion Tables'!$C41)/'Conversion Tables'!F41)</f>
        <v>NA</v>
      </c>
      <c r="J46" s="16" t="str">
        <f>IF('Conversion Tables'!G41="NA","NA",(F46*'Conversion Tables'!$C41)/'Conversion Tables'!G41)</f>
        <v>NA</v>
      </c>
      <c r="K46" s="16" t="str">
        <f>IF('Conversion Tables'!H41="NA","NA",(G46*'Conversion Tables'!$C41)/'Conversion Tables'!H41)</f>
        <v>NA</v>
      </c>
      <c r="L46" s="16" t="str">
        <f>IF('Conversion Tables'!I41="NA","NA",(H46*'Conversion Tables'!$C41)/'Conversion Tables'!I41)</f>
        <v>NA</v>
      </c>
      <c r="M46" s="16" t="str">
        <f>IF('Conversion Tables'!K41="NA","NA",E46*'Conversion Tables'!K41)</f>
        <v>NA</v>
      </c>
      <c r="N46" s="16" t="str">
        <f>IF('Conversion Tables'!L41="NA","NA",F46*'Conversion Tables'!L41)</f>
        <v>NA</v>
      </c>
      <c r="O46" s="16" t="str">
        <f>IF('Conversion Tables'!M41="NA","NA",G46*'Conversion Tables'!M41)</f>
        <v>NA</v>
      </c>
      <c r="P46" s="16" t="str">
        <f>IF('Conversion Tables'!N41="NA","NA",H46*'Conversion Tables'!N41)</f>
        <v>NA</v>
      </c>
      <c r="Q46" s="15"/>
    </row>
    <row r="47" spans="1:17" x14ac:dyDescent="0.25">
      <c r="A47" s="1065"/>
      <c r="B47" s="2" t="s">
        <v>508</v>
      </c>
      <c r="C47" s="294">
        <f t="shared" ref="C47:C48" si="5">C148</f>
        <v>1678.2651600000002</v>
      </c>
      <c r="D47" s="294"/>
      <c r="E47" s="294">
        <f>C47*'Prac. Rec. Assumptions'!B39</f>
        <v>839.13258000000008</v>
      </c>
      <c r="F47" s="294">
        <f>($C47*(1+'Biomass Data Assumptions'!G$94))*'Prac. Rec. Assumptions'!$B39</f>
        <v>862.48890770370383</v>
      </c>
      <c r="G47" s="294">
        <f>($C47*(1+'Biomass Data Assumptions'!H$94))*'Prac. Rec. Assumptions'!$B39</f>
        <v>891.87267481481479</v>
      </c>
      <c r="H47" s="294">
        <f>($C47*(1+'Biomass Data Assumptions'!I$94))*'Prac. Rec. Assumptions'!$B39</f>
        <v>912.21528281481494</v>
      </c>
      <c r="I47" s="16" t="str">
        <f>IF('Conversion Tables'!F42="NA","NA",(E47*'Conversion Tables'!$C42)/'Conversion Tables'!F42)</f>
        <v>NA</v>
      </c>
      <c r="J47" s="16" t="str">
        <f>IF('Conversion Tables'!G42="NA","NA",(F47*'Conversion Tables'!$C42)/'Conversion Tables'!G42)</f>
        <v>NA</v>
      </c>
      <c r="K47" s="16" t="str">
        <f>IF('Conversion Tables'!H42="NA","NA",(G47*'Conversion Tables'!$C42)/'Conversion Tables'!H42)</f>
        <v>NA</v>
      </c>
      <c r="L47" s="16" t="str">
        <f>IF('Conversion Tables'!I42="NA","NA",(H47*'Conversion Tables'!$C42)/'Conversion Tables'!I42)</f>
        <v>NA</v>
      </c>
      <c r="M47" s="16" t="str">
        <f>IF('Conversion Tables'!K42="NA","NA",E47*'Conversion Tables'!K42)</f>
        <v>NA</v>
      </c>
      <c r="N47" s="16" t="str">
        <f>IF('Conversion Tables'!L42="NA","NA",F47*'Conversion Tables'!L42)</f>
        <v>NA</v>
      </c>
      <c r="O47" s="16" t="str">
        <f>IF('Conversion Tables'!M42="NA","NA",G47*'Conversion Tables'!M42)</f>
        <v>NA</v>
      </c>
      <c r="P47" s="16" t="str">
        <f>IF('Conversion Tables'!N42="NA","NA",H47*'Conversion Tables'!N42)</f>
        <v>NA</v>
      </c>
      <c r="Q47" s="7"/>
    </row>
    <row r="48" spans="1:17" x14ac:dyDescent="0.25">
      <c r="A48" s="1065"/>
      <c r="B48" s="1" t="s">
        <v>509</v>
      </c>
      <c r="C48" s="294">
        <f t="shared" si="5"/>
        <v>149.9893395</v>
      </c>
      <c r="D48" s="294"/>
      <c r="E48" s="294">
        <f>C48*'Prac. Rec. Assumptions'!B40</f>
        <v>149.9893395</v>
      </c>
      <c r="F48" s="294">
        <f>($C48*(1+'Biomass Data Assumptions'!G$94))*'Prac. Rec. Assumptions'!$B40</f>
        <v>154.16412695185184</v>
      </c>
      <c r="G48" s="294">
        <f>($C48*(1+'Biomass Data Assumptions'!H$94))*'Prac. Rec. Assumptions'!$B40</f>
        <v>159.41627890740739</v>
      </c>
      <c r="H48" s="294">
        <f>($C48*(1+'Biomass Data Assumptions'!I$94))*'Prac. Rec. Assumptions'!$B40</f>
        <v>163.05238410740742</v>
      </c>
      <c r="I48" s="16" t="str">
        <f>IF('Conversion Tables'!F43="NA","NA",(E48*'Conversion Tables'!$C43)/'Conversion Tables'!F43)</f>
        <v>NA</v>
      </c>
      <c r="J48" s="16" t="str">
        <f>IF('Conversion Tables'!G43="NA","NA",(F48*'Conversion Tables'!$C43)/'Conversion Tables'!G43)</f>
        <v>NA</v>
      </c>
      <c r="K48" s="16" t="str">
        <f>IF('Conversion Tables'!H43="NA","NA",(G48*'Conversion Tables'!$C43)/'Conversion Tables'!H43)</f>
        <v>NA</v>
      </c>
      <c r="L48" s="16" t="str">
        <f>IF('Conversion Tables'!I43="NA","NA",(H48*'Conversion Tables'!$C43)/'Conversion Tables'!I43)</f>
        <v>NA</v>
      </c>
      <c r="M48" s="16" t="str">
        <f>IF('Conversion Tables'!K43="NA","NA",E48*'Conversion Tables'!K43)</f>
        <v>NA</v>
      </c>
      <c r="N48" s="16" t="str">
        <f>IF('Conversion Tables'!L43="NA","NA",F48*'Conversion Tables'!L43)</f>
        <v>NA</v>
      </c>
      <c r="O48" s="16" t="str">
        <f>IF('Conversion Tables'!M43="NA","NA",G48*'Conversion Tables'!M43)</f>
        <v>NA</v>
      </c>
      <c r="P48" s="16" t="str">
        <f>IF('Conversion Tables'!N43="NA","NA",H48*'Conversion Tables'!N43)</f>
        <v>NA</v>
      </c>
      <c r="Q48" s="7"/>
    </row>
    <row r="49" spans="1:17" x14ac:dyDescent="0.25">
      <c r="A49" s="1065"/>
      <c r="B49" s="9" t="s">
        <v>524</v>
      </c>
      <c r="C49" s="295">
        <f t="shared" ref="C49:P49" si="6">SUM(C45:C48)</f>
        <v>21042.6544995</v>
      </c>
      <c r="D49" s="295">
        <f>SUM(D45:D48)</f>
        <v>0</v>
      </c>
      <c r="E49" s="295">
        <f t="shared" si="6"/>
        <v>20203.521919500003</v>
      </c>
      <c r="F49" s="295">
        <f>SUM(F45:F48)</f>
        <v>20231.053034655557</v>
      </c>
      <c r="G49" s="295">
        <f>SUM(G45:G48)</f>
        <v>20265.688953722223</v>
      </c>
      <c r="H49" s="295">
        <f>SUM(H45:H48)</f>
        <v>20289.667666922222</v>
      </c>
      <c r="I49" s="19">
        <f t="shared" si="6"/>
        <v>0</v>
      </c>
      <c r="J49" s="19">
        <f t="shared" si="6"/>
        <v>0</v>
      </c>
      <c r="K49" s="19">
        <f t="shared" si="6"/>
        <v>0</v>
      </c>
      <c r="L49" s="19">
        <f t="shared" si="6"/>
        <v>0</v>
      </c>
      <c r="M49" s="19">
        <f t="shared" si="6"/>
        <v>0</v>
      </c>
      <c r="N49" s="19">
        <f t="shared" si="6"/>
        <v>0</v>
      </c>
      <c r="O49" s="19">
        <f t="shared" si="6"/>
        <v>0</v>
      </c>
      <c r="P49" s="19">
        <f t="shared" si="6"/>
        <v>0</v>
      </c>
      <c r="Q49" s="19"/>
    </row>
    <row r="50" spans="1:17" x14ac:dyDescent="0.25">
      <c r="A50" s="8"/>
      <c r="C50" s="296"/>
      <c r="D50" s="296"/>
      <c r="E50" s="296"/>
      <c r="F50" s="296"/>
      <c r="G50" s="296"/>
      <c r="H50" s="296"/>
      <c r="I50" s="28"/>
      <c r="J50" s="28"/>
      <c r="K50" s="28"/>
      <c r="L50" s="28"/>
      <c r="M50" s="28"/>
      <c r="N50" s="28"/>
      <c r="O50" s="28"/>
      <c r="P50" s="28"/>
    </row>
    <row r="51" spans="1:17" x14ac:dyDescent="0.25">
      <c r="A51" s="1200" t="s">
        <v>517</v>
      </c>
      <c r="B51" s="2" t="s">
        <v>505</v>
      </c>
      <c r="C51" s="294"/>
      <c r="D51" s="294"/>
      <c r="E51" s="294"/>
      <c r="F51" s="294"/>
      <c r="G51" s="294"/>
      <c r="H51" s="294"/>
      <c r="I51" s="16"/>
      <c r="J51" s="16"/>
      <c r="K51" s="16"/>
      <c r="L51" s="16"/>
      <c r="M51" s="16"/>
      <c r="N51" s="16"/>
      <c r="O51" s="16"/>
      <c r="P51" s="16"/>
      <c r="Q51" s="7"/>
    </row>
    <row r="52" spans="1:17" x14ac:dyDescent="0.25">
      <c r="A52" s="1201"/>
      <c r="B52" s="12" t="s">
        <v>535</v>
      </c>
      <c r="C52" s="294">
        <f>G97</f>
        <v>1097.83824</v>
      </c>
      <c r="D52" s="299">
        <f>E52*'Conversion Tables'!C45</f>
        <v>3241.6967550720001</v>
      </c>
      <c r="E52" s="299">
        <f>C52*'Prac. Rec. Assumptions'!B42</f>
        <v>219.56764800000002</v>
      </c>
      <c r="F52" s="294">
        <f t="shared" ref="F52:H59" si="7">$E52</f>
        <v>219.56764800000002</v>
      </c>
      <c r="G52" s="294">
        <f t="shared" si="7"/>
        <v>219.56764800000002</v>
      </c>
      <c r="H52" s="294">
        <f t="shared" si="7"/>
        <v>219.56764800000002</v>
      </c>
      <c r="I52" s="16" t="str">
        <f>IF('Conversion Tables'!F45="NA","NA",(E52*'Conversion Tables'!$C45)/'Conversion Tables'!F45)</f>
        <v>NA</v>
      </c>
      <c r="J52" s="16" t="str">
        <f>IF('Conversion Tables'!G45="NA","NA",(F52*'Conversion Tables'!$C45)/'Conversion Tables'!G45)</f>
        <v>NA</v>
      </c>
      <c r="K52" s="16" t="str">
        <f>IF('Conversion Tables'!H45="NA","NA",(G52*'Conversion Tables'!$C45)/'Conversion Tables'!H45)</f>
        <v>NA</v>
      </c>
      <c r="L52" s="16" t="str">
        <f>IF('Conversion Tables'!I45="NA","NA",(H52*'Conversion Tables'!$C45)/'Conversion Tables'!I45)</f>
        <v>NA</v>
      </c>
      <c r="M52" s="16" t="str">
        <f>IF('Conversion Tables'!K45="NA","NA",E52*'Conversion Tables'!K45)</f>
        <v>NA</v>
      </c>
      <c r="N52" s="16" t="str">
        <f>IF('Conversion Tables'!L45="NA","NA",F52*'Conversion Tables'!L45)</f>
        <v>NA</v>
      </c>
      <c r="O52" s="16" t="str">
        <f>IF('Conversion Tables'!M45="NA","NA",G52*'Conversion Tables'!M45)</f>
        <v>NA</v>
      </c>
      <c r="P52" s="16" t="str">
        <f>IF('Conversion Tables'!N45="NA","NA",H52*'Conversion Tables'!N45)</f>
        <v>NA</v>
      </c>
      <c r="Q52" s="27"/>
    </row>
    <row r="53" spans="1:17" x14ac:dyDescent="0.25">
      <c r="A53" s="1201"/>
      <c r="B53" s="12" t="s">
        <v>539</v>
      </c>
      <c r="C53" s="294">
        <f>G104</f>
        <v>1896.4925499999999</v>
      </c>
      <c r="D53" s="299">
        <f>E53*'Conversion Tables'!C46</f>
        <v>16799.889604920001</v>
      </c>
      <c r="E53" s="299">
        <f>C53*'Prac. Rec. Assumptions'!B43</f>
        <v>1137.89553</v>
      </c>
      <c r="F53" s="294">
        <f t="shared" si="7"/>
        <v>1137.89553</v>
      </c>
      <c r="G53" s="294">
        <f t="shared" si="7"/>
        <v>1137.89553</v>
      </c>
      <c r="H53" s="294">
        <f t="shared" si="7"/>
        <v>1137.89553</v>
      </c>
      <c r="I53" s="16" t="str">
        <f>IF('Conversion Tables'!F46="NA","NA",(E53*'Conversion Tables'!$C46)/'Conversion Tables'!F46)</f>
        <v>NA</v>
      </c>
      <c r="J53" s="16" t="str">
        <f>IF('Conversion Tables'!G46="NA","NA",(F53*'Conversion Tables'!$C46)/'Conversion Tables'!G46)</f>
        <v>NA</v>
      </c>
      <c r="K53" s="16" t="str">
        <f>IF('Conversion Tables'!H46="NA","NA",(G53*'Conversion Tables'!$C46)/'Conversion Tables'!H46)</f>
        <v>NA</v>
      </c>
      <c r="L53" s="16" t="str">
        <f>IF('Conversion Tables'!I46="NA","NA",(H53*'Conversion Tables'!$C46)/'Conversion Tables'!I46)</f>
        <v>NA</v>
      </c>
      <c r="M53" s="16" t="str">
        <f>IF('Conversion Tables'!K46="NA","NA",E53*'Conversion Tables'!K46)</f>
        <v>NA</v>
      </c>
      <c r="N53" s="16" t="str">
        <f>IF('Conversion Tables'!L46="NA","NA",F53*'Conversion Tables'!L46)</f>
        <v>NA</v>
      </c>
      <c r="O53" s="16" t="str">
        <f>IF('Conversion Tables'!M46="NA","NA",G53*'Conversion Tables'!M46)</f>
        <v>NA</v>
      </c>
      <c r="P53" s="16" t="str">
        <f>IF('Conversion Tables'!N46="NA","NA",H53*'Conversion Tables'!N46)</f>
        <v>NA</v>
      </c>
      <c r="Q53" s="27"/>
    </row>
    <row r="54" spans="1:17" x14ac:dyDescent="0.25">
      <c r="A54" s="1201"/>
      <c r="B54" s="12" t="s">
        <v>545</v>
      </c>
      <c r="C54" s="294">
        <f>G106</f>
        <v>13248.394050000001</v>
      </c>
      <c r="D54" s="299">
        <f>E54*'Conversion Tables'!C47</f>
        <v>117359.57385252</v>
      </c>
      <c r="E54" s="299">
        <f>C54*'Prac. Rec. Assumptions'!B44</f>
        <v>7949.0364300000001</v>
      </c>
      <c r="F54" s="294">
        <f t="shared" si="7"/>
        <v>7949.0364300000001</v>
      </c>
      <c r="G54" s="294">
        <f t="shared" si="7"/>
        <v>7949.0364300000001</v>
      </c>
      <c r="H54" s="294">
        <f t="shared" si="7"/>
        <v>7949.0364300000001</v>
      </c>
      <c r="I54" s="16" t="str">
        <f>IF('Conversion Tables'!F47="NA","NA",(E54*'Conversion Tables'!$C47)/'Conversion Tables'!F47)</f>
        <v>NA</v>
      </c>
      <c r="J54" s="16" t="str">
        <f>IF('Conversion Tables'!G47="NA","NA",(F54*'Conversion Tables'!$C47)/'Conversion Tables'!G47)</f>
        <v>NA</v>
      </c>
      <c r="K54" s="16" t="str">
        <f>IF('Conversion Tables'!H47="NA","NA",(G54*'Conversion Tables'!$C47)/'Conversion Tables'!H47)</f>
        <v>NA</v>
      </c>
      <c r="L54" s="16" t="str">
        <f>IF('Conversion Tables'!I47="NA","NA",(H54*'Conversion Tables'!$C47)/'Conversion Tables'!I47)</f>
        <v>NA</v>
      </c>
      <c r="M54" s="16" t="str">
        <f>IF('Conversion Tables'!K47="NA","NA",E54*'Conversion Tables'!K47)</f>
        <v>NA</v>
      </c>
      <c r="N54" s="16" t="str">
        <f>IF('Conversion Tables'!L47="NA","NA",F54*'Conversion Tables'!L47)</f>
        <v>NA</v>
      </c>
      <c r="O54" s="16" t="str">
        <f>IF('Conversion Tables'!M47="NA","NA",G54*'Conversion Tables'!M47)</f>
        <v>NA</v>
      </c>
      <c r="P54" s="16" t="str">
        <f>IF('Conversion Tables'!N47="NA","NA",H54*'Conversion Tables'!N47)</f>
        <v>NA</v>
      </c>
      <c r="Q54" s="27"/>
    </row>
    <row r="55" spans="1:17" x14ac:dyDescent="0.25">
      <c r="A55" s="1201"/>
      <c r="B55" s="12" t="s">
        <v>546</v>
      </c>
      <c r="C55" s="294">
        <f>G108</f>
        <v>240.43462500000001</v>
      </c>
      <c r="D55" s="299">
        <f>E55*'Conversion Tables'!C48</f>
        <v>709.95536070000014</v>
      </c>
      <c r="E55" s="299">
        <f>C55*'Prac. Rec. Assumptions'!B45</f>
        <v>48.086925000000008</v>
      </c>
      <c r="F55" s="294">
        <f t="shared" si="7"/>
        <v>48.086925000000008</v>
      </c>
      <c r="G55" s="294">
        <f t="shared" si="7"/>
        <v>48.086925000000008</v>
      </c>
      <c r="H55" s="294">
        <f t="shared" si="7"/>
        <v>48.086925000000008</v>
      </c>
      <c r="I55" s="16" t="str">
        <f>IF('Conversion Tables'!F48="NA","NA",(E55*'Conversion Tables'!$C48)/'Conversion Tables'!F48)</f>
        <v>NA</v>
      </c>
      <c r="J55" s="16" t="str">
        <f>IF('Conversion Tables'!G48="NA","NA",(F55*'Conversion Tables'!$C48)/'Conversion Tables'!G48)</f>
        <v>NA</v>
      </c>
      <c r="K55" s="16" t="str">
        <f>IF('Conversion Tables'!H48="NA","NA",(G55*'Conversion Tables'!$C48)/'Conversion Tables'!H48)</f>
        <v>NA</v>
      </c>
      <c r="L55" s="16" t="str">
        <f>IF('Conversion Tables'!I48="NA","NA",(H55*'Conversion Tables'!$C48)/'Conversion Tables'!I48)</f>
        <v>NA</v>
      </c>
      <c r="M55" s="16" t="str">
        <f>IF('Conversion Tables'!K48="NA","NA",E55*'Conversion Tables'!K48)</f>
        <v>NA</v>
      </c>
      <c r="N55" s="16" t="str">
        <f>IF('Conversion Tables'!L48="NA","NA",F55*'Conversion Tables'!L48)</f>
        <v>NA</v>
      </c>
      <c r="O55" s="16" t="str">
        <f>IF('Conversion Tables'!M48="NA","NA",G55*'Conversion Tables'!M48)</f>
        <v>NA</v>
      </c>
      <c r="P55" s="16" t="str">
        <f>IF('Conversion Tables'!N48="NA","NA",H55*'Conversion Tables'!N48)</f>
        <v>NA</v>
      </c>
      <c r="Q55" s="27"/>
    </row>
    <row r="56" spans="1:17" x14ac:dyDescent="0.25">
      <c r="A56" s="1201"/>
      <c r="B56" s="12" t="s">
        <v>547</v>
      </c>
      <c r="C56" s="294">
        <f>G110</f>
        <v>230.72562499999998</v>
      </c>
      <c r="D56" s="299">
        <f>E56*'Conversion Tables'!C49</f>
        <v>681.28662550000001</v>
      </c>
      <c r="E56" s="299">
        <f>C56*'Prac. Rec. Assumptions'!B46</f>
        <v>46.145125</v>
      </c>
      <c r="F56" s="294">
        <f t="shared" si="7"/>
        <v>46.145125</v>
      </c>
      <c r="G56" s="294">
        <f t="shared" si="7"/>
        <v>46.145125</v>
      </c>
      <c r="H56" s="294">
        <f t="shared" si="7"/>
        <v>46.145125</v>
      </c>
      <c r="I56" s="16" t="str">
        <f>IF('Conversion Tables'!F49="NA","NA",(E56*'Conversion Tables'!$C49)/'Conversion Tables'!F49)</f>
        <v>NA</v>
      </c>
      <c r="J56" s="16" t="str">
        <f>IF('Conversion Tables'!G49="NA","NA",(F56*'Conversion Tables'!$C49)/'Conversion Tables'!G49)</f>
        <v>NA</v>
      </c>
      <c r="K56" s="16" t="str">
        <f>IF('Conversion Tables'!H49="NA","NA",(G56*'Conversion Tables'!$C49)/'Conversion Tables'!H49)</f>
        <v>NA</v>
      </c>
      <c r="L56" s="16" t="str">
        <f>IF('Conversion Tables'!I49="NA","NA",(H56*'Conversion Tables'!$C49)/'Conversion Tables'!I49)</f>
        <v>NA</v>
      </c>
      <c r="M56" s="16" t="str">
        <f>IF('Conversion Tables'!K49="NA","NA",E56*'Conversion Tables'!K49)</f>
        <v>NA</v>
      </c>
      <c r="N56" s="16" t="str">
        <f>IF('Conversion Tables'!L49="NA","NA",F56*'Conversion Tables'!L49)</f>
        <v>NA</v>
      </c>
      <c r="O56" s="16" t="str">
        <f>IF('Conversion Tables'!M49="NA","NA",G56*'Conversion Tables'!M49)</f>
        <v>NA</v>
      </c>
      <c r="P56" s="16" t="str">
        <f>IF('Conversion Tables'!N49="NA","NA",H56*'Conversion Tables'!N49)</f>
        <v>NA</v>
      </c>
      <c r="Q56" s="27"/>
    </row>
    <row r="57" spans="1:17" x14ac:dyDescent="0.25">
      <c r="A57" s="1201"/>
      <c r="B57" s="133" t="s">
        <v>605</v>
      </c>
      <c r="C57" s="294">
        <f>G115</f>
        <v>729.94524999999999</v>
      </c>
      <c r="D57" s="299">
        <f>E57*'Conversion Tables'!C50</f>
        <v>5388.4558354999999</v>
      </c>
      <c r="E57" s="299">
        <f>C57*'Prac. Rec. Assumptions'!B47</f>
        <v>364.97262499999999</v>
      </c>
      <c r="F57" s="294">
        <f t="shared" si="7"/>
        <v>364.97262499999999</v>
      </c>
      <c r="G57" s="294">
        <f t="shared" si="7"/>
        <v>364.97262499999999</v>
      </c>
      <c r="H57" s="294">
        <f t="shared" si="7"/>
        <v>364.97262499999999</v>
      </c>
      <c r="I57" s="16" t="str">
        <f>IF('Conversion Tables'!F50="NA","NA",(E57*'Conversion Tables'!$C50)/'Conversion Tables'!F50)</f>
        <v>NA</v>
      </c>
      <c r="J57" s="16" t="str">
        <f>IF('Conversion Tables'!G50="NA","NA",(F57*'Conversion Tables'!$C50)/'Conversion Tables'!G50)</f>
        <v>NA</v>
      </c>
      <c r="K57" s="16" t="str">
        <f>IF('Conversion Tables'!H50="NA","NA",(G57*'Conversion Tables'!$C50)/'Conversion Tables'!H50)</f>
        <v>NA</v>
      </c>
      <c r="L57" s="16" t="str">
        <f>IF('Conversion Tables'!I50="NA","NA",(H57*'Conversion Tables'!$C50)/'Conversion Tables'!I50)</f>
        <v>NA</v>
      </c>
      <c r="M57" s="16" t="str">
        <f>IF('Conversion Tables'!K50="NA","NA",E57*'Conversion Tables'!K50)</f>
        <v>NA</v>
      </c>
      <c r="N57" s="16" t="str">
        <f>IF('Conversion Tables'!L50="NA","NA",F57*'Conversion Tables'!L50)</f>
        <v>NA</v>
      </c>
      <c r="O57" s="16" t="str">
        <f>IF('Conversion Tables'!M50="NA","NA",G57*'Conversion Tables'!M50)</f>
        <v>NA</v>
      </c>
      <c r="P57" s="16" t="str">
        <f>IF('Conversion Tables'!N50="NA","NA",H57*'Conversion Tables'!N50)</f>
        <v>NA</v>
      </c>
      <c r="Q57" s="27"/>
    </row>
    <row r="58" spans="1:17" x14ac:dyDescent="0.25">
      <c r="A58" s="1201"/>
      <c r="B58" s="12" t="s">
        <v>551</v>
      </c>
      <c r="C58" s="294">
        <f>G117</f>
        <v>48.043125000000003</v>
      </c>
      <c r="D58" s="299">
        <f>E58*'Conversion Tables'!C51</f>
        <v>576.51750000000004</v>
      </c>
      <c r="E58" s="299">
        <f>C58*'Prac. Rec. Assumptions'!B48</f>
        <v>48.043125000000003</v>
      </c>
      <c r="F58" s="294">
        <f t="shared" si="7"/>
        <v>48.043125000000003</v>
      </c>
      <c r="G58" s="294">
        <f t="shared" si="7"/>
        <v>48.043125000000003</v>
      </c>
      <c r="H58" s="294">
        <f t="shared" si="7"/>
        <v>48.043125000000003</v>
      </c>
      <c r="I58" s="16" t="str">
        <f>IF('Conversion Tables'!F51="NA","NA",(E58*'Conversion Tables'!$C51)/'Conversion Tables'!F51)</f>
        <v>NA</v>
      </c>
      <c r="J58" s="16" t="str">
        <f>IF('Conversion Tables'!G51="NA","NA",(F58*'Conversion Tables'!$C51)/'Conversion Tables'!G51)</f>
        <v>NA</v>
      </c>
      <c r="K58" s="16" t="str">
        <f>IF('Conversion Tables'!H51="NA","NA",(G58*'Conversion Tables'!$C51)/'Conversion Tables'!H51)</f>
        <v>NA</v>
      </c>
      <c r="L58" s="16" t="str">
        <f>IF('Conversion Tables'!I51="NA","NA",(H58*'Conversion Tables'!$C51)/'Conversion Tables'!I51)</f>
        <v>NA</v>
      </c>
      <c r="M58" s="16" t="str">
        <f>IF('Conversion Tables'!K51="NA","NA",E58*'Conversion Tables'!K51)</f>
        <v>NA</v>
      </c>
      <c r="N58" s="16" t="str">
        <f>IF('Conversion Tables'!L51="NA","NA",F58*'Conversion Tables'!L51)</f>
        <v>NA</v>
      </c>
      <c r="O58" s="16" t="str">
        <f>IF('Conversion Tables'!M51="NA","NA",G58*'Conversion Tables'!M51)</f>
        <v>NA</v>
      </c>
      <c r="P58" s="16" t="str">
        <f>IF('Conversion Tables'!N51="NA","NA",H58*'Conversion Tables'!N51)</f>
        <v>NA</v>
      </c>
      <c r="Q58" s="27"/>
    </row>
    <row r="59" spans="1:17" x14ac:dyDescent="0.25">
      <c r="A59" s="1201"/>
      <c r="B59" s="12" t="s">
        <v>552</v>
      </c>
      <c r="C59" s="294">
        <f>G119</f>
        <v>6.97378125</v>
      </c>
      <c r="D59" s="299">
        <f>E59*'Conversion Tables'!C52</f>
        <v>102.96090637499999</v>
      </c>
      <c r="E59" s="299">
        <f>C59*'Prac. Rec. Assumptions'!B49</f>
        <v>6.97378125</v>
      </c>
      <c r="F59" s="294">
        <f t="shared" si="7"/>
        <v>6.97378125</v>
      </c>
      <c r="G59" s="294">
        <f t="shared" si="7"/>
        <v>6.97378125</v>
      </c>
      <c r="H59" s="294">
        <f t="shared" si="7"/>
        <v>6.97378125</v>
      </c>
      <c r="I59" s="16" t="str">
        <f>IF('Conversion Tables'!F52="NA","NA",(E59*'Conversion Tables'!$C52)/'Conversion Tables'!F52)</f>
        <v>NA</v>
      </c>
      <c r="J59" s="16" t="str">
        <f>IF('Conversion Tables'!G52="NA","NA",(F59*'Conversion Tables'!$C52)/'Conversion Tables'!G52)</f>
        <v>NA</v>
      </c>
      <c r="K59" s="16" t="str">
        <f>IF('Conversion Tables'!H52="NA","NA",(G59*'Conversion Tables'!$C52)/'Conversion Tables'!H52)</f>
        <v>NA</v>
      </c>
      <c r="L59" s="16" t="str">
        <f>IF('Conversion Tables'!I52="NA","NA",(H59*'Conversion Tables'!$C52)/'Conversion Tables'!I52)</f>
        <v>NA</v>
      </c>
      <c r="M59" s="16" t="str">
        <f>IF('Conversion Tables'!K52="NA","NA",E59*'Conversion Tables'!K52)</f>
        <v>NA</v>
      </c>
      <c r="N59" s="16" t="str">
        <f>IF('Conversion Tables'!L52="NA","NA",F59*'Conversion Tables'!L52)</f>
        <v>NA</v>
      </c>
      <c r="O59" s="16" t="str">
        <f>IF('Conversion Tables'!M52="NA","NA",G59*'Conversion Tables'!M52)</f>
        <v>NA</v>
      </c>
      <c r="P59" s="16" t="str">
        <f>IF('Conversion Tables'!N52="NA","NA",H59*'Conversion Tables'!N52)</f>
        <v>NA</v>
      </c>
      <c r="Q59" s="27"/>
    </row>
    <row r="60" spans="1:17" x14ac:dyDescent="0.25">
      <c r="A60" s="1202"/>
      <c r="B60" s="129" t="s">
        <v>305</v>
      </c>
      <c r="C60" s="294">
        <f>'Biomass Data Assumptions'!AE9</f>
        <v>1094.7040610000004</v>
      </c>
      <c r="D60" s="299">
        <f>E60*'Conversion Tables'!C53</f>
        <v>13136.448732000004</v>
      </c>
      <c r="E60" s="299">
        <f>C60*'Prac. Rec. Assumptions'!B50</f>
        <v>1094.7040610000004</v>
      </c>
      <c r="F60" s="294">
        <f>($C60*(1+'Biomass Data Assumptions'!G$94*(4/5)))*'Prac. Rec. Assumptions'!$B50</f>
        <v>1119.0799628745683</v>
      </c>
      <c r="G60" s="294">
        <f>($C60*(1+'Biomass Data Assumptions'!H$94*(9/10)))*'Prac. Rec. Assumptions'!$B50</f>
        <v>1156.6267149555558</v>
      </c>
      <c r="H60" s="294">
        <f>($C60*(1+'Biomass Data Assumptions'!I$94*(14/15)))*'Prac. Rec. Assumptions'!$B50</f>
        <v>1183.6892081657616</v>
      </c>
      <c r="I60" s="16" t="str">
        <f>IF('Conversion Tables'!F53="NA","NA",(E60*'Conversion Tables'!$C53)/'Conversion Tables'!F53)</f>
        <v>NA</v>
      </c>
      <c r="J60" s="16" t="str">
        <f>IF('Conversion Tables'!G53="NA","NA",(F60*'Conversion Tables'!$C53)/'Conversion Tables'!G53)</f>
        <v>NA</v>
      </c>
      <c r="K60" s="16" t="str">
        <f>IF('Conversion Tables'!H53="NA","NA",(G60*'Conversion Tables'!$C53)/'Conversion Tables'!H53)</f>
        <v>NA</v>
      </c>
      <c r="L60" s="16" t="str">
        <f>IF('Conversion Tables'!I53="NA","NA",(H60*'Conversion Tables'!$C53)/'Conversion Tables'!I53)</f>
        <v>NA</v>
      </c>
      <c r="M60" s="16" t="str">
        <f>IF('Conversion Tables'!K53="NA","NA",E60*'Conversion Tables'!K53)</f>
        <v>NA</v>
      </c>
      <c r="N60" s="16" t="str">
        <f>IF('Conversion Tables'!L53="NA","NA",F60*'Conversion Tables'!L53)</f>
        <v>NA</v>
      </c>
      <c r="O60" s="16" t="str">
        <f>IF('Conversion Tables'!M53="NA","NA",G60*'Conversion Tables'!M53)</f>
        <v>NA</v>
      </c>
      <c r="P60" s="16" t="str">
        <f>IF('Conversion Tables'!N53="NA","NA",H60*'Conversion Tables'!N53)</f>
        <v>NA</v>
      </c>
      <c r="Q60" s="7"/>
    </row>
    <row r="61" spans="1:17" x14ac:dyDescent="0.25">
      <c r="A61" s="1202"/>
      <c r="B61" s="9" t="s">
        <v>257</v>
      </c>
      <c r="C61" s="295">
        <f>SUM(C52:C60)</f>
        <v>18593.55130725</v>
      </c>
      <c r="D61" s="295">
        <f>SUM(D52:D60)</f>
        <v>157996.78517258703</v>
      </c>
      <c r="E61" s="295">
        <f t="shared" ref="E61:P61" si="8">SUM(E52:E60)</f>
        <v>10915.42525025</v>
      </c>
      <c r="F61" s="295">
        <f>SUM(F52:F60)</f>
        <v>10939.801152124568</v>
      </c>
      <c r="G61" s="295">
        <f>SUM(G52:G60)</f>
        <v>10977.347904205555</v>
      </c>
      <c r="H61" s="295">
        <f>SUM(H52:H60)</f>
        <v>11004.410397415762</v>
      </c>
      <c r="I61" s="19">
        <f t="shared" si="8"/>
        <v>0</v>
      </c>
      <c r="J61" s="19">
        <f t="shared" si="8"/>
        <v>0</v>
      </c>
      <c r="K61" s="19">
        <f t="shared" si="8"/>
        <v>0</v>
      </c>
      <c r="L61" s="19">
        <f t="shared" si="8"/>
        <v>0</v>
      </c>
      <c r="M61" s="19">
        <f t="shared" si="8"/>
        <v>0</v>
      </c>
      <c r="N61" s="19">
        <f t="shared" si="8"/>
        <v>0</v>
      </c>
      <c r="O61" s="19">
        <f t="shared" si="8"/>
        <v>0</v>
      </c>
      <c r="P61" s="19">
        <f t="shared" si="8"/>
        <v>0</v>
      </c>
      <c r="Q61" s="7"/>
    </row>
    <row r="62" spans="1:17" x14ac:dyDescent="0.25">
      <c r="A62" s="1202"/>
      <c r="B62" s="7" t="s">
        <v>256</v>
      </c>
      <c r="C62" s="298" t="s">
        <v>251</v>
      </c>
      <c r="D62" s="13"/>
      <c r="E62" s="298" t="s">
        <v>251</v>
      </c>
      <c r="F62" s="298"/>
      <c r="G62" s="298"/>
      <c r="H62" s="298"/>
      <c r="I62" s="7"/>
      <c r="J62" s="7"/>
      <c r="K62" s="7"/>
      <c r="L62" s="7"/>
      <c r="M62" s="7"/>
      <c r="N62" s="7"/>
      <c r="O62" s="7"/>
      <c r="P62" s="7"/>
      <c r="Q62" s="7"/>
    </row>
    <row r="63" spans="1:17" x14ac:dyDescent="0.25">
      <c r="A63" s="1203"/>
      <c r="B63" s="133" t="s">
        <v>304</v>
      </c>
      <c r="C63" s="294">
        <f>'Biomass Data Assumptions'!AB9</f>
        <v>71.781867250000005</v>
      </c>
      <c r="D63" s="300">
        <f>E63*'Conversion Tables'!C55</f>
        <v>44432.97582775</v>
      </c>
      <c r="E63" s="299">
        <f>C63*'Prac. Rec. Assumptions'!B51</f>
        <v>71.781867250000005</v>
      </c>
      <c r="F63" s="294">
        <f>($C63*(1+'Biomass Data Assumptions'!G$94*(4/5)))*'Prac. Rec. Assumptions'!$B51</f>
        <v>73.380242386071842</v>
      </c>
      <c r="G63" s="294">
        <f>($C63*(1+'Biomass Data Assumptions'!H$94*(9/10)))*'Prac. Rec. Assumptions'!$B51</f>
        <v>75.842255700505049</v>
      </c>
      <c r="H63" s="294">
        <f>($C63*(1+'Biomass Data Assumptions'!I$94*(14/15)))*'Prac. Rec. Assumptions'!$B51</f>
        <v>77.616795838133186</v>
      </c>
      <c r="I63" s="16" t="str">
        <f>IF('Conversion Tables'!F55="NA","NA",(E63*'Conversion Tables'!$C55)/'Conversion Tables'!F55)</f>
        <v>NA</v>
      </c>
      <c r="J63" s="16" t="str">
        <f>IF('Conversion Tables'!G55="NA","NA",(F63*'Conversion Tables'!$C55)/'Conversion Tables'!G55)</f>
        <v>NA</v>
      </c>
      <c r="K63" s="16" t="str">
        <f>IF('Conversion Tables'!H55="NA","NA",(G63*'Conversion Tables'!$C55)/'Conversion Tables'!H55)</f>
        <v>NA</v>
      </c>
      <c r="L63" s="16" t="str">
        <f>IF('Conversion Tables'!I55="NA","NA",(H63*'Conversion Tables'!$C55)/'Conversion Tables'!I55)</f>
        <v>NA</v>
      </c>
      <c r="M63" s="16" t="str">
        <f>IF('Conversion Tables'!K55="NA","NA",E63*'Conversion Tables'!K55)</f>
        <v>NA</v>
      </c>
      <c r="N63" s="16" t="str">
        <f>IF('Conversion Tables'!L55="NA","NA",F63*'Conversion Tables'!L55)</f>
        <v>NA</v>
      </c>
      <c r="O63" s="16" t="str">
        <f>IF('Conversion Tables'!M55="NA","NA",G63*'Conversion Tables'!M55)</f>
        <v>NA</v>
      </c>
      <c r="P63" s="16" t="str">
        <f>IF('Conversion Tables'!N55="NA","NA",H63*'Conversion Tables'!N55)</f>
        <v>NA</v>
      </c>
      <c r="Q63" s="7"/>
    </row>
    <row r="64" spans="1:17" x14ac:dyDescent="0.25">
      <c r="A64" s="1204"/>
      <c r="B64" s="17" t="s">
        <v>512</v>
      </c>
      <c r="C64" s="294">
        <f>'Biomass Data Assumptions'!X9</f>
        <v>1658.3646291646746</v>
      </c>
      <c r="D64" s="300">
        <f>E64*'Conversion Tables'!C56</f>
        <v>839132.5023573254</v>
      </c>
      <c r="E64" s="299">
        <f>C64*'Prac. Rec. Assumptions'!B52</f>
        <v>1658.3646291646746</v>
      </c>
      <c r="F64" s="545">
        <f>($C64*(1+'Biomass Data Assumptions'!G$94*(3/5))*(1+('Biomass Data Assumptions'!C$82-((1+'Biomass Data Assumptions'!$B$82)^2 - 1))))*'Prac. Rec. Assumptions'!$B52</f>
        <v>1685.373090091231</v>
      </c>
      <c r="G64" s="545">
        <f>($C64*(1+'Biomass Data Assumptions'!H$94*(4/5))*(1+('Biomass Data Assumptions'!D$82-((1+'Biomass Data Assumptions'!$B$82)^2 - 1))))*'Prac. Rec. Assumptions'!$B52</f>
        <v>1739.8568918229146</v>
      </c>
      <c r="H64" s="545">
        <f>($C64*(1+'Biomass Data Assumptions'!I$94*(13/15))*(1+('Biomass Data Assumptions'!E$82-((1+'Biomass Data Assumptions'!$B$82)^2 - 1))))*'Prac. Rec. Assumptions'!$B52</f>
        <v>1780.3932071513534</v>
      </c>
      <c r="I64" s="16" t="str">
        <f>IF('Conversion Tables'!F56="NA","NA",(E64*'Conversion Tables'!$C56)/'Conversion Tables'!F56)</f>
        <v>NA</v>
      </c>
      <c r="J64" s="16" t="str">
        <f>IF('Conversion Tables'!G56="NA","NA",(F64*'Conversion Tables'!$C56)/'Conversion Tables'!G56)</f>
        <v>NA</v>
      </c>
      <c r="K64" s="16" t="str">
        <f>IF('Conversion Tables'!H56="NA","NA",(G64*'Conversion Tables'!$C56)/'Conversion Tables'!H56)</f>
        <v>NA</v>
      </c>
      <c r="L64" s="16" t="str">
        <f>IF('Conversion Tables'!I56="NA","NA",(H64*'Conversion Tables'!$C56)/'Conversion Tables'!I56)</f>
        <v>NA</v>
      </c>
      <c r="M64" s="16" t="str">
        <f>IF('Conversion Tables'!K56="NA","NA",E64*'Conversion Tables'!K56)</f>
        <v>NA</v>
      </c>
      <c r="N64" s="16" t="str">
        <f>IF('Conversion Tables'!L56="NA","NA",F64*'Conversion Tables'!L56)</f>
        <v>NA</v>
      </c>
      <c r="O64" s="16" t="str">
        <f>IF('Conversion Tables'!M56="NA","NA",G64*'Conversion Tables'!M56)</f>
        <v>NA</v>
      </c>
      <c r="P64" s="16" t="str">
        <f>IF('Conversion Tables'!N56="NA","NA",H64*'Conversion Tables'!N56)</f>
        <v>NA</v>
      </c>
      <c r="Q64" s="7"/>
    </row>
    <row r="65" spans="1:19" x14ac:dyDescent="0.25">
      <c r="A65" s="1204"/>
      <c r="B65" s="9" t="s">
        <v>248</v>
      </c>
      <c r="C65" s="295">
        <f>SUM(C63:C64)</f>
        <v>1730.1464964146746</v>
      </c>
      <c r="D65" s="295">
        <f>SUM(D63:D64)</f>
        <v>883565.47818507545</v>
      </c>
      <c r="E65" s="295">
        <f t="shared" ref="E65:P65" si="9">SUM(E63:E64)</f>
        <v>1730.1464964146746</v>
      </c>
      <c r="F65" s="295">
        <f>SUM(F63:F64)</f>
        <v>1758.7533324773028</v>
      </c>
      <c r="G65" s="295">
        <f>SUM(G63:G64)</f>
        <v>1815.6991475234197</v>
      </c>
      <c r="H65" s="295">
        <f>SUM(H63:H64)</f>
        <v>1858.0100029894866</v>
      </c>
      <c r="I65" s="19">
        <f t="shared" si="9"/>
        <v>0</v>
      </c>
      <c r="J65" s="19">
        <f t="shared" si="9"/>
        <v>0</v>
      </c>
      <c r="K65" s="19">
        <f t="shared" si="9"/>
        <v>0</v>
      </c>
      <c r="L65" s="19">
        <f t="shared" si="9"/>
        <v>0</v>
      </c>
      <c r="M65" s="19">
        <f t="shared" si="9"/>
        <v>0</v>
      </c>
      <c r="N65" s="19">
        <f t="shared" si="9"/>
        <v>0</v>
      </c>
      <c r="O65" s="19">
        <f t="shared" si="9"/>
        <v>0</v>
      </c>
      <c r="P65" s="19">
        <f t="shared" si="9"/>
        <v>0</v>
      </c>
      <c r="Q65" s="19">
        <f>SUM(Q51:Q64)</f>
        <v>0</v>
      </c>
    </row>
    <row r="66" spans="1:19" x14ac:dyDescent="0.25">
      <c r="A66" s="1204"/>
      <c r="B66" s="9"/>
      <c r="C66" s="295"/>
      <c r="D66" s="295"/>
      <c r="E66" s="295"/>
      <c r="F66" s="295"/>
      <c r="G66" s="295"/>
      <c r="H66" s="295"/>
      <c r="I66" s="19"/>
      <c r="J66" s="19"/>
      <c r="K66" s="19"/>
      <c r="L66" s="19"/>
      <c r="M66" s="19"/>
      <c r="N66" s="19"/>
      <c r="O66" s="19"/>
      <c r="P66" s="19"/>
      <c r="Q66" s="19"/>
    </row>
    <row r="67" spans="1:19" x14ac:dyDescent="0.25">
      <c r="A67" s="1205"/>
      <c r="B67" s="9" t="s">
        <v>258</v>
      </c>
      <c r="C67" s="295">
        <f>C61+(C63*1000000/29487.1582406855)+(C64*1000000/25364.5039539246)</f>
        <v>86409.209896009605</v>
      </c>
      <c r="D67" s="295">
        <f t="shared" ref="D67" si="10">D61+D65</f>
        <v>1041562.2633576625</v>
      </c>
      <c r="E67" s="295">
        <f>E61+(E63*1000000/29487.1582406855)+(E64*1000000/25364.5039539246)</f>
        <v>78731.083839009603</v>
      </c>
      <c r="F67" s="295">
        <f>F61+(F63*1000000/29487.1582406855)+(F64*1000000/25364.5039539246)</f>
        <v>79874.478836299095</v>
      </c>
      <c r="G67" s="295">
        <f t="shared" ref="G67:H67" si="11">G61+(G63*1000000/29487.1582406855)+(G64*1000000/25364.5039539246)</f>
        <v>82143.553415648959</v>
      </c>
      <c r="H67" s="295">
        <f t="shared" si="11"/>
        <v>83828.947323279717</v>
      </c>
      <c r="I67" s="19">
        <f t="shared" ref="I67:P67" si="12">I61+I65</f>
        <v>0</v>
      </c>
      <c r="J67" s="19">
        <f t="shared" si="12"/>
        <v>0</v>
      </c>
      <c r="K67" s="19">
        <f t="shared" si="12"/>
        <v>0</v>
      </c>
      <c r="L67" s="19">
        <f t="shared" si="12"/>
        <v>0</v>
      </c>
      <c r="M67" s="19">
        <f t="shared" si="12"/>
        <v>0</v>
      </c>
      <c r="N67" s="19">
        <f t="shared" si="12"/>
        <v>0</v>
      </c>
      <c r="O67" s="19">
        <f t="shared" si="12"/>
        <v>0</v>
      </c>
      <c r="P67" s="19">
        <f t="shared" si="12"/>
        <v>0</v>
      </c>
      <c r="Q67" s="19"/>
    </row>
    <row r="68" spans="1:19" customFormat="1" x14ac:dyDescent="0.25">
      <c r="B68" s="270" t="s">
        <v>162</v>
      </c>
      <c r="C68" s="132">
        <f>C11+C29+C43+C49+C67</f>
        <v>554138.58906900964</v>
      </c>
      <c r="D68" s="132"/>
      <c r="E68" s="132">
        <f>E11+E29+E43+E49+E67</f>
        <v>324132.51849196962</v>
      </c>
      <c r="F68" s="132">
        <f>F11+F29+F43+F49+F67</f>
        <v>330745.69186980196</v>
      </c>
      <c r="G68" s="132">
        <f>G11+G29+G43+G49+G67</f>
        <v>339724.58061659907</v>
      </c>
      <c r="H68" s="132">
        <f>H11+H29+H43+H49+H67</f>
        <v>346778.72677278926</v>
      </c>
      <c r="I68" s="264"/>
    </row>
    <row r="69" spans="1:19" ht="13.8" thickBot="1" x14ac:dyDescent="0.3">
      <c r="A69" s="10"/>
      <c r="B69" s="10"/>
      <c r="C69" s="10"/>
      <c r="D69" s="10"/>
      <c r="E69" s="10"/>
      <c r="F69" s="10"/>
      <c r="G69" s="10"/>
      <c r="H69" s="10"/>
      <c r="I69" s="1003">
        <f>SUM(I8:I66)/2</f>
        <v>0</v>
      </c>
      <c r="J69" s="1003">
        <f>SUM(J8:J66)/2</f>
        <v>0</v>
      </c>
      <c r="K69" s="1003">
        <f>SUM(K8:K66)/2</f>
        <v>0</v>
      </c>
      <c r="L69" s="1003">
        <f>SUM(L8:L66)/2</f>
        <v>0</v>
      </c>
      <c r="M69" s="1003">
        <f>SUM(M8:M66)/2</f>
        <v>0</v>
      </c>
      <c r="N69" s="1003">
        <f t="shared" ref="N69:P69" si="13">SUM(N8:N66)/2</f>
        <v>0</v>
      </c>
      <c r="O69" s="1003">
        <f t="shared" si="13"/>
        <v>0</v>
      </c>
      <c r="P69" s="1003">
        <f t="shared" si="13"/>
        <v>0</v>
      </c>
      <c r="Q69" s="10"/>
      <c r="R69" s="10"/>
      <c r="S69" s="10"/>
    </row>
    <row r="70" spans="1:19" x14ac:dyDescent="0.25">
      <c r="A70" s="35" t="s">
        <v>23</v>
      </c>
      <c r="B70" s="36"/>
      <c r="C70" s="36"/>
      <c r="D70" s="36"/>
      <c r="E70" s="36"/>
      <c r="F70" s="36"/>
      <c r="G70" s="36"/>
      <c r="H70" s="36"/>
      <c r="I70" s="36"/>
      <c r="J70" s="36"/>
      <c r="K70" s="36"/>
      <c r="L70" s="36"/>
      <c r="M70" s="36"/>
      <c r="N70" s="36"/>
      <c r="O70" s="36"/>
      <c r="P70" s="36"/>
      <c r="Q70" s="36"/>
      <c r="R70" s="36"/>
    </row>
    <row r="71" spans="1:19" x14ac:dyDescent="0.25">
      <c r="A71" s="36"/>
      <c r="B71" s="36"/>
      <c r="C71" s="36"/>
      <c r="D71" s="36"/>
      <c r="E71" s="36"/>
      <c r="F71" s="36"/>
      <c r="G71" s="36"/>
      <c r="H71" s="36"/>
      <c r="I71" s="36"/>
      <c r="J71" s="36"/>
      <c r="K71" s="36"/>
      <c r="L71" s="36"/>
      <c r="M71" s="36"/>
      <c r="N71" s="36"/>
      <c r="O71" s="36"/>
      <c r="P71" s="36"/>
      <c r="Q71" s="36"/>
      <c r="R71" s="36"/>
    </row>
    <row r="72" spans="1:19" x14ac:dyDescent="0.25">
      <c r="A72" s="36"/>
      <c r="B72" s="36"/>
      <c r="C72" s="36"/>
      <c r="D72" s="36"/>
      <c r="E72" s="36"/>
      <c r="F72" s="36"/>
      <c r="G72" s="36"/>
      <c r="H72" s="36"/>
      <c r="I72" s="36"/>
      <c r="J72" s="36"/>
      <c r="K72" s="36"/>
      <c r="L72" s="36"/>
      <c r="M72" s="36"/>
      <c r="N72" s="36"/>
      <c r="O72" s="36"/>
      <c r="P72" s="36"/>
      <c r="Q72" s="36"/>
      <c r="R72" s="36"/>
    </row>
    <row r="73" spans="1:19" ht="26.4" x14ac:dyDescent="0.25">
      <c r="A73" s="37" t="s">
        <v>1037</v>
      </c>
      <c r="B73" s="454" t="s">
        <v>297</v>
      </c>
      <c r="C73" s="37" t="s">
        <v>1042</v>
      </c>
      <c r="D73" s="37" t="s">
        <v>1041</v>
      </c>
      <c r="E73" s="150" t="s">
        <v>598</v>
      </c>
      <c r="F73" s="38"/>
      <c r="G73" s="38"/>
      <c r="H73" s="36"/>
      <c r="I73" s="36"/>
      <c r="J73" s="36"/>
      <c r="K73" s="36"/>
      <c r="L73" s="36"/>
      <c r="M73" s="36"/>
      <c r="N73" s="36"/>
      <c r="O73" s="36"/>
      <c r="P73" s="36"/>
      <c r="Q73" s="36"/>
      <c r="R73" s="36"/>
    </row>
    <row r="74" spans="1:19" x14ac:dyDescent="0.25">
      <c r="A74" s="39" t="s">
        <v>519</v>
      </c>
      <c r="B74" s="21">
        <v>275</v>
      </c>
      <c r="C74" s="40">
        <f>'Biomass Data Assumptions'!B38*B74</f>
        <v>17957.5</v>
      </c>
      <c r="D74" s="40">
        <f>(C74*'Biomass Data Assumptions'!C38)/2000</f>
        <v>502.81</v>
      </c>
      <c r="E74" s="41"/>
      <c r="F74" s="41"/>
      <c r="G74" s="41"/>
      <c r="H74" s="36"/>
      <c r="I74" s="36"/>
      <c r="J74" s="36"/>
      <c r="K74" s="36"/>
      <c r="L74" s="36"/>
      <c r="M74" s="36"/>
      <c r="N74" s="36"/>
      <c r="O74" s="36"/>
      <c r="P74" s="36"/>
      <c r="Q74" s="36"/>
      <c r="R74" s="36"/>
    </row>
    <row r="75" spans="1:19" x14ac:dyDescent="0.25">
      <c r="A75" s="39" t="s">
        <v>520</v>
      </c>
      <c r="B75" s="21">
        <v>2339</v>
      </c>
      <c r="C75" s="40">
        <f>'Biomass Data Assumptions'!B39*B75</f>
        <v>63854.700000000004</v>
      </c>
      <c r="D75" s="40">
        <f>(C75*'Biomass Data Assumptions'!C39)/2000</f>
        <v>1787.9316000000001</v>
      </c>
      <c r="E75" s="41"/>
      <c r="F75" s="41"/>
      <c r="G75" s="41"/>
      <c r="H75" s="36"/>
      <c r="I75" s="36"/>
      <c r="J75" s="36"/>
      <c r="K75" s="36"/>
      <c r="L75" s="36"/>
      <c r="M75" s="36"/>
      <c r="N75" s="36"/>
      <c r="O75" s="36"/>
      <c r="P75" s="36"/>
      <c r="Q75" s="36"/>
      <c r="R75" s="36"/>
    </row>
    <row r="76" spans="1:19" x14ac:dyDescent="0.25">
      <c r="A76" s="39" t="s">
        <v>521</v>
      </c>
      <c r="B76" s="21">
        <v>7119</v>
      </c>
      <c r="C76" s="40">
        <f>'Biomass Data Assumptions'!B40*B76</f>
        <v>889875</v>
      </c>
      <c r="D76" s="40">
        <f>(C76*'Biomass Data Assumptions'!C40)/2000</f>
        <v>24916.5</v>
      </c>
      <c r="E76" s="41"/>
      <c r="F76" s="41"/>
      <c r="G76" s="41"/>
      <c r="H76" s="36"/>
      <c r="I76" s="36"/>
      <c r="J76" s="36"/>
      <c r="K76" s="36"/>
      <c r="L76" s="36"/>
      <c r="M76" s="36"/>
      <c r="N76" s="36"/>
      <c r="O76" s="36"/>
      <c r="P76" s="36"/>
      <c r="Q76" s="36"/>
      <c r="R76" s="36"/>
    </row>
    <row r="77" spans="1:19" x14ac:dyDescent="0.25">
      <c r="A77" s="39" t="s">
        <v>525</v>
      </c>
      <c r="B77" s="21">
        <v>20015</v>
      </c>
      <c r="C77" s="40">
        <f>'Biomass Data Assumptions'!B41*B77</f>
        <v>640480</v>
      </c>
      <c r="D77" s="40">
        <f>(C77*'Biomass Data Assumptions'!C41)/2000</f>
        <v>19214.400000000001</v>
      </c>
      <c r="E77" s="41"/>
      <c r="F77" s="41"/>
      <c r="G77" s="41"/>
      <c r="H77" s="36"/>
      <c r="I77" s="36"/>
      <c r="J77" s="36"/>
      <c r="K77" s="36"/>
      <c r="L77" s="36"/>
      <c r="M77" s="36"/>
      <c r="N77" s="36"/>
      <c r="O77" s="36"/>
      <c r="P77" s="36"/>
      <c r="Q77" s="36"/>
      <c r="R77" s="36"/>
    </row>
    <row r="78" spans="1:19" x14ac:dyDescent="0.25">
      <c r="A78" s="39" t="s">
        <v>522</v>
      </c>
      <c r="B78" s="21">
        <v>3014</v>
      </c>
      <c r="C78" s="40">
        <f>'Biomass Data Assumptions'!B42*B78</f>
        <v>162756</v>
      </c>
      <c r="D78" s="40">
        <f>(C78*'Biomass Data Assumptions'!C42)/2000</f>
        <v>4882.68</v>
      </c>
      <c r="E78" s="41"/>
      <c r="F78" s="41"/>
      <c r="G78" s="41"/>
      <c r="H78" s="36"/>
      <c r="I78" s="36"/>
      <c r="J78" s="36"/>
      <c r="K78" s="36"/>
      <c r="L78" s="36"/>
      <c r="M78" s="36"/>
      <c r="N78" s="36"/>
      <c r="O78" s="36"/>
      <c r="P78" s="36"/>
      <c r="Q78" s="36"/>
      <c r="R78" s="36"/>
    </row>
    <row r="79" spans="1:19" x14ac:dyDescent="0.25">
      <c r="A79" s="36"/>
      <c r="B79" s="36"/>
      <c r="C79" s="36"/>
      <c r="D79" s="36"/>
      <c r="E79" s="36"/>
      <c r="F79" s="36"/>
      <c r="G79" s="36"/>
      <c r="H79" s="36"/>
      <c r="I79" s="36"/>
      <c r="J79" s="36"/>
      <c r="K79" s="36"/>
      <c r="L79" s="36"/>
      <c r="M79" s="36"/>
      <c r="N79" s="36"/>
      <c r="O79" s="36"/>
      <c r="P79" s="36"/>
      <c r="Q79" s="36"/>
      <c r="R79" s="36"/>
    </row>
    <row r="80" spans="1:19" ht="39.6" x14ac:dyDescent="0.25">
      <c r="A80" s="37" t="s">
        <v>1038</v>
      </c>
      <c r="B80" s="454" t="s">
        <v>297</v>
      </c>
      <c r="C80" s="37" t="s">
        <v>1041</v>
      </c>
      <c r="D80" s="37" t="s">
        <v>1036</v>
      </c>
      <c r="E80" s="150" t="s">
        <v>598</v>
      </c>
      <c r="F80" s="38"/>
      <c r="G80" s="38"/>
      <c r="H80" s="36"/>
      <c r="I80" s="36"/>
      <c r="J80" s="36"/>
      <c r="K80" s="36"/>
      <c r="L80" s="36"/>
      <c r="M80" s="36"/>
      <c r="N80" s="36"/>
      <c r="O80" s="36"/>
      <c r="P80" s="36"/>
      <c r="Q80" s="36"/>
      <c r="R80" s="36"/>
    </row>
    <row r="81" spans="1:18" x14ac:dyDescent="0.25">
      <c r="A81" s="39" t="s">
        <v>527</v>
      </c>
      <c r="B81" s="21">
        <v>1243</v>
      </c>
      <c r="C81" s="40">
        <f>'Biomass Data Assumptions'!B49*B81</f>
        <v>1243</v>
      </c>
      <c r="D81" s="40">
        <f>C81*'Energy Content Assumptions'!C11</f>
        <v>1056.55</v>
      </c>
      <c r="E81" s="41"/>
      <c r="F81" s="41"/>
      <c r="G81" s="41"/>
      <c r="H81" s="36"/>
      <c r="I81" s="36"/>
      <c r="J81" s="36"/>
      <c r="K81" s="36"/>
      <c r="L81" s="36"/>
      <c r="M81" s="36"/>
      <c r="N81" s="36"/>
      <c r="O81" s="36"/>
      <c r="P81" s="36"/>
      <c r="Q81" s="36"/>
      <c r="R81" s="36"/>
    </row>
    <row r="82" spans="1:18" x14ac:dyDescent="0.25">
      <c r="A82" s="39" t="s">
        <v>520</v>
      </c>
      <c r="B82" s="21">
        <f>2339+774</f>
        <v>3113</v>
      </c>
      <c r="C82" s="40">
        <f>'Biomass Data Assumptions'!B50*B82</f>
        <v>7004.25</v>
      </c>
      <c r="D82" s="40">
        <f>C82*'Energy Content Assumptions'!C12</f>
        <v>5953.6125000000002</v>
      </c>
      <c r="E82" s="41"/>
      <c r="F82" s="41"/>
      <c r="G82" s="41"/>
      <c r="H82" s="36"/>
      <c r="I82" s="36"/>
      <c r="J82" s="36"/>
      <c r="K82" s="36"/>
      <c r="L82" s="36"/>
      <c r="M82" s="36"/>
      <c r="N82" s="36"/>
      <c r="O82" s="36"/>
      <c r="P82" s="36"/>
      <c r="Q82" s="36"/>
      <c r="R82" s="36"/>
    </row>
    <row r="83" spans="1:18" x14ac:dyDescent="0.25">
      <c r="A83" s="39" t="s">
        <v>521</v>
      </c>
      <c r="B83" s="21">
        <v>7119</v>
      </c>
      <c r="C83" s="40">
        <f>'Biomass Data Assumptions'!B51*B83</f>
        <v>17797.5</v>
      </c>
      <c r="D83" s="40">
        <f>C83*'Energy Content Assumptions'!C13</f>
        <v>15127.875</v>
      </c>
      <c r="E83" s="41"/>
      <c r="F83" s="41"/>
      <c r="G83" s="41"/>
      <c r="H83" s="36"/>
      <c r="I83" s="36"/>
      <c r="J83" s="36"/>
      <c r="K83" s="36"/>
      <c r="L83" s="36"/>
      <c r="M83" s="36"/>
      <c r="N83" s="36"/>
      <c r="O83" s="36"/>
      <c r="P83" s="36"/>
      <c r="Q83" s="36"/>
      <c r="R83" s="36"/>
    </row>
    <row r="84" spans="1:18" x14ac:dyDescent="0.25">
      <c r="A84" s="39" t="s">
        <v>528</v>
      </c>
      <c r="B84" s="21">
        <v>827</v>
      </c>
      <c r="C84" s="40">
        <f>'Biomass Data Assumptions'!B52*B84</f>
        <v>13562.8</v>
      </c>
      <c r="D84" s="40">
        <f>C84*'Energy Content Assumptions'!C14</f>
        <v>4746.9799999999996</v>
      </c>
      <c r="E84" s="41"/>
      <c r="F84" s="41"/>
      <c r="G84" s="41"/>
      <c r="H84" s="36"/>
      <c r="I84" s="36"/>
      <c r="J84" s="36"/>
      <c r="K84" s="36"/>
      <c r="L84" s="36"/>
      <c r="M84" s="36"/>
      <c r="N84" s="36"/>
      <c r="O84" s="36"/>
      <c r="P84" s="36"/>
      <c r="Q84" s="36"/>
      <c r="R84" s="36"/>
    </row>
    <row r="85" spans="1:18" x14ac:dyDescent="0.25">
      <c r="A85" s="39" t="s">
        <v>529</v>
      </c>
      <c r="B85" s="21">
        <v>1625</v>
      </c>
      <c r="C85" s="40">
        <f>'Biomass Data Assumptions'!B53*B85</f>
        <v>5200</v>
      </c>
      <c r="D85" s="40">
        <f>C85*'Energy Content Assumptions'!C15</f>
        <v>4420</v>
      </c>
      <c r="E85" s="41"/>
      <c r="F85" s="41"/>
      <c r="G85" s="41"/>
      <c r="H85" s="36"/>
      <c r="I85" s="36"/>
      <c r="J85" s="36"/>
      <c r="K85" s="36"/>
      <c r="L85" s="36"/>
      <c r="M85" s="36"/>
      <c r="N85" s="36"/>
      <c r="O85" s="36"/>
      <c r="P85" s="36"/>
      <c r="Q85" s="36"/>
      <c r="R85" s="36"/>
    </row>
    <row r="86" spans="1:18" x14ac:dyDescent="0.25">
      <c r="A86" s="39" t="s">
        <v>530</v>
      </c>
      <c r="B86" s="21">
        <v>4505</v>
      </c>
      <c r="C86" s="40">
        <f>'Biomass Data Assumptions'!B54*B86</f>
        <v>7658.5</v>
      </c>
      <c r="D86" s="40">
        <f>C86*'Energy Content Assumptions'!C16</f>
        <v>6509.7249999999995</v>
      </c>
      <c r="E86" s="41"/>
      <c r="F86" s="41"/>
      <c r="G86" s="41"/>
      <c r="H86" s="36"/>
      <c r="I86" s="36"/>
      <c r="J86" s="36"/>
      <c r="K86" s="36"/>
      <c r="L86" s="36"/>
      <c r="M86" s="36"/>
      <c r="N86" s="36"/>
      <c r="O86" s="36"/>
      <c r="P86" s="36"/>
      <c r="Q86" s="36"/>
      <c r="R86" s="36"/>
    </row>
    <row r="87" spans="1:18" x14ac:dyDescent="0.25">
      <c r="A87" s="39" t="s">
        <v>522</v>
      </c>
      <c r="B87" s="21">
        <f>3014+41</f>
        <v>3055</v>
      </c>
      <c r="C87" s="40">
        <f>'Biomass Data Assumptions'!B55*B87</f>
        <v>5346.25</v>
      </c>
      <c r="D87" s="40">
        <f>C87*'Energy Content Assumptions'!C17</f>
        <v>4544.3125</v>
      </c>
      <c r="E87" s="41"/>
      <c r="F87" s="41"/>
      <c r="G87" s="41"/>
      <c r="H87" s="36"/>
      <c r="I87" s="36"/>
      <c r="J87" s="36"/>
      <c r="K87" s="36"/>
      <c r="L87" s="36"/>
      <c r="M87" s="36"/>
      <c r="N87" s="36"/>
      <c r="O87" s="36"/>
      <c r="P87" s="36"/>
      <c r="Q87" s="36"/>
      <c r="R87" s="36"/>
    </row>
    <row r="88" spans="1:18" x14ac:dyDescent="0.25">
      <c r="A88" s="43"/>
      <c r="B88" s="41"/>
      <c r="C88" s="41"/>
      <c r="D88" s="41"/>
      <c r="E88" s="41"/>
      <c r="F88" s="41"/>
      <c r="G88" s="41"/>
      <c r="H88" s="36"/>
      <c r="I88" s="36"/>
      <c r="J88" s="36"/>
      <c r="K88" s="36"/>
      <c r="L88" s="36"/>
      <c r="M88" s="36"/>
      <c r="N88" s="36"/>
      <c r="O88" s="36"/>
      <c r="P88" s="36"/>
      <c r="Q88" s="36"/>
      <c r="R88" s="36"/>
    </row>
    <row r="89" spans="1:18" x14ac:dyDescent="0.25">
      <c r="A89" s="43"/>
      <c r="B89" s="640" t="s">
        <v>297</v>
      </c>
      <c r="C89" s="122" t="s">
        <v>299</v>
      </c>
      <c r="D89" s="122" t="s">
        <v>300</v>
      </c>
      <c r="E89" s="41"/>
      <c r="F89" s="41"/>
      <c r="G89" s="41"/>
      <c r="H89" s="36"/>
      <c r="I89" s="36"/>
      <c r="J89" s="36"/>
      <c r="K89" s="36"/>
      <c r="L89" s="36"/>
      <c r="M89" s="36"/>
      <c r="N89" s="36"/>
      <c r="O89" s="36"/>
      <c r="P89" s="36"/>
      <c r="Q89" s="36"/>
      <c r="R89" s="36"/>
    </row>
    <row r="90" spans="1:18" x14ac:dyDescent="0.25">
      <c r="A90" s="43" t="s">
        <v>296</v>
      </c>
      <c r="B90" s="85">
        <f>IF('Prac. Rec. Assumptions'!B56='Prac. Rec. Assumptions'!V3,0,SUM(IF('Prac. Rec. Assumptions'!B57="Yes",B74,0),IF('Prac. Rec. Assumptions'!B58="Yes",B81,0),IF('Prac. Rec. Assumptions'!B59="Yes",B82,0),IF('Prac. Rec. Assumptions'!B60="Yes",B83,0),IF('Prac. Rec. Assumptions'!B61="Yes",B84,0),IF('Prac. Rec. Assumptions'!B62="Yes",B85,0),IF('Prac. Rec. Assumptions'!B63="Yes",B86,0),IF('Prac. Rec. Assumptions'!B64="Yes",B87,0)))</f>
        <v>0</v>
      </c>
      <c r="C90" s="41">
        <f>IF('Prac. Rec. Assumptions'!B56='Prac. Rec. Assumptions'!V1,'Biomass Data Assumptions'!C46,IF('Prac. Rec. Assumptions'!B56='Prac. Rec. Assumptions'!V2,'Biomass Data Assumptions'!C45,0))</f>
        <v>0</v>
      </c>
      <c r="D90" s="41">
        <f>(C90*'Energy Content Assumptions'!C9)*B90</f>
        <v>0</v>
      </c>
      <c r="E90" s="41"/>
      <c r="F90" s="41"/>
      <c r="G90" s="41"/>
      <c r="H90" s="36"/>
      <c r="I90" s="36"/>
      <c r="J90" s="36"/>
      <c r="K90" s="36"/>
      <c r="L90" s="36"/>
      <c r="M90" s="36"/>
      <c r="N90" s="36"/>
      <c r="O90" s="36"/>
      <c r="P90" s="36"/>
      <c r="Q90" s="36"/>
      <c r="R90" s="36"/>
    </row>
    <row r="91" spans="1:18" x14ac:dyDescent="0.25">
      <c r="A91" s="36"/>
      <c r="B91" s="36"/>
      <c r="C91" s="36"/>
      <c r="D91" s="36"/>
      <c r="E91" s="36"/>
      <c r="F91" s="36"/>
      <c r="G91" s="36"/>
      <c r="H91" s="36"/>
      <c r="I91" s="36"/>
      <c r="J91" s="36"/>
      <c r="K91" s="36"/>
      <c r="L91" s="36"/>
      <c r="M91" s="36"/>
      <c r="N91" s="36"/>
      <c r="O91" s="36"/>
      <c r="P91" s="36"/>
      <c r="Q91" s="36"/>
      <c r="R91" s="36"/>
    </row>
    <row r="92" spans="1:18" ht="39.6" x14ac:dyDescent="0.25">
      <c r="A92" s="42" t="s">
        <v>531</v>
      </c>
      <c r="B92" s="455" t="s">
        <v>298</v>
      </c>
      <c r="C92" s="38" t="s">
        <v>1050</v>
      </c>
      <c r="D92" s="38" t="s">
        <v>1045</v>
      </c>
      <c r="E92" s="38" t="s">
        <v>1048</v>
      </c>
      <c r="F92" s="38" t="s">
        <v>1047</v>
      </c>
      <c r="G92" s="38" t="s">
        <v>1046</v>
      </c>
      <c r="H92" s="36" t="s">
        <v>599</v>
      </c>
      <c r="I92" s="36"/>
      <c r="J92" s="38"/>
      <c r="K92" s="38"/>
      <c r="L92" s="38"/>
      <c r="M92" s="38"/>
      <c r="N92" s="36"/>
      <c r="O92" s="36"/>
      <c r="P92" s="36"/>
      <c r="Q92" s="36"/>
      <c r="R92" s="36"/>
    </row>
    <row r="93" spans="1:18" x14ac:dyDescent="0.25">
      <c r="A93" s="42"/>
      <c r="B93" s="38"/>
      <c r="C93" s="38"/>
      <c r="D93" s="38"/>
      <c r="E93" s="38"/>
      <c r="F93" s="36"/>
      <c r="G93" s="36"/>
      <c r="H93" s="36"/>
      <c r="I93" s="36"/>
      <c r="J93" s="38"/>
      <c r="K93" s="38"/>
      <c r="L93" s="38"/>
      <c r="M93" s="38"/>
      <c r="N93" s="36"/>
      <c r="O93" s="36"/>
      <c r="P93" s="36"/>
      <c r="Q93" s="36"/>
      <c r="R93" s="36"/>
    </row>
    <row r="94" spans="1:18" x14ac:dyDescent="0.25">
      <c r="A94" s="459"/>
      <c r="B94" s="457"/>
      <c r="C94" s="458"/>
      <c r="D94" s="458"/>
      <c r="E94" s="463"/>
      <c r="F94" s="457"/>
      <c r="G94" s="457"/>
      <c r="H94" s="36"/>
      <c r="I94" s="36"/>
      <c r="J94" s="44"/>
      <c r="K94" s="44"/>
      <c r="L94" s="44"/>
      <c r="M94" s="44"/>
      <c r="N94" s="36"/>
      <c r="O94" s="36"/>
      <c r="P94" s="36"/>
      <c r="Q94" s="36"/>
      <c r="R94" s="36"/>
    </row>
    <row r="95" spans="1:18" hidden="1" x14ac:dyDescent="0.25">
      <c r="A95" s="456"/>
      <c r="B95" s="458"/>
      <c r="C95" s="458"/>
      <c r="D95" s="458"/>
      <c r="E95" s="458"/>
      <c r="F95" s="458"/>
      <c r="G95" s="458"/>
      <c r="H95" s="36"/>
      <c r="I95" s="36"/>
      <c r="J95" s="41"/>
      <c r="K95" s="41"/>
      <c r="L95" s="41"/>
      <c r="M95" s="41"/>
      <c r="N95" s="36"/>
      <c r="O95" s="36"/>
      <c r="P95" s="36"/>
      <c r="Q95" s="36"/>
      <c r="R95" s="36"/>
    </row>
    <row r="96" spans="1:18" x14ac:dyDescent="0.25">
      <c r="A96" s="456"/>
      <c r="B96" s="458"/>
      <c r="C96" s="458"/>
      <c r="D96" s="458"/>
      <c r="E96" s="458"/>
      <c r="F96" s="458"/>
      <c r="G96" s="458"/>
      <c r="H96" s="36"/>
      <c r="I96" s="36"/>
      <c r="J96" s="41"/>
      <c r="K96" s="41"/>
      <c r="L96" s="41"/>
      <c r="M96" s="41"/>
      <c r="N96" s="36"/>
      <c r="O96" s="36"/>
      <c r="P96" s="36"/>
      <c r="Q96" s="36"/>
      <c r="R96" s="36"/>
    </row>
    <row r="97" spans="1:18" x14ac:dyDescent="0.25">
      <c r="A97" s="467" t="s">
        <v>535</v>
      </c>
      <c r="B97" s="85">
        <v>969</v>
      </c>
      <c r="C97" s="41">
        <f>ROUND('Biomass Data Assumptions'!$B$60/1000*B97,0)</f>
        <v>969</v>
      </c>
      <c r="D97" s="41">
        <f>'Biomass Data Assumptions'!$C$60*C97</f>
        <v>32539020</v>
      </c>
      <c r="E97" s="41">
        <f>('Biomass Data Assumptions'!$D$60*'Energy Content Assumptions'!$C$44*D97)/2000</f>
        <v>390.46823999999998</v>
      </c>
      <c r="F97" s="41">
        <f>('Biomass Data Assumptions'!$E$60*B97*365)/2000</f>
        <v>707.37</v>
      </c>
      <c r="G97" s="41">
        <f>F97+E97</f>
        <v>1097.83824</v>
      </c>
      <c r="H97" s="36"/>
      <c r="I97" s="36"/>
      <c r="J97" s="41"/>
      <c r="K97" s="41"/>
      <c r="L97" s="41"/>
      <c r="M97" s="41"/>
      <c r="N97" s="36"/>
      <c r="O97" s="36"/>
      <c r="P97" s="36"/>
      <c r="Q97" s="36"/>
      <c r="R97" s="36"/>
    </row>
    <row r="98" spans="1:18" x14ac:dyDescent="0.25">
      <c r="A98" s="46"/>
      <c r="B98" s="41"/>
      <c r="C98" s="41"/>
      <c r="D98" s="41"/>
      <c r="E98" s="41"/>
      <c r="F98" s="41"/>
      <c r="G98" s="41"/>
      <c r="H98" s="36"/>
      <c r="I98" s="36"/>
      <c r="J98" s="41"/>
      <c r="K98" s="41"/>
      <c r="L98" s="41"/>
      <c r="M98" s="41"/>
      <c r="N98" s="36"/>
      <c r="O98" s="36"/>
      <c r="P98" s="36"/>
      <c r="Q98" s="36"/>
      <c r="R98" s="36"/>
    </row>
    <row r="99" spans="1:18" x14ac:dyDescent="0.25">
      <c r="A99" s="43" t="s">
        <v>539</v>
      </c>
      <c r="B99" s="47"/>
      <c r="C99" s="41"/>
      <c r="D99" s="41"/>
      <c r="E99" s="41"/>
      <c r="F99" s="41"/>
      <c r="G99" s="41"/>
      <c r="H99" s="36"/>
      <c r="I99" s="36"/>
      <c r="J99" s="41"/>
      <c r="K99" s="41"/>
      <c r="L99" s="41"/>
      <c r="M99" s="41"/>
      <c r="N99" s="36"/>
      <c r="O99" s="36"/>
      <c r="P99" s="36"/>
      <c r="Q99" s="36"/>
      <c r="R99" s="36"/>
    </row>
    <row r="100" spans="1:18" x14ac:dyDescent="0.25">
      <c r="A100" s="460" t="s">
        <v>603</v>
      </c>
      <c r="B100" s="85">
        <v>320</v>
      </c>
      <c r="C100" s="41">
        <f>ROUND('Biomass Data Assumptions'!B62/1000*B100,0)</f>
        <v>112</v>
      </c>
      <c r="D100" s="41">
        <f>'Biomass Data Assumptions'!C62*C100</f>
        <v>3270400</v>
      </c>
      <c r="E100" s="41">
        <f>('Biomass Data Assumptions'!D62*'Energy Content Assumptions'!C46*D100)/2000</f>
        <v>147.16800000000001</v>
      </c>
      <c r="F100" s="41">
        <f>('Biomass Data Assumptions'!E62*B100*365)/2000</f>
        <v>292</v>
      </c>
      <c r="G100" s="41">
        <f>F100+E100</f>
        <v>439.16800000000001</v>
      </c>
      <c r="H100" s="36"/>
      <c r="I100" s="36"/>
      <c r="J100" s="41"/>
      <c r="K100" s="41"/>
      <c r="L100" s="41"/>
      <c r="M100" s="41"/>
      <c r="N100" s="36"/>
      <c r="O100" s="36"/>
      <c r="P100" s="36"/>
      <c r="Q100" s="36"/>
      <c r="R100" s="36"/>
    </row>
    <row r="101" spans="1:18" hidden="1" x14ac:dyDescent="0.25">
      <c r="A101" s="45"/>
      <c r="B101" s="85"/>
      <c r="C101" s="41"/>
      <c r="D101" s="41"/>
      <c r="E101" s="41"/>
      <c r="F101" s="41"/>
      <c r="G101" s="41"/>
      <c r="H101" s="36"/>
      <c r="I101" s="36"/>
      <c r="J101" s="41"/>
      <c r="K101" s="41"/>
      <c r="L101" s="41"/>
      <c r="M101" s="41"/>
      <c r="N101" s="36"/>
      <c r="O101" s="36"/>
      <c r="P101" s="36"/>
      <c r="Q101" s="36"/>
      <c r="R101" s="36"/>
    </row>
    <row r="102" spans="1:18" x14ac:dyDescent="0.25">
      <c r="A102" s="460" t="s">
        <v>604</v>
      </c>
      <c r="B102" s="85">
        <v>333</v>
      </c>
      <c r="C102" s="41">
        <f>ROUND('Biomass Data Assumptions'!B64/1000*B102,0)</f>
        <v>466</v>
      </c>
      <c r="D102" s="41">
        <f>'Biomass Data Assumptions'!C64*C102</f>
        <v>18879990</v>
      </c>
      <c r="E102" s="41">
        <f>('Biomass Data Assumptions'!D64*'Energy Content Assumptions'!C48*D102)/2000</f>
        <v>849.59954999999991</v>
      </c>
      <c r="F102" s="41">
        <f>'Biomass Data Assumptions'!E64*B102*365/2000</f>
        <v>607.72500000000002</v>
      </c>
      <c r="G102" s="41">
        <f>F102+E102</f>
        <v>1457.3245499999998</v>
      </c>
      <c r="H102" s="36"/>
      <c r="I102" s="36"/>
      <c r="J102" s="41"/>
      <c r="K102" s="41"/>
      <c r="L102" s="41"/>
      <c r="M102" s="41"/>
      <c r="N102" s="36"/>
      <c r="O102" s="36"/>
      <c r="P102" s="36"/>
      <c r="Q102" s="36"/>
      <c r="R102" s="36"/>
    </row>
    <row r="103" spans="1:18" hidden="1" x14ac:dyDescent="0.25">
      <c r="A103" s="45"/>
      <c r="B103" s="85"/>
      <c r="C103" s="41"/>
      <c r="D103" s="41"/>
      <c r="E103" s="41"/>
      <c r="F103" s="41"/>
      <c r="G103" s="41"/>
      <c r="H103" s="36"/>
      <c r="I103" s="36"/>
      <c r="J103" s="41"/>
      <c r="K103" s="41"/>
      <c r="L103" s="41"/>
      <c r="M103" s="41"/>
      <c r="N103" s="36"/>
      <c r="O103" s="36"/>
      <c r="P103" s="36"/>
      <c r="Q103" s="36"/>
      <c r="R103" s="36"/>
    </row>
    <row r="104" spans="1:18" x14ac:dyDescent="0.25">
      <c r="A104" s="46" t="s">
        <v>544</v>
      </c>
      <c r="B104" s="85">
        <f t="shared" ref="B104:G104" si="14">SUM(B100:B103)</f>
        <v>653</v>
      </c>
      <c r="C104" s="41">
        <f t="shared" si="14"/>
        <v>578</v>
      </c>
      <c r="D104" s="41">
        <f t="shared" si="14"/>
        <v>22150390</v>
      </c>
      <c r="E104" s="41">
        <f t="shared" si="14"/>
        <v>996.76754999999991</v>
      </c>
      <c r="F104" s="41">
        <f t="shared" si="14"/>
        <v>899.72500000000002</v>
      </c>
      <c r="G104" s="41">
        <f t="shared" si="14"/>
        <v>1896.4925499999999</v>
      </c>
      <c r="H104" s="36"/>
      <c r="I104" s="36"/>
      <c r="J104" s="41"/>
      <c r="K104" s="41"/>
      <c r="L104" s="41"/>
      <c r="M104" s="41"/>
      <c r="N104" s="36"/>
      <c r="O104" s="36"/>
      <c r="P104" s="36"/>
      <c r="Q104" s="36"/>
      <c r="R104" s="36"/>
    </row>
    <row r="105" spans="1:18" x14ac:dyDescent="0.25">
      <c r="A105" s="46"/>
      <c r="B105" s="41"/>
      <c r="C105" s="41"/>
      <c r="D105" s="41"/>
      <c r="E105" s="41"/>
      <c r="F105" s="41"/>
      <c r="G105" s="41"/>
      <c r="H105" s="36"/>
      <c r="I105" s="36"/>
      <c r="J105" s="41"/>
      <c r="K105" s="41"/>
      <c r="L105" s="41"/>
      <c r="M105" s="41"/>
      <c r="N105" s="36"/>
      <c r="O105" s="36"/>
      <c r="P105" s="36"/>
      <c r="Q105" s="36"/>
      <c r="R105" s="36"/>
    </row>
    <row r="106" spans="1:18" x14ac:dyDescent="0.25">
      <c r="A106" s="43" t="s">
        <v>545</v>
      </c>
      <c r="B106" s="85">
        <v>3844</v>
      </c>
      <c r="C106" s="41">
        <f>ROUND('Biomass Data Assumptions'!B66/1000*B106,0)</f>
        <v>3844</v>
      </c>
      <c r="D106" s="41">
        <f>'Biomass Data Assumptions'!C66*C106</f>
        <v>77869830</v>
      </c>
      <c r="E106" s="41">
        <f>('Biomass Data Assumptions'!D66*'Energy Content Assumptions'!C50*D106)/2000</f>
        <v>2725.4440500000001</v>
      </c>
      <c r="F106" s="41">
        <f>'Biomass Data Assumptions'!E66*B106*365/2000</f>
        <v>10522.95</v>
      </c>
      <c r="G106" s="41">
        <f>F106+E106</f>
        <v>13248.394050000001</v>
      </c>
      <c r="H106" s="36"/>
      <c r="I106" s="36"/>
      <c r="J106" s="41"/>
      <c r="K106" s="41"/>
      <c r="L106" s="41"/>
      <c r="M106" s="41"/>
      <c r="N106" s="36"/>
      <c r="O106" s="36"/>
      <c r="P106" s="36"/>
      <c r="Q106" s="36"/>
      <c r="R106" s="36"/>
    </row>
    <row r="107" spans="1:18" x14ac:dyDescent="0.25">
      <c r="A107" s="43"/>
      <c r="B107" s="41"/>
      <c r="C107" s="41"/>
      <c r="D107" s="41"/>
      <c r="E107" s="41"/>
      <c r="F107" s="41"/>
      <c r="G107" s="41"/>
      <c r="H107" s="36"/>
      <c r="I107" s="36"/>
      <c r="J107" s="41"/>
      <c r="K107" s="41"/>
      <c r="L107" s="41"/>
      <c r="M107" s="41"/>
      <c r="N107" s="36"/>
      <c r="O107" s="36"/>
      <c r="P107" s="36"/>
      <c r="Q107" s="36"/>
      <c r="R107" s="36"/>
    </row>
    <row r="108" spans="1:18" x14ac:dyDescent="0.25">
      <c r="A108" s="43" t="s">
        <v>546</v>
      </c>
      <c r="B108" s="85">
        <v>1094</v>
      </c>
      <c r="C108" s="41">
        <f>ROUND('Biomass Data Assumptions'!B67/1000*B108,0)</f>
        <v>109</v>
      </c>
      <c r="D108" s="41">
        <f>'Biomass Data Assumptions'!C67*C108</f>
        <v>1631185</v>
      </c>
      <c r="E108" s="41">
        <f>('Biomass Data Assumptions'!D67*'Energy Content Assumptions'!C51*D108)/2000</f>
        <v>40.779625000000003</v>
      </c>
      <c r="F108" s="41">
        <f>'Biomass Data Assumptions'!E67*B108*365/2000</f>
        <v>199.655</v>
      </c>
      <c r="G108" s="41">
        <f>F108+E108</f>
        <v>240.43462500000001</v>
      </c>
      <c r="H108" s="36"/>
      <c r="I108" s="36"/>
      <c r="J108" s="41"/>
      <c r="K108" s="41"/>
      <c r="L108" s="41"/>
      <c r="M108" s="41"/>
      <c r="N108" s="36"/>
      <c r="O108" s="36"/>
      <c r="P108" s="36"/>
      <c r="Q108" s="36"/>
      <c r="R108" s="36"/>
    </row>
    <row r="109" spans="1:18" x14ac:dyDescent="0.25">
      <c r="A109" s="43"/>
      <c r="B109" s="41"/>
      <c r="C109" s="41"/>
      <c r="D109" s="41"/>
      <c r="E109" s="41"/>
      <c r="F109" s="41"/>
      <c r="G109" s="41"/>
      <c r="H109" s="36"/>
      <c r="I109" s="36"/>
      <c r="J109" s="41"/>
      <c r="K109" s="41"/>
      <c r="L109" s="41"/>
      <c r="M109" s="41"/>
      <c r="N109" s="36"/>
      <c r="O109" s="36"/>
      <c r="P109" s="36"/>
      <c r="Q109" s="36"/>
      <c r="R109" s="36"/>
    </row>
    <row r="110" spans="1:18" x14ac:dyDescent="0.25">
      <c r="A110" s="43" t="s">
        <v>547</v>
      </c>
      <c r="B110" s="85">
        <v>1049</v>
      </c>
      <c r="C110" s="41">
        <f>ROUND('Biomass Data Assumptions'!B68/1000*B110,0)</f>
        <v>105</v>
      </c>
      <c r="D110" s="41">
        <f>'Biomass Data Assumptions'!C68*C110</f>
        <v>1571325</v>
      </c>
      <c r="E110" s="41">
        <f>('Biomass Data Assumptions'!D68*'Energy Content Assumptions'!C52*D110)/2000</f>
        <v>39.283124999999998</v>
      </c>
      <c r="F110" s="41">
        <f>'Biomass Data Assumptions'!E68*B110*365/2000</f>
        <v>191.4425</v>
      </c>
      <c r="G110" s="41">
        <f>F110+E110</f>
        <v>230.72562499999998</v>
      </c>
      <c r="H110" s="36"/>
      <c r="I110" s="36"/>
      <c r="J110" s="41"/>
      <c r="K110" s="41"/>
      <c r="L110" s="41"/>
      <c r="M110" s="41"/>
      <c r="N110" s="36"/>
      <c r="O110" s="36"/>
      <c r="P110" s="36"/>
      <c r="Q110" s="36"/>
      <c r="R110" s="36"/>
    </row>
    <row r="111" spans="1:18" x14ac:dyDescent="0.25">
      <c r="A111" s="43"/>
      <c r="B111" s="41"/>
      <c r="C111" s="41"/>
      <c r="D111" s="41"/>
      <c r="E111" s="41"/>
      <c r="F111" s="41"/>
      <c r="G111" s="41"/>
      <c r="H111" s="36"/>
      <c r="I111" s="36"/>
      <c r="J111" s="41"/>
      <c r="K111" s="41"/>
      <c r="L111" s="41"/>
      <c r="M111" s="41"/>
      <c r="N111" s="36"/>
      <c r="O111" s="36"/>
      <c r="P111" s="36"/>
      <c r="Q111" s="36"/>
      <c r="R111" s="36"/>
    </row>
    <row r="112" spans="1:18" ht="0.75" customHeight="1" x14ac:dyDescent="0.25">
      <c r="A112" s="459"/>
      <c r="B112" s="457"/>
      <c r="C112" s="458"/>
      <c r="D112" s="458"/>
      <c r="E112" s="458"/>
      <c r="F112" s="458"/>
      <c r="G112" s="458"/>
      <c r="H112" s="36"/>
      <c r="I112" s="36"/>
      <c r="J112" s="41"/>
      <c r="K112" s="41"/>
      <c r="L112" s="41"/>
      <c r="M112" s="41"/>
      <c r="N112" s="36"/>
      <c r="O112" s="36"/>
      <c r="P112" s="36"/>
      <c r="Q112" s="36"/>
      <c r="R112" s="36"/>
    </row>
    <row r="113" spans="1:18" hidden="1" x14ac:dyDescent="0.25">
      <c r="A113" s="456"/>
      <c r="B113" s="458"/>
      <c r="C113" s="458"/>
      <c r="D113" s="458"/>
      <c r="E113" s="458"/>
      <c r="F113" s="458"/>
      <c r="G113" s="458"/>
      <c r="H113" s="36"/>
      <c r="I113" s="36"/>
      <c r="J113" s="41"/>
      <c r="K113" s="41"/>
      <c r="L113" s="41"/>
      <c r="M113" s="41"/>
      <c r="N113" s="36"/>
      <c r="O113" s="36"/>
      <c r="P113" s="36"/>
      <c r="Q113" s="36"/>
      <c r="R113" s="36"/>
    </row>
    <row r="114" spans="1:18" hidden="1" x14ac:dyDescent="0.25">
      <c r="A114" s="456"/>
      <c r="B114" s="458"/>
      <c r="C114" s="458"/>
      <c r="D114" s="458"/>
      <c r="E114" s="458"/>
      <c r="F114" s="458"/>
      <c r="G114" s="458"/>
      <c r="H114" s="36"/>
      <c r="I114" s="36"/>
      <c r="J114" s="41"/>
      <c r="K114" s="41"/>
      <c r="L114" s="41"/>
      <c r="M114" s="41"/>
      <c r="N114" s="36"/>
      <c r="O114" s="36"/>
      <c r="P114" s="36"/>
      <c r="Q114" s="36"/>
      <c r="R114" s="36"/>
    </row>
    <row r="115" spans="1:18" x14ac:dyDescent="0.25">
      <c r="A115" s="467" t="s">
        <v>605</v>
      </c>
      <c r="B115" s="85">
        <v>4255</v>
      </c>
      <c r="C115" s="41">
        <f>ROUND('Biomass Data Assumptions'!$B$71/1000*B115,0)</f>
        <v>1702</v>
      </c>
      <c r="D115" s="41">
        <f>'Biomass Data Assumptions'!$C$71*C115</f>
        <v>29197810</v>
      </c>
      <c r="E115" s="41">
        <f>('Biomass Data Assumptions'!$D$71*'Energy Content Assumptions'!$C$55*D115)/2000</f>
        <v>729.94524999999999</v>
      </c>
      <c r="F115" s="41">
        <f>'Biomass Data Assumptions'!$E$71*B115*365/2000</f>
        <v>0</v>
      </c>
      <c r="G115" s="41">
        <f>F115+E115</f>
        <v>729.94524999999999</v>
      </c>
      <c r="H115" s="36"/>
      <c r="I115" s="36"/>
      <c r="J115" s="41"/>
      <c r="K115" s="41"/>
      <c r="L115" s="41"/>
      <c r="M115" s="41"/>
      <c r="N115" s="36"/>
      <c r="O115" s="36"/>
      <c r="P115" s="36"/>
      <c r="Q115" s="36"/>
      <c r="R115" s="36"/>
    </row>
    <row r="116" spans="1:18" x14ac:dyDescent="0.25">
      <c r="A116" s="46"/>
      <c r="B116" s="41"/>
      <c r="C116" s="41"/>
      <c r="D116" s="41"/>
      <c r="E116" s="41"/>
      <c r="F116" s="41"/>
      <c r="G116" s="41"/>
      <c r="H116" s="36"/>
      <c r="I116" s="36"/>
      <c r="J116" s="41"/>
      <c r="K116" s="41"/>
      <c r="L116" s="41"/>
      <c r="M116" s="41"/>
      <c r="N116" s="36"/>
      <c r="O116" s="36"/>
      <c r="P116" s="36"/>
      <c r="Q116" s="36"/>
      <c r="R116" s="36"/>
    </row>
    <row r="117" spans="1:18" x14ac:dyDescent="0.25">
      <c r="A117" s="43" t="s">
        <v>551</v>
      </c>
      <c r="B117" s="85">
        <f>385+1331+3601</f>
        <v>5317</v>
      </c>
      <c r="C117" s="41">
        <f>ROUND('Biomass Data Assumptions'!B72/1000*B117,0)</f>
        <v>27</v>
      </c>
      <c r="D117" s="41">
        <f>'Biomass Data Assumptions'!C72*C117</f>
        <v>492750</v>
      </c>
      <c r="E117" s="41">
        <f>('Biomass Data Assumptions'!D72*'Energy Content Assumptions'!C56*D117)/2000</f>
        <v>48.043125000000003</v>
      </c>
      <c r="F117" s="41">
        <f>'Biomass Data Assumptions'!E72*B117*365/2000</f>
        <v>0</v>
      </c>
      <c r="G117" s="41">
        <f>F117+E117</f>
        <v>48.043125000000003</v>
      </c>
      <c r="H117" s="150" t="s">
        <v>609</v>
      </c>
      <c r="I117" s="36"/>
      <c r="J117" s="41"/>
      <c r="K117" s="41"/>
      <c r="L117" s="41"/>
      <c r="M117" s="41"/>
      <c r="N117" s="36"/>
      <c r="O117" s="36"/>
      <c r="P117" s="36"/>
      <c r="Q117" s="36"/>
      <c r="R117" s="36"/>
    </row>
    <row r="118" spans="1:18" x14ac:dyDescent="0.25">
      <c r="A118" s="43"/>
      <c r="B118" s="41"/>
      <c r="C118" s="41"/>
      <c r="D118" s="41"/>
      <c r="E118" s="41"/>
      <c r="F118" s="41"/>
      <c r="G118" s="41"/>
      <c r="H118" s="36"/>
      <c r="I118" s="36"/>
      <c r="J118" s="41"/>
      <c r="K118" s="41"/>
      <c r="L118" s="41"/>
      <c r="M118" s="41"/>
      <c r="N118" s="36"/>
      <c r="O118" s="36"/>
      <c r="P118" s="36"/>
      <c r="Q118" s="36"/>
      <c r="R118" s="36"/>
    </row>
    <row r="119" spans="1:18" x14ac:dyDescent="0.25">
      <c r="A119" s="43" t="s">
        <v>552</v>
      </c>
      <c r="B119" s="85">
        <v>174</v>
      </c>
      <c r="C119" s="41">
        <f>ROUND('Biomass Data Assumptions'!B73/1000*B119,0)</f>
        <v>3</v>
      </c>
      <c r="D119" s="41">
        <f>'Biomass Data Assumptions'!C73*C119</f>
        <v>40515</v>
      </c>
      <c r="E119" s="41">
        <f>('Biomass Data Assumptions'!D73*'Energy Content Assumptions'!C57*D119)/2000</f>
        <v>3.7982812500000001</v>
      </c>
      <c r="F119" s="41">
        <f>'Biomass Data Assumptions'!E73*B119*365/2000</f>
        <v>3.1755000000000004</v>
      </c>
      <c r="G119" s="41">
        <f>F119+E119</f>
        <v>6.97378125</v>
      </c>
      <c r="H119" s="36"/>
      <c r="I119" s="36"/>
      <c r="J119" s="41"/>
      <c r="K119" s="41"/>
      <c r="L119" s="41"/>
      <c r="M119" s="41"/>
      <c r="N119" s="36"/>
      <c r="O119" s="36"/>
      <c r="P119" s="36"/>
      <c r="Q119" s="36"/>
      <c r="R119" s="36"/>
    </row>
    <row r="120" spans="1:18" x14ac:dyDescent="0.25">
      <c r="A120" s="43"/>
      <c r="B120" s="41"/>
      <c r="C120" s="41"/>
      <c r="D120" s="41"/>
      <c r="E120" s="41"/>
      <c r="F120" s="41"/>
      <c r="G120" s="41"/>
      <c r="H120" s="36"/>
      <c r="I120" s="36"/>
      <c r="J120" s="41"/>
      <c r="K120" s="41"/>
      <c r="L120" s="41"/>
      <c r="M120" s="41"/>
      <c r="N120" s="36"/>
      <c r="O120" s="36"/>
      <c r="P120" s="36"/>
      <c r="Q120" s="36"/>
      <c r="R120" s="36"/>
    </row>
    <row r="121" spans="1:18" x14ac:dyDescent="0.25">
      <c r="A121" s="43" t="s">
        <v>553</v>
      </c>
      <c r="B121" s="86">
        <f t="shared" ref="B121:G121" si="15">B97+B104+B106+B108+B110+B115+B117+B119</f>
        <v>17355</v>
      </c>
      <c r="C121" s="48">
        <f t="shared" si="15"/>
        <v>7337</v>
      </c>
      <c r="D121" s="48">
        <f t="shared" si="15"/>
        <v>165492825</v>
      </c>
      <c r="E121" s="48">
        <f t="shared" si="15"/>
        <v>4974.5292462500001</v>
      </c>
      <c r="F121" s="48">
        <f t="shared" si="15"/>
        <v>12524.317999999999</v>
      </c>
      <c r="G121" s="48">
        <f t="shared" si="15"/>
        <v>17498.847246249999</v>
      </c>
      <c r="H121" s="36"/>
      <c r="I121" s="36"/>
      <c r="J121" s="48"/>
      <c r="K121" s="48"/>
      <c r="L121" s="48"/>
      <c r="M121" s="48"/>
      <c r="N121" s="36"/>
      <c r="O121" s="36"/>
      <c r="P121" s="36"/>
      <c r="Q121" s="36"/>
      <c r="R121" s="36"/>
    </row>
    <row r="122" spans="1:18" x14ac:dyDescent="0.25">
      <c r="A122" s="36"/>
      <c r="B122" s="36"/>
      <c r="C122" s="36"/>
      <c r="D122" s="36"/>
      <c r="E122" s="36"/>
      <c r="F122" s="36"/>
      <c r="G122" s="36"/>
      <c r="H122" s="36"/>
      <c r="I122" s="36"/>
      <c r="J122" s="36"/>
      <c r="K122" s="36"/>
      <c r="L122" s="36"/>
      <c r="M122" s="36"/>
      <c r="N122" s="36"/>
      <c r="O122" s="36"/>
      <c r="P122" s="36"/>
      <c r="Q122" s="36"/>
      <c r="R122" s="36"/>
    </row>
    <row r="123" spans="1:18" x14ac:dyDescent="0.25">
      <c r="A123" s="49" t="s">
        <v>1014</v>
      </c>
      <c r="B123" s="49" t="s">
        <v>240</v>
      </c>
      <c r="C123" s="49" t="s">
        <v>239</v>
      </c>
      <c r="D123" s="546" t="s">
        <v>1013</v>
      </c>
      <c r="E123" s="36"/>
      <c r="F123" s="36"/>
      <c r="G123" s="36"/>
      <c r="H123" s="36"/>
      <c r="I123" s="36"/>
      <c r="J123" s="36"/>
      <c r="K123" s="36"/>
      <c r="L123" s="36"/>
      <c r="M123" s="36"/>
      <c r="N123" s="36"/>
      <c r="O123" s="36"/>
      <c r="P123" s="36"/>
      <c r="Q123" s="36"/>
      <c r="R123" s="36"/>
    </row>
    <row r="124" spans="1:18" x14ac:dyDescent="0.25">
      <c r="A124" s="50" t="s">
        <v>555</v>
      </c>
      <c r="B124" s="87">
        <v>41260.199999999997</v>
      </c>
      <c r="C124" s="543">
        <f>B124*'Energy Content Assumptions'!C33</f>
        <v>37134.18</v>
      </c>
      <c r="D124" s="36"/>
      <c r="E124" s="36"/>
      <c r="F124" s="36"/>
      <c r="G124" s="36"/>
      <c r="H124" s="36"/>
      <c r="I124" s="36"/>
      <c r="J124" s="36"/>
      <c r="K124" s="36"/>
      <c r="L124" s="36"/>
      <c r="M124" s="36"/>
      <c r="N124" s="36"/>
      <c r="O124" s="36"/>
      <c r="P124" s="36"/>
      <c r="Q124" s="36"/>
      <c r="R124" s="36"/>
    </row>
    <row r="125" spans="1:18" x14ac:dyDescent="0.25">
      <c r="A125" s="50" t="s">
        <v>556</v>
      </c>
      <c r="B125" s="87">
        <v>5893.05</v>
      </c>
      <c r="C125" s="543">
        <f>B125*'Energy Content Assumptions'!C34</f>
        <v>5303.7449999999999</v>
      </c>
      <c r="D125" s="36"/>
      <c r="E125" s="36"/>
      <c r="F125" s="36"/>
      <c r="G125" s="36"/>
      <c r="H125" s="36"/>
      <c r="I125" s="36"/>
      <c r="J125" s="36"/>
      <c r="K125" s="36"/>
      <c r="L125" s="36"/>
      <c r="M125" s="36"/>
      <c r="N125" s="36"/>
      <c r="O125" s="36"/>
      <c r="P125" s="36"/>
      <c r="Q125" s="36"/>
      <c r="R125" s="36"/>
    </row>
    <row r="126" spans="1:18" x14ac:dyDescent="0.25">
      <c r="A126" s="50" t="s">
        <v>557</v>
      </c>
      <c r="B126" s="87">
        <v>27569.25</v>
      </c>
      <c r="C126" s="543">
        <f>B126*'Energy Content Assumptions'!C35</f>
        <v>24812.325000000001</v>
      </c>
      <c r="D126" s="36"/>
      <c r="E126" s="36"/>
      <c r="F126" s="36"/>
      <c r="G126" s="36"/>
      <c r="H126" s="36"/>
      <c r="I126" s="36"/>
      <c r="J126" s="36"/>
      <c r="K126" s="36"/>
      <c r="L126" s="36"/>
      <c r="M126" s="36"/>
      <c r="N126" s="36"/>
      <c r="O126" s="36"/>
      <c r="P126" s="36"/>
      <c r="Q126" s="36"/>
      <c r="R126" s="36"/>
    </row>
    <row r="127" spans="1:18" x14ac:dyDescent="0.25">
      <c r="A127" s="50" t="s">
        <v>558</v>
      </c>
      <c r="B127" s="87">
        <v>2663.11</v>
      </c>
      <c r="C127" s="543">
        <f>B127*'Energy Content Assumptions'!C36</f>
        <v>2396.799</v>
      </c>
      <c r="D127" s="36"/>
      <c r="E127" s="36"/>
      <c r="F127" s="36"/>
      <c r="G127" s="36"/>
      <c r="H127" s="36"/>
      <c r="I127" s="36"/>
      <c r="J127" s="36"/>
      <c r="K127" s="36"/>
      <c r="L127" s="36"/>
      <c r="M127" s="36"/>
      <c r="N127" s="36"/>
      <c r="O127" s="36"/>
      <c r="P127" s="36"/>
      <c r="Q127" s="36"/>
      <c r="R127" s="36"/>
    </row>
    <row r="128" spans="1:18" x14ac:dyDescent="0.25">
      <c r="A128" s="50" t="s">
        <v>559</v>
      </c>
      <c r="B128" s="87">
        <v>54881.66</v>
      </c>
      <c r="C128" s="543">
        <f>B128*'Energy Content Assumptions'!C21</f>
        <v>27440.83</v>
      </c>
      <c r="D128" s="36"/>
      <c r="E128" s="36"/>
      <c r="F128" s="36"/>
      <c r="G128" s="36"/>
      <c r="H128" s="36"/>
      <c r="I128" s="36"/>
      <c r="J128" s="36"/>
      <c r="K128" s="36"/>
      <c r="L128" s="36"/>
      <c r="M128" s="36"/>
      <c r="N128" s="36"/>
      <c r="O128" s="36"/>
      <c r="P128" s="36"/>
      <c r="Q128" s="36"/>
      <c r="R128" s="36"/>
    </row>
    <row r="129" spans="1:18" x14ac:dyDescent="0.25">
      <c r="A129" s="50" t="s">
        <v>560</v>
      </c>
      <c r="B129" s="87">
        <v>902.11</v>
      </c>
      <c r="C129" s="543">
        <f>B129*'Energy Content Assumptions'!C22</f>
        <v>300.70333333333332</v>
      </c>
      <c r="D129" s="36"/>
      <c r="E129" s="36"/>
      <c r="F129" s="36"/>
      <c r="G129" s="36"/>
      <c r="H129" s="36"/>
      <c r="I129" s="36"/>
      <c r="J129" s="36"/>
      <c r="K129" s="36"/>
      <c r="L129" s="36"/>
      <c r="M129" s="36"/>
      <c r="N129" s="36"/>
      <c r="O129" s="36"/>
      <c r="P129" s="36"/>
      <c r="Q129" s="36"/>
      <c r="R129" s="36"/>
    </row>
    <row r="130" spans="1:18" x14ac:dyDescent="0.25">
      <c r="A130" s="50" t="s">
        <v>561</v>
      </c>
      <c r="B130" s="87">
        <v>50211.32</v>
      </c>
      <c r="C130" s="543">
        <f>B130*'Energy Content Assumptions'!C23</f>
        <v>16737.106666666667</v>
      </c>
      <c r="D130" s="36"/>
      <c r="E130" s="36"/>
      <c r="F130" s="36"/>
      <c r="G130" s="36"/>
      <c r="H130" s="36"/>
      <c r="I130" s="36"/>
      <c r="J130" s="36"/>
      <c r="K130" s="36"/>
      <c r="L130" s="36"/>
      <c r="M130" s="36"/>
      <c r="N130" s="36"/>
      <c r="O130" s="36"/>
      <c r="P130" s="36"/>
      <c r="Q130" s="36"/>
      <c r="R130" s="36"/>
    </row>
    <row r="131" spans="1:18" x14ac:dyDescent="0.25">
      <c r="A131" s="50" t="s">
        <v>562</v>
      </c>
      <c r="B131" s="87">
        <v>1471.67</v>
      </c>
      <c r="C131" s="543">
        <f>B131*'Energy Content Assumptions'!C24</f>
        <v>735.83500000000004</v>
      </c>
      <c r="D131" s="36"/>
      <c r="E131" s="36"/>
      <c r="F131" s="36"/>
      <c r="G131" s="36"/>
      <c r="H131" s="36"/>
      <c r="I131" s="36"/>
      <c r="J131" s="36"/>
      <c r="K131" s="36"/>
      <c r="L131" s="36"/>
      <c r="M131" s="36"/>
      <c r="N131" s="36"/>
      <c r="O131" s="36"/>
      <c r="P131" s="36"/>
      <c r="Q131" s="36"/>
      <c r="R131" s="36"/>
    </row>
    <row r="132" spans="1:18" x14ac:dyDescent="0.25">
      <c r="A132" s="50" t="s">
        <v>563</v>
      </c>
      <c r="B132" s="87">
        <v>12812.79</v>
      </c>
      <c r="C132" s="543">
        <f>B132*'Energy Content Assumptions'!C31</f>
        <v>3203.1975000000002</v>
      </c>
      <c r="D132" s="36"/>
      <c r="E132" s="36"/>
      <c r="F132" s="36"/>
      <c r="G132" s="36"/>
      <c r="H132" s="36"/>
      <c r="I132" s="36"/>
      <c r="J132" s="36"/>
      <c r="K132" s="36"/>
      <c r="L132" s="36"/>
      <c r="M132" s="36"/>
      <c r="N132" s="36"/>
      <c r="O132" s="36"/>
      <c r="P132" s="36"/>
      <c r="Q132" s="36"/>
      <c r="R132" s="36"/>
    </row>
    <row r="133" spans="1:18" x14ac:dyDescent="0.25">
      <c r="A133" s="50" t="s">
        <v>564</v>
      </c>
      <c r="B133" s="87">
        <v>13.56</v>
      </c>
      <c r="C133" s="543">
        <f>B133*'Energy Content Assumptions'!C19</f>
        <v>12.204000000000001</v>
      </c>
      <c r="D133" s="36"/>
      <c r="E133" s="36"/>
      <c r="F133" s="36"/>
      <c r="G133" s="36"/>
      <c r="H133" s="36"/>
      <c r="I133" s="36"/>
      <c r="J133" s="36"/>
      <c r="K133" s="36"/>
      <c r="L133" s="36"/>
      <c r="M133" s="36"/>
      <c r="N133" s="36"/>
      <c r="O133" s="36"/>
      <c r="P133" s="36"/>
      <c r="Q133" s="36"/>
      <c r="R133" s="36"/>
    </row>
    <row r="134" spans="1:18" x14ac:dyDescent="0.25">
      <c r="A134" s="50" t="s">
        <v>565</v>
      </c>
      <c r="B134" s="87">
        <v>6389.53</v>
      </c>
      <c r="C134" s="543">
        <f>B134*'Energy Content Assumptions'!C32</f>
        <v>5111.6239999999998</v>
      </c>
      <c r="D134" s="36"/>
      <c r="E134" s="36"/>
      <c r="F134" s="36"/>
      <c r="G134" s="36"/>
      <c r="H134" s="36"/>
      <c r="I134" s="36"/>
      <c r="J134" s="36"/>
      <c r="K134" s="36"/>
      <c r="L134" s="36"/>
      <c r="M134" s="36"/>
      <c r="N134" s="36"/>
      <c r="O134" s="36"/>
      <c r="P134" s="36"/>
      <c r="Q134" s="36"/>
      <c r="R134" s="36"/>
    </row>
    <row r="135" spans="1:18" x14ac:dyDescent="0.25">
      <c r="A135" s="36"/>
      <c r="B135" s="36"/>
      <c r="C135" s="36"/>
      <c r="D135" s="36"/>
      <c r="E135" s="36"/>
      <c r="F135" s="36"/>
      <c r="G135" s="36"/>
      <c r="H135" s="36"/>
      <c r="I135" s="36"/>
      <c r="J135" s="36"/>
      <c r="K135" s="36"/>
      <c r="L135" s="36"/>
      <c r="M135" s="36"/>
      <c r="N135" s="36"/>
      <c r="O135" s="36"/>
      <c r="P135" s="36"/>
      <c r="Q135" s="36"/>
      <c r="R135" s="36"/>
    </row>
    <row r="136" spans="1:18" x14ac:dyDescent="0.25">
      <c r="A136" s="49" t="s">
        <v>462</v>
      </c>
      <c r="B136" s="49" t="s">
        <v>207</v>
      </c>
      <c r="C136" s="49" t="s">
        <v>241</v>
      </c>
      <c r="D136" s="36"/>
      <c r="E136" s="36"/>
      <c r="F136" s="36"/>
      <c r="G136" s="36"/>
      <c r="H136" s="36"/>
      <c r="I136" s="36"/>
      <c r="J136" s="36"/>
      <c r="K136" s="36"/>
      <c r="L136" s="36"/>
      <c r="M136" s="36"/>
      <c r="N136" s="36"/>
      <c r="O136" s="36"/>
      <c r="P136" s="36"/>
      <c r="Q136" s="36"/>
      <c r="R136" s="36"/>
    </row>
    <row r="137" spans="1:18" x14ac:dyDescent="0.25">
      <c r="A137" s="50" t="s">
        <v>211</v>
      </c>
      <c r="B137" s="87">
        <f>'Biomass Data Assumptions'!$M$9</f>
        <v>551839.25</v>
      </c>
      <c r="C137" s="544"/>
      <c r="D137" s="546" t="s">
        <v>1016</v>
      </c>
      <c r="E137" s="36"/>
      <c r="F137" s="36"/>
      <c r="G137" s="36"/>
      <c r="H137" s="36"/>
      <c r="I137" s="36"/>
      <c r="J137" s="36"/>
      <c r="K137" s="36"/>
      <c r="L137" s="36"/>
      <c r="M137" s="36"/>
      <c r="N137" s="36"/>
      <c r="O137" s="36"/>
      <c r="P137" s="36"/>
      <c r="Q137" s="36"/>
      <c r="R137" s="36"/>
    </row>
    <row r="138" spans="1:18" x14ac:dyDescent="0.25">
      <c r="A138" s="50" t="s">
        <v>208</v>
      </c>
      <c r="B138" s="87">
        <f>'Biomass Data Assumptions'!$F$9</f>
        <v>314757.96999999997</v>
      </c>
      <c r="C138" s="543">
        <f>B138*'Energy Content Assumptions'!$C$28</f>
        <v>157378.98499999999</v>
      </c>
      <c r="D138" s="546" t="s">
        <v>1016</v>
      </c>
      <c r="E138" s="36"/>
      <c r="F138" s="36"/>
      <c r="G138" s="36"/>
      <c r="H138" s="36"/>
      <c r="I138" s="36"/>
      <c r="J138" s="36"/>
      <c r="K138" s="36"/>
      <c r="L138" s="36"/>
      <c r="M138" s="36"/>
      <c r="N138" s="36"/>
      <c r="O138" s="36"/>
      <c r="P138" s="36"/>
      <c r="Q138" s="36"/>
      <c r="R138" s="36"/>
    </row>
    <row r="139" spans="1:18" x14ac:dyDescent="0.25">
      <c r="A139" s="50" t="s">
        <v>209</v>
      </c>
      <c r="B139" s="87">
        <f>'Biomass Data Assumptions'!$H$9</f>
        <v>48181.7</v>
      </c>
      <c r="C139" s="543"/>
      <c r="D139" s="36" t="s">
        <v>1020</v>
      </c>
      <c r="E139" s="36"/>
      <c r="F139" s="36"/>
      <c r="G139" s="36"/>
      <c r="H139" s="36"/>
      <c r="I139" s="36"/>
      <c r="J139" s="36"/>
      <c r="K139" s="36"/>
      <c r="L139" s="36"/>
      <c r="M139" s="36"/>
      <c r="N139" s="36"/>
      <c r="O139" s="36"/>
      <c r="P139" s="36"/>
      <c r="Q139" s="36"/>
      <c r="R139" s="36"/>
    </row>
    <row r="140" spans="1:18" x14ac:dyDescent="0.25">
      <c r="A140" s="50" t="s">
        <v>210</v>
      </c>
      <c r="B140" s="87">
        <f>'Biomass Data Assumptions'!$I$9</f>
        <v>266576.26999999996</v>
      </c>
      <c r="C140" s="543">
        <f>B140*'Energy Content Assumptions'!$C$28</f>
        <v>133288.13499999998</v>
      </c>
      <c r="D140" s="36" t="s">
        <v>1021</v>
      </c>
      <c r="E140" s="36"/>
      <c r="F140" s="36"/>
      <c r="G140" s="36"/>
      <c r="H140" s="36"/>
      <c r="I140" s="36"/>
      <c r="J140" s="36"/>
      <c r="K140" s="36"/>
      <c r="L140" s="36"/>
      <c r="M140" s="36"/>
      <c r="N140" s="36"/>
      <c r="O140" s="36"/>
      <c r="P140" s="36"/>
      <c r="Q140" s="36"/>
      <c r="R140" s="36"/>
    </row>
    <row r="141" spans="1:18" x14ac:dyDescent="0.25">
      <c r="A141" s="50" t="str">
        <f>'Bioenergy Calculator'!B35</f>
        <v>Food waste, Landfilled</v>
      </c>
      <c r="B141" s="87">
        <f>IF('Bioenergy Calculator'!H75="No",'Biomass Data Assumptions'!K9,'Biomass Data Assumptions'!F9*'Biomass Data Assumptions'!I41)</f>
        <v>51849.084514999995</v>
      </c>
      <c r="C141" s="543">
        <f>B141*'Energy Content Assumptions'!C26</f>
        <v>15554.725354499999</v>
      </c>
      <c r="D141" s="150" t="s">
        <v>1063</v>
      </c>
      <c r="E141" s="36"/>
      <c r="F141" s="36"/>
      <c r="G141" s="36"/>
      <c r="H141" s="36"/>
      <c r="I141" s="36"/>
      <c r="J141" s="36"/>
      <c r="K141" s="36"/>
      <c r="L141" s="36"/>
      <c r="M141" s="36"/>
      <c r="N141" s="36"/>
      <c r="O141" s="36"/>
      <c r="P141" s="36"/>
      <c r="Q141" s="36"/>
      <c r="R141" s="36"/>
    </row>
    <row r="142" spans="1:18" x14ac:dyDescent="0.25">
      <c r="A142" s="50" t="str">
        <f>'Bioenergy Calculator'!B36</f>
        <v>Waste paper, Landfilled</v>
      </c>
      <c r="B142" s="87">
        <f>IF('Bioenergy Calculator'!H75="No",'Biomass Data Assumptions'!K9,'Biomass Data Assumptions'!F9*'Biomass Data Assumptions'!I42)</f>
        <v>51849.084514999995</v>
      </c>
      <c r="C142" s="543">
        <f>B142*'Energy Content Assumptions'!C27</f>
        <v>46664.176063499996</v>
      </c>
      <c r="D142" s="150" t="s">
        <v>1063</v>
      </c>
      <c r="E142" s="36"/>
      <c r="F142" s="36"/>
      <c r="G142" s="36"/>
      <c r="H142" s="36"/>
      <c r="I142" s="36"/>
      <c r="J142" s="36"/>
      <c r="K142" s="36"/>
      <c r="L142" s="36"/>
      <c r="M142" s="36"/>
      <c r="N142" s="36"/>
      <c r="O142" s="36"/>
      <c r="P142" s="36"/>
      <c r="Q142" s="36"/>
      <c r="R142" s="36"/>
    </row>
    <row r="143" spans="1:18" x14ac:dyDescent="0.25">
      <c r="A143" s="50" t="str">
        <f>'Bioenergy Calculator'!B37</f>
        <v>Other Biomass, Landfilled</v>
      </c>
      <c r="B143" s="87">
        <f>IF('Bioenergy Calculator'!H75="No",'Biomass Data Assumptions'!L9,'Biomass Data Assumptions'!F9*'Biomass Data Assumptions'!I43)</f>
        <v>71788.989510999978</v>
      </c>
      <c r="C143" s="543">
        <f>B143*'Energy Content Assumptions'!$C$28</f>
        <v>35894.494755499989</v>
      </c>
      <c r="D143" s="547" t="s">
        <v>1064</v>
      </c>
      <c r="E143" s="36"/>
      <c r="F143" s="36"/>
      <c r="G143" s="36"/>
      <c r="H143" s="36"/>
      <c r="I143" s="36"/>
      <c r="J143" s="36"/>
      <c r="K143" s="36"/>
      <c r="L143" s="36"/>
      <c r="M143" s="36"/>
      <c r="N143" s="36"/>
      <c r="O143" s="36"/>
      <c r="P143" s="36"/>
      <c r="Q143" s="36"/>
      <c r="R143" s="36"/>
    </row>
    <row r="144" spans="1:18" x14ac:dyDescent="0.25">
      <c r="A144" s="50" t="s">
        <v>463</v>
      </c>
      <c r="B144" s="87">
        <v>74098.27</v>
      </c>
      <c r="C144" s="543">
        <f>B144*'Energy Content Assumptions'!C29</f>
        <v>59278.616000000009</v>
      </c>
      <c r="D144" s="151" t="s">
        <v>206</v>
      </c>
      <c r="E144" s="36"/>
      <c r="F144" s="36"/>
      <c r="G144" s="36"/>
      <c r="H144" s="36"/>
      <c r="I144" s="36"/>
      <c r="J144" s="36"/>
      <c r="K144" s="36"/>
      <c r="L144" s="36"/>
      <c r="M144" s="36"/>
      <c r="N144" s="36"/>
      <c r="O144" s="36"/>
      <c r="P144" s="36"/>
      <c r="Q144" s="36"/>
      <c r="R144" s="36"/>
    </row>
    <row r="145" spans="1:18" x14ac:dyDescent="0.25">
      <c r="A145" s="709" t="s">
        <v>179</v>
      </c>
      <c r="B145" s="710">
        <v>0.4</v>
      </c>
      <c r="C145" s="543">
        <f>C144*B145</f>
        <v>23711.446400000004</v>
      </c>
      <c r="D145" s="36" t="s">
        <v>1202</v>
      </c>
      <c r="E145" s="36"/>
      <c r="F145" s="36"/>
      <c r="G145" s="36"/>
      <c r="H145" s="36"/>
      <c r="I145" s="36"/>
      <c r="J145" s="36"/>
      <c r="K145" s="36"/>
      <c r="L145" s="36"/>
      <c r="M145" s="36"/>
      <c r="N145" s="36"/>
      <c r="O145" s="36"/>
      <c r="P145" s="36"/>
      <c r="Q145" s="36"/>
      <c r="R145" s="36"/>
    </row>
    <row r="146" spans="1:18" x14ac:dyDescent="0.25">
      <c r="A146" s="712"/>
      <c r="B146" s="713"/>
      <c r="C146" s="714"/>
      <c r="D146" s="150" t="s">
        <v>1553</v>
      </c>
      <c r="E146" s="36"/>
      <c r="F146" s="36"/>
      <c r="G146" s="36"/>
      <c r="H146" s="36"/>
      <c r="I146" s="36"/>
      <c r="J146" s="36"/>
      <c r="K146" s="36"/>
      <c r="L146" s="36"/>
      <c r="M146" s="36"/>
      <c r="N146" s="36"/>
      <c r="O146" s="36"/>
      <c r="P146" s="36"/>
      <c r="Q146" s="36"/>
      <c r="R146" s="36"/>
    </row>
    <row r="147" spans="1:18" x14ac:dyDescent="0.25">
      <c r="A147" s="1238" t="s">
        <v>1568</v>
      </c>
      <c r="B147" s="49" t="s">
        <v>1039</v>
      </c>
      <c r="C147" s="49" t="s">
        <v>1571</v>
      </c>
      <c r="D147" s="150"/>
      <c r="E147" s="36"/>
      <c r="F147" s="36"/>
      <c r="G147" s="36"/>
      <c r="H147" s="36"/>
      <c r="I147" s="36"/>
      <c r="J147" s="36"/>
      <c r="K147" s="36"/>
      <c r="L147" s="36"/>
      <c r="M147" s="36"/>
      <c r="N147" s="36"/>
      <c r="O147" s="36"/>
      <c r="P147" s="36"/>
      <c r="Q147" s="36"/>
      <c r="R147" s="36"/>
    </row>
    <row r="148" spans="1:18" x14ac:dyDescent="0.25">
      <c r="A148" s="1236" t="s">
        <v>508</v>
      </c>
      <c r="B148" s="549">
        <f>'Biomass Data Assumptions'!R9/2000</f>
        <v>1974.4296000000002</v>
      </c>
      <c r="C148" s="1239">
        <f>B148*'Energy Content Assumptions'!C39</f>
        <v>1678.2651600000002</v>
      </c>
      <c r="D148" s="150" t="s">
        <v>1567</v>
      </c>
      <c r="E148" s="36"/>
      <c r="F148" s="36"/>
      <c r="G148" s="36"/>
      <c r="H148" s="36"/>
      <c r="I148" s="36"/>
      <c r="J148" s="36"/>
      <c r="K148" s="36"/>
      <c r="L148" s="36"/>
      <c r="M148" s="36"/>
      <c r="N148" s="36"/>
      <c r="O148" s="36"/>
      <c r="P148" s="36"/>
      <c r="Q148" s="36"/>
      <c r="R148" s="36"/>
    </row>
    <row r="149" spans="1:18" x14ac:dyDescent="0.25">
      <c r="A149" s="1236" t="s">
        <v>509</v>
      </c>
      <c r="B149" s="549">
        <f>'Biomass Data Assumptions'!S9/2000</f>
        <v>2999.7867900000001</v>
      </c>
      <c r="C149" s="1239">
        <f>B149*'Energy Content Assumptions'!C40</f>
        <v>149.9893395</v>
      </c>
      <c r="D149" s="150" t="s">
        <v>1566</v>
      </c>
      <c r="E149" s="36"/>
      <c r="F149" s="36"/>
      <c r="G149" s="36"/>
      <c r="H149" s="36"/>
      <c r="I149" s="36"/>
      <c r="J149" s="36"/>
      <c r="K149" s="36"/>
      <c r="L149" s="36"/>
      <c r="M149" s="36"/>
      <c r="N149" s="36"/>
      <c r="O149" s="36"/>
      <c r="P149" s="36"/>
      <c r="Q149" s="36"/>
      <c r="R149" s="36"/>
    </row>
    <row r="150" spans="1:18" x14ac:dyDescent="0.25">
      <c r="A150" s="36"/>
      <c r="B150" s="36"/>
      <c r="C150" s="36"/>
      <c r="D150" s="36"/>
      <c r="E150" s="36"/>
      <c r="F150" s="36"/>
      <c r="G150" s="36"/>
      <c r="H150" s="36"/>
      <c r="I150" s="36"/>
      <c r="J150" s="36"/>
      <c r="K150" s="36"/>
      <c r="L150" s="36"/>
      <c r="M150" s="36"/>
      <c r="N150" s="36"/>
      <c r="O150" s="36"/>
      <c r="P150" s="36"/>
      <c r="Q150" s="36"/>
      <c r="R150" s="36"/>
    </row>
    <row r="151" spans="1:18" x14ac:dyDescent="0.25">
      <c r="A151" s="36"/>
      <c r="B151" s="36"/>
      <c r="C151" s="36"/>
      <c r="D151" s="36"/>
      <c r="E151" s="36"/>
      <c r="F151" s="36"/>
      <c r="G151" s="36"/>
      <c r="H151" s="36"/>
      <c r="I151" s="36"/>
      <c r="J151" s="36"/>
      <c r="K151" s="36"/>
      <c r="L151" s="36"/>
      <c r="M151" s="36"/>
      <c r="N151" s="36"/>
      <c r="O151" s="36"/>
      <c r="P151" s="36"/>
      <c r="Q151" s="36"/>
      <c r="R151" s="36"/>
    </row>
    <row r="152" spans="1:18" x14ac:dyDescent="0.25">
      <c r="A152" s="36"/>
      <c r="B152" s="36"/>
      <c r="C152" s="36"/>
      <c r="D152" s="36"/>
      <c r="E152" s="36"/>
      <c r="F152" s="36"/>
      <c r="G152" s="36"/>
      <c r="H152" s="36"/>
      <c r="I152" s="36"/>
      <c r="J152" s="36"/>
      <c r="K152" s="36"/>
      <c r="L152" s="36"/>
      <c r="M152" s="36"/>
      <c r="N152" s="36"/>
      <c r="O152" s="36"/>
      <c r="P152" s="36"/>
      <c r="Q152" s="36"/>
      <c r="R152" s="36"/>
    </row>
    <row r="153" spans="1:18" x14ac:dyDescent="0.25">
      <c r="A153" s="36"/>
      <c r="B153" s="36"/>
      <c r="C153" s="36"/>
      <c r="D153" s="36"/>
      <c r="E153" s="36"/>
      <c r="F153" s="36"/>
      <c r="G153" s="36"/>
      <c r="H153" s="36"/>
      <c r="I153" s="36"/>
      <c r="J153" s="36"/>
      <c r="K153" s="36"/>
      <c r="L153" s="36"/>
      <c r="M153" s="36"/>
      <c r="N153" s="36"/>
      <c r="O153" s="36"/>
      <c r="P153" s="36"/>
      <c r="Q153" s="36"/>
      <c r="R153" s="36"/>
    </row>
    <row r="154" spans="1:18" x14ac:dyDescent="0.25">
      <c r="A154" s="36"/>
      <c r="B154" s="36"/>
      <c r="C154" s="36"/>
      <c r="D154" s="36"/>
      <c r="E154" s="36"/>
      <c r="F154" s="36"/>
      <c r="G154" s="36"/>
      <c r="H154" s="36"/>
      <c r="I154" s="36"/>
      <c r="J154" s="36"/>
      <c r="K154" s="36"/>
      <c r="L154" s="36"/>
      <c r="M154" s="36"/>
      <c r="N154" s="36"/>
      <c r="O154" s="36"/>
      <c r="P154" s="36"/>
      <c r="Q154" s="36"/>
      <c r="R154" s="36"/>
    </row>
    <row r="155" spans="1:18" x14ac:dyDescent="0.25">
      <c r="A155" s="36"/>
      <c r="B155" s="36"/>
      <c r="C155" s="36"/>
      <c r="D155" s="36"/>
      <c r="E155" s="36"/>
      <c r="F155" s="36"/>
      <c r="G155" s="36"/>
      <c r="H155" s="36"/>
      <c r="I155" s="36"/>
      <c r="J155" s="36"/>
      <c r="K155" s="36"/>
      <c r="L155" s="36"/>
      <c r="M155" s="36"/>
      <c r="N155" s="36"/>
      <c r="O155" s="36"/>
      <c r="P155" s="36"/>
      <c r="Q155" s="36"/>
      <c r="R155" s="36"/>
    </row>
    <row r="156" spans="1:18" x14ac:dyDescent="0.25">
      <c r="A156" s="36"/>
      <c r="B156" s="36"/>
      <c r="C156" s="36"/>
      <c r="D156" s="36"/>
      <c r="E156" s="36"/>
      <c r="F156" s="36"/>
      <c r="G156" s="36"/>
      <c r="H156" s="36"/>
      <c r="I156" s="36"/>
      <c r="J156" s="36"/>
      <c r="K156" s="36"/>
      <c r="L156" s="36"/>
      <c r="M156" s="36"/>
      <c r="N156" s="36"/>
      <c r="O156" s="36"/>
      <c r="P156" s="36"/>
      <c r="Q156" s="36"/>
      <c r="R156" s="36"/>
    </row>
    <row r="157" spans="1:18" x14ac:dyDescent="0.25">
      <c r="A157" s="36"/>
      <c r="B157" s="36"/>
      <c r="C157" s="36"/>
      <c r="D157" s="36"/>
      <c r="E157" s="36"/>
      <c r="F157" s="36"/>
      <c r="G157" s="36"/>
      <c r="H157" s="36"/>
      <c r="I157" s="36"/>
      <c r="J157" s="36"/>
      <c r="K157" s="36"/>
      <c r="L157" s="36"/>
      <c r="M157" s="36"/>
      <c r="N157" s="36"/>
      <c r="O157" s="36"/>
      <c r="P157" s="36"/>
      <c r="Q157" s="36"/>
      <c r="R157" s="36"/>
    </row>
    <row r="158" spans="1:18" x14ac:dyDescent="0.25">
      <c r="A158" s="36"/>
      <c r="B158" s="36"/>
      <c r="C158" s="36"/>
      <c r="D158" s="36"/>
      <c r="E158" s="36"/>
      <c r="F158" s="36"/>
      <c r="G158" s="36"/>
      <c r="H158" s="36"/>
      <c r="I158" s="36"/>
      <c r="J158" s="36"/>
      <c r="K158" s="36"/>
      <c r="L158" s="36"/>
      <c r="M158" s="36"/>
      <c r="N158" s="36"/>
      <c r="O158" s="36"/>
      <c r="P158" s="36"/>
      <c r="Q158" s="36"/>
      <c r="R158" s="36"/>
    </row>
    <row r="159" spans="1:18" x14ac:dyDescent="0.25">
      <c r="A159" s="36"/>
      <c r="B159" s="36"/>
      <c r="C159" s="36"/>
      <c r="D159" s="36"/>
      <c r="E159" s="36"/>
      <c r="F159" s="36"/>
      <c r="G159" s="36"/>
      <c r="H159" s="36"/>
      <c r="I159" s="36"/>
      <c r="J159" s="36"/>
      <c r="K159" s="36"/>
      <c r="L159" s="36"/>
      <c r="M159" s="36"/>
      <c r="N159" s="36"/>
      <c r="O159" s="36"/>
      <c r="P159" s="36"/>
      <c r="Q159" s="36"/>
      <c r="R159" s="36"/>
    </row>
    <row r="160" spans="1:18" x14ac:dyDescent="0.25">
      <c r="A160" s="36"/>
      <c r="B160" s="36"/>
      <c r="C160" s="36"/>
      <c r="D160" s="36"/>
      <c r="E160" s="36"/>
      <c r="F160" s="36"/>
      <c r="G160" s="36"/>
      <c r="H160" s="36"/>
      <c r="I160" s="36"/>
      <c r="J160" s="36"/>
      <c r="K160" s="36"/>
      <c r="L160" s="36"/>
      <c r="M160" s="36"/>
      <c r="N160" s="36"/>
      <c r="O160" s="36"/>
      <c r="P160" s="36"/>
      <c r="Q160" s="36"/>
      <c r="R160" s="36"/>
    </row>
    <row r="161" spans="1:18" x14ac:dyDescent="0.25">
      <c r="A161" s="36"/>
      <c r="B161" s="36"/>
      <c r="C161" s="36"/>
      <c r="D161" s="36"/>
      <c r="E161" s="36"/>
      <c r="F161" s="36"/>
      <c r="G161" s="36"/>
      <c r="H161" s="36"/>
      <c r="I161" s="36"/>
      <c r="J161" s="36"/>
      <c r="K161" s="36"/>
      <c r="L161" s="36"/>
      <c r="M161" s="36"/>
      <c r="N161" s="36"/>
      <c r="O161" s="36"/>
      <c r="P161" s="36"/>
      <c r="Q161" s="36"/>
      <c r="R161" s="36"/>
    </row>
    <row r="162" spans="1:18" x14ac:dyDescent="0.25">
      <c r="A162" s="36"/>
      <c r="B162" s="36"/>
      <c r="C162" s="36"/>
      <c r="D162" s="36"/>
      <c r="E162" s="36"/>
      <c r="F162" s="36"/>
      <c r="G162" s="36"/>
      <c r="H162" s="36"/>
      <c r="I162" s="36"/>
      <c r="J162" s="36"/>
      <c r="K162" s="36"/>
      <c r="L162" s="36"/>
      <c r="M162" s="36"/>
      <c r="N162" s="36"/>
      <c r="O162" s="36"/>
      <c r="P162" s="36"/>
      <c r="Q162" s="36"/>
      <c r="R162" s="36"/>
    </row>
    <row r="163" spans="1:18" x14ac:dyDescent="0.25">
      <c r="A163" s="36"/>
      <c r="B163" s="36"/>
      <c r="C163" s="36"/>
      <c r="D163" s="36"/>
      <c r="E163" s="36"/>
      <c r="F163" s="36"/>
      <c r="G163" s="36"/>
      <c r="H163" s="36"/>
      <c r="I163" s="36"/>
      <c r="J163" s="36"/>
      <c r="K163" s="36"/>
      <c r="L163" s="36"/>
      <c r="M163" s="36"/>
      <c r="N163" s="36"/>
      <c r="O163" s="36"/>
      <c r="P163" s="36"/>
      <c r="Q163" s="36"/>
      <c r="R163" s="36"/>
    </row>
    <row r="164" spans="1:18" x14ac:dyDescent="0.25">
      <c r="A164" s="36"/>
      <c r="B164" s="36"/>
      <c r="C164" s="36"/>
      <c r="D164" s="36"/>
      <c r="E164" s="36"/>
      <c r="F164" s="36"/>
      <c r="G164" s="36"/>
      <c r="H164" s="36"/>
      <c r="I164" s="36"/>
      <c r="J164" s="36"/>
      <c r="K164" s="36"/>
      <c r="L164" s="36"/>
      <c r="M164" s="36"/>
      <c r="N164" s="36"/>
      <c r="O164" s="36"/>
      <c r="P164" s="36"/>
      <c r="Q164" s="36"/>
      <c r="R164" s="36"/>
    </row>
    <row r="165" spans="1:18" x14ac:dyDescent="0.25">
      <c r="A165" s="36"/>
      <c r="B165" s="36"/>
      <c r="C165" s="36"/>
      <c r="D165" s="36"/>
      <c r="E165" s="36"/>
      <c r="F165" s="36"/>
      <c r="G165" s="36"/>
      <c r="H165" s="36"/>
      <c r="I165" s="36"/>
      <c r="J165" s="36"/>
      <c r="K165" s="36"/>
      <c r="L165" s="36"/>
      <c r="M165" s="36"/>
      <c r="N165" s="36"/>
      <c r="O165" s="36"/>
      <c r="P165" s="36"/>
      <c r="Q165" s="36"/>
      <c r="R165" s="36"/>
    </row>
    <row r="166" spans="1:18" x14ac:dyDescent="0.25">
      <c r="A166" s="36"/>
      <c r="B166" s="36"/>
      <c r="C166" s="36"/>
      <c r="D166" s="36"/>
      <c r="E166" s="36"/>
      <c r="F166" s="36"/>
      <c r="G166" s="36"/>
      <c r="H166" s="36"/>
      <c r="I166" s="36"/>
      <c r="J166" s="36"/>
      <c r="K166" s="36"/>
      <c r="L166" s="36"/>
      <c r="M166" s="36"/>
      <c r="N166" s="36"/>
      <c r="O166" s="36"/>
      <c r="P166" s="36"/>
      <c r="Q166" s="36"/>
      <c r="R166" s="36"/>
    </row>
    <row r="167" spans="1:18" x14ac:dyDescent="0.25">
      <c r="A167" s="36"/>
      <c r="B167" s="36"/>
      <c r="C167" s="36"/>
      <c r="D167" s="36"/>
      <c r="E167" s="36"/>
      <c r="F167" s="36"/>
      <c r="G167" s="36"/>
      <c r="H167" s="36"/>
      <c r="I167" s="36"/>
      <c r="J167" s="36"/>
      <c r="K167" s="36"/>
      <c r="L167" s="36"/>
      <c r="M167" s="36"/>
      <c r="N167" s="36"/>
      <c r="O167" s="36"/>
      <c r="P167" s="36"/>
      <c r="Q167" s="36"/>
      <c r="R167" s="36"/>
    </row>
    <row r="168" spans="1:18" x14ac:dyDescent="0.25">
      <c r="A168" s="36"/>
      <c r="B168" s="36"/>
      <c r="C168" s="36"/>
      <c r="D168" s="36"/>
      <c r="E168" s="36"/>
      <c r="F168" s="36"/>
      <c r="G168" s="36"/>
      <c r="H168" s="36"/>
      <c r="I168" s="36"/>
      <c r="J168" s="36"/>
      <c r="K168" s="36"/>
      <c r="L168" s="36"/>
      <c r="M168" s="36"/>
      <c r="N168" s="36"/>
      <c r="O168" s="36"/>
      <c r="P168" s="36"/>
      <c r="Q168" s="36"/>
      <c r="R168" s="36"/>
    </row>
    <row r="169" spans="1:18" x14ac:dyDescent="0.25">
      <c r="A169" s="36"/>
      <c r="B169" s="36"/>
      <c r="C169" s="36"/>
      <c r="D169" s="36"/>
      <c r="E169" s="36"/>
      <c r="F169" s="36"/>
      <c r="G169" s="36"/>
      <c r="H169" s="36"/>
      <c r="I169" s="36"/>
      <c r="J169" s="36"/>
      <c r="K169" s="36"/>
      <c r="L169" s="36"/>
      <c r="M169" s="36"/>
      <c r="N169" s="36"/>
      <c r="O169" s="36"/>
      <c r="P169" s="36"/>
      <c r="Q169" s="36"/>
      <c r="R169" s="36"/>
    </row>
    <row r="170" spans="1:18" x14ac:dyDescent="0.25">
      <c r="A170" s="36"/>
      <c r="B170" s="36"/>
      <c r="C170" s="36"/>
      <c r="D170" s="36"/>
      <c r="E170" s="36"/>
      <c r="F170" s="36"/>
      <c r="G170" s="36"/>
      <c r="H170" s="36"/>
      <c r="I170" s="36"/>
      <c r="J170" s="36"/>
      <c r="K170" s="36"/>
      <c r="L170" s="36"/>
      <c r="M170" s="36"/>
      <c r="N170" s="36"/>
      <c r="O170" s="36"/>
      <c r="P170" s="36"/>
      <c r="Q170" s="36"/>
      <c r="R170" s="36"/>
    </row>
    <row r="171" spans="1:18" x14ac:dyDescent="0.25">
      <c r="P171" s="36"/>
      <c r="Q171" s="36"/>
      <c r="R171" s="36"/>
    </row>
    <row r="172" spans="1:18" x14ac:dyDescent="0.25">
      <c r="P172" s="36"/>
      <c r="Q172" s="36"/>
      <c r="R172" s="36"/>
    </row>
    <row r="173" spans="1:18" x14ac:dyDescent="0.25">
      <c r="P173" s="36"/>
      <c r="Q173" s="36"/>
      <c r="R173" s="36"/>
    </row>
    <row r="174" spans="1:18" x14ac:dyDescent="0.25">
      <c r="P174" s="36"/>
      <c r="Q174" s="36"/>
      <c r="R174" s="36"/>
    </row>
    <row r="175" spans="1:18" x14ac:dyDescent="0.25">
      <c r="P175" s="457"/>
      <c r="Q175" s="457"/>
      <c r="R175" s="36"/>
    </row>
    <row r="176" spans="1:18" x14ac:dyDescent="0.25">
      <c r="P176" s="36"/>
      <c r="Q176" s="36"/>
      <c r="R176" s="36"/>
    </row>
    <row r="177" spans="16:18" x14ac:dyDescent="0.25">
      <c r="P177" s="36"/>
      <c r="Q177" s="36"/>
      <c r="R177" s="36"/>
    </row>
    <row r="178" spans="16:18" x14ac:dyDescent="0.25">
      <c r="P178" s="36"/>
      <c r="Q178" s="36"/>
      <c r="R178" s="36"/>
    </row>
    <row r="179" spans="16:18" x14ac:dyDescent="0.25">
      <c r="P179" s="36"/>
      <c r="Q179" s="36"/>
      <c r="R179" s="36"/>
    </row>
    <row r="180" spans="16:18" x14ac:dyDescent="0.25">
      <c r="P180" s="36"/>
      <c r="Q180" s="36"/>
      <c r="R180" s="36"/>
    </row>
    <row r="181" spans="16:18" x14ac:dyDescent="0.25">
      <c r="P181" s="36"/>
      <c r="Q181" s="36"/>
      <c r="R181" s="36"/>
    </row>
    <row r="182" spans="16:18" x14ac:dyDescent="0.25">
      <c r="Q182" s="36"/>
      <c r="R182" s="36"/>
    </row>
    <row r="183" spans="16:18" x14ac:dyDescent="0.25">
      <c r="P183" s="36"/>
      <c r="Q183" s="36"/>
      <c r="R183" s="36"/>
    </row>
    <row r="184" spans="16:18" x14ac:dyDescent="0.25">
      <c r="P184" s="36"/>
      <c r="Q184" s="36"/>
      <c r="R184" s="36"/>
    </row>
    <row r="185" spans="16:18" x14ac:dyDescent="0.25">
      <c r="P185" s="36"/>
      <c r="Q185" s="36"/>
      <c r="R185" s="36"/>
    </row>
    <row r="186" spans="16:18" x14ac:dyDescent="0.25">
      <c r="P186" s="36"/>
      <c r="Q186" s="36"/>
      <c r="R186" s="36"/>
    </row>
    <row r="187" spans="16:18" x14ac:dyDescent="0.25">
      <c r="P187" s="36"/>
      <c r="Q187" s="36"/>
      <c r="R187" s="36"/>
    </row>
    <row r="188" spans="16:18" x14ac:dyDescent="0.25">
      <c r="P188" s="36"/>
      <c r="Q188" s="36"/>
      <c r="R188" s="36"/>
    </row>
    <row r="189" spans="16:18" x14ac:dyDescent="0.25">
      <c r="P189" s="36"/>
      <c r="Q189" s="36"/>
      <c r="R189" s="36"/>
    </row>
    <row r="190" spans="16:18" x14ac:dyDescent="0.25">
      <c r="P190" s="36"/>
      <c r="Q190" s="36"/>
      <c r="R190" s="36"/>
    </row>
    <row r="191" spans="16:18" x14ac:dyDescent="0.25">
      <c r="P191" s="36"/>
      <c r="Q191" s="36"/>
      <c r="R191" s="36"/>
    </row>
    <row r="192" spans="16:18" x14ac:dyDescent="0.25">
      <c r="P192" s="36"/>
      <c r="Q192" s="36"/>
      <c r="R192" s="36"/>
    </row>
    <row r="193" spans="16:18" x14ac:dyDescent="0.25">
      <c r="P193" s="36"/>
      <c r="Q193" s="36"/>
      <c r="R193" s="36"/>
    </row>
    <row r="194" spans="16:18" x14ac:dyDescent="0.25">
      <c r="P194" s="36"/>
      <c r="Q194" s="36"/>
      <c r="R194" s="36"/>
    </row>
    <row r="195" spans="16:18" x14ac:dyDescent="0.25">
      <c r="P195" s="36"/>
      <c r="Q195" s="36"/>
      <c r="R195" s="36"/>
    </row>
    <row r="196" spans="16:18" x14ac:dyDescent="0.25">
      <c r="P196" s="36"/>
      <c r="Q196" s="36"/>
      <c r="R196" s="36"/>
    </row>
    <row r="197" spans="16:18" x14ac:dyDescent="0.25">
      <c r="P197" s="36"/>
      <c r="Q197" s="36"/>
      <c r="R197" s="36"/>
    </row>
    <row r="198" spans="16:18" x14ac:dyDescent="0.25">
      <c r="P198" s="36"/>
      <c r="Q198" s="36"/>
      <c r="R198" s="36"/>
    </row>
    <row r="199" spans="16:18" x14ac:dyDescent="0.25">
      <c r="P199" s="36"/>
      <c r="Q199" s="36"/>
      <c r="R199" s="36"/>
    </row>
  </sheetData>
  <mergeCells count="15">
    <mergeCell ref="A3:A4"/>
    <mergeCell ref="B3:B4"/>
    <mergeCell ref="C3:C4"/>
    <mergeCell ref="A51:A67"/>
    <mergeCell ref="A5:A11"/>
    <mergeCell ref="A13:A29"/>
    <mergeCell ref="A31:A43"/>
    <mergeCell ref="A45:A49"/>
    <mergeCell ref="I1:L1"/>
    <mergeCell ref="M1:P1"/>
    <mergeCell ref="Q3:Q4"/>
    <mergeCell ref="D3:D4"/>
    <mergeCell ref="I3:L3"/>
    <mergeCell ref="M3:P3"/>
    <mergeCell ref="E3:H3"/>
  </mergeCells>
  <phoneticPr fontId="0" type="noConversion"/>
  <pageMargins left="0.75" right="0.75" top="1" bottom="1" header="0.5" footer="0.5"/>
  <pageSetup paperSize="5" scale="50" orientation="landscape" r:id="rId1"/>
  <headerFooter alignWithMargins="0">
    <oddFooter>&amp;L&amp;"Arial,Italic" 7/02/07&amp;C&amp;"Arial,Italic"&amp;A&amp;R&amp;"Arial,Italic"NJAES Report 2007-1 ©2007
New Jersey Agricultural Experiment Station</oddFooter>
  </headerFooter>
  <ignoredErrors>
    <ignoredError sqref="D67" formula="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S199"/>
  <sheetViews>
    <sheetView topLeftCell="A102" zoomScale="70" zoomScaleNormal="70" workbookViewId="0">
      <selection activeCell="C147" sqref="C147"/>
    </sheetView>
  </sheetViews>
  <sheetFormatPr defaultColWidth="9.109375" defaultRowHeight="13.2" x14ac:dyDescent="0.25"/>
  <cols>
    <col min="1" max="1" width="28.6640625" style="5" customWidth="1"/>
    <col min="2" max="2" width="42.6640625" style="5" customWidth="1"/>
    <col min="3" max="3" width="23.6640625" style="5" customWidth="1"/>
    <col min="4" max="4" width="18.6640625" style="5" customWidth="1"/>
    <col min="5" max="16" width="14.6640625" style="5" customWidth="1"/>
    <col min="17" max="17" width="45.6640625" style="5" customWidth="1"/>
    <col min="18" max="18" width="34.44140625" style="5" customWidth="1"/>
    <col min="19" max="19" width="19.33203125" style="5" customWidth="1"/>
    <col min="20" max="20" width="14" style="5" customWidth="1"/>
    <col min="21" max="16384" width="9.109375" style="5"/>
  </cols>
  <sheetData>
    <row r="1" spans="1:17" ht="15.6" x14ac:dyDescent="0.3">
      <c r="A1" s="407" t="s">
        <v>448</v>
      </c>
      <c r="E1" s="412" t="s">
        <v>433</v>
      </c>
      <c r="I1" s="1195" t="str">
        <f>'Bioenergy Calculator'!B3</f>
        <v>None</v>
      </c>
      <c r="J1" s="1195"/>
      <c r="K1" s="1195"/>
      <c r="L1" s="1196"/>
      <c r="M1" s="1195" t="str">
        <f>'Bioenergy Calculator'!B4</f>
        <v>None</v>
      </c>
      <c r="N1" s="1195"/>
      <c r="O1" s="1195"/>
      <c r="P1" s="1196"/>
    </row>
    <row r="3" spans="1:17" s="6" customFormat="1" ht="24.75" customHeight="1" x14ac:dyDescent="0.25">
      <c r="A3" s="1062" t="s">
        <v>567</v>
      </c>
      <c r="B3" s="1062" t="s">
        <v>506</v>
      </c>
      <c r="C3" s="1062" t="s">
        <v>1035</v>
      </c>
      <c r="D3" s="1062" t="s">
        <v>1051</v>
      </c>
      <c r="E3" s="1083" t="s">
        <v>523</v>
      </c>
      <c r="F3" s="1209"/>
      <c r="G3" s="1209"/>
      <c r="H3" s="1198"/>
      <c r="I3" s="1072" t="s">
        <v>275</v>
      </c>
      <c r="J3" s="1073"/>
      <c r="K3" s="1074"/>
      <c r="L3" s="1075"/>
      <c r="M3" s="1083" t="s">
        <v>274</v>
      </c>
      <c r="N3" s="1084"/>
      <c r="O3" s="1197"/>
      <c r="P3" s="1198"/>
      <c r="Q3" s="1060" t="s">
        <v>570</v>
      </c>
    </row>
    <row r="4" spans="1:17" s="6" customFormat="1" x14ac:dyDescent="0.25">
      <c r="A4" s="1063"/>
      <c r="B4" s="1063"/>
      <c r="C4" s="1063"/>
      <c r="D4" s="1071"/>
      <c r="E4" s="22">
        <v>2010</v>
      </c>
      <c r="F4" s="22">
        <v>2015</v>
      </c>
      <c r="G4" s="22">
        <v>2020</v>
      </c>
      <c r="H4" s="22">
        <v>2025</v>
      </c>
      <c r="I4" s="22">
        <v>2010</v>
      </c>
      <c r="J4" s="22">
        <v>2015</v>
      </c>
      <c r="K4" s="22">
        <v>2020</v>
      </c>
      <c r="L4" s="22">
        <v>2025</v>
      </c>
      <c r="M4" s="22">
        <v>2010</v>
      </c>
      <c r="N4" s="22">
        <v>2015</v>
      </c>
      <c r="O4" s="22">
        <v>2020</v>
      </c>
      <c r="P4" s="22">
        <v>2025</v>
      </c>
      <c r="Q4" s="1061"/>
    </row>
    <row r="5" spans="1:17" x14ac:dyDescent="0.25">
      <c r="A5" s="1064" t="s">
        <v>513</v>
      </c>
      <c r="B5" s="1" t="s">
        <v>511</v>
      </c>
      <c r="C5" s="13"/>
      <c r="D5" s="13"/>
      <c r="E5" s="13"/>
      <c r="F5" s="13"/>
      <c r="G5" s="13"/>
      <c r="H5" s="13"/>
      <c r="I5" s="7"/>
      <c r="J5" s="7"/>
      <c r="K5" s="7"/>
      <c r="L5" s="7"/>
      <c r="M5" s="7"/>
      <c r="N5" s="7"/>
      <c r="O5" s="7"/>
      <c r="P5" s="7"/>
      <c r="Q5" s="7"/>
    </row>
    <row r="6" spans="1:17" x14ac:dyDescent="0.25">
      <c r="A6" s="1064"/>
      <c r="B6" s="11" t="str">
        <f>IF('Prac. Rec. Assumptions'!$B$56='Prac. Rec. Assumptions'!$V$3,A74,IF('Prac. Rec. Assumptions'!B57="No",A74,"Sorghum- Converted to Energy Crop"))</f>
        <v>Sorghum</v>
      </c>
      <c r="C6" s="294">
        <f>IF('Prac. Rec. Assumptions'!$B$56='Prac. Rec. Assumptions'!$V$3,D74,IF('Prac. Rec. Assumptions'!B57="No",D74,0))</f>
        <v>389.44920000000002</v>
      </c>
      <c r="D6" s="294" t="s">
        <v>431</v>
      </c>
      <c r="E6" s="294">
        <f>C6*'Prac. Rec. Assumptions'!B4</f>
        <v>0</v>
      </c>
      <c r="F6" s="294">
        <f>$E6</f>
        <v>0</v>
      </c>
      <c r="G6" s="294">
        <f>$E6</f>
        <v>0</v>
      </c>
      <c r="H6" s="294">
        <f>$E6</f>
        <v>0</v>
      </c>
      <c r="I6" s="16" t="str">
        <f>IF('Conversion Tables'!F7="NA","NA",$D6/'Conversion Tables'!F7)</f>
        <v>NA</v>
      </c>
      <c r="J6" s="16" t="str">
        <f>IF('Conversion Tables'!G7="NA","NA",$D6/'Conversion Tables'!G7)</f>
        <v>NA</v>
      </c>
      <c r="K6" s="16" t="str">
        <f>IF('Conversion Tables'!H7="NA","NA",$D6/'Conversion Tables'!H7)</f>
        <v>NA</v>
      </c>
      <c r="L6" s="16" t="str">
        <f>IF('Conversion Tables'!H7="NA","NA",$D6/'Conversion Tables'!H7)</f>
        <v>NA</v>
      </c>
      <c r="M6" s="16" t="str">
        <f>IF('Conversion Tables'!K7="NA","NA",$C74*'Conversion Tables'!K7)</f>
        <v>NA</v>
      </c>
      <c r="N6" s="16" t="str">
        <f>IF('Conversion Tables'!L7="NA","NA",$C74*'Conversion Tables'!L7)</f>
        <v>NA</v>
      </c>
      <c r="O6" s="16" t="str">
        <f>IF('Conversion Tables'!M7="NA","NA",$C74*'Conversion Tables'!M7)</f>
        <v>NA</v>
      </c>
      <c r="P6" s="16" t="str">
        <f>IF('Conversion Tables'!N7="NA","NA",$C74*'Conversion Tables'!N7)</f>
        <v>NA</v>
      </c>
      <c r="Q6" s="15"/>
    </row>
    <row r="7" spans="1:17" x14ac:dyDescent="0.25">
      <c r="A7" s="1064"/>
      <c r="B7" s="11" t="str">
        <f>IF('Prac. Rec. Assumptions'!$B$56='Prac. Rec. Assumptions'!$V$3,A75,IF('Prac. Rec. Assumptions'!B59="No",A75,"Rye- Converted to Energy Crop"))</f>
        <v>Rye</v>
      </c>
      <c r="C7" s="294">
        <f>IF('Prac. Rec. Assumptions'!$B$56='Prac. Rec. Assumptions'!$V$3,D75,IF('Prac. Rec. Assumptions'!B59="No",D75,0))</f>
        <v>376.08479999999997</v>
      </c>
      <c r="D7" s="294" t="s">
        <v>431</v>
      </c>
      <c r="E7" s="294">
        <f>C7*'Prac. Rec. Assumptions'!B5</f>
        <v>0</v>
      </c>
      <c r="F7" s="294">
        <f t="shared" ref="F7:H10" si="0">$E7</f>
        <v>0</v>
      </c>
      <c r="G7" s="294">
        <f t="shared" si="0"/>
        <v>0</v>
      </c>
      <c r="H7" s="294">
        <f t="shared" si="0"/>
        <v>0</v>
      </c>
      <c r="I7" s="16" t="str">
        <f>IF('Conversion Tables'!F8="NA","NA",$D7/'Conversion Tables'!F8)</f>
        <v>NA</v>
      </c>
      <c r="J7" s="16" t="str">
        <f>IF('Conversion Tables'!G8="NA","NA",$D7/'Conversion Tables'!G8)</f>
        <v>NA</v>
      </c>
      <c r="K7" s="16" t="str">
        <f>IF('Conversion Tables'!H8="NA","NA",$D7/'Conversion Tables'!H8)</f>
        <v>NA</v>
      </c>
      <c r="L7" s="16" t="str">
        <f>IF('Conversion Tables'!H8="NA","NA",$D7/'Conversion Tables'!H8)</f>
        <v>NA</v>
      </c>
      <c r="M7" s="16" t="str">
        <f>IF('Conversion Tables'!K8="NA","NA",$C75*'Conversion Tables'!K8)</f>
        <v>NA</v>
      </c>
      <c r="N7" s="16" t="str">
        <f>IF('Conversion Tables'!L8="NA","NA",$C75*'Conversion Tables'!L8)</f>
        <v>NA</v>
      </c>
      <c r="O7" s="16" t="str">
        <f>IF('Conversion Tables'!M8="NA","NA",$C75*'Conversion Tables'!M8)</f>
        <v>NA</v>
      </c>
      <c r="P7" s="16" t="str">
        <f>IF('Conversion Tables'!N8="NA","NA",$C75*'Conversion Tables'!N8)</f>
        <v>NA</v>
      </c>
      <c r="Q7" s="15"/>
    </row>
    <row r="8" spans="1:17" x14ac:dyDescent="0.25">
      <c r="A8" s="1064"/>
      <c r="B8" s="11" t="str">
        <f>IF('Prac. Rec. Assumptions'!$B$56='Prac. Rec. Assumptions'!$V$3,A76,IF('Prac. Rec. Assumptions'!B60="No",A76,"Corn for Grain- Converted to Energy Crop"))</f>
        <v>Corn for Grain</v>
      </c>
      <c r="C8" s="294">
        <f>IF('Prac. Rec. Assumptions'!$B$56='Prac. Rec. Assumptions'!$V$3,D76,IF('Prac. Rec. Assumptions'!B60="No",D76,0))</f>
        <v>1438.5</v>
      </c>
      <c r="D8" s="294" t="s">
        <v>431</v>
      </c>
      <c r="E8" s="294">
        <f>C8*'Prac. Rec. Assumptions'!B6</f>
        <v>0</v>
      </c>
      <c r="F8" s="294">
        <f t="shared" si="0"/>
        <v>0</v>
      </c>
      <c r="G8" s="294">
        <f t="shared" si="0"/>
        <v>0</v>
      </c>
      <c r="H8" s="294">
        <f t="shared" si="0"/>
        <v>0</v>
      </c>
      <c r="I8" s="16" t="str">
        <f>IF('Conversion Tables'!F9="NA","NA",$D8/'Conversion Tables'!F9)</f>
        <v>NA</v>
      </c>
      <c r="J8" s="16" t="str">
        <f>IF('Conversion Tables'!G9="NA","NA",$D8/'Conversion Tables'!G9)</f>
        <v>NA</v>
      </c>
      <c r="K8" s="16" t="str">
        <f>IF('Conversion Tables'!H9="NA","NA",$D8/'Conversion Tables'!H9)</f>
        <v>NA</v>
      </c>
      <c r="L8" s="16" t="str">
        <f>IF('Conversion Tables'!H9="NA","NA",$D8/'Conversion Tables'!H9)</f>
        <v>NA</v>
      </c>
      <c r="M8" s="16" t="str">
        <f>IF('Conversion Tables'!K9="NA","NA",$C76*'Conversion Tables'!K9)</f>
        <v>NA</v>
      </c>
      <c r="N8" s="16" t="str">
        <f>IF('Conversion Tables'!L9="NA","NA",$C76*'Conversion Tables'!L9)</f>
        <v>NA</v>
      </c>
      <c r="O8" s="16" t="str">
        <f>IF('Conversion Tables'!M9="NA","NA",$C76*'Conversion Tables'!M9)</f>
        <v>NA</v>
      </c>
      <c r="P8" s="16" t="str">
        <f>IF('Conversion Tables'!N9="NA","NA",$C76*'Conversion Tables'!N9)</f>
        <v>NA</v>
      </c>
      <c r="Q8" s="15"/>
    </row>
    <row r="9" spans="1:17" x14ac:dyDescent="0.25">
      <c r="A9" s="1064"/>
      <c r="B9" s="11" t="str">
        <f>IF('Prac. Rec. Assumptions'!$B$56='Prac. Rec. Assumptions'!$V$3,A78,IF('Prac. Rec. Assumptions'!B64="No",A78,"Wheat- Converted to Energy Crop"))</f>
        <v>Wheat</v>
      </c>
      <c r="C9" s="294">
        <f>IF('Prac. Rec. Assumptions'!$B$56='Prac. Rec. Assumptions'!$V$3,D78,IF('Prac. Rec. Assumptions'!B64="No",D78,0))</f>
        <v>239.76</v>
      </c>
      <c r="D9" s="294" t="s">
        <v>431</v>
      </c>
      <c r="E9" s="294">
        <f>C9*'Prac. Rec. Assumptions'!B7</f>
        <v>0</v>
      </c>
      <c r="F9" s="294">
        <f t="shared" si="0"/>
        <v>0</v>
      </c>
      <c r="G9" s="294">
        <f t="shared" si="0"/>
        <v>0</v>
      </c>
      <c r="H9" s="294">
        <f t="shared" si="0"/>
        <v>0</v>
      </c>
      <c r="I9" s="16" t="str">
        <f>IF('Conversion Tables'!F10="NA","NA",$D9/'Conversion Tables'!F10)</f>
        <v>NA</v>
      </c>
      <c r="J9" s="16" t="str">
        <f>IF('Conversion Tables'!G10="NA","NA",$D9/'Conversion Tables'!G10)</f>
        <v>NA</v>
      </c>
      <c r="K9" s="16" t="str">
        <f>IF('Conversion Tables'!H10="NA","NA",$D9/'Conversion Tables'!H10)</f>
        <v>NA</v>
      </c>
      <c r="L9" s="16" t="str">
        <f>IF('Conversion Tables'!H10="NA","NA",$D9/'Conversion Tables'!H10)</f>
        <v>NA</v>
      </c>
      <c r="M9" s="16" t="str">
        <f>IF('Conversion Tables'!K10="NA","NA",$C78*'Conversion Tables'!K10)</f>
        <v>NA</v>
      </c>
      <c r="N9" s="16" t="str">
        <f>IF('Conversion Tables'!L10="NA","NA",$C78*'Conversion Tables'!L10)</f>
        <v>NA</v>
      </c>
      <c r="O9" s="16" t="str">
        <f>IF('Conversion Tables'!M10="NA","NA",$C78*'Conversion Tables'!M10)</f>
        <v>NA</v>
      </c>
      <c r="P9" s="16" t="str">
        <f>IF('Conversion Tables'!N10="NA","NA",$C78*'Conversion Tables'!N10)</f>
        <v>NA</v>
      </c>
      <c r="Q9" s="15"/>
    </row>
    <row r="10" spans="1:17" x14ac:dyDescent="0.25">
      <c r="A10" s="1064"/>
      <c r="B10" s="129" t="s">
        <v>301</v>
      </c>
      <c r="C10" s="294"/>
      <c r="D10" s="294" t="s">
        <v>431</v>
      </c>
      <c r="E10" s="294">
        <f>C10*'Prac. Rec. Assumptions'!B8</f>
        <v>0</v>
      </c>
      <c r="F10" s="294">
        <f t="shared" si="0"/>
        <v>0</v>
      </c>
      <c r="G10" s="294">
        <f t="shared" si="0"/>
        <v>0</v>
      </c>
      <c r="H10" s="294">
        <f t="shared" si="0"/>
        <v>0</v>
      </c>
      <c r="I10" s="16" t="str">
        <f>IF('Conversion Tables'!F11="NA","NA",$D10/'Conversion Tables'!F11)</f>
        <v>NA</v>
      </c>
      <c r="J10" s="16" t="str">
        <f>IF('Conversion Tables'!G11="NA","NA",$D10/'Conversion Tables'!G11)</f>
        <v>NA</v>
      </c>
      <c r="K10" s="16" t="str">
        <f>IF('Conversion Tables'!H11="NA","NA",$D10/'Conversion Tables'!H11)</f>
        <v>NA</v>
      </c>
      <c r="L10" s="16" t="str">
        <f>IF('Conversion Tables'!H11="NA","NA",$D10/'Conversion Tables'!H11)</f>
        <v>NA</v>
      </c>
      <c r="M10" s="16" t="str">
        <f>IF('Conversion Tables'!K11="NA","NA",E10*'Conversion Tables'!K11)</f>
        <v>NA</v>
      </c>
      <c r="N10" s="16" t="str">
        <f>IF('Conversion Tables'!L11="NA","NA",F10*'Conversion Tables'!L11)</f>
        <v>NA</v>
      </c>
      <c r="O10" s="16" t="str">
        <f>IF('Conversion Tables'!M11="NA","NA",G10*'Conversion Tables'!M11)</f>
        <v>NA</v>
      </c>
      <c r="P10" s="16" t="str">
        <f>IF('Conversion Tables'!N11="NA","NA",H10*'Conversion Tables'!N11)</f>
        <v>NA</v>
      </c>
      <c r="Q10" s="7"/>
    </row>
    <row r="11" spans="1:17" x14ac:dyDescent="0.25">
      <c r="A11" s="1065"/>
      <c r="B11" s="9" t="s">
        <v>524</v>
      </c>
      <c r="C11" s="295">
        <f t="shared" ref="C11:P11" si="1">SUM(C5:C10)</f>
        <v>2443.7939999999999</v>
      </c>
      <c r="D11" s="295">
        <f t="shared" si="1"/>
        <v>0</v>
      </c>
      <c r="E11" s="295">
        <f t="shared" si="1"/>
        <v>0</v>
      </c>
      <c r="F11" s="295">
        <f t="shared" si="1"/>
        <v>0</v>
      </c>
      <c r="G11" s="295">
        <f t="shared" si="1"/>
        <v>0</v>
      </c>
      <c r="H11" s="295">
        <f t="shared" si="1"/>
        <v>0</v>
      </c>
      <c r="I11" s="19">
        <f t="shared" si="1"/>
        <v>0</v>
      </c>
      <c r="J11" s="19">
        <f t="shared" si="1"/>
        <v>0</v>
      </c>
      <c r="K11" s="19">
        <f t="shared" si="1"/>
        <v>0</v>
      </c>
      <c r="L11" s="19">
        <f t="shared" si="1"/>
        <v>0</v>
      </c>
      <c r="M11" s="19">
        <f t="shared" si="1"/>
        <v>0</v>
      </c>
      <c r="N11" s="19">
        <f t="shared" si="1"/>
        <v>0</v>
      </c>
      <c r="O11" s="19">
        <f t="shared" si="1"/>
        <v>0</v>
      </c>
      <c r="P11" s="19">
        <f t="shared" si="1"/>
        <v>0</v>
      </c>
      <c r="Q11" s="19"/>
    </row>
    <row r="12" spans="1:17" x14ac:dyDescent="0.25">
      <c r="A12" s="8"/>
      <c r="C12" s="296"/>
      <c r="D12" s="296"/>
      <c r="E12" s="296"/>
      <c r="F12" s="296"/>
      <c r="G12" s="296"/>
      <c r="H12" s="296"/>
      <c r="I12" s="28"/>
      <c r="J12" s="28"/>
      <c r="K12" s="28"/>
      <c r="L12" s="28"/>
      <c r="M12" s="28"/>
      <c r="N12" s="28"/>
      <c r="O12" s="28"/>
      <c r="P12" s="28"/>
    </row>
    <row r="13" spans="1:17" x14ac:dyDescent="0.25">
      <c r="A13" s="1206" t="s">
        <v>514</v>
      </c>
      <c r="B13" s="1" t="s">
        <v>507</v>
      </c>
      <c r="C13" s="294">
        <f>D90</f>
        <v>0</v>
      </c>
      <c r="D13" s="294">
        <f>E13*'Conversion Tables'!C12</f>
        <v>0</v>
      </c>
      <c r="E13" s="294">
        <f>C13*'Prac. Rec. Assumptions'!B9</f>
        <v>0</v>
      </c>
      <c r="F13" s="294">
        <f>$E13</f>
        <v>0</v>
      </c>
      <c r="G13" s="294">
        <f>$E13</f>
        <v>0</v>
      </c>
      <c r="H13" s="294">
        <f>$E13</f>
        <v>0</v>
      </c>
      <c r="I13" s="16" t="str">
        <f>IF('Conversion Tables'!F12="NA","NA",(E13*'Conversion Tables'!$C12)/'Conversion Tables'!F12)</f>
        <v>NA</v>
      </c>
      <c r="J13" s="16" t="str">
        <f>IF('Conversion Tables'!G12="NA","NA",(F13*'Conversion Tables'!$C12)/'Conversion Tables'!G12)</f>
        <v>NA</v>
      </c>
      <c r="K13" s="16" t="str">
        <f>IF('Conversion Tables'!H12="NA","NA",(G13*'Conversion Tables'!$C12)/'Conversion Tables'!H12)</f>
        <v>NA</v>
      </c>
      <c r="L13" s="16" t="str">
        <f>IF('Conversion Tables'!I12="NA","NA",(H13*'Conversion Tables'!$C12)/'Conversion Tables'!I12)</f>
        <v>NA</v>
      </c>
      <c r="M13" s="16" t="str">
        <f>IF('Conversion Tables'!K12="NA","NA",E13*'Conversion Tables'!K12)</f>
        <v>NA</v>
      </c>
      <c r="N13" s="16" t="str">
        <f>IF('Conversion Tables'!L12="NA","NA",F13*'Conversion Tables'!L12)</f>
        <v>NA</v>
      </c>
      <c r="O13" s="16" t="str">
        <f>IF('Conversion Tables'!M12="NA","NA",G13*'Conversion Tables'!M12)</f>
        <v>NA</v>
      </c>
      <c r="P13" s="16" t="str">
        <f>IF('Conversion Tables'!N12="NA","NA",H13*'Conversion Tables'!N12)</f>
        <v>NA</v>
      </c>
      <c r="Q13" s="7"/>
    </row>
    <row r="14" spans="1:17" x14ac:dyDescent="0.25">
      <c r="A14" s="1207"/>
      <c r="B14" s="1" t="s">
        <v>504</v>
      </c>
      <c r="C14" s="294"/>
      <c r="D14" s="294"/>
      <c r="E14" s="294"/>
      <c r="F14" s="294"/>
      <c r="G14" s="294"/>
      <c r="H14" s="294"/>
      <c r="I14" s="16"/>
      <c r="J14" s="16"/>
      <c r="K14" s="16"/>
      <c r="L14" s="16"/>
      <c r="M14" s="16"/>
      <c r="N14" s="16"/>
      <c r="O14" s="16"/>
      <c r="P14" s="16"/>
      <c r="Q14" s="7"/>
    </row>
    <row r="15" spans="1:17" x14ac:dyDescent="0.25">
      <c r="A15" s="1207"/>
      <c r="B15" s="11" t="str">
        <f>IF('Prac. Rec. Assumptions'!$B$56='Prac. Rec. Assumptions'!$V$3,A81,IF('Prac. Rec. Assumptions'!B57="No",A81,"Sweet Corn- Converted to Energy Crop"))</f>
        <v>Sweet Corn</v>
      </c>
      <c r="C15" s="294">
        <f>IF('Prac. Rec. Assumptions'!$B$56='Prac. Rec. Assumptions'!$V$3,D81,IF('Prac. Rec. Assumptions'!B58="No",D81,0))</f>
        <v>376.55</v>
      </c>
      <c r="D15" s="294">
        <f>E15*'Conversion Tables'!C14</f>
        <v>4739.1076800000001</v>
      </c>
      <c r="E15" s="294">
        <f>C15*'Prac. Rec. Assumptions'!B11</f>
        <v>301.24</v>
      </c>
      <c r="F15" s="294">
        <f>$E15</f>
        <v>301.24</v>
      </c>
      <c r="G15" s="294">
        <f>$E15</f>
        <v>301.24</v>
      </c>
      <c r="H15" s="294">
        <f>$E15</f>
        <v>301.24</v>
      </c>
      <c r="I15" s="16" t="str">
        <f>IF('Conversion Tables'!F14="NA","NA",(E15*'Conversion Tables'!$C14)/'Conversion Tables'!F14)</f>
        <v>NA</v>
      </c>
      <c r="J15" s="16" t="str">
        <f>IF('Conversion Tables'!G14="NA","NA",(F15*'Conversion Tables'!$C14)/'Conversion Tables'!G14)</f>
        <v>NA</v>
      </c>
      <c r="K15" s="16" t="str">
        <f>IF('Conversion Tables'!H14="NA","NA",(G15*'Conversion Tables'!$C14)/'Conversion Tables'!H14)</f>
        <v>NA</v>
      </c>
      <c r="L15" s="16" t="str">
        <f>IF('Conversion Tables'!I14="NA","NA",(H15*'Conversion Tables'!$C14)/'Conversion Tables'!I14)</f>
        <v>NA</v>
      </c>
      <c r="M15" s="16" t="str">
        <f>IF('Conversion Tables'!K14="NA","NA",E15*'Conversion Tables'!K14)</f>
        <v>NA</v>
      </c>
      <c r="N15" s="16" t="str">
        <f>IF('Conversion Tables'!L14="NA","NA",F15*'Conversion Tables'!L14)</f>
        <v>NA</v>
      </c>
      <c r="O15" s="16" t="str">
        <f>IF('Conversion Tables'!M14="NA","NA",G15*'Conversion Tables'!M14)</f>
        <v>NA</v>
      </c>
      <c r="P15" s="16" t="str">
        <f>IF('Conversion Tables'!N14="NA","NA",H15*'Conversion Tables'!N14)</f>
        <v>NA</v>
      </c>
      <c r="Q15" s="15"/>
    </row>
    <row r="16" spans="1:17" x14ac:dyDescent="0.25">
      <c r="A16" s="1207"/>
      <c r="B16" s="11" t="str">
        <f>IF('Prac. Rec. Assumptions'!$B$56='Prac. Rec. Assumptions'!$V$3,A82,IF('Prac. Rec. Assumptions'!B58="No",A82,"Rye- Converted to Energy Crop"))</f>
        <v>Rye</v>
      </c>
      <c r="C16" s="294">
        <f>IF('Prac. Rec. Assumptions'!$B$56='Prac. Rec. Assumptions'!$V$3,D82,IF('Prac. Rec. Assumptions'!B59="No",D82,0))</f>
        <v>1264.1624999999999</v>
      </c>
      <c r="D16" s="294">
        <f>E16*'Conversion Tables'!C15</f>
        <v>0</v>
      </c>
      <c r="E16" s="294">
        <f>C16*'Prac. Rec. Assumptions'!B12</f>
        <v>0</v>
      </c>
      <c r="F16" s="294">
        <f t="shared" ref="F16:H23" si="2">$E16</f>
        <v>0</v>
      </c>
      <c r="G16" s="294">
        <f t="shared" si="2"/>
        <v>0</v>
      </c>
      <c r="H16" s="294">
        <f t="shared" si="2"/>
        <v>0</v>
      </c>
      <c r="I16" s="16" t="str">
        <f>IF('Conversion Tables'!F15="NA","NA",(E16*'Conversion Tables'!$C15)/'Conversion Tables'!F15)</f>
        <v>NA</v>
      </c>
      <c r="J16" s="16" t="str">
        <f>IF('Conversion Tables'!G15="NA","NA",(F16*'Conversion Tables'!$C15)/'Conversion Tables'!G15)</f>
        <v>NA</v>
      </c>
      <c r="K16" s="16" t="str">
        <f>IF('Conversion Tables'!H15="NA","NA",(G16*'Conversion Tables'!$C15)/'Conversion Tables'!H15)</f>
        <v>NA</v>
      </c>
      <c r="L16" s="16" t="str">
        <f>IF('Conversion Tables'!I15="NA","NA",(H16*'Conversion Tables'!$C15)/'Conversion Tables'!I15)</f>
        <v>NA</v>
      </c>
      <c r="M16" s="16" t="str">
        <f>IF('Conversion Tables'!K15="NA","NA",E16*'Conversion Tables'!K15)</f>
        <v>NA</v>
      </c>
      <c r="N16" s="16" t="str">
        <f>IF('Conversion Tables'!L15="NA","NA",F16*'Conversion Tables'!L15)</f>
        <v>NA</v>
      </c>
      <c r="O16" s="16" t="str">
        <f>IF('Conversion Tables'!M15="NA","NA",G16*'Conversion Tables'!M15)</f>
        <v>NA</v>
      </c>
      <c r="P16" s="16" t="str">
        <f>IF('Conversion Tables'!N15="NA","NA",H16*'Conversion Tables'!N15)</f>
        <v>NA</v>
      </c>
      <c r="Q16" s="15"/>
    </row>
    <row r="17" spans="1:17" x14ac:dyDescent="0.25">
      <c r="A17" s="1207"/>
      <c r="B17" s="11" t="str">
        <f>IF('Prac. Rec. Assumptions'!$B$56='Prac. Rec. Assumptions'!$V$3,A83,IF('Prac. Rec. Assumptions'!B59="No",A83,"Corn for Grain- Converted to Energy Crop"))</f>
        <v>Corn for Grain</v>
      </c>
      <c r="C17" s="294">
        <f>IF('Prac. Rec. Assumptions'!$B$56='Prac. Rec. Assumptions'!$V$3,D83,IF('Prac. Rec. Assumptions'!B60="No",D83,0))</f>
        <v>873.375</v>
      </c>
      <c r="D17" s="294">
        <f>E17*'Conversion Tables'!C16</f>
        <v>11678.945174999999</v>
      </c>
      <c r="E17" s="294">
        <f>C17*'Prac. Rec. Assumptions'!B13</f>
        <v>742.36874999999998</v>
      </c>
      <c r="F17" s="294">
        <f t="shared" si="2"/>
        <v>742.36874999999998</v>
      </c>
      <c r="G17" s="294">
        <f t="shared" si="2"/>
        <v>742.36874999999998</v>
      </c>
      <c r="H17" s="294">
        <f t="shared" si="2"/>
        <v>742.36874999999998</v>
      </c>
      <c r="I17" s="16" t="str">
        <f>IF('Conversion Tables'!F16="NA","NA",(E17*'Conversion Tables'!$C16)/'Conversion Tables'!F16)</f>
        <v>NA</v>
      </c>
      <c r="J17" s="16" t="str">
        <f>IF('Conversion Tables'!G16="NA","NA",(F17*'Conversion Tables'!$C16)/'Conversion Tables'!G16)</f>
        <v>NA</v>
      </c>
      <c r="K17" s="16" t="str">
        <f>IF('Conversion Tables'!H16="NA","NA",(G17*'Conversion Tables'!$C16)/'Conversion Tables'!H16)</f>
        <v>NA</v>
      </c>
      <c r="L17" s="16" t="str">
        <f>IF('Conversion Tables'!I16="NA","NA",(H17*'Conversion Tables'!$C16)/'Conversion Tables'!I16)</f>
        <v>NA</v>
      </c>
      <c r="M17" s="16" t="str">
        <f>IF('Conversion Tables'!K16="NA","NA",E17*'Conversion Tables'!K16)</f>
        <v>NA</v>
      </c>
      <c r="N17" s="16" t="str">
        <f>IF('Conversion Tables'!L16="NA","NA",F17*'Conversion Tables'!L16)</f>
        <v>NA</v>
      </c>
      <c r="O17" s="16" t="str">
        <f>IF('Conversion Tables'!M16="NA","NA",G17*'Conversion Tables'!M16)</f>
        <v>NA</v>
      </c>
      <c r="P17" s="16" t="str">
        <f>IF('Conversion Tables'!N16="NA","NA",H17*'Conversion Tables'!N16)</f>
        <v>NA</v>
      </c>
      <c r="Q17" s="15"/>
    </row>
    <row r="18" spans="1:17" x14ac:dyDescent="0.25">
      <c r="A18" s="1207"/>
      <c r="B18" s="11" t="str">
        <f>IF('Prac. Rec. Assumptions'!$B$56='Prac. Rec. Assumptions'!$V$3,A84,IF('Prac. Rec. Assumptions'!B60="No",A84,"Corn for Silage- Converted to Energy Crop"))</f>
        <v>Corn for Silage</v>
      </c>
      <c r="C18" s="294">
        <f>IF('Prac. Rec. Assumptions'!$B$56='Prac. Rec. Assumptions'!$V$3,D84,IF('Prac. Rec. Assumptions'!B61="No",D84,0))</f>
        <v>91.839999999999989</v>
      </c>
      <c r="D18" s="294">
        <f>E18*'Conversion Tables'!C17</f>
        <v>1083.6201599999999</v>
      </c>
      <c r="E18" s="294">
        <f>C18*'Prac. Rec. Assumptions'!B14</f>
        <v>68.88</v>
      </c>
      <c r="F18" s="294">
        <f t="shared" si="2"/>
        <v>68.88</v>
      </c>
      <c r="G18" s="294">
        <f t="shared" si="2"/>
        <v>68.88</v>
      </c>
      <c r="H18" s="294">
        <f t="shared" si="2"/>
        <v>68.88</v>
      </c>
      <c r="I18" s="16" t="str">
        <f>IF('Conversion Tables'!F17="NA","NA",(E18*'Conversion Tables'!$C17)/'Conversion Tables'!F17)</f>
        <v>NA</v>
      </c>
      <c r="J18" s="16" t="str">
        <f>IF('Conversion Tables'!G17="NA","NA",(F18*'Conversion Tables'!$C17)/'Conversion Tables'!G17)</f>
        <v>NA</v>
      </c>
      <c r="K18" s="16" t="str">
        <f>IF('Conversion Tables'!H17="NA","NA",(G18*'Conversion Tables'!$C17)/'Conversion Tables'!H17)</f>
        <v>NA</v>
      </c>
      <c r="L18" s="16" t="str">
        <f>IF('Conversion Tables'!I17="NA","NA",(H18*'Conversion Tables'!$C17)/'Conversion Tables'!I17)</f>
        <v>NA</v>
      </c>
      <c r="M18" s="16" t="str">
        <f>IF('Conversion Tables'!K17="NA","NA",E18*'Conversion Tables'!K17)</f>
        <v>NA</v>
      </c>
      <c r="N18" s="16" t="str">
        <f>IF('Conversion Tables'!L17="NA","NA",F18*'Conversion Tables'!L17)</f>
        <v>NA</v>
      </c>
      <c r="O18" s="16" t="str">
        <f>IF('Conversion Tables'!M17="NA","NA",G18*'Conversion Tables'!M17)</f>
        <v>NA</v>
      </c>
      <c r="P18" s="16" t="str">
        <f>IF('Conversion Tables'!N17="NA","NA",H18*'Conversion Tables'!N17)</f>
        <v>NA</v>
      </c>
      <c r="Q18" s="15"/>
    </row>
    <row r="19" spans="1:17" x14ac:dyDescent="0.25">
      <c r="A19" s="1207"/>
      <c r="B19" s="11" t="str">
        <f>IF('Prac. Rec. Assumptions'!$B$56='Prac. Rec. Assumptions'!$V$3,A85,IF('Prac. Rec. Assumptions'!B61="No",A85,"Alfalfa Hay- Converted to Energy Crop"))</f>
        <v>Alfalfa Hay</v>
      </c>
      <c r="C19" s="294">
        <f>IF('Prac. Rec. Assumptions'!$B$56='Prac. Rec. Assumptions'!$V$3,D85,IF('Prac. Rec. Assumptions'!B62="No",D85,0))</f>
        <v>1645.6</v>
      </c>
      <c r="D19" s="294">
        <f>E19*'Conversion Tables'!C18</f>
        <v>0</v>
      </c>
      <c r="E19" s="294">
        <f>C19*'Prac. Rec. Assumptions'!B15</f>
        <v>0</v>
      </c>
      <c r="F19" s="294">
        <f t="shared" si="2"/>
        <v>0</v>
      </c>
      <c r="G19" s="294">
        <f t="shared" si="2"/>
        <v>0</v>
      </c>
      <c r="H19" s="294">
        <f t="shared" si="2"/>
        <v>0</v>
      </c>
      <c r="I19" s="16" t="str">
        <f>IF('Conversion Tables'!F18="NA","NA",(E19*'Conversion Tables'!$C18)/'Conversion Tables'!F18)</f>
        <v>NA</v>
      </c>
      <c r="J19" s="16" t="str">
        <f>IF('Conversion Tables'!G18="NA","NA",(F19*'Conversion Tables'!$C18)/'Conversion Tables'!G18)</f>
        <v>NA</v>
      </c>
      <c r="K19" s="16" t="str">
        <f>IF('Conversion Tables'!H18="NA","NA",(G19*'Conversion Tables'!$C18)/'Conversion Tables'!H18)</f>
        <v>NA</v>
      </c>
      <c r="L19" s="16" t="str">
        <f>IF('Conversion Tables'!I18="NA","NA",(H19*'Conversion Tables'!$C18)/'Conversion Tables'!I18)</f>
        <v>NA</v>
      </c>
      <c r="M19" s="16" t="str">
        <f>IF('Conversion Tables'!K18="NA","NA",E19*'Conversion Tables'!K18)</f>
        <v>NA</v>
      </c>
      <c r="N19" s="16" t="str">
        <f>IF('Conversion Tables'!L18="NA","NA",F19*'Conversion Tables'!L18)</f>
        <v>NA</v>
      </c>
      <c r="O19" s="16" t="str">
        <f>IF('Conversion Tables'!M18="NA","NA",G19*'Conversion Tables'!M18)</f>
        <v>NA</v>
      </c>
      <c r="P19" s="16" t="str">
        <f>IF('Conversion Tables'!N18="NA","NA",H19*'Conversion Tables'!N18)</f>
        <v>NA</v>
      </c>
      <c r="Q19" s="15"/>
    </row>
    <row r="20" spans="1:17" x14ac:dyDescent="0.25">
      <c r="A20" s="1207"/>
      <c r="B20" s="11" t="str">
        <f>IF('Prac. Rec. Assumptions'!$B$56='Prac. Rec. Assumptions'!$V$3,A86,IF('Prac. Rec. Assumptions'!B62="No",A86,"Other Hay- Converted to Energy Crop"))</f>
        <v>Other Hay</v>
      </c>
      <c r="C20" s="294">
        <f>IF('Prac. Rec. Assumptions'!$B$56='Prac. Rec. Assumptions'!$V$3,D86,IF('Prac. Rec. Assumptions'!B63="No",D86,0))</f>
        <v>1025.95</v>
      </c>
      <c r="D20" s="294">
        <f>E20*'Conversion Tables'!C19</f>
        <v>8002.41</v>
      </c>
      <c r="E20" s="294">
        <f>C20*'Prac. Rec. Assumptions'!B16</f>
        <v>512.97500000000002</v>
      </c>
      <c r="F20" s="294">
        <f t="shared" si="2"/>
        <v>512.97500000000002</v>
      </c>
      <c r="G20" s="294">
        <f t="shared" si="2"/>
        <v>512.97500000000002</v>
      </c>
      <c r="H20" s="294">
        <f t="shared" si="2"/>
        <v>512.97500000000002</v>
      </c>
      <c r="I20" s="16" t="str">
        <f>IF('Conversion Tables'!F19="NA","NA",(E20*'Conversion Tables'!$C19)/'Conversion Tables'!F19)</f>
        <v>NA</v>
      </c>
      <c r="J20" s="16" t="str">
        <f>IF('Conversion Tables'!G19="NA","NA",(F20*'Conversion Tables'!$C19)/'Conversion Tables'!G19)</f>
        <v>NA</v>
      </c>
      <c r="K20" s="16" t="str">
        <f>IF('Conversion Tables'!H19="NA","NA",(G20*'Conversion Tables'!$C19)/'Conversion Tables'!H19)</f>
        <v>NA</v>
      </c>
      <c r="L20" s="16" t="str">
        <f>IF('Conversion Tables'!I19="NA","NA",(H20*'Conversion Tables'!$C19)/'Conversion Tables'!I19)</f>
        <v>NA</v>
      </c>
      <c r="M20" s="16" t="str">
        <f>IF('Conversion Tables'!K19="NA","NA",E20*'Conversion Tables'!K19)</f>
        <v>NA</v>
      </c>
      <c r="N20" s="16" t="str">
        <f>IF('Conversion Tables'!L19="NA","NA",F20*'Conversion Tables'!L19)</f>
        <v>NA</v>
      </c>
      <c r="O20" s="16" t="str">
        <f>IF('Conversion Tables'!M19="NA","NA",G20*'Conversion Tables'!M19)</f>
        <v>NA</v>
      </c>
      <c r="P20" s="16" t="str">
        <f>IF('Conversion Tables'!N19="NA","NA",H20*'Conversion Tables'!N19)</f>
        <v>NA</v>
      </c>
      <c r="Q20" s="15"/>
    </row>
    <row r="21" spans="1:17" x14ac:dyDescent="0.25">
      <c r="A21" s="1207"/>
      <c r="B21" s="11" t="str">
        <f>IF('Prac. Rec. Assumptions'!$B$56='Prac. Rec. Assumptions'!$V$3,A87,IF('Prac. Rec. Assumptions'!B63="No",A87,"Wheat- Converted to Energy Crop"))</f>
        <v>Wheat</v>
      </c>
      <c r="C21" s="294">
        <f>IF('Prac. Rec. Assumptions'!$B$56='Prac. Rec. Assumptions'!$V$3,D87,IF('Prac. Rec. Assumptions'!B64="No",D87,0))</f>
        <v>238</v>
      </c>
      <c r="D21" s="294">
        <f>E21*'Conversion Tables'!C20</f>
        <v>0</v>
      </c>
      <c r="E21" s="294">
        <f>C21*'Prac. Rec. Assumptions'!B17</f>
        <v>0</v>
      </c>
      <c r="F21" s="294">
        <f t="shared" si="2"/>
        <v>0</v>
      </c>
      <c r="G21" s="294">
        <f t="shared" si="2"/>
        <v>0</v>
      </c>
      <c r="H21" s="294">
        <f t="shared" si="2"/>
        <v>0</v>
      </c>
      <c r="I21" s="16" t="str">
        <f>IF('Conversion Tables'!F20="NA","NA",(E21*'Conversion Tables'!$C20)/'Conversion Tables'!F20)</f>
        <v>NA</v>
      </c>
      <c r="J21" s="16" t="str">
        <f>IF('Conversion Tables'!G20="NA","NA",(F21*'Conversion Tables'!$C20)/'Conversion Tables'!G20)</f>
        <v>NA</v>
      </c>
      <c r="K21" s="16" t="str">
        <f>IF('Conversion Tables'!H20="NA","NA",(G21*'Conversion Tables'!$C20)/'Conversion Tables'!H20)</f>
        <v>NA</v>
      </c>
      <c r="L21" s="16" t="str">
        <f>IF('Conversion Tables'!I20="NA","NA",(H21*'Conversion Tables'!$C20)/'Conversion Tables'!I20)</f>
        <v>NA</v>
      </c>
      <c r="M21" s="16" t="str">
        <f>IF('Conversion Tables'!K20="NA","NA",E21*'Conversion Tables'!K20)</f>
        <v>NA</v>
      </c>
      <c r="N21" s="16" t="str">
        <f>IF('Conversion Tables'!L20="NA","NA",F21*'Conversion Tables'!L20)</f>
        <v>NA</v>
      </c>
      <c r="O21" s="16" t="str">
        <f>IF('Conversion Tables'!M20="NA","NA",G21*'Conversion Tables'!M20)</f>
        <v>NA</v>
      </c>
      <c r="P21" s="16" t="str">
        <f>IF('Conversion Tables'!N20="NA","NA",H21*'Conversion Tables'!N20)</f>
        <v>NA</v>
      </c>
      <c r="Q21" s="15"/>
    </row>
    <row r="22" spans="1:17" x14ac:dyDescent="0.25">
      <c r="A22" s="1207"/>
      <c r="B22" s="148" t="s">
        <v>205</v>
      </c>
      <c r="C22" s="294">
        <f>'Biomass Data Assumptions'!P10*1000*'Energy Content Assumptions'!C18</f>
        <v>23349.5</v>
      </c>
      <c r="D22" s="294">
        <f>E22*'Conversion Tables'!C21</f>
        <v>182126.1</v>
      </c>
      <c r="E22" s="294">
        <f>C22*'Prac. Rec. Assumptions'!B18</f>
        <v>11674.75</v>
      </c>
      <c r="F22" s="294">
        <f t="shared" si="2"/>
        <v>11674.75</v>
      </c>
      <c r="G22" s="294">
        <f t="shared" si="2"/>
        <v>11674.75</v>
      </c>
      <c r="H22" s="294">
        <f t="shared" si="2"/>
        <v>11674.75</v>
      </c>
      <c r="I22" s="16" t="str">
        <f>IF('Conversion Tables'!F21="NA","NA",(E22*'Conversion Tables'!$C21)/'Conversion Tables'!F21)</f>
        <v>NA</v>
      </c>
      <c r="J22" s="16" t="str">
        <f>IF('Conversion Tables'!G21="NA","NA",(F22*'Conversion Tables'!$C21)/'Conversion Tables'!G21)</f>
        <v>NA</v>
      </c>
      <c r="K22" s="16" t="str">
        <f>IF('Conversion Tables'!H21="NA","NA",(G22*'Conversion Tables'!$C21)/'Conversion Tables'!H21)</f>
        <v>NA</v>
      </c>
      <c r="L22" s="16" t="str">
        <f>IF('Conversion Tables'!I21="NA","NA",(H22*'Conversion Tables'!$C21)/'Conversion Tables'!I21)</f>
        <v>NA</v>
      </c>
      <c r="M22" s="16" t="str">
        <f>IF('Conversion Tables'!K21="NA","NA",E22*'Conversion Tables'!K21)</f>
        <v>NA</v>
      </c>
      <c r="N22" s="16" t="str">
        <f>IF('Conversion Tables'!L21="NA","NA",F22*'Conversion Tables'!L21)</f>
        <v>NA</v>
      </c>
      <c r="O22" s="16" t="str">
        <f>IF('Conversion Tables'!M21="NA","NA",G22*'Conversion Tables'!M21)</f>
        <v>NA</v>
      </c>
      <c r="P22" s="16" t="str">
        <f>IF('Conversion Tables'!N21="NA","NA",H22*'Conversion Tables'!N21)</f>
        <v>NA</v>
      </c>
      <c r="Q22" s="15"/>
    </row>
    <row r="23" spans="1:17" x14ac:dyDescent="0.25">
      <c r="A23" s="1207"/>
      <c r="B23" s="2" t="s">
        <v>302</v>
      </c>
      <c r="C23" s="294">
        <f>B133</f>
        <v>20.68</v>
      </c>
      <c r="D23" s="294">
        <f>E23*'Conversion Tables'!C22</f>
        <v>337.82847999999996</v>
      </c>
      <c r="E23" s="294">
        <f>C23*'Prac. Rec. Assumptions'!B19</f>
        <v>20.68</v>
      </c>
      <c r="F23" s="297">
        <f t="shared" si="2"/>
        <v>20.68</v>
      </c>
      <c r="G23" s="297">
        <f t="shared" si="2"/>
        <v>20.68</v>
      </c>
      <c r="H23" s="297">
        <f t="shared" si="2"/>
        <v>20.68</v>
      </c>
      <c r="I23" s="16" t="str">
        <f>IF('Conversion Tables'!F22="NA","NA",(E23*'Conversion Tables'!$C22)/'Conversion Tables'!F22)</f>
        <v>NA</v>
      </c>
      <c r="J23" s="16" t="str">
        <f>IF('Conversion Tables'!G22="NA","NA",(F23*'Conversion Tables'!$C22)/'Conversion Tables'!G22)</f>
        <v>NA</v>
      </c>
      <c r="K23" s="16" t="str">
        <f>IF('Conversion Tables'!H22="NA","NA",(G23*'Conversion Tables'!$C22)/'Conversion Tables'!H22)</f>
        <v>NA</v>
      </c>
      <c r="L23" s="16" t="str">
        <f>IF('Conversion Tables'!I22="NA","NA",(H23*'Conversion Tables'!$C22)/'Conversion Tables'!I22)</f>
        <v>NA</v>
      </c>
      <c r="M23" s="16" t="str">
        <f>IF('Conversion Tables'!K22="NA","NA",E23*'Conversion Tables'!K22)</f>
        <v>NA</v>
      </c>
      <c r="N23" s="16" t="str">
        <f>IF('Conversion Tables'!L22="NA","NA",F23*'Conversion Tables'!L22)</f>
        <v>NA</v>
      </c>
      <c r="O23" s="16" t="str">
        <f>IF('Conversion Tables'!M22="NA","NA",G23*'Conversion Tables'!M22)</f>
        <v>NA</v>
      </c>
      <c r="P23" s="16" t="str">
        <f>IF('Conversion Tables'!N22="NA","NA",H23*'Conversion Tables'!N22)</f>
        <v>NA</v>
      </c>
      <c r="Q23" s="7"/>
    </row>
    <row r="24" spans="1:17" x14ac:dyDescent="0.25">
      <c r="A24" s="1207"/>
      <c r="B24" s="1" t="s">
        <v>518</v>
      </c>
      <c r="C24" s="294"/>
      <c r="D24" s="294"/>
      <c r="E24" s="294"/>
      <c r="F24" s="294"/>
      <c r="G24" s="294"/>
      <c r="H24" s="294"/>
      <c r="I24" s="16"/>
      <c r="J24" s="16"/>
      <c r="K24" s="16"/>
      <c r="L24" s="16"/>
      <c r="M24" s="16"/>
      <c r="N24" s="16"/>
      <c r="O24" s="16"/>
      <c r="P24" s="16"/>
      <c r="Q24" s="7"/>
    </row>
    <row r="25" spans="1:17" x14ac:dyDescent="0.25">
      <c r="A25" s="1207"/>
      <c r="B25" s="11" t="s">
        <v>559</v>
      </c>
      <c r="C25" s="294">
        <f>C128</f>
        <v>14494.66</v>
      </c>
      <c r="D25" s="294">
        <f>E25*'Conversion Tables'!C24</f>
        <v>256555.48199999999</v>
      </c>
      <c r="E25" s="294">
        <f>C25*'Prac. Rec. Assumptions'!B21</f>
        <v>14494.66</v>
      </c>
      <c r="F25" s="294">
        <f>($C25*(1+'Biomass Data Assumptions'!G$95))*'Prac. Rec. Assumptions'!$B21</f>
        <v>14567.45527911918</v>
      </c>
      <c r="G25" s="294">
        <f>($C25*(1+'Biomass Data Assumptions'!H$95))*'Prac. Rec. Assumptions'!$B21</f>
        <v>14827.838392891636</v>
      </c>
      <c r="H25" s="294">
        <f>($C25*(1+'Biomass Data Assumptions'!I$95))*'Prac. Rec. Assumptions'!$B21</f>
        <v>15015.426227544911</v>
      </c>
      <c r="I25" s="16" t="str">
        <f>IF('Conversion Tables'!F24="NA","NA",(E25*'Conversion Tables'!$C24)/'Conversion Tables'!F24)</f>
        <v>NA</v>
      </c>
      <c r="J25" s="16" t="str">
        <f>IF('Conversion Tables'!G24="NA","NA",(F25*'Conversion Tables'!$C24)/'Conversion Tables'!G24)</f>
        <v>NA</v>
      </c>
      <c r="K25" s="16" t="str">
        <f>IF('Conversion Tables'!H24="NA","NA",(G25*'Conversion Tables'!$C24)/'Conversion Tables'!H24)</f>
        <v>NA</v>
      </c>
      <c r="L25" s="16" t="str">
        <f>IF('Conversion Tables'!I24="NA","NA",(H25*'Conversion Tables'!$C24)/'Conversion Tables'!I24)</f>
        <v>NA</v>
      </c>
      <c r="M25" s="16" t="str">
        <f>IF('Conversion Tables'!K24="NA","NA",E25*'Conversion Tables'!K24)</f>
        <v>NA</v>
      </c>
      <c r="N25" s="16" t="str">
        <f>IF('Conversion Tables'!L24="NA","NA",F25*'Conversion Tables'!L24)</f>
        <v>NA</v>
      </c>
      <c r="O25" s="16" t="str">
        <f>IF('Conversion Tables'!M24="NA","NA",G25*'Conversion Tables'!M24)</f>
        <v>NA</v>
      </c>
      <c r="P25" s="16" t="str">
        <f>IF('Conversion Tables'!N24="NA","NA",H25*'Conversion Tables'!N24)</f>
        <v>NA</v>
      </c>
      <c r="Q25" s="13"/>
    </row>
    <row r="26" spans="1:17" x14ac:dyDescent="0.25">
      <c r="A26" s="1207"/>
      <c r="B26" s="11" t="s">
        <v>560</v>
      </c>
      <c r="C26" s="294">
        <f>C129</f>
        <v>6087.57</v>
      </c>
      <c r="D26" s="294">
        <f>E26*'Conversion Tables'!C25</f>
        <v>94966.09199999999</v>
      </c>
      <c r="E26" s="294">
        <f>C26*'Prac. Rec. Assumptions'!B22</f>
        <v>6087.57</v>
      </c>
      <c r="F26" s="294">
        <f>($C26*(1+'Biomass Data Assumptions'!G$95))*'Prac. Rec. Assumptions'!$B22</f>
        <v>6118.1430770716624</v>
      </c>
      <c r="G26" s="294">
        <f>($C26*(1+'Biomass Data Assumptions'!H$95))*'Prac. Rec. Assumptions'!$B22</f>
        <v>6227.5006219818424</v>
      </c>
      <c r="H26" s="294">
        <f>($C26*(1+'Biomass Data Assumptions'!I$95))*'Prac. Rec. Assumptions'!$B22</f>
        <v>6306.2850898203596</v>
      </c>
      <c r="I26" s="16" t="str">
        <f>IF('Conversion Tables'!F25="NA","NA",(E26*'Conversion Tables'!$C25)/'Conversion Tables'!F25)</f>
        <v>NA</v>
      </c>
      <c r="J26" s="16" t="str">
        <f>IF('Conversion Tables'!G25="NA","NA",(F26*'Conversion Tables'!$C25)/'Conversion Tables'!G25)</f>
        <v>NA</v>
      </c>
      <c r="K26" s="16" t="str">
        <f>IF('Conversion Tables'!H25="NA","NA",(G26*'Conversion Tables'!$C25)/'Conversion Tables'!H25)</f>
        <v>NA</v>
      </c>
      <c r="L26" s="16" t="str">
        <f>IF('Conversion Tables'!I25="NA","NA",(H26*'Conversion Tables'!$C25)/'Conversion Tables'!I25)</f>
        <v>NA</v>
      </c>
      <c r="M26" s="16" t="str">
        <f>IF('Conversion Tables'!K25="NA","NA",E26*'Conversion Tables'!K25)</f>
        <v>NA</v>
      </c>
      <c r="N26" s="16" t="str">
        <f>IF('Conversion Tables'!L25="NA","NA",F26*'Conversion Tables'!L25)</f>
        <v>NA</v>
      </c>
      <c r="O26" s="16" t="str">
        <f>IF('Conversion Tables'!M25="NA","NA",G26*'Conversion Tables'!M25)</f>
        <v>NA</v>
      </c>
      <c r="P26" s="16" t="str">
        <f>IF('Conversion Tables'!N25="NA","NA",H26*'Conversion Tables'!N25)</f>
        <v>NA</v>
      </c>
      <c r="Q26" s="13"/>
    </row>
    <row r="27" spans="1:17" x14ac:dyDescent="0.25">
      <c r="A27" s="1207"/>
      <c r="B27" s="11" t="s">
        <v>561</v>
      </c>
      <c r="C27" s="294">
        <f>C130</f>
        <v>22191.289999999997</v>
      </c>
      <c r="D27" s="294">
        <f>E27*'Conversion Tables'!C26</f>
        <v>346184.12399999995</v>
      </c>
      <c r="E27" s="294">
        <f>C27*'Prac. Rec. Assumptions'!B23</f>
        <v>22191.289999999997</v>
      </c>
      <c r="F27" s="294">
        <f>($C27*(1+'Biomass Data Assumptions'!G$95))*'Prac. Rec. Assumptions'!$B23</f>
        <v>22302.739399265978</v>
      </c>
      <c r="G27" s="294">
        <f>($C27*(1+'Biomass Data Assumptions'!H$95))*'Prac. Rec. Assumptions'!$B23</f>
        <v>22701.385327409691</v>
      </c>
      <c r="H27" s="294">
        <f>($C27*(1+'Biomass Data Assumptions'!I$95))*'Prac. Rec. Assumptions'!$B23</f>
        <v>22988.581856287423</v>
      </c>
      <c r="I27" s="16" t="str">
        <f>IF('Conversion Tables'!F26="NA","NA",(E27*'Conversion Tables'!$C26)/'Conversion Tables'!F26)</f>
        <v>NA</v>
      </c>
      <c r="J27" s="16" t="str">
        <f>IF('Conversion Tables'!G26="NA","NA",(F27*'Conversion Tables'!$C26)/'Conversion Tables'!G26)</f>
        <v>NA</v>
      </c>
      <c r="K27" s="16" t="str">
        <f>IF('Conversion Tables'!H26="NA","NA",(G27*'Conversion Tables'!$C26)/'Conversion Tables'!H26)</f>
        <v>NA</v>
      </c>
      <c r="L27" s="16" t="str">
        <f>IF('Conversion Tables'!I26="NA","NA",(H27*'Conversion Tables'!$C26)/'Conversion Tables'!I26)</f>
        <v>NA</v>
      </c>
      <c r="M27" s="16" t="str">
        <f>IF('Conversion Tables'!K26="NA","NA",E27*'Conversion Tables'!K26)</f>
        <v>NA</v>
      </c>
      <c r="N27" s="16" t="str">
        <f>IF('Conversion Tables'!L26="NA","NA",F27*'Conversion Tables'!L26)</f>
        <v>NA</v>
      </c>
      <c r="O27" s="16" t="str">
        <f>IF('Conversion Tables'!M26="NA","NA",G27*'Conversion Tables'!M26)</f>
        <v>NA</v>
      </c>
      <c r="P27" s="16" t="str">
        <f>IF('Conversion Tables'!N26="NA","NA",H27*'Conversion Tables'!N26)</f>
        <v>NA</v>
      </c>
      <c r="Q27" s="13"/>
    </row>
    <row r="28" spans="1:17" x14ac:dyDescent="0.25">
      <c r="A28" s="1207"/>
      <c r="B28" s="11" t="s">
        <v>562</v>
      </c>
      <c r="C28" s="294">
        <f>C131</f>
        <v>1611.14</v>
      </c>
      <c r="D28" s="294">
        <f>E28*'Conversion Tables'!C27</f>
        <v>28517.178</v>
      </c>
      <c r="E28" s="294">
        <f>C28*'Prac. Rec. Assumptions'!B24</f>
        <v>1611.14</v>
      </c>
      <c r="F28" s="294">
        <f>($C28*(1+'Biomass Data Assumptions'!G$95))*'Prac. Rec. Assumptions'!$B24</f>
        <v>1619.2314892795055</v>
      </c>
      <c r="G28" s="294">
        <f>($C28*(1+'Biomass Data Assumptions'!H$95))*'Prac. Rec. Assumptions'!$B24</f>
        <v>1648.1741240100444</v>
      </c>
      <c r="H28" s="294">
        <f>($C28*(1+'Biomass Data Assumptions'!I$95))*'Prac. Rec. Assumptions'!$B24</f>
        <v>1669.0252694610781</v>
      </c>
      <c r="I28" s="16" t="str">
        <f>IF('Conversion Tables'!F27="NA","NA",(E28*'Conversion Tables'!$C27)/'Conversion Tables'!F27)</f>
        <v>NA</v>
      </c>
      <c r="J28" s="16" t="str">
        <f>IF('Conversion Tables'!G27="NA","NA",(F28*'Conversion Tables'!$C27)/'Conversion Tables'!G27)</f>
        <v>NA</v>
      </c>
      <c r="K28" s="16" t="str">
        <f>IF('Conversion Tables'!H27="NA","NA",(G28*'Conversion Tables'!$C27)/'Conversion Tables'!H27)</f>
        <v>NA</v>
      </c>
      <c r="L28" s="16" t="str">
        <f>IF('Conversion Tables'!I27="NA","NA",(H28*'Conversion Tables'!$C27)/'Conversion Tables'!I27)</f>
        <v>NA</v>
      </c>
      <c r="M28" s="16" t="str">
        <f>IF('Conversion Tables'!K27="NA","NA",E28*'Conversion Tables'!K27)</f>
        <v>NA</v>
      </c>
      <c r="N28" s="16" t="str">
        <f>IF('Conversion Tables'!L27="NA","NA",F28*'Conversion Tables'!L27)</f>
        <v>NA</v>
      </c>
      <c r="O28" s="16" t="str">
        <f>IF('Conversion Tables'!M27="NA","NA",G28*'Conversion Tables'!M27)</f>
        <v>NA</v>
      </c>
      <c r="P28" s="16" t="str">
        <f>IF('Conversion Tables'!N27="NA","NA",H28*'Conversion Tables'!N27)</f>
        <v>NA</v>
      </c>
      <c r="Q28" s="13"/>
    </row>
    <row r="29" spans="1:17" x14ac:dyDescent="0.25">
      <c r="A29" s="1208"/>
      <c r="B29" s="9" t="s">
        <v>524</v>
      </c>
      <c r="C29" s="295">
        <f t="shared" ref="C29:P29" si="3">SUM(C13:C28)</f>
        <v>73270.317500000005</v>
      </c>
      <c r="D29" s="295">
        <f>SUM(D13:D28)</f>
        <v>934190.88749499992</v>
      </c>
      <c r="E29" s="295">
        <f t="shared" si="3"/>
        <v>57705.553749999992</v>
      </c>
      <c r="F29" s="295">
        <f>SUM(F13:F28)</f>
        <v>57928.462994736321</v>
      </c>
      <c r="G29" s="295">
        <f>SUM(G13:G28)</f>
        <v>58725.792216293215</v>
      </c>
      <c r="H29" s="295">
        <f>SUM(H13:H28)</f>
        <v>59300.212193113774</v>
      </c>
      <c r="I29" s="19">
        <f t="shared" si="3"/>
        <v>0</v>
      </c>
      <c r="J29" s="19">
        <f t="shared" si="3"/>
        <v>0</v>
      </c>
      <c r="K29" s="19">
        <f t="shared" si="3"/>
        <v>0</v>
      </c>
      <c r="L29" s="19">
        <f t="shared" si="3"/>
        <v>0</v>
      </c>
      <c r="M29" s="19">
        <f t="shared" si="3"/>
        <v>0</v>
      </c>
      <c r="N29" s="19">
        <f t="shared" si="3"/>
        <v>0</v>
      </c>
      <c r="O29" s="19">
        <f t="shared" si="3"/>
        <v>0</v>
      </c>
      <c r="P29" s="19">
        <f t="shared" si="3"/>
        <v>0</v>
      </c>
      <c r="Q29" s="19"/>
    </row>
    <row r="30" spans="1:17" x14ac:dyDescent="0.25">
      <c r="A30" s="8"/>
      <c r="C30" s="296"/>
      <c r="D30" s="296"/>
      <c r="E30" s="296"/>
      <c r="F30" s="296"/>
      <c r="G30" s="296"/>
      <c r="H30" s="296"/>
      <c r="I30" s="28"/>
      <c r="J30" s="28"/>
      <c r="K30" s="28"/>
      <c r="L30" s="28"/>
      <c r="M30" s="28"/>
      <c r="N30" s="28"/>
      <c r="O30" s="28"/>
      <c r="P30" s="28"/>
    </row>
    <row r="31" spans="1:17" x14ac:dyDescent="0.25">
      <c r="A31" s="1064" t="s">
        <v>516</v>
      </c>
      <c r="B31" s="130" t="str">
        <f>'Bioenergy Calculator'!B34</f>
        <v>Solid wastes - Landfilled</v>
      </c>
      <c r="C31" s="294"/>
      <c r="D31" s="294"/>
      <c r="E31" s="294"/>
      <c r="F31" s="294"/>
      <c r="G31" s="294"/>
      <c r="H31" s="294"/>
      <c r="I31" s="16"/>
      <c r="J31" s="16"/>
      <c r="K31" s="16"/>
      <c r="L31" s="16"/>
      <c r="M31" s="16"/>
      <c r="N31" s="16"/>
      <c r="O31" s="16"/>
      <c r="P31" s="16"/>
      <c r="Q31" s="7"/>
    </row>
    <row r="32" spans="1:17" x14ac:dyDescent="0.25">
      <c r="A32" s="1064"/>
      <c r="B32" s="11" t="str">
        <f>'Bioenergy Calculator'!B35</f>
        <v>Food waste, Landfilled</v>
      </c>
      <c r="C32" s="294">
        <f>C141</f>
        <v>4016.6247533999995</v>
      </c>
      <c r="D32" s="294">
        <f>E32*'Conversion Tables'!C29</f>
        <v>38559.597632639998</v>
      </c>
      <c r="E32" s="294">
        <f>C32*'Prac. Rec. Assumptions'!B26</f>
        <v>2409.9748520399999</v>
      </c>
      <c r="F32" s="294">
        <f>($C32*(1+'Biomass Data Assumptions'!G$95)*(1+'Biomass Data Assumptions'!C$82))*'Prac. Rec. Assumptions'!$B26</f>
        <v>2420.4337191056006</v>
      </c>
      <c r="G32" s="294">
        <f>($C32*(1+'Biomass Data Assumptions'!H$95)*(1+'Biomass Data Assumptions'!D$82))*'Prac. Rec. Assumptions'!$B26</f>
        <v>2462.0244855192332</v>
      </c>
      <c r="H32" s="294">
        <f>($C32*(1+'Biomass Data Assumptions'!I$95)*(1+'Biomass Data Assumptions'!E$82))*'Prac. Rec. Assumptions'!$B26</f>
        <v>2491.4788861210418</v>
      </c>
      <c r="I32" s="16" t="str">
        <f>IF('Conversion Tables'!F29="NA","NA",(E32*'Conversion Tables'!$C29)/'Conversion Tables'!F29)</f>
        <v>NA</v>
      </c>
      <c r="J32" s="16" t="str">
        <f>IF('Conversion Tables'!G29="NA","NA",(F32*'Conversion Tables'!$C29)/'Conversion Tables'!G29)</f>
        <v>NA</v>
      </c>
      <c r="K32" s="16" t="str">
        <f>IF('Conversion Tables'!H29="NA","NA",(G32*'Conversion Tables'!$C29)/'Conversion Tables'!H29)</f>
        <v>NA</v>
      </c>
      <c r="L32" s="16" t="str">
        <f>IF('Conversion Tables'!I29="NA","NA",(H32*'Conversion Tables'!$C29)/'Conversion Tables'!I29)</f>
        <v>NA</v>
      </c>
      <c r="M32" s="16" t="str">
        <f>IF('Conversion Tables'!K29="NA","NA",E32*'Conversion Tables'!K29)</f>
        <v>NA</v>
      </c>
      <c r="N32" s="16" t="str">
        <f>IF('Conversion Tables'!L29="NA","NA",F32*'Conversion Tables'!L29)</f>
        <v>NA</v>
      </c>
      <c r="O32" s="16" t="str">
        <f>IF('Conversion Tables'!M29="NA","NA",G32*'Conversion Tables'!M29)</f>
        <v>NA</v>
      </c>
      <c r="P32" s="16" t="str">
        <f>IF('Conversion Tables'!N29="NA","NA",H32*'Conversion Tables'!N29)</f>
        <v>NA</v>
      </c>
      <c r="Q32" s="7"/>
    </row>
    <row r="33" spans="1:17" x14ac:dyDescent="0.25">
      <c r="A33" s="1064"/>
      <c r="B33" s="11" t="str">
        <f>'Bioenergy Calculator'!B36</f>
        <v>Waste paper, Landfilled</v>
      </c>
      <c r="C33" s="294">
        <f>C142</f>
        <v>14814.794839499997</v>
      </c>
      <c r="D33" s="294">
        <f>E33*'Conversion Tables'!C30</f>
        <v>172112.36052737519</v>
      </c>
      <c r="E33" s="294">
        <f>C33*'Prac. Rec. Assumptions'!B27</f>
        <v>11851.835871599998</v>
      </c>
      <c r="F33" s="294">
        <f>($C33*(1+'Biomass Data Assumptions'!G$95)*(1+'Biomass Data Assumptions'!C$82))*'Prac. Rec. Assumptions'!$B27</f>
        <v>11903.270755146377</v>
      </c>
      <c r="G33" s="294">
        <f>($C33*(1+'Biomass Data Assumptions'!H$95)*(1+'Biomass Data Assumptions'!D$82))*'Prac. Rec. Assumptions'!$B27</f>
        <v>12107.80688833099</v>
      </c>
      <c r="H33" s="294">
        <f>($C33*(1+'Biomass Data Assumptions'!I$95)*(1+'Biomass Data Assumptions'!E$82))*'Prac. Rec. Assumptions'!$B27</f>
        <v>12252.658491796272</v>
      </c>
      <c r="I33" s="16" t="str">
        <f>IF('Conversion Tables'!F30="NA","NA",(E33*'Conversion Tables'!$C30)/'Conversion Tables'!F30)</f>
        <v>NA</v>
      </c>
      <c r="J33" s="16" t="str">
        <f>IF('Conversion Tables'!G30="NA","NA",(F33*'Conversion Tables'!$C30)/'Conversion Tables'!G30)</f>
        <v>NA</v>
      </c>
      <c r="K33" s="16" t="str">
        <f>IF('Conversion Tables'!H30="NA","NA",(G33*'Conversion Tables'!$C30)/'Conversion Tables'!H30)</f>
        <v>NA</v>
      </c>
      <c r="L33" s="16" t="str">
        <f>IF('Conversion Tables'!I30="NA","NA",(H33*'Conversion Tables'!$C30)/'Conversion Tables'!I30)</f>
        <v>NA</v>
      </c>
      <c r="M33" s="16" t="str">
        <f>IF('Conversion Tables'!K30="NA","NA",E33*'Conversion Tables'!K30)</f>
        <v>NA</v>
      </c>
      <c r="N33" s="16" t="str">
        <f>IF('Conversion Tables'!L30="NA","NA",F33*'Conversion Tables'!L30)</f>
        <v>NA</v>
      </c>
      <c r="O33" s="16" t="str">
        <f>IF('Conversion Tables'!M30="NA","NA",G33*'Conversion Tables'!M30)</f>
        <v>NA</v>
      </c>
      <c r="P33" s="16" t="str">
        <f>IF('Conversion Tables'!N30="NA","NA",H33*'Conversion Tables'!N30)</f>
        <v>NA</v>
      </c>
      <c r="Q33" s="7"/>
    </row>
    <row r="34" spans="1:17" x14ac:dyDescent="0.25">
      <c r="A34" s="1064"/>
      <c r="B34" s="11" t="str">
        <f>'Bioenergy Calculator'!B37</f>
        <v>Other Biomass, Landfilled</v>
      </c>
      <c r="C34" s="294">
        <f>C143</f>
        <v>11395.670523499997</v>
      </c>
      <c r="D34" s="294">
        <f>E34*'Conversion Tables'!C31</f>
        <v>119151.30768643224</v>
      </c>
      <c r="E34" s="294">
        <f>C34*'Prac. Rec. Assumptions'!B28</f>
        <v>8204.8827769199997</v>
      </c>
      <c r="F34" s="294">
        <f>($C34*(1+'Biomass Data Assumptions'!G$95)*(1+'Biomass Data Assumptions'!C$82))*'Prac. Rec. Assumptions'!$B28</f>
        <v>8240.4905253494089</v>
      </c>
      <c r="G34" s="294">
        <f>($C34*(1+'Biomass Data Assumptions'!H$95)*(1+'Biomass Data Assumptions'!D$82))*'Prac. Rec. Assumptions'!$B28</f>
        <v>8382.088419093925</v>
      </c>
      <c r="H34" s="294">
        <f>($C34*(1+'Biomass Data Assumptions'!I$95)*(1+'Biomass Data Assumptions'!E$82))*'Prac. Rec. Assumptions'!$B28</f>
        <v>8482.367434037882</v>
      </c>
      <c r="I34" s="16" t="str">
        <f>IF('Conversion Tables'!F31="NA","NA",(E34*'Conversion Tables'!$C31)/'Conversion Tables'!F31)</f>
        <v>NA</v>
      </c>
      <c r="J34" s="16" t="str">
        <f>IF('Conversion Tables'!G31="NA","NA",(F34*'Conversion Tables'!$C31)/'Conversion Tables'!G31)</f>
        <v>NA</v>
      </c>
      <c r="K34" s="16" t="str">
        <f>IF('Conversion Tables'!H31="NA","NA",(G34*'Conversion Tables'!$C31)/'Conversion Tables'!H31)</f>
        <v>NA</v>
      </c>
      <c r="L34" s="16" t="str">
        <f>IF('Conversion Tables'!I31="NA","NA",(H34*'Conversion Tables'!$C31)/'Conversion Tables'!I31)</f>
        <v>NA</v>
      </c>
      <c r="M34" s="16" t="str">
        <f>IF('Conversion Tables'!K31="NA","NA",E34*'Conversion Tables'!K31)</f>
        <v>NA</v>
      </c>
      <c r="N34" s="16" t="str">
        <f>IF('Conversion Tables'!L31="NA","NA",F34*'Conversion Tables'!L31)</f>
        <v>NA</v>
      </c>
      <c r="O34" s="16" t="str">
        <f>IF('Conversion Tables'!M31="NA","NA",G34*'Conversion Tables'!M31)</f>
        <v>NA</v>
      </c>
      <c r="P34" s="16" t="str">
        <f>IF('Conversion Tables'!N31="NA","NA",H34*'Conversion Tables'!N31)</f>
        <v>NA</v>
      </c>
      <c r="Q34" s="7"/>
    </row>
    <row r="35" spans="1:17" x14ac:dyDescent="0.25">
      <c r="A35" s="1065"/>
      <c r="B35" s="11" t="str">
        <f>'Bioenergy Calculator'!B38</f>
        <v>C&amp;D (Non-recycled wood)</v>
      </c>
      <c r="C35" s="294">
        <f>C145</f>
        <v>20582.972800000003</v>
      </c>
      <c r="D35" s="294">
        <f>E35*'Conversion Tables'!C32</f>
        <v>233163.91587840006</v>
      </c>
      <c r="E35" s="294">
        <f>C35*'Prac. Rec. Assumptions'!B29</f>
        <v>13173.102592000005</v>
      </c>
      <c r="F35" s="294">
        <f>($C35*(1+'Biomass Data Assumptions'!G$95)*(1+'Biomass Data Assumptions'!C$83))*'Prac. Rec. Assumptions'!$B29</f>
        <v>13904.018481807627</v>
      </c>
      <c r="G35" s="294">
        <f>($C35*(1+'Biomass Data Assumptions'!H$95)*(1+'Biomass Data Assumptions'!D$83))*'Prac. Rec. Assumptions'!$B29</f>
        <v>14863.157786963791</v>
      </c>
      <c r="H35" s="294">
        <f>($C35*(1+'Biomass Data Assumptions'!I$95)*(1+'Biomass Data Assumptions'!E$83))*'Prac. Rec. Assumptions'!$B29</f>
        <v>15806.929276185618</v>
      </c>
      <c r="I35" s="16" t="str">
        <f>IF('Conversion Tables'!F32="NA","NA",(E35*'Conversion Tables'!$C32)/'Conversion Tables'!F32)</f>
        <v>NA</v>
      </c>
      <c r="J35" s="16" t="str">
        <f>IF('Conversion Tables'!G32="NA","NA",(F35*'Conversion Tables'!$C32)/'Conversion Tables'!G32)</f>
        <v>NA</v>
      </c>
      <c r="K35" s="16" t="str">
        <f>IF('Conversion Tables'!H32="NA","NA",(G35*'Conversion Tables'!$C32)/'Conversion Tables'!H32)</f>
        <v>NA</v>
      </c>
      <c r="L35" s="16" t="str">
        <f>IF('Conversion Tables'!I32="NA","NA",(H35*'Conversion Tables'!$C32)/'Conversion Tables'!I32)</f>
        <v>NA</v>
      </c>
      <c r="M35" s="16" t="str">
        <f>IF('Conversion Tables'!K32="NA","NA",E35*'Conversion Tables'!K32)</f>
        <v>NA</v>
      </c>
      <c r="N35" s="16" t="str">
        <f>IF('Conversion Tables'!L32="NA","NA",F35*'Conversion Tables'!L32)</f>
        <v>NA</v>
      </c>
      <c r="O35" s="16" t="str">
        <f>IF('Conversion Tables'!M32="NA","NA",G35*'Conversion Tables'!M32)</f>
        <v>NA</v>
      </c>
      <c r="P35" s="16" t="str">
        <f>IF('Conversion Tables'!N32="NA","NA",H35*'Conversion Tables'!N32)</f>
        <v>NA</v>
      </c>
      <c r="Q35" s="7"/>
    </row>
    <row r="36" spans="1:17" x14ac:dyDescent="0.25">
      <c r="A36" s="1065"/>
      <c r="B36" s="4" t="s">
        <v>280</v>
      </c>
      <c r="C36" s="294"/>
      <c r="D36" s="294"/>
      <c r="E36" s="294"/>
      <c r="F36" s="294"/>
      <c r="G36" s="294"/>
      <c r="H36" s="294"/>
      <c r="I36" s="16"/>
      <c r="J36" s="16"/>
      <c r="K36" s="16"/>
      <c r="L36" s="16"/>
      <c r="M36" s="16"/>
      <c r="N36" s="16"/>
      <c r="O36" s="16"/>
      <c r="P36" s="16"/>
      <c r="Q36" s="7"/>
    </row>
    <row r="37" spans="1:17" x14ac:dyDescent="0.25">
      <c r="A37" s="1065"/>
      <c r="B37" s="677" t="s">
        <v>563</v>
      </c>
      <c r="C37" s="299">
        <f>C132</f>
        <v>474.84249999999997</v>
      </c>
      <c r="D37" s="294">
        <f>E37*'Conversion Tables'!C34</f>
        <v>7597.48</v>
      </c>
      <c r="E37" s="294">
        <f>C37*'Prac. Rec. Assumptions'!B31</f>
        <v>474.84249999999997</v>
      </c>
      <c r="F37" s="294">
        <f>($C37*(1+'Biomass Data Assumptions'!G$95)*(1+'Biomass Data Assumptions'!C$84))*'Prac. Rec. Assumptions'!$B31</f>
        <v>521.83664425548398</v>
      </c>
      <c r="G37" s="294">
        <f>($C37*(1+'Biomass Data Assumptions'!H$95)*(1+'Biomass Data Assumptions'!D$84))*'Prac. Rec. Assumptions'!$B31</f>
        <v>580.81530547709565</v>
      </c>
      <c r="H37" s="294">
        <f>($C37*(1+'Biomass Data Assumptions'!I$95)*(1+'Biomass Data Assumptions'!E$84))*'Prac. Rec. Assumptions'!$B31</f>
        <v>643.14248855720575</v>
      </c>
      <c r="I37" s="16" t="str">
        <f>IF('Conversion Tables'!F34="NA","NA",(E37*'Conversion Tables'!$C34)/'Conversion Tables'!F34)</f>
        <v>NA</v>
      </c>
      <c r="J37" s="16" t="str">
        <f>IF('Conversion Tables'!G34="NA","NA",(F37*'Conversion Tables'!$C34)/'Conversion Tables'!G34)</f>
        <v>NA</v>
      </c>
      <c r="K37" s="16" t="str">
        <f>IF('Conversion Tables'!H34="NA","NA",(G37*'Conversion Tables'!$C34)/'Conversion Tables'!H34)</f>
        <v>NA</v>
      </c>
      <c r="L37" s="16" t="str">
        <f>IF('Conversion Tables'!I34="NA","NA",(H37*'Conversion Tables'!$C34)/'Conversion Tables'!I34)</f>
        <v>NA</v>
      </c>
      <c r="M37" s="16" t="str">
        <f>IF('Conversion Tables'!K34="NA","NA",E37*'Conversion Tables'!K34)</f>
        <v>NA</v>
      </c>
      <c r="N37" s="16" t="str">
        <f>IF('Conversion Tables'!L34="NA","NA",F37*'Conversion Tables'!L34)</f>
        <v>NA</v>
      </c>
      <c r="O37" s="16" t="str">
        <f>IF('Conversion Tables'!M34="NA","NA",G37*'Conversion Tables'!M34)</f>
        <v>NA</v>
      </c>
      <c r="P37" s="16" t="str">
        <f>IF('Conversion Tables'!N34="NA","NA",H37*'Conversion Tables'!N34)</f>
        <v>NA</v>
      </c>
      <c r="Q37" s="18"/>
    </row>
    <row r="38" spans="1:17" x14ac:dyDescent="0.25">
      <c r="A38" s="1065"/>
      <c r="B38" s="11" t="s">
        <v>565</v>
      </c>
      <c r="C38" s="294">
        <f>C134</f>
        <v>3016.328</v>
      </c>
      <c r="D38" s="294">
        <f>E38*'Conversion Tables'!C35</f>
        <v>26694.502799999998</v>
      </c>
      <c r="E38" s="294">
        <f>C38*'Prac. Rec. Assumptions'!B32</f>
        <v>1508.164</v>
      </c>
      <c r="F38" s="294">
        <f>($C38*(1+'Biomass Data Assumptions'!G$95)*(1+'Biomass Data Assumptions'!C$84))*'Prac. Rec. Assumptions'!$B32</f>
        <v>1657.423757871142</v>
      </c>
      <c r="G38" s="294">
        <f>($C38*(1+'Biomass Data Assumptions'!H$95)*(1+'Biomass Data Assumptions'!D$84))*'Prac. Rec. Assumptions'!$B32</f>
        <v>1844.7479624708376</v>
      </c>
      <c r="H38" s="294">
        <f>($C38*(1+'Biomass Data Assumptions'!I$95)*(1+'Biomass Data Assumptions'!E$84))*'Prac. Rec. Assumptions'!$B32</f>
        <v>2042.7075253634409</v>
      </c>
      <c r="I38" s="16" t="str">
        <f>IF('Conversion Tables'!F35="NA","NA",(E38*'Conversion Tables'!$C35)/'Conversion Tables'!F35)</f>
        <v>NA</v>
      </c>
      <c r="J38" s="16" t="str">
        <f>IF('Conversion Tables'!G35="NA","NA",(F38*'Conversion Tables'!$C35)/'Conversion Tables'!G35)</f>
        <v>NA</v>
      </c>
      <c r="K38" s="16" t="str">
        <f>IF('Conversion Tables'!H35="NA","NA",(G38*'Conversion Tables'!$C35)/'Conversion Tables'!H35)</f>
        <v>NA</v>
      </c>
      <c r="L38" s="16" t="str">
        <f>IF('Conversion Tables'!I35="NA","NA",(H38*'Conversion Tables'!$C35)/'Conversion Tables'!I35)</f>
        <v>NA</v>
      </c>
      <c r="M38" s="16" t="str">
        <f>IF('Conversion Tables'!K35="NA","NA",E38*'Conversion Tables'!K35)</f>
        <v>NA</v>
      </c>
      <c r="N38" s="16" t="str">
        <f>IF('Conversion Tables'!L35="NA","NA",F38*'Conversion Tables'!L35)</f>
        <v>NA</v>
      </c>
      <c r="O38" s="16" t="str">
        <f>IF('Conversion Tables'!M35="NA","NA",G38*'Conversion Tables'!M35)</f>
        <v>NA</v>
      </c>
      <c r="P38" s="16" t="str">
        <f>IF('Conversion Tables'!N35="NA","NA",H38*'Conversion Tables'!N35)</f>
        <v>NA</v>
      </c>
      <c r="Q38" s="13"/>
    </row>
    <row r="39" spans="1:17" x14ac:dyDescent="0.25">
      <c r="A39" s="1065"/>
      <c r="B39" s="17" t="s">
        <v>555</v>
      </c>
      <c r="C39" s="294">
        <f>C124</f>
        <v>43736.048999999999</v>
      </c>
      <c r="D39" s="299">
        <f>E39*'Conversion Tables'!C36</f>
        <v>0</v>
      </c>
      <c r="E39" s="299">
        <f>C39*'Prac. Rec. Assumptions'!B33</f>
        <v>0</v>
      </c>
      <c r="F39" s="294">
        <f>($C39*(1+'Biomass Data Assumptions'!G$95)*(1+'Biomass Data Assumptions'!C$84))*'Prac. Rec. Assumptions'!$B33</f>
        <v>0</v>
      </c>
      <c r="G39" s="294">
        <f>($C39*(1+'Biomass Data Assumptions'!H$95)*(1+'Biomass Data Assumptions'!D$84))*'Prac. Rec. Assumptions'!$B33</f>
        <v>0</v>
      </c>
      <c r="H39" s="294">
        <f>($C39*(1+'Biomass Data Assumptions'!I$95)*(1+'Biomass Data Assumptions'!E$84))*'Prac. Rec. Assumptions'!$B33</f>
        <v>0</v>
      </c>
      <c r="I39" s="16" t="str">
        <f>IF('Conversion Tables'!F36="NA","NA",(E39*'Conversion Tables'!$C36)/'Conversion Tables'!F36)</f>
        <v>NA</v>
      </c>
      <c r="J39" s="16" t="str">
        <f>IF('Conversion Tables'!G36="NA","NA",(F39*'Conversion Tables'!$C36)/'Conversion Tables'!G36)</f>
        <v>NA</v>
      </c>
      <c r="K39" s="16" t="str">
        <f>IF('Conversion Tables'!H36="NA","NA",(G39*'Conversion Tables'!$C36)/'Conversion Tables'!H36)</f>
        <v>NA</v>
      </c>
      <c r="L39" s="16" t="str">
        <f>IF('Conversion Tables'!I36="NA","NA",(H39*'Conversion Tables'!$C36)/'Conversion Tables'!I36)</f>
        <v>NA</v>
      </c>
      <c r="M39" s="16" t="str">
        <f>IF('Conversion Tables'!K36="NA","NA",E39*'Conversion Tables'!K36)</f>
        <v>NA</v>
      </c>
      <c r="N39" s="16" t="str">
        <f>IF('Conversion Tables'!L36="NA","NA",F39*'Conversion Tables'!L36)</f>
        <v>NA</v>
      </c>
      <c r="O39" s="16" t="str">
        <f>IF('Conversion Tables'!M36="NA","NA",G39*'Conversion Tables'!M36)</f>
        <v>NA</v>
      </c>
      <c r="P39" s="16" t="str">
        <f>IF('Conversion Tables'!N36="NA","NA",H39*'Conversion Tables'!N36)</f>
        <v>NA</v>
      </c>
      <c r="Q39" s="27"/>
    </row>
    <row r="40" spans="1:17" x14ac:dyDescent="0.25">
      <c r="A40" s="1065"/>
      <c r="B40" s="17" t="s">
        <v>556</v>
      </c>
      <c r="C40" s="294">
        <f>C125</f>
        <v>6068.0069999999996</v>
      </c>
      <c r="D40" s="299">
        <f>E40*'Conversion Tables'!C37</f>
        <v>0</v>
      </c>
      <c r="E40" s="299">
        <f>C40*'Prac. Rec. Assumptions'!B34</f>
        <v>0</v>
      </c>
      <c r="F40" s="294">
        <f>($C40*(1+'Biomass Data Assumptions'!G$95)*(1+'Biomass Data Assumptions'!C$84))*'Prac. Rec. Assumptions'!$B34</f>
        <v>0</v>
      </c>
      <c r="G40" s="294">
        <f>($C40*(1+'Biomass Data Assumptions'!H$95)*(1+'Biomass Data Assumptions'!D$84))*'Prac. Rec. Assumptions'!$B34</f>
        <v>0</v>
      </c>
      <c r="H40" s="294">
        <f>($C40*(1+'Biomass Data Assumptions'!I$95)*(1+'Biomass Data Assumptions'!E$84))*'Prac. Rec. Assumptions'!$B34</f>
        <v>0</v>
      </c>
      <c r="I40" s="16" t="str">
        <f>IF('Conversion Tables'!F37="NA","NA",(E40*'Conversion Tables'!$C37)/'Conversion Tables'!F37)</f>
        <v>NA</v>
      </c>
      <c r="J40" s="16" t="str">
        <f>IF('Conversion Tables'!G37="NA","NA",(F40*'Conversion Tables'!$C37)/'Conversion Tables'!G37)</f>
        <v>NA</v>
      </c>
      <c r="K40" s="16" t="str">
        <f>IF('Conversion Tables'!H37="NA","NA",(G40*'Conversion Tables'!$C37)/'Conversion Tables'!H37)</f>
        <v>NA</v>
      </c>
      <c r="L40" s="16" t="str">
        <f>IF('Conversion Tables'!I37="NA","NA",(H40*'Conversion Tables'!$C37)/'Conversion Tables'!I37)</f>
        <v>NA</v>
      </c>
      <c r="M40" s="16" t="str">
        <f>IF('Conversion Tables'!K37="NA","NA",E40*'Conversion Tables'!K37)</f>
        <v>NA</v>
      </c>
      <c r="N40" s="16" t="str">
        <f>IF('Conversion Tables'!L37="NA","NA",F40*'Conversion Tables'!L37)</f>
        <v>NA</v>
      </c>
      <c r="O40" s="16" t="str">
        <f>IF('Conversion Tables'!M37="NA","NA",G40*'Conversion Tables'!M37)</f>
        <v>NA</v>
      </c>
      <c r="P40" s="16" t="str">
        <f>IF('Conversion Tables'!N37="NA","NA",H40*'Conversion Tables'!N37)</f>
        <v>NA</v>
      </c>
      <c r="Q40" s="27"/>
    </row>
    <row r="41" spans="1:17" x14ac:dyDescent="0.25">
      <c r="A41" s="1065"/>
      <c r="B41" s="17" t="s">
        <v>557</v>
      </c>
      <c r="C41" s="294">
        <f>C126</f>
        <v>12367.476000000001</v>
      </c>
      <c r="D41" s="299">
        <f>E41*'Conversion Tables'!C38</f>
        <v>0</v>
      </c>
      <c r="E41" s="299">
        <f>C41*'Prac. Rec. Assumptions'!B35</f>
        <v>0</v>
      </c>
      <c r="F41" s="294">
        <f>($C41*(1+'Biomass Data Assumptions'!G$95)*(1+'Biomass Data Assumptions'!C$84))*'Prac. Rec. Assumptions'!$B35</f>
        <v>0</v>
      </c>
      <c r="G41" s="294">
        <f>($C41*(1+'Biomass Data Assumptions'!H$95)*(1+'Biomass Data Assumptions'!D$84))*'Prac. Rec. Assumptions'!$B35</f>
        <v>0</v>
      </c>
      <c r="H41" s="294">
        <f>($C41*(1+'Biomass Data Assumptions'!I$95)*(1+'Biomass Data Assumptions'!E$84))*'Prac. Rec. Assumptions'!$B35</f>
        <v>0</v>
      </c>
      <c r="I41" s="16" t="str">
        <f>IF('Conversion Tables'!F38="NA","NA",(E41*'Conversion Tables'!$C38)/'Conversion Tables'!F38)</f>
        <v>NA</v>
      </c>
      <c r="J41" s="16" t="str">
        <f>IF('Conversion Tables'!G38="NA","NA",(F41*'Conversion Tables'!$C38)/'Conversion Tables'!G38)</f>
        <v>NA</v>
      </c>
      <c r="K41" s="16" t="str">
        <f>IF('Conversion Tables'!H38="NA","NA",(G41*'Conversion Tables'!$C38)/'Conversion Tables'!H38)</f>
        <v>NA</v>
      </c>
      <c r="L41" s="16" t="str">
        <f>IF('Conversion Tables'!I38="NA","NA",(H41*'Conversion Tables'!$C38)/'Conversion Tables'!I38)</f>
        <v>NA</v>
      </c>
      <c r="M41" s="16" t="str">
        <f>IF('Conversion Tables'!K38="NA","NA",E41*'Conversion Tables'!K38)</f>
        <v>NA</v>
      </c>
      <c r="N41" s="16" t="str">
        <f>IF('Conversion Tables'!L38="NA","NA",F41*'Conversion Tables'!L38)</f>
        <v>NA</v>
      </c>
      <c r="O41" s="16" t="str">
        <f>IF('Conversion Tables'!M38="NA","NA",G41*'Conversion Tables'!M38)</f>
        <v>NA</v>
      </c>
      <c r="P41" s="16" t="str">
        <f>IF('Conversion Tables'!N38="NA","NA",H41*'Conversion Tables'!N38)</f>
        <v>NA</v>
      </c>
      <c r="Q41" s="27"/>
    </row>
    <row r="42" spans="1:17" x14ac:dyDescent="0.25">
      <c r="A42" s="1065"/>
      <c r="B42" s="17" t="s">
        <v>558</v>
      </c>
      <c r="C42" s="294">
        <f>C127</f>
        <v>10164.582</v>
      </c>
      <c r="D42" s="299">
        <f>E42*'Conversion Tables'!C39</f>
        <v>147610.05980400002</v>
      </c>
      <c r="E42" s="299">
        <f>C42*'Prac. Rec. Assumptions'!B36</f>
        <v>10164.582</v>
      </c>
      <c r="F42" s="294">
        <f>($C42*(1+'Biomass Data Assumptions'!G$95)*(1+'Biomass Data Assumptions'!C$84))*'Prac. Rec. Assumptions'!$B36</f>
        <v>11170.548889662776</v>
      </c>
      <c r="G42" s="294">
        <f>($C42*(1+'Biomass Data Assumptions'!H$95)*(1+'Biomass Data Assumptions'!D$84))*'Prac. Rec. Assumptions'!$B36</f>
        <v>12433.058960343669</v>
      </c>
      <c r="H42" s="294">
        <f>($C42*(1+'Biomass Data Assumptions'!I$95)*(1+'Biomass Data Assumptions'!E$84))*'Prac. Rec. Assumptions'!$B36</f>
        <v>13767.248219407025</v>
      </c>
      <c r="I42" s="16" t="str">
        <f>IF('Conversion Tables'!F39="NA","NA",(E42*'Conversion Tables'!$C39)/'Conversion Tables'!F39)</f>
        <v>NA</v>
      </c>
      <c r="J42" s="16" t="str">
        <f>IF('Conversion Tables'!G39="NA","NA",(F42*'Conversion Tables'!$C39)/'Conversion Tables'!G39)</f>
        <v>NA</v>
      </c>
      <c r="K42" s="16" t="str">
        <f>IF('Conversion Tables'!H39="NA","NA",(G42*'Conversion Tables'!$C39)/'Conversion Tables'!H39)</f>
        <v>NA</v>
      </c>
      <c r="L42" s="16" t="str">
        <f>IF('Conversion Tables'!I39="NA","NA",(H42*'Conversion Tables'!$C39)/'Conversion Tables'!I39)</f>
        <v>NA</v>
      </c>
      <c r="M42" s="16" t="str">
        <f>IF('Conversion Tables'!K39="NA","NA",E42*'Conversion Tables'!K39)</f>
        <v>NA</v>
      </c>
      <c r="N42" s="16" t="str">
        <f>IF('Conversion Tables'!L39="NA","NA",F42*'Conversion Tables'!L39)</f>
        <v>NA</v>
      </c>
      <c r="O42" s="16" t="str">
        <f>IF('Conversion Tables'!M39="NA","NA",G42*'Conversion Tables'!M39)</f>
        <v>NA</v>
      </c>
      <c r="P42" s="16" t="str">
        <f>IF('Conversion Tables'!N39="NA","NA",H42*'Conversion Tables'!N39)</f>
        <v>NA</v>
      </c>
      <c r="Q42" s="27"/>
    </row>
    <row r="43" spans="1:17" x14ac:dyDescent="0.25">
      <c r="A43" s="1065"/>
      <c r="B43" s="9" t="s">
        <v>524</v>
      </c>
      <c r="C43" s="295">
        <f t="shared" ref="C43:P43" si="4">SUM(C31:C42)</f>
        <v>126637.34741639999</v>
      </c>
      <c r="D43" s="295">
        <f t="shared" si="4"/>
        <v>744889.2243288476</v>
      </c>
      <c r="E43" s="295">
        <f t="shared" si="4"/>
        <v>47787.384592560004</v>
      </c>
      <c r="F43" s="295">
        <f t="shared" si="4"/>
        <v>49818.022773198405</v>
      </c>
      <c r="G43" s="295">
        <f t="shared" si="4"/>
        <v>52673.699808199541</v>
      </c>
      <c r="H43" s="295">
        <f t="shared" si="4"/>
        <v>55486.532321468483</v>
      </c>
      <c r="I43" s="19">
        <f t="shared" si="4"/>
        <v>0</v>
      </c>
      <c r="J43" s="19">
        <f t="shared" si="4"/>
        <v>0</v>
      </c>
      <c r="K43" s="19">
        <f t="shared" si="4"/>
        <v>0</v>
      </c>
      <c r="L43" s="19">
        <f t="shared" si="4"/>
        <v>0</v>
      </c>
      <c r="M43" s="19">
        <f t="shared" si="4"/>
        <v>0</v>
      </c>
      <c r="N43" s="19">
        <f t="shared" si="4"/>
        <v>0</v>
      </c>
      <c r="O43" s="19">
        <f t="shared" si="4"/>
        <v>0</v>
      </c>
      <c r="P43" s="19">
        <f t="shared" si="4"/>
        <v>0</v>
      </c>
      <c r="Q43" s="19"/>
    </row>
    <row r="44" spans="1:17" x14ac:dyDescent="0.25">
      <c r="A44" s="8"/>
      <c r="C44" s="296"/>
      <c r="D44" s="296"/>
      <c r="E44" s="296"/>
      <c r="F44" s="296"/>
      <c r="G44" s="296"/>
      <c r="H44" s="296"/>
      <c r="I44" s="28"/>
      <c r="J44" s="28"/>
      <c r="K44" s="28"/>
      <c r="L44" s="28"/>
      <c r="M44" s="28"/>
      <c r="N44" s="28"/>
      <c r="O44" s="28"/>
      <c r="P44" s="28"/>
    </row>
    <row r="45" spans="1:17" x14ac:dyDescent="0.25">
      <c r="A45" s="1064" t="s">
        <v>515</v>
      </c>
      <c r="B45" s="2" t="s">
        <v>510</v>
      </c>
      <c r="C45" s="294"/>
      <c r="D45" s="294"/>
      <c r="E45" s="294"/>
      <c r="F45" s="294"/>
      <c r="G45" s="294"/>
      <c r="H45" s="294"/>
      <c r="I45" s="16"/>
      <c r="J45" s="16"/>
      <c r="K45" s="16"/>
      <c r="L45" s="16"/>
      <c r="M45" s="16"/>
      <c r="N45" s="16"/>
      <c r="O45" s="16"/>
      <c r="P45" s="16"/>
      <c r="Q45" s="7"/>
    </row>
    <row r="46" spans="1:17" x14ac:dyDescent="0.25">
      <c r="A46" s="1064"/>
      <c r="B46" s="12" t="s">
        <v>525</v>
      </c>
      <c r="C46" s="294">
        <f>D77</f>
        <v>186.24</v>
      </c>
      <c r="D46" s="294">
        <f>E46*'Conversion Tables'!C41</f>
        <v>0</v>
      </c>
      <c r="E46" s="294">
        <f>C46*'Prac. Rec. Assumptions'!B38</f>
        <v>186.24</v>
      </c>
      <c r="F46" s="294">
        <f>$E46</f>
        <v>186.24</v>
      </c>
      <c r="G46" s="294">
        <f>$E46</f>
        <v>186.24</v>
      </c>
      <c r="H46" s="294">
        <f>$E46</f>
        <v>186.24</v>
      </c>
      <c r="I46" s="16" t="str">
        <f>IF('Conversion Tables'!F41="NA","NA",(E46*'Conversion Tables'!$C41)/'Conversion Tables'!F41)</f>
        <v>NA</v>
      </c>
      <c r="J46" s="16" t="str">
        <f>IF('Conversion Tables'!G41="NA","NA",(F46*'Conversion Tables'!$C41)/'Conversion Tables'!G41)</f>
        <v>NA</v>
      </c>
      <c r="K46" s="16" t="str">
        <f>IF('Conversion Tables'!H41="NA","NA",(G46*'Conversion Tables'!$C41)/'Conversion Tables'!H41)</f>
        <v>NA</v>
      </c>
      <c r="L46" s="16" t="str">
        <f>IF('Conversion Tables'!I41="NA","NA",(H46*'Conversion Tables'!$C41)/'Conversion Tables'!I41)</f>
        <v>NA</v>
      </c>
      <c r="M46" s="16" t="str">
        <f>IF('Conversion Tables'!K41="NA","NA",E46*'Conversion Tables'!K41)</f>
        <v>NA</v>
      </c>
      <c r="N46" s="16" t="str">
        <f>IF('Conversion Tables'!L41="NA","NA",F46*'Conversion Tables'!L41)</f>
        <v>NA</v>
      </c>
      <c r="O46" s="16" t="str">
        <f>IF('Conversion Tables'!M41="NA","NA",G46*'Conversion Tables'!M41)</f>
        <v>NA</v>
      </c>
      <c r="P46" s="16" t="str">
        <f>IF('Conversion Tables'!N41="NA","NA",H46*'Conversion Tables'!N41)</f>
        <v>NA</v>
      </c>
      <c r="Q46" s="15"/>
    </row>
    <row r="47" spans="1:17" x14ac:dyDescent="0.25">
      <c r="A47" s="1065"/>
      <c r="B47" s="2" t="s">
        <v>508</v>
      </c>
      <c r="C47" s="294">
        <f t="shared" ref="C47:C48" si="5">C148</f>
        <v>1921.0771800000002</v>
      </c>
      <c r="D47" s="294"/>
      <c r="E47" s="294">
        <f>C47*'Prac. Rec. Assumptions'!B39</f>
        <v>960.53859000000011</v>
      </c>
      <c r="F47" s="294">
        <f>($C47*(1+'Biomass Data Assumptions'!G$95))*'Prac. Rec. Assumptions'!$B39</f>
        <v>965.36262000579484</v>
      </c>
      <c r="G47" s="294">
        <f>($C47*(1+'Biomass Data Assumptions'!H$95))*'Prac. Rec. Assumptions'!$B39</f>
        <v>982.61780425729194</v>
      </c>
      <c r="H47" s="294">
        <f>($C47*(1+'Biomass Data Assumptions'!I$95))*'Prac. Rec. Assumptions'!$B39</f>
        <v>995.0489585029942</v>
      </c>
      <c r="I47" s="16" t="str">
        <f>IF('Conversion Tables'!F42="NA","NA",(E47*'Conversion Tables'!$C42)/'Conversion Tables'!F42)</f>
        <v>NA</v>
      </c>
      <c r="J47" s="16" t="str">
        <f>IF('Conversion Tables'!G42="NA","NA",(F47*'Conversion Tables'!$C42)/'Conversion Tables'!G42)</f>
        <v>NA</v>
      </c>
      <c r="K47" s="16" t="str">
        <f>IF('Conversion Tables'!H42="NA","NA",(G47*'Conversion Tables'!$C42)/'Conversion Tables'!H42)</f>
        <v>NA</v>
      </c>
      <c r="L47" s="16" t="str">
        <f>IF('Conversion Tables'!I42="NA","NA",(H47*'Conversion Tables'!$C42)/'Conversion Tables'!I42)</f>
        <v>NA</v>
      </c>
      <c r="M47" s="16" t="str">
        <f>IF('Conversion Tables'!K42="NA","NA",E47*'Conversion Tables'!K42)</f>
        <v>NA</v>
      </c>
      <c r="N47" s="16" t="str">
        <f>IF('Conversion Tables'!L42="NA","NA",F47*'Conversion Tables'!L42)</f>
        <v>NA</v>
      </c>
      <c r="O47" s="16" t="str">
        <f>IF('Conversion Tables'!M42="NA","NA",G47*'Conversion Tables'!M42)</f>
        <v>NA</v>
      </c>
      <c r="P47" s="16" t="str">
        <f>IF('Conversion Tables'!N42="NA","NA",H47*'Conversion Tables'!N42)</f>
        <v>NA</v>
      </c>
      <c r="Q47" s="7"/>
    </row>
    <row r="48" spans="1:17" x14ac:dyDescent="0.25">
      <c r="A48" s="1065"/>
      <c r="B48" s="1" t="s">
        <v>509</v>
      </c>
      <c r="C48" s="294">
        <f t="shared" si="5"/>
        <v>171.68985225</v>
      </c>
      <c r="D48" s="294"/>
      <c r="E48" s="294">
        <f>C48*'Prac. Rec. Assumptions'!B40</f>
        <v>171.68985225</v>
      </c>
      <c r="F48" s="294">
        <f>($C48*(1+'Biomass Data Assumptions'!G$95))*'Prac. Rec. Assumptions'!$B40</f>
        <v>172.55211536734595</v>
      </c>
      <c r="G48" s="294">
        <f>($C48*(1+'Biomass Data Assumptions'!H$95))*'Prac. Rec. Assumptions'!$B40</f>
        <v>175.63636421016031</v>
      </c>
      <c r="H48" s="294">
        <f>($C48*(1+'Biomass Data Assumptions'!I$95))*'Prac. Rec. Assumptions'!$B40</f>
        <v>177.85834993562875</v>
      </c>
      <c r="I48" s="16" t="str">
        <f>IF('Conversion Tables'!F43="NA","NA",(E48*'Conversion Tables'!$C43)/'Conversion Tables'!F43)</f>
        <v>NA</v>
      </c>
      <c r="J48" s="16" t="str">
        <f>IF('Conversion Tables'!G43="NA","NA",(F48*'Conversion Tables'!$C43)/'Conversion Tables'!G43)</f>
        <v>NA</v>
      </c>
      <c r="K48" s="16" t="str">
        <f>IF('Conversion Tables'!H43="NA","NA",(G48*'Conversion Tables'!$C43)/'Conversion Tables'!H43)</f>
        <v>NA</v>
      </c>
      <c r="L48" s="16" t="str">
        <f>IF('Conversion Tables'!I43="NA","NA",(H48*'Conversion Tables'!$C43)/'Conversion Tables'!I43)</f>
        <v>NA</v>
      </c>
      <c r="M48" s="16" t="str">
        <f>IF('Conversion Tables'!K43="NA","NA",E48*'Conversion Tables'!K43)</f>
        <v>NA</v>
      </c>
      <c r="N48" s="16" t="str">
        <f>IF('Conversion Tables'!L43="NA","NA",F48*'Conversion Tables'!L43)</f>
        <v>NA</v>
      </c>
      <c r="O48" s="16" t="str">
        <f>IF('Conversion Tables'!M43="NA","NA",G48*'Conversion Tables'!M43)</f>
        <v>NA</v>
      </c>
      <c r="P48" s="16" t="str">
        <f>IF('Conversion Tables'!N43="NA","NA",H48*'Conversion Tables'!N43)</f>
        <v>NA</v>
      </c>
      <c r="Q48" s="7"/>
    </row>
    <row r="49" spans="1:17" x14ac:dyDescent="0.25">
      <c r="A49" s="1065"/>
      <c r="B49" s="9" t="s">
        <v>524</v>
      </c>
      <c r="C49" s="295">
        <f t="shared" ref="C49:P49" si="6">SUM(C45:C48)</f>
        <v>2279.0070322500001</v>
      </c>
      <c r="D49" s="295">
        <f>SUM(D45:D48)</f>
        <v>0</v>
      </c>
      <c r="E49" s="295">
        <f t="shared" si="6"/>
        <v>1318.4684422500002</v>
      </c>
      <c r="F49" s="295">
        <f>SUM(F45:F48)</f>
        <v>1324.154735373141</v>
      </c>
      <c r="G49" s="295">
        <f>SUM(G45:G48)</f>
        <v>1344.4941684674523</v>
      </c>
      <c r="H49" s="295">
        <f>SUM(H45:H48)</f>
        <v>1359.147308438623</v>
      </c>
      <c r="I49" s="19">
        <f t="shared" si="6"/>
        <v>0</v>
      </c>
      <c r="J49" s="19">
        <f t="shared" si="6"/>
        <v>0</v>
      </c>
      <c r="K49" s="19">
        <f t="shared" si="6"/>
        <v>0</v>
      </c>
      <c r="L49" s="19">
        <f t="shared" si="6"/>
        <v>0</v>
      </c>
      <c r="M49" s="19">
        <f t="shared" si="6"/>
        <v>0</v>
      </c>
      <c r="N49" s="19">
        <f t="shared" si="6"/>
        <v>0</v>
      </c>
      <c r="O49" s="19">
        <f t="shared" si="6"/>
        <v>0</v>
      </c>
      <c r="P49" s="19">
        <f t="shared" si="6"/>
        <v>0</v>
      </c>
      <c r="Q49" s="19"/>
    </row>
    <row r="50" spans="1:17" x14ac:dyDescent="0.25">
      <c r="A50" s="8"/>
      <c r="C50" s="296"/>
      <c r="D50" s="296"/>
      <c r="E50" s="296"/>
      <c r="F50" s="296"/>
      <c r="G50" s="296"/>
      <c r="H50" s="296"/>
      <c r="I50" s="28"/>
      <c r="J50" s="28"/>
      <c r="K50" s="28"/>
      <c r="L50" s="28"/>
      <c r="M50" s="28"/>
      <c r="N50" s="28"/>
      <c r="O50" s="28"/>
      <c r="P50" s="28"/>
    </row>
    <row r="51" spans="1:17" x14ac:dyDescent="0.25">
      <c r="A51" s="1200" t="s">
        <v>517</v>
      </c>
      <c r="B51" s="2" t="s">
        <v>505</v>
      </c>
      <c r="C51" s="294"/>
      <c r="D51" s="294"/>
      <c r="E51" s="294"/>
      <c r="F51" s="294"/>
      <c r="G51" s="294"/>
      <c r="H51" s="294"/>
      <c r="I51" s="16"/>
      <c r="J51" s="16"/>
      <c r="K51" s="16"/>
      <c r="L51" s="16"/>
      <c r="M51" s="16"/>
      <c r="N51" s="16"/>
      <c r="O51" s="16"/>
      <c r="P51" s="16"/>
      <c r="Q51" s="7"/>
    </row>
    <row r="52" spans="1:17" x14ac:dyDescent="0.25">
      <c r="A52" s="1201"/>
      <c r="B52" s="12" t="s">
        <v>535</v>
      </c>
      <c r="C52" s="294">
        <f>G97</f>
        <v>139.35408000000001</v>
      </c>
      <c r="D52" s="299">
        <f>E52*'Conversion Tables'!C45</f>
        <v>411.48472742400003</v>
      </c>
      <c r="E52" s="299">
        <f>C52*'Prac. Rec. Assumptions'!B42</f>
        <v>27.870816000000005</v>
      </c>
      <c r="F52" s="294">
        <f t="shared" ref="F52:H59" si="7">$E52</f>
        <v>27.870816000000005</v>
      </c>
      <c r="G52" s="294">
        <f t="shared" si="7"/>
        <v>27.870816000000005</v>
      </c>
      <c r="H52" s="294">
        <f t="shared" si="7"/>
        <v>27.870816000000005</v>
      </c>
      <c r="I52" s="16" t="str">
        <f>IF('Conversion Tables'!F45="NA","NA",(E52*'Conversion Tables'!$C45)/'Conversion Tables'!F45)</f>
        <v>NA</v>
      </c>
      <c r="J52" s="16" t="str">
        <f>IF('Conversion Tables'!G45="NA","NA",(F52*'Conversion Tables'!$C45)/'Conversion Tables'!G45)</f>
        <v>NA</v>
      </c>
      <c r="K52" s="16" t="str">
        <f>IF('Conversion Tables'!H45="NA","NA",(G52*'Conversion Tables'!$C45)/'Conversion Tables'!H45)</f>
        <v>NA</v>
      </c>
      <c r="L52" s="16" t="str">
        <f>IF('Conversion Tables'!I45="NA","NA",(H52*'Conversion Tables'!$C45)/'Conversion Tables'!I45)</f>
        <v>NA</v>
      </c>
      <c r="M52" s="16" t="str">
        <f>IF('Conversion Tables'!K45="NA","NA",E52*'Conversion Tables'!K45)</f>
        <v>NA</v>
      </c>
      <c r="N52" s="16" t="str">
        <f>IF('Conversion Tables'!L45="NA","NA",F52*'Conversion Tables'!L45)</f>
        <v>NA</v>
      </c>
      <c r="O52" s="16" t="str">
        <f>IF('Conversion Tables'!M45="NA","NA",G52*'Conversion Tables'!M45)</f>
        <v>NA</v>
      </c>
      <c r="P52" s="16" t="str">
        <f>IF('Conversion Tables'!N45="NA","NA",H52*'Conversion Tables'!N45)</f>
        <v>NA</v>
      </c>
      <c r="Q52" s="27"/>
    </row>
    <row r="53" spans="1:17" x14ac:dyDescent="0.25">
      <c r="A53" s="1201"/>
      <c r="B53" s="12" t="s">
        <v>539</v>
      </c>
      <c r="C53" s="294">
        <f>G104</f>
        <v>18.029175000000002</v>
      </c>
      <c r="D53" s="299">
        <f>E53*'Conversion Tables'!C46</f>
        <v>159.70964382</v>
      </c>
      <c r="E53" s="299">
        <f>C53*'Prac. Rec. Assumptions'!B43</f>
        <v>10.817505000000001</v>
      </c>
      <c r="F53" s="294">
        <f t="shared" si="7"/>
        <v>10.817505000000001</v>
      </c>
      <c r="G53" s="294">
        <f t="shared" si="7"/>
        <v>10.817505000000001</v>
      </c>
      <c r="H53" s="294">
        <f t="shared" si="7"/>
        <v>10.817505000000001</v>
      </c>
      <c r="I53" s="16" t="str">
        <f>IF('Conversion Tables'!F46="NA","NA",(E53*'Conversion Tables'!$C46)/'Conversion Tables'!F46)</f>
        <v>NA</v>
      </c>
      <c r="J53" s="16" t="str">
        <f>IF('Conversion Tables'!G46="NA","NA",(F53*'Conversion Tables'!$C46)/'Conversion Tables'!G46)</f>
        <v>NA</v>
      </c>
      <c r="K53" s="16" t="str">
        <f>IF('Conversion Tables'!H46="NA","NA",(G53*'Conversion Tables'!$C46)/'Conversion Tables'!H46)</f>
        <v>NA</v>
      </c>
      <c r="L53" s="16" t="str">
        <f>IF('Conversion Tables'!I46="NA","NA",(H53*'Conversion Tables'!$C46)/'Conversion Tables'!I46)</f>
        <v>NA</v>
      </c>
      <c r="M53" s="16" t="str">
        <f>IF('Conversion Tables'!K46="NA","NA",E53*'Conversion Tables'!K46)</f>
        <v>NA</v>
      </c>
      <c r="N53" s="16" t="str">
        <f>IF('Conversion Tables'!L46="NA","NA",F53*'Conversion Tables'!L46)</f>
        <v>NA</v>
      </c>
      <c r="O53" s="16" t="str">
        <f>IF('Conversion Tables'!M46="NA","NA",G53*'Conversion Tables'!M46)</f>
        <v>NA</v>
      </c>
      <c r="P53" s="16" t="str">
        <f>IF('Conversion Tables'!N46="NA","NA",H53*'Conversion Tables'!N46)</f>
        <v>NA</v>
      </c>
      <c r="Q53" s="27"/>
    </row>
    <row r="54" spans="1:17" x14ac:dyDescent="0.25">
      <c r="A54" s="1201"/>
      <c r="B54" s="12" t="s">
        <v>545</v>
      </c>
      <c r="C54" s="294">
        <f>G106</f>
        <v>1723.2562500000001</v>
      </c>
      <c r="D54" s="299">
        <f>E54*'Conversion Tables'!C47</f>
        <v>15265.293165000001</v>
      </c>
      <c r="E54" s="299">
        <f>C54*'Prac. Rec. Assumptions'!B44</f>
        <v>1033.9537500000001</v>
      </c>
      <c r="F54" s="294">
        <f t="shared" si="7"/>
        <v>1033.9537500000001</v>
      </c>
      <c r="G54" s="294">
        <f t="shared" si="7"/>
        <v>1033.9537500000001</v>
      </c>
      <c r="H54" s="294">
        <f t="shared" si="7"/>
        <v>1033.9537500000001</v>
      </c>
      <c r="I54" s="16" t="str">
        <f>IF('Conversion Tables'!F47="NA","NA",(E54*'Conversion Tables'!$C47)/'Conversion Tables'!F47)</f>
        <v>NA</v>
      </c>
      <c r="J54" s="16" t="str">
        <f>IF('Conversion Tables'!G47="NA","NA",(F54*'Conversion Tables'!$C47)/'Conversion Tables'!G47)</f>
        <v>NA</v>
      </c>
      <c r="K54" s="16" t="str">
        <f>IF('Conversion Tables'!H47="NA","NA",(G54*'Conversion Tables'!$C47)/'Conversion Tables'!H47)</f>
        <v>NA</v>
      </c>
      <c r="L54" s="16" t="str">
        <f>IF('Conversion Tables'!I47="NA","NA",(H54*'Conversion Tables'!$C47)/'Conversion Tables'!I47)</f>
        <v>NA</v>
      </c>
      <c r="M54" s="16" t="str">
        <f>IF('Conversion Tables'!K47="NA","NA",E54*'Conversion Tables'!K47)</f>
        <v>NA</v>
      </c>
      <c r="N54" s="16" t="str">
        <f>IF('Conversion Tables'!L47="NA","NA",F54*'Conversion Tables'!L47)</f>
        <v>NA</v>
      </c>
      <c r="O54" s="16" t="str">
        <f>IF('Conversion Tables'!M47="NA","NA",G54*'Conversion Tables'!M47)</f>
        <v>NA</v>
      </c>
      <c r="P54" s="16" t="str">
        <f>IF('Conversion Tables'!N47="NA","NA",H54*'Conversion Tables'!N47)</f>
        <v>NA</v>
      </c>
      <c r="Q54" s="27"/>
    </row>
    <row r="55" spans="1:17" x14ac:dyDescent="0.25">
      <c r="A55" s="1201"/>
      <c r="B55" s="12" t="s">
        <v>546</v>
      </c>
      <c r="C55" s="294">
        <f>G108</f>
        <v>24.920375</v>
      </c>
      <c r="D55" s="299">
        <f>E55*'Conversion Tables'!C48</f>
        <v>73.584883300000001</v>
      </c>
      <c r="E55" s="299">
        <f>C55*'Prac. Rec. Assumptions'!B45</f>
        <v>4.9840750000000007</v>
      </c>
      <c r="F55" s="294">
        <f t="shared" si="7"/>
        <v>4.9840750000000007</v>
      </c>
      <c r="G55" s="294">
        <f t="shared" si="7"/>
        <v>4.9840750000000007</v>
      </c>
      <c r="H55" s="294">
        <f t="shared" si="7"/>
        <v>4.9840750000000007</v>
      </c>
      <c r="I55" s="16" t="str">
        <f>IF('Conversion Tables'!F48="NA","NA",(E55*'Conversion Tables'!$C48)/'Conversion Tables'!F48)</f>
        <v>NA</v>
      </c>
      <c r="J55" s="16" t="str">
        <f>IF('Conversion Tables'!G48="NA","NA",(F55*'Conversion Tables'!$C48)/'Conversion Tables'!G48)</f>
        <v>NA</v>
      </c>
      <c r="K55" s="16" t="str">
        <f>IF('Conversion Tables'!H48="NA","NA",(G55*'Conversion Tables'!$C48)/'Conversion Tables'!H48)</f>
        <v>NA</v>
      </c>
      <c r="L55" s="16" t="str">
        <f>IF('Conversion Tables'!I48="NA","NA",(H55*'Conversion Tables'!$C48)/'Conversion Tables'!I48)</f>
        <v>NA</v>
      </c>
      <c r="M55" s="16" t="str">
        <f>IF('Conversion Tables'!K48="NA","NA",E55*'Conversion Tables'!K48)</f>
        <v>NA</v>
      </c>
      <c r="N55" s="16" t="str">
        <f>IF('Conversion Tables'!L48="NA","NA",F55*'Conversion Tables'!L48)</f>
        <v>NA</v>
      </c>
      <c r="O55" s="16" t="str">
        <f>IF('Conversion Tables'!M48="NA","NA",G55*'Conversion Tables'!M48)</f>
        <v>NA</v>
      </c>
      <c r="P55" s="16" t="str">
        <f>IF('Conversion Tables'!N48="NA","NA",H55*'Conversion Tables'!N48)</f>
        <v>NA</v>
      </c>
      <c r="Q55" s="27"/>
    </row>
    <row r="56" spans="1:17" x14ac:dyDescent="0.25">
      <c r="A56" s="1201"/>
      <c r="B56" s="12" t="s">
        <v>547</v>
      </c>
      <c r="C56" s="294">
        <f>G110</f>
        <v>46.364125000000001</v>
      </c>
      <c r="D56" s="299">
        <f>E56*'Conversion Tables'!C49</f>
        <v>136.90398830000001</v>
      </c>
      <c r="E56" s="299">
        <f>C56*'Prac. Rec. Assumptions'!B46</f>
        <v>9.272825000000001</v>
      </c>
      <c r="F56" s="294">
        <f t="shared" si="7"/>
        <v>9.272825000000001</v>
      </c>
      <c r="G56" s="294">
        <f t="shared" si="7"/>
        <v>9.272825000000001</v>
      </c>
      <c r="H56" s="294">
        <f t="shared" si="7"/>
        <v>9.272825000000001</v>
      </c>
      <c r="I56" s="16" t="str">
        <f>IF('Conversion Tables'!F49="NA","NA",(E56*'Conversion Tables'!$C49)/'Conversion Tables'!F49)</f>
        <v>NA</v>
      </c>
      <c r="J56" s="16" t="str">
        <f>IF('Conversion Tables'!G49="NA","NA",(F56*'Conversion Tables'!$C49)/'Conversion Tables'!G49)</f>
        <v>NA</v>
      </c>
      <c r="K56" s="16" t="str">
        <f>IF('Conversion Tables'!H49="NA","NA",(G56*'Conversion Tables'!$C49)/'Conversion Tables'!H49)</f>
        <v>NA</v>
      </c>
      <c r="L56" s="16" t="str">
        <f>IF('Conversion Tables'!I49="NA","NA",(H56*'Conversion Tables'!$C49)/'Conversion Tables'!I49)</f>
        <v>NA</v>
      </c>
      <c r="M56" s="16" t="str">
        <f>IF('Conversion Tables'!K49="NA","NA",E56*'Conversion Tables'!K49)</f>
        <v>NA</v>
      </c>
      <c r="N56" s="16" t="str">
        <f>IF('Conversion Tables'!L49="NA","NA",F56*'Conversion Tables'!L49)</f>
        <v>NA</v>
      </c>
      <c r="O56" s="16" t="str">
        <f>IF('Conversion Tables'!M49="NA","NA",G56*'Conversion Tables'!M49)</f>
        <v>NA</v>
      </c>
      <c r="P56" s="16" t="str">
        <f>IF('Conversion Tables'!N49="NA","NA",H56*'Conversion Tables'!N49)</f>
        <v>NA</v>
      </c>
      <c r="Q56" s="27"/>
    </row>
    <row r="57" spans="1:17" x14ac:dyDescent="0.25">
      <c r="A57" s="1201"/>
      <c r="B57" s="133" t="s">
        <v>605</v>
      </c>
      <c r="C57" s="294">
        <f>G115</f>
        <v>6.8620000000000001</v>
      </c>
      <c r="D57" s="299">
        <f>E57*'Conversion Tables'!C50</f>
        <v>50.655284000000002</v>
      </c>
      <c r="E57" s="299">
        <f>C57*'Prac. Rec. Assumptions'!B47</f>
        <v>3.431</v>
      </c>
      <c r="F57" s="294">
        <f t="shared" si="7"/>
        <v>3.431</v>
      </c>
      <c r="G57" s="294">
        <f t="shared" si="7"/>
        <v>3.431</v>
      </c>
      <c r="H57" s="294">
        <f t="shared" si="7"/>
        <v>3.431</v>
      </c>
      <c r="I57" s="16" t="str">
        <f>IF('Conversion Tables'!F50="NA","NA",(E57*'Conversion Tables'!$C50)/'Conversion Tables'!F50)</f>
        <v>NA</v>
      </c>
      <c r="J57" s="16" t="str">
        <f>IF('Conversion Tables'!G50="NA","NA",(F57*'Conversion Tables'!$C50)/'Conversion Tables'!G50)</f>
        <v>NA</v>
      </c>
      <c r="K57" s="16" t="str">
        <f>IF('Conversion Tables'!H50="NA","NA",(G57*'Conversion Tables'!$C50)/'Conversion Tables'!H50)</f>
        <v>NA</v>
      </c>
      <c r="L57" s="16" t="str">
        <f>IF('Conversion Tables'!I50="NA","NA",(H57*'Conversion Tables'!$C50)/'Conversion Tables'!I50)</f>
        <v>NA</v>
      </c>
      <c r="M57" s="16" t="str">
        <f>IF('Conversion Tables'!K50="NA","NA",E57*'Conversion Tables'!K50)</f>
        <v>NA</v>
      </c>
      <c r="N57" s="16" t="str">
        <f>IF('Conversion Tables'!L50="NA","NA",F57*'Conversion Tables'!L50)</f>
        <v>NA</v>
      </c>
      <c r="O57" s="16" t="str">
        <f>IF('Conversion Tables'!M50="NA","NA",G57*'Conversion Tables'!M50)</f>
        <v>NA</v>
      </c>
      <c r="P57" s="16" t="str">
        <f>IF('Conversion Tables'!N50="NA","NA",H57*'Conversion Tables'!N50)</f>
        <v>NA</v>
      </c>
      <c r="Q57" s="27"/>
    </row>
    <row r="58" spans="1:17" x14ac:dyDescent="0.25">
      <c r="A58" s="1201"/>
      <c r="B58" s="12" t="s">
        <v>551</v>
      </c>
      <c r="C58" s="294">
        <f>G117</f>
        <v>10.67625</v>
      </c>
      <c r="D58" s="299">
        <f>E58*'Conversion Tables'!C51</f>
        <v>128.11500000000001</v>
      </c>
      <c r="E58" s="299">
        <f>C58*'Prac. Rec. Assumptions'!B48</f>
        <v>10.67625</v>
      </c>
      <c r="F58" s="294">
        <f t="shared" si="7"/>
        <v>10.67625</v>
      </c>
      <c r="G58" s="294">
        <f t="shared" si="7"/>
        <v>10.67625</v>
      </c>
      <c r="H58" s="294">
        <f t="shared" si="7"/>
        <v>10.67625</v>
      </c>
      <c r="I58" s="16" t="str">
        <f>IF('Conversion Tables'!F51="NA","NA",(E58*'Conversion Tables'!$C51)/'Conversion Tables'!F51)</f>
        <v>NA</v>
      </c>
      <c r="J58" s="16" t="str">
        <f>IF('Conversion Tables'!G51="NA","NA",(F58*'Conversion Tables'!$C51)/'Conversion Tables'!G51)</f>
        <v>NA</v>
      </c>
      <c r="K58" s="16" t="str">
        <f>IF('Conversion Tables'!H51="NA","NA",(G58*'Conversion Tables'!$C51)/'Conversion Tables'!H51)</f>
        <v>NA</v>
      </c>
      <c r="L58" s="16" t="str">
        <f>IF('Conversion Tables'!I51="NA","NA",(H58*'Conversion Tables'!$C51)/'Conversion Tables'!I51)</f>
        <v>NA</v>
      </c>
      <c r="M58" s="16" t="str">
        <f>IF('Conversion Tables'!K51="NA","NA",E58*'Conversion Tables'!K51)</f>
        <v>NA</v>
      </c>
      <c r="N58" s="16" t="str">
        <f>IF('Conversion Tables'!L51="NA","NA",F58*'Conversion Tables'!L51)</f>
        <v>NA</v>
      </c>
      <c r="O58" s="16" t="str">
        <f>IF('Conversion Tables'!M51="NA","NA",G58*'Conversion Tables'!M51)</f>
        <v>NA</v>
      </c>
      <c r="P58" s="16" t="str">
        <f>IF('Conversion Tables'!N51="NA","NA",H58*'Conversion Tables'!N51)</f>
        <v>NA</v>
      </c>
      <c r="Q58" s="27"/>
    </row>
    <row r="59" spans="1:17" x14ac:dyDescent="0.25">
      <c r="A59" s="1201"/>
      <c r="B59" s="12" t="s">
        <v>552</v>
      </c>
      <c r="C59" s="294">
        <f>G119</f>
        <v>0.43800000000000006</v>
      </c>
      <c r="D59" s="299">
        <f>E59*'Conversion Tables'!C52</f>
        <v>6.4666320000000006</v>
      </c>
      <c r="E59" s="299">
        <f>C59*'Prac. Rec. Assumptions'!B49</f>
        <v>0.43800000000000006</v>
      </c>
      <c r="F59" s="294">
        <f t="shared" si="7"/>
        <v>0.43800000000000006</v>
      </c>
      <c r="G59" s="294">
        <f t="shared" si="7"/>
        <v>0.43800000000000006</v>
      </c>
      <c r="H59" s="294">
        <f t="shared" si="7"/>
        <v>0.43800000000000006</v>
      </c>
      <c r="I59" s="16" t="str">
        <f>IF('Conversion Tables'!F52="NA","NA",(E59*'Conversion Tables'!$C52)/'Conversion Tables'!F52)</f>
        <v>NA</v>
      </c>
      <c r="J59" s="16" t="str">
        <f>IF('Conversion Tables'!G52="NA","NA",(F59*'Conversion Tables'!$C52)/'Conversion Tables'!G52)</f>
        <v>NA</v>
      </c>
      <c r="K59" s="16" t="str">
        <f>IF('Conversion Tables'!H52="NA","NA",(G59*'Conversion Tables'!$C52)/'Conversion Tables'!H52)</f>
        <v>NA</v>
      </c>
      <c r="L59" s="16" t="str">
        <f>IF('Conversion Tables'!I52="NA","NA",(H59*'Conversion Tables'!$C52)/'Conversion Tables'!I52)</f>
        <v>NA</v>
      </c>
      <c r="M59" s="16" t="str">
        <f>IF('Conversion Tables'!K52="NA","NA",E59*'Conversion Tables'!K52)</f>
        <v>NA</v>
      </c>
      <c r="N59" s="16" t="str">
        <f>IF('Conversion Tables'!L52="NA","NA",F59*'Conversion Tables'!L52)</f>
        <v>NA</v>
      </c>
      <c r="O59" s="16" t="str">
        <f>IF('Conversion Tables'!M52="NA","NA",G59*'Conversion Tables'!M52)</f>
        <v>NA</v>
      </c>
      <c r="P59" s="16" t="str">
        <f>IF('Conversion Tables'!N52="NA","NA",H59*'Conversion Tables'!N52)</f>
        <v>NA</v>
      </c>
      <c r="Q59" s="27"/>
    </row>
    <row r="60" spans="1:17" x14ac:dyDescent="0.25">
      <c r="A60" s="1202"/>
      <c r="B60" s="129" t="s">
        <v>305</v>
      </c>
      <c r="C60" s="294">
        <f>'Biomass Data Assumptions'!AE10</f>
        <v>5855.2502579999982</v>
      </c>
      <c r="D60" s="299">
        <f>E60*'Conversion Tables'!C53</f>
        <v>70263.003095999971</v>
      </c>
      <c r="E60" s="299">
        <f>C60*'Prac. Rec. Assumptions'!B50</f>
        <v>5855.2502579999982</v>
      </c>
      <c r="F60" s="294">
        <f>($C60*(1+'Biomass Data Assumptions'!G$95*(4/5)))*'Prac. Rec. Assumptions'!$B50</f>
        <v>5878.77531215615</v>
      </c>
      <c r="G60" s="294">
        <f>($C60*(1+'Biomass Data Assumptions'!H$95*(9/10)))*'Prac. Rec. Assumptions'!$B50</f>
        <v>5976.3816666598004</v>
      </c>
      <c r="H60" s="294">
        <f>($C60*(1+'Biomass Data Assumptions'!I$95*(14/15)))*'Prac. Rec. Assumptions'!$B50</f>
        <v>6051.5939792263453</v>
      </c>
      <c r="I60" s="16" t="str">
        <f>IF('Conversion Tables'!F53="NA","NA",(E60*'Conversion Tables'!$C53)/'Conversion Tables'!F53)</f>
        <v>NA</v>
      </c>
      <c r="J60" s="16" t="str">
        <f>IF('Conversion Tables'!G53="NA","NA",(F60*'Conversion Tables'!$C53)/'Conversion Tables'!G53)</f>
        <v>NA</v>
      </c>
      <c r="K60" s="16" t="str">
        <f>IF('Conversion Tables'!H53="NA","NA",(G60*'Conversion Tables'!$C53)/'Conversion Tables'!H53)</f>
        <v>NA</v>
      </c>
      <c r="L60" s="16" t="str">
        <f>IF('Conversion Tables'!I53="NA","NA",(H60*'Conversion Tables'!$C53)/'Conversion Tables'!I53)</f>
        <v>NA</v>
      </c>
      <c r="M60" s="16" t="str">
        <f>IF('Conversion Tables'!K53="NA","NA",E60*'Conversion Tables'!K53)</f>
        <v>NA</v>
      </c>
      <c r="N60" s="16" t="str">
        <f>IF('Conversion Tables'!L53="NA","NA",F60*'Conversion Tables'!L53)</f>
        <v>NA</v>
      </c>
      <c r="O60" s="16" t="str">
        <f>IF('Conversion Tables'!M53="NA","NA",G60*'Conversion Tables'!M53)</f>
        <v>NA</v>
      </c>
      <c r="P60" s="16" t="str">
        <f>IF('Conversion Tables'!N53="NA","NA",H60*'Conversion Tables'!N53)</f>
        <v>NA</v>
      </c>
      <c r="Q60" s="7"/>
    </row>
    <row r="61" spans="1:17" x14ac:dyDescent="0.25">
      <c r="A61" s="1202"/>
      <c r="B61" s="9" t="s">
        <v>257</v>
      </c>
      <c r="C61" s="295">
        <f>SUM(C52:C60)</f>
        <v>7825.1505129999987</v>
      </c>
      <c r="D61" s="295">
        <f>SUM(D52:D60)</f>
        <v>86495.216419843971</v>
      </c>
      <c r="E61" s="295">
        <f t="shared" ref="E61:P61" si="8">SUM(E52:E60)</f>
        <v>6956.6944789999989</v>
      </c>
      <c r="F61" s="295">
        <f>SUM(F52:F60)</f>
        <v>6980.2195331561506</v>
      </c>
      <c r="G61" s="295">
        <f>SUM(G52:G60)</f>
        <v>7077.8258876598011</v>
      </c>
      <c r="H61" s="295">
        <f>SUM(H52:H60)</f>
        <v>7153.0382002263459</v>
      </c>
      <c r="I61" s="19">
        <f t="shared" si="8"/>
        <v>0</v>
      </c>
      <c r="J61" s="19">
        <f t="shared" si="8"/>
        <v>0</v>
      </c>
      <c r="K61" s="19">
        <f t="shared" si="8"/>
        <v>0</v>
      </c>
      <c r="L61" s="19">
        <f t="shared" si="8"/>
        <v>0</v>
      </c>
      <c r="M61" s="19">
        <f t="shared" si="8"/>
        <v>0</v>
      </c>
      <c r="N61" s="19">
        <f t="shared" si="8"/>
        <v>0</v>
      </c>
      <c r="O61" s="19">
        <f t="shared" si="8"/>
        <v>0</v>
      </c>
      <c r="P61" s="19">
        <f t="shared" si="8"/>
        <v>0</v>
      </c>
      <c r="Q61" s="7"/>
    </row>
    <row r="62" spans="1:17" x14ac:dyDescent="0.25">
      <c r="A62" s="1202"/>
      <c r="B62" s="7" t="s">
        <v>256</v>
      </c>
      <c r="C62" s="298" t="s">
        <v>251</v>
      </c>
      <c r="D62" s="13"/>
      <c r="E62" s="298" t="s">
        <v>251</v>
      </c>
      <c r="F62" s="298"/>
      <c r="G62" s="298"/>
      <c r="H62" s="298"/>
      <c r="I62" s="7"/>
      <c r="J62" s="7"/>
      <c r="K62" s="7"/>
      <c r="L62" s="7"/>
      <c r="M62" s="7"/>
      <c r="N62" s="7"/>
      <c r="O62" s="7"/>
      <c r="P62" s="7"/>
      <c r="Q62" s="7"/>
    </row>
    <row r="63" spans="1:17" x14ac:dyDescent="0.25">
      <c r="A63" s="1203"/>
      <c r="B63" s="133" t="s">
        <v>304</v>
      </c>
      <c r="C63" s="294">
        <f>'Biomass Data Assumptions'!AB10</f>
        <v>191.62956249999999</v>
      </c>
      <c r="D63" s="300">
        <f>E63*'Conversion Tables'!C55</f>
        <v>118618.69918749999</v>
      </c>
      <c r="E63" s="299">
        <f>C63*'Prac. Rec. Assumptions'!B51</f>
        <v>191.62956249999999</v>
      </c>
      <c r="F63" s="294">
        <f>($C63*(1+'Biomass Data Assumptions'!G$95*(4/5)))*'Prac. Rec. Assumptions'!$B51</f>
        <v>192.39948618166889</v>
      </c>
      <c r="G63" s="294">
        <f>($C63*(1+'Biomass Data Assumptions'!H$95*(9/10)))*'Prac. Rec. Assumptions'!$B51</f>
        <v>195.59392914936254</v>
      </c>
      <c r="H63" s="294">
        <f>($C63*(1+'Biomass Data Assumptions'!I$95*(14/15)))*'Prac. Rec. Assumptions'!$B51</f>
        <v>198.05546399700597</v>
      </c>
      <c r="I63" s="16" t="str">
        <f>IF('Conversion Tables'!F55="NA","NA",(E63*'Conversion Tables'!$C55)/'Conversion Tables'!F55)</f>
        <v>NA</v>
      </c>
      <c r="J63" s="16" t="str">
        <f>IF('Conversion Tables'!G55="NA","NA",(F63*'Conversion Tables'!$C55)/'Conversion Tables'!G55)</f>
        <v>NA</v>
      </c>
      <c r="K63" s="16" t="str">
        <f>IF('Conversion Tables'!H55="NA","NA",(G63*'Conversion Tables'!$C55)/'Conversion Tables'!H55)</f>
        <v>NA</v>
      </c>
      <c r="L63" s="16" t="str">
        <f>IF('Conversion Tables'!I55="NA","NA",(H63*'Conversion Tables'!$C55)/'Conversion Tables'!I55)</f>
        <v>NA</v>
      </c>
      <c r="M63" s="16" t="str">
        <f>IF('Conversion Tables'!K55="NA","NA",E63*'Conversion Tables'!K55)</f>
        <v>NA</v>
      </c>
      <c r="N63" s="16" t="str">
        <f>IF('Conversion Tables'!L55="NA","NA",F63*'Conversion Tables'!L55)</f>
        <v>NA</v>
      </c>
      <c r="O63" s="16" t="str">
        <f>IF('Conversion Tables'!M55="NA","NA",G63*'Conversion Tables'!M55)</f>
        <v>NA</v>
      </c>
      <c r="P63" s="16" t="str">
        <f>IF('Conversion Tables'!N55="NA","NA",H63*'Conversion Tables'!N55)</f>
        <v>NA</v>
      </c>
      <c r="Q63" s="7"/>
    </row>
    <row r="64" spans="1:17" x14ac:dyDescent="0.25">
      <c r="A64" s="1204"/>
      <c r="B64" s="17" t="s">
        <v>512</v>
      </c>
      <c r="C64" s="294">
        <f>'Biomass Data Assumptions'!X10</f>
        <v>22.866403519479036</v>
      </c>
      <c r="D64" s="300">
        <f>E64*'Conversion Tables'!C56</f>
        <v>11570.400180856392</v>
      </c>
      <c r="E64" s="299">
        <f>C64*'Prac. Rec. Assumptions'!B52</f>
        <v>22.866403519479036</v>
      </c>
      <c r="F64" s="545">
        <f>($C64*(1+'Biomass Data Assumptions'!G$95*(3/5))*(1+('Biomass Data Assumptions'!C$82-((1+'Biomass Data Assumptions'!$B$82)^2 - 1))))*'Prac. Rec. Assumptions'!$B52</f>
        <v>22.92596520465267</v>
      </c>
      <c r="G64" s="545">
        <f>($C64*(1+'Biomass Data Assumptions'!H$95*(4/5))*(1+('Biomass Data Assumptions'!D$82-((1+'Biomass Data Assumptions'!$B$82)^2 - 1))))*'Prac. Rec. Assumptions'!$B52</f>
        <v>23.261608368814692</v>
      </c>
      <c r="H64" s="545">
        <f>($C64*(1+'Biomass Data Assumptions'!I$95*(13/15))*(1+('Biomass Data Assumptions'!E$82-((1+'Biomass Data Assumptions'!$B$82)^2 - 1))))*'Prac. Rec. Assumptions'!$B52</f>
        <v>23.536821130141913</v>
      </c>
      <c r="I64" s="16" t="str">
        <f>IF('Conversion Tables'!F56="NA","NA",(E64*'Conversion Tables'!$C56)/'Conversion Tables'!F56)</f>
        <v>NA</v>
      </c>
      <c r="J64" s="16" t="str">
        <f>IF('Conversion Tables'!G56="NA","NA",(F64*'Conversion Tables'!$C56)/'Conversion Tables'!G56)</f>
        <v>NA</v>
      </c>
      <c r="K64" s="16" t="str">
        <f>IF('Conversion Tables'!H56="NA","NA",(G64*'Conversion Tables'!$C56)/'Conversion Tables'!H56)</f>
        <v>NA</v>
      </c>
      <c r="L64" s="16" t="str">
        <f>IF('Conversion Tables'!I56="NA","NA",(H64*'Conversion Tables'!$C56)/'Conversion Tables'!I56)</f>
        <v>NA</v>
      </c>
      <c r="M64" s="16" t="str">
        <f>IF('Conversion Tables'!K56="NA","NA",E64*'Conversion Tables'!K56)</f>
        <v>NA</v>
      </c>
      <c r="N64" s="16" t="str">
        <f>IF('Conversion Tables'!L56="NA","NA",F64*'Conversion Tables'!L56)</f>
        <v>NA</v>
      </c>
      <c r="O64" s="16" t="str">
        <f>IF('Conversion Tables'!M56="NA","NA",G64*'Conversion Tables'!M56)</f>
        <v>NA</v>
      </c>
      <c r="P64" s="16" t="str">
        <f>IF('Conversion Tables'!N56="NA","NA",H64*'Conversion Tables'!N56)</f>
        <v>NA</v>
      </c>
      <c r="Q64" s="7"/>
    </row>
    <row r="65" spans="1:19" x14ac:dyDescent="0.25">
      <c r="A65" s="1204"/>
      <c r="B65" s="9" t="s">
        <v>248</v>
      </c>
      <c r="C65" s="295">
        <f>SUM(C63:C64)</f>
        <v>214.49596601947903</v>
      </c>
      <c r="D65" s="295">
        <f>SUM(D63:D64)</f>
        <v>130189.09936835639</v>
      </c>
      <c r="E65" s="295">
        <f t="shared" ref="E65:P65" si="9">SUM(E63:E64)</f>
        <v>214.49596601947903</v>
      </c>
      <c r="F65" s="295">
        <f>SUM(F63:F64)</f>
        <v>215.32545138632156</v>
      </c>
      <c r="G65" s="295">
        <f>SUM(G63:G64)</f>
        <v>218.85553751817724</v>
      </c>
      <c r="H65" s="295">
        <f>SUM(H63:H64)</f>
        <v>221.59228512714787</v>
      </c>
      <c r="I65" s="19">
        <f t="shared" si="9"/>
        <v>0</v>
      </c>
      <c r="J65" s="19">
        <f t="shared" si="9"/>
        <v>0</v>
      </c>
      <c r="K65" s="19">
        <f t="shared" si="9"/>
        <v>0</v>
      </c>
      <c r="L65" s="19">
        <f t="shared" si="9"/>
        <v>0</v>
      </c>
      <c r="M65" s="19">
        <f t="shared" si="9"/>
        <v>0</v>
      </c>
      <c r="N65" s="19">
        <f t="shared" si="9"/>
        <v>0</v>
      </c>
      <c r="O65" s="19">
        <f t="shared" si="9"/>
        <v>0</v>
      </c>
      <c r="P65" s="19">
        <f t="shared" si="9"/>
        <v>0</v>
      </c>
      <c r="Q65" s="19">
        <f>SUM(Q51:Q64)</f>
        <v>0</v>
      </c>
    </row>
    <row r="66" spans="1:19" x14ac:dyDescent="0.25">
      <c r="A66" s="1204"/>
      <c r="B66" s="9"/>
      <c r="C66" s="295"/>
      <c r="D66" s="295"/>
      <c r="E66" s="295"/>
      <c r="F66" s="295"/>
      <c r="G66" s="295"/>
      <c r="H66" s="295"/>
      <c r="I66" s="19"/>
      <c r="J66" s="19"/>
      <c r="K66" s="19"/>
      <c r="L66" s="19"/>
      <c r="M66" s="19"/>
      <c r="N66" s="19"/>
      <c r="O66" s="19"/>
      <c r="P66" s="19"/>
      <c r="Q66" s="19"/>
    </row>
    <row r="67" spans="1:19" x14ac:dyDescent="0.25">
      <c r="A67" s="1205"/>
      <c r="B67" s="9" t="s">
        <v>258</v>
      </c>
      <c r="C67" s="295">
        <f>C61+(C63*1000000/29487.1582406855)+(C64*1000000/25364.5039539246)</f>
        <v>15225.408834256337</v>
      </c>
      <c r="D67" s="295">
        <f t="shared" ref="D67" si="10">D61+D65</f>
        <v>216684.31578820036</v>
      </c>
      <c r="E67" s="295">
        <f>E61+(E63*1000000/29487.1582406855)+(E64*1000000/25364.5039539246)</f>
        <v>14356.952800256337</v>
      </c>
      <c r="F67" s="295">
        <f t="shared" ref="F67:H67" si="11">F61+(F63*1000000/29487.1582406855)+(F64*1000000/25364.5039539246)</f>
        <v>14408.93655836176</v>
      </c>
      <c r="G67" s="295">
        <f t="shared" si="11"/>
        <v>14628.10906456516</v>
      </c>
      <c r="H67" s="295">
        <f t="shared" si="11"/>
        <v>14797.649886791654</v>
      </c>
      <c r="I67" s="19">
        <f t="shared" ref="I67:P67" si="12">I61+I65</f>
        <v>0</v>
      </c>
      <c r="J67" s="19">
        <f t="shared" si="12"/>
        <v>0</v>
      </c>
      <c r="K67" s="19">
        <f t="shared" si="12"/>
        <v>0</v>
      </c>
      <c r="L67" s="19">
        <f t="shared" si="12"/>
        <v>0</v>
      </c>
      <c r="M67" s="19">
        <f t="shared" si="12"/>
        <v>0</v>
      </c>
      <c r="N67" s="19">
        <f t="shared" si="12"/>
        <v>0</v>
      </c>
      <c r="O67" s="19">
        <f t="shared" si="12"/>
        <v>0</v>
      </c>
      <c r="P67" s="19">
        <f t="shared" si="12"/>
        <v>0</v>
      </c>
      <c r="Q67" s="19"/>
    </row>
    <row r="68" spans="1:19" customFormat="1" x14ac:dyDescent="0.25">
      <c r="B68" s="270" t="s">
        <v>162</v>
      </c>
      <c r="C68" s="132">
        <f>C11+C29+C43+C49+C67</f>
        <v>219855.87478290632</v>
      </c>
      <c r="D68" s="132"/>
      <c r="E68" s="132">
        <f>E11+E29+E43+E49+E67</f>
        <v>121168.35958506633</v>
      </c>
      <c r="F68" s="132">
        <f>F11+F29+F43+F49+F67</f>
        <v>123479.57706166964</v>
      </c>
      <c r="G68" s="132">
        <f>G11+G29+G43+G49+G67</f>
        <v>127372.09525752538</v>
      </c>
      <c r="H68" s="132">
        <f>H11+H29+H43+H49+H67</f>
        <v>130943.54170981253</v>
      </c>
      <c r="I68" s="264"/>
    </row>
    <row r="69" spans="1:19" ht="13.8" thickBot="1" x14ac:dyDescent="0.3">
      <c r="A69" s="10"/>
      <c r="B69" s="10"/>
      <c r="C69" s="10"/>
      <c r="D69" s="10"/>
      <c r="E69" s="10"/>
      <c r="F69" s="10"/>
      <c r="G69" s="10"/>
      <c r="H69" s="10"/>
      <c r="I69" s="1003">
        <f>SUM(I8:I66)/2</f>
        <v>0</v>
      </c>
      <c r="J69" s="1003">
        <f>SUM(J8:J66)/2</f>
        <v>0</v>
      </c>
      <c r="K69" s="1003">
        <f>SUM(K8:K66)/2</f>
        <v>0</v>
      </c>
      <c r="L69" s="1003">
        <f>SUM(L8:L66)/2</f>
        <v>0</v>
      </c>
      <c r="M69" s="1003">
        <f>SUM(M8:M66)/2</f>
        <v>0</v>
      </c>
      <c r="N69" s="1003">
        <f t="shared" ref="N69:P69" si="13">SUM(N8:N66)/2</f>
        <v>0</v>
      </c>
      <c r="O69" s="1003">
        <f t="shared" si="13"/>
        <v>0</v>
      </c>
      <c r="P69" s="1003">
        <f t="shared" si="13"/>
        <v>0</v>
      </c>
      <c r="Q69" s="10"/>
      <c r="R69" s="10"/>
      <c r="S69" s="10"/>
    </row>
    <row r="70" spans="1:19" x14ac:dyDescent="0.25">
      <c r="A70" s="35" t="s">
        <v>23</v>
      </c>
      <c r="B70" s="36"/>
      <c r="C70" s="36"/>
      <c r="D70" s="36"/>
      <c r="E70" s="36"/>
      <c r="F70" s="36"/>
      <c r="G70" s="36"/>
      <c r="H70" s="36"/>
      <c r="I70" s="36"/>
      <c r="J70" s="36"/>
      <c r="K70" s="36"/>
      <c r="L70" s="36"/>
      <c r="M70" s="36"/>
      <c r="N70" s="36"/>
      <c r="O70" s="36"/>
      <c r="P70" s="36"/>
      <c r="Q70" s="36"/>
      <c r="R70" s="36"/>
    </row>
    <row r="71" spans="1:19" x14ac:dyDescent="0.25">
      <c r="A71" s="36"/>
      <c r="B71" s="36"/>
      <c r="C71" s="36"/>
      <c r="D71" s="36"/>
      <c r="E71" s="36"/>
      <c r="F71" s="36"/>
      <c r="G71" s="36"/>
      <c r="H71" s="36"/>
      <c r="I71" s="36"/>
      <c r="J71" s="36"/>
      <c r="K71" s="36"/>
      <c r="L71" s="36"/>
      <c r="M71" s="36"/>
      <c r="N71" s="36"/>
      <c r="O71" s="36"/>
      <c r="P71" s="36"/>
      <c r="Q71" s="36"/>
      <c r="R71" s="36"/>
    </row>
    <row r="72" spans="1:19" x14ac:dyDescent="0.25">
      <c r="A72" s="36"/>
      <c r="B72" s="36"/>
      <c r="C72" s="36"/>
      <c r="D72" s="36"/>
      <c r="E72" s="36"/>
      <c r="F72" s="36"/>
      <c r="G72" s="36"/>
      <c r="H72" s="36"/>
      <c r="I72" s="36"/>
      <c r="J72" s="36"/>
      <c r="K72" s="36"/>
      <c r="L72" s="36"/>
      <c r="M72" s="36"/>
      <c r="N72" s="36"/>
      <c r="O72" s="36"/>
      <c r="P72" s="36"/>
      <c r="Q72" s="36"/>
      <c r="R72" s="36"/>
    </row>
    <row r="73" spans="1:19" ht="26.4" x14ac:dyDescent="0.25">
      <c r="A73" s="37" t="s">
        <v>1037</v>
      </c>
      <c r="B73" s="454" t="s">
        <v>297</v>
      </c>
      <c r="C73" s="37" t="s">
        <v>1042</v>
      </c>
      <c r="D73" s="37" t="s">
        <v>1041</v>
      </c>
      <c r="E73" s="150" t="s">
        <v>598</v>
      </c>
      <c r="F73" s="38"/>
      <c r="G73" s="38"/>
      <c r="H73" s="36"/>
      <c r="I73" s="36"/>
      <c r="J73" s="36"/>
      <c r="K73" s="36"/>
      <c r="L73" s="36"/>
      <c r="M73" s="36"/>
      <c r="N73" s="36"/>
      <c r="O73" s="36"/>
      <c r="P73" s="36"/>
      <c r="Q73" s="36"/>
      <c r="R73" s="36"/>
    </row>
    <row r="74" spans="1:19" x14ac:dyDescent="0.25">
      <c r="A74" s="39" t="s">
        <v>519</v>
      </c>
      <c r="B74" s="21">
        <v>213</v>
      </c>
      <c r="C74" s="40">
        <f>'Biomass Data Assumptions'!B38*B74</f>
        <v>13908.9</v>
      </c>
      <c r="D74" s="40">
        <f>(C74*'Biomass Data Assumptions'!C38)/2000</f>
        <v>389.44920000000002</v>
      </c>
      <c r="E74" s="41"/>
      <c r="F74" s="41"/>
      <c r="G74" s="41"/>
      <c r="H74" s="36"/>
      <c r="I74" s="36"/>
      <c r="J74" s="36"/>
      <c r="K74" s="36"/>
      <c r="L74" s="36"/>
      <c r="M74" s="36"/>
      <c r="N74" s="36"/>
      <c r="O74" s="36"/>
      <c r="P74" s="36"/>
      <c r="Q74" s="36"/>
      <c r="R74" s="36"/>
    </row>
    <row r="75" spans="1:19" x14ac:dyDescent="0.25">
      <c r="A75" s="39" t="s">
        <v>520</v>
      </c>
      <c r="B75" s="21">
        <v>492</v>
      </c>
      <c r="C75" s="40">
        <f>'Biomass Data Assumptions'!B39*B75</f>
        <v>13431.6</v>
      </c>
      <c r="D75" s="40">
        <f>(C75*'Biomass Data Assumptions'!C39)/2000</f>
        <v>376.08479999999997</v>
      </c>
      <c r="E75" s="41"/>
      <c r="F75" s="41"/>
      <c r="G75" s="41"/>
      <c r="H75" s="36"/>
      <c r="I75" s="36"/>
      <c r="J75" s="36"/>
      <c r="K75" s="36"/>
      <c r="L75" s="36"/>
      <c r="M75" s="36"/>
      <c r="N75" s="36"/>
      <c r="O75" s="36"/>
      <c r="P75" s="36"/>
      <c r="Q75" s="36"/>
      <c r="R75" s="36"/>
    </row>
    <row r="76" spans="1:19" x14ac:dyDescent="0.25">
      <c r="A76" s="39" t="s">
        <v>521</v>
      </c>
      <c r="B76" s="21">
        <v>411</v>
      </c>
      <c r="C76" s="40">
        <f>'Biomass Data Assumptions'!B40*B76</f>
        <v>51375</v>
      </c>
      <c r="D76" s="40">
        <f>(C76*'Biomass Data Assumptions'!C40)/2000</f>
        <v>1438.5</v>
      </c>
      <c r="E76" s="41"/>
      <c r="F76" s="41"/>
      <c r="G76" s="41"/>
      <c r="H76" s="36"/>
      <c r="I76" s="36"/>
      <c r="J76" s="36"/>
      <c r="K76" s="36"/>
      <c r="L76" s="36"/>
      <c r="M76" s="36"/>
      <c r="N76" s="36"/>
      <c r="O76" s="36"/>
      <c r="P76" s="36"/>
      <c r="Q76" s="36"/>
      <c r="R76" s="36"/>
    </row>
    <row r="77" spans="1:19" x14ac:dyDescent="0.25">
      <c r="A77" s="39" t="s">
        <v>525</v>
      </c>
      <c r="B77" s="21">
        <v>194</v>
      </c>
      <c r="C77" s="40">
        <f>'Biomass Data Assumptions'!B41*B77</f>
        <v>6208</v>
      </c>
      <c r="D77" s="40">
        <f>(C77*'Biomass Data Assumptions'!C41)/2000</f>
        <v>186.24</v>
      </c>
      <c r="E77" s="41"/>
      <c r="F77" s="41"/>
      <c r="G77" s="41"/>
      <c r="H77" s="36"/>
      <c r="I77" s="36"/>
      <c r="J77" s="36"/>
      <c r="K77" s="36"/>
      <c r="L77" s="36"/>
      <c r="M77" s="36"/>
      <c r="N77" s="36"/>
      <c r="O77" s="36"/>
      <c r="P77" s="36"/>
      <c r="Q77" s="36"/>
      <c r="R77" s="36"/>
    </row>
    <row r="78" spans="1:19" x14ac:dyDescent="0.25">
      <c r="A78" s="39" t="s">
        <v>522</v>
      </c>
      <c r="B78" s="21">
        <v>148</v>
      </c>
      <c r="C78" s="40">
        <f>'Biomass Data Assumptions'!B42*B78</f>
        <v>7992</v>
      </c>
      <c r="D78" s="40">
        <f>(C78*'Biomass Data Assumptions'!C42)/2000</f>
        <v>239.76</v>
      </c>
      <c r="E78" s="41"/>
      <c r="F78" s="41"/>
      <c r="G78" s="41"/>
      <c r="H78" s="36"/>
      <c r="I78" s="36"/>
      <c r="J78" s="36"/>
      <c r="K78" s="36"/>
      <c r="L78" s="36"/>
      <c r="M78" s="36"/>
      <c r="N78" s="36"/>
      <c r="O78" s="36"/>
      <c r="P78" s="36"/>
      <c r="Q78" s="36"/>
      <c r="R78" s="36"/>
    </row>
    <row r="79" spans="1:19" x14ac:dyDescent="0.25">
      <c r="A79" s="36"/>
      <c r="B79" s="36"/>
      <c r="C79" s="36"/>
      <c r="D79" s="36"/>
      <c r="E79" s="36"/>
      <c r="F79" s="36"/>
      <c r="G79" s="36"/>
      <c r="H79" s="36"/>
      <c r="I79" s="36"/>
      <c r="J79" s="36"/>
      <c r="K79" s="36"/>
      <c r="L79" s="36"/>
      <c r="M79" s="36"/>
      <c r="N79" s="36"/>
      <c r="O79" s="36"/>
      <c r="P79" s="36"/>
      <c r="Q79" s="36"/>
      <c r="R79" s="36"/>
    </row>
    <row r="80" spans="1:19" ht="39.6" x14ac:dyDescent="0.25">
      <c r="A80" s="37" t="s">
        <v>1038</v>
      </c>
      <c r="B80" s="454" t="s">
        <v>297</v>
      </c>
      <c r="C80" s="37" t="s">
        <v>1041</v>
      </c>
      <c r="D80" s="37" t="s">
        <v>1036</v>
      </c>
      <c r="E80" s="150" t="s">
        <v>598</v>
      </c>
      <c r="F80" s="38"/>
      <c r="G80" s="38"/>
      <c r="H80" s="36"/>
      <c r="I80" s="36"/>
      <c r="J80" s="36"/>
      <c r="K80" s="36"/>
      <c r="L80" s="36"/>
      <c r="M80" s="36"/>
      <c r="N80" s="36"/>
      <c r="O80" s="36"/>
      <c r="P80" s="36"/>
      <c r="Q80" s="36"/>
      <c r="R80" s="36"/>
    </row>
    <row r="81" spans="1:18" x14ac:dyDescent="0.25">
      <c r="A81" s="39" t="s">
        <v>527</v>
      </c>
      <c r="B81" s="21">
        <v>443</v>
      </c>
      <c r="C81" s="40">
        <f>'Biomass Data Assumptions'!B49*B81</f>
        <v>443</v>
      </c>
      <c r="D81" s="40">
        <f>C81*'Energy Content Assumptions'!C11</f>
        <v>376.55</v>
      </c>
      <c r="E81" s="41"/>
      <c r="F81" s="41"/>
      <c r="G81" s="41"/>
      <c r="H81" s="36"/>
      <c r="I81" s="36"/>
      <c r="J81" s="36"/>
      <c r="K81" s="36"/>
      <c r="L81" s="36"/>
      <c r="M81" s="36"/>
      <c r="N81" s="36"/>
      <c r="O81" s="36"/>
      <c r="P81" s="36"/>
      <c r="Q81" s="36"/>
      <c r="R81" s="36"/>
    </row>
    <row r="82" spans="1:18" x14ac:dyDescent="0.25">
      <c r="A82" s="39" t="s">
        <v>520</v>
      </c>
      <c r="B82" s="21">
        <f>492+169</f>
        <v>661</v>
      </c>
      <c r="C82" s="40">
        <f>'Biomass Data Assumptions'!B50*B82</f>
        <v>1487.25</v>
      </c>
      <c r="D82" s="40">
        <f>C82*'Energy Content Assumptions'!C12</f>
        <v>1264.1624999999999</v>
      </c>
      <c r="E82" s="41"/>
      <c r="F82" s="41"/>
      <c r="G82" s="41"/>
      <c r="H82" s="36"/>
      <c r="I82" s="36"/>
      <c r="J82" s="36"/>
      <c r="K82" s="36"/>
      <c r="L82" s="36"/>
      <c r="M82" s="36"/>
      <c r="N82" s="36"/>
      <c r="O82" s="36"/>
      <c r="P82" s="36"/>
      <c r="Q82" s="36"/>
      <c r="R82" s="36"/>
    </row>
    <row r="83" spans="1:18" x14ac:dyDescent="0.25">
      <c r="A83" s="39" t="s">
        <v>521</v>
      </c>
      <c r="B83" s="21">
        <v>411</v>
      </c>
      <c r="C83" s="40">
        <f>'Biomass Data Assumptions'!B51*B83</f>
        <v>1027.5</v>
      </c>
      <c r="D83" s="40">
        <f>C83*'Energy Content Assumptions'!C13</f>
        <v>873.375</v>
      </c>
      <c r="E83" s="41"/>
      <c r="F83" s="41"/>
      <c r="G83" s="41"/>
      <c r="H83" s="36"/>
      <c r="I83" s="36"/>
      <c r="J83" s="36"/>
      <c r="K83" s="36"/>
      <c r="L83" s="36"/>
      <c r="M83" s="36"/>
      <c r="N83" s="36"/>
      <c r="O83" s="36"/>
      <c r="P83" s="36"/>
      <c r="Q83" s="36"/>
      <c r="R83" s="36"/>
    </row>
    <row r="84" spans="1:18" x14ac:dyDescent="0.25">
      <c r="A84" s="39" t="s">
        <v>528</v>
      </c>
      <c r="B84" s="21">
        <v>16</v>
      </c>
      <c r="C84" s="40">
        <f>'Biomass Data Assumptions'!B52*B84</f>
        <v>262.39999999999998</v>
      </c>
      <c r="D84" s="40">
        <f>C84*'Energy Content Assumptions'!C14</f>
        <v>91.839999999999989</v>
      </c>
      <c r="E84" s="41"/>
      <c r="F84" s="41"/>
      <c r="G84" s="41"/>
      <c r="H84" s="36"/>
      <c r="I84" s="36"/>
      <c r="J84" s="36"/>
      <c r="K84" s="36"/>
      <c r="L84" s="36"/>
      <c r="M84" s="36"/>
      <c r="N84" s="36"/>
      <c r="O84" s="36"/>
      <c r="P84" s="36"/>
      <c r="Q84" s="36"/>
      <c r="R84" s="36"/>
    </row>
    <row r="85" spans="1:18" x14ac:dyDescent="0.25">
      <c r="A85" s="39" t="s">
        <v>529</v>
      </c>
      <c r="B85" s="21">
        <v>605</v>
      </c>
      <c r="C85" s="40">
        <f>'Biomass Data Assumptions'!B53*B85</f>
        <v>1936</v>
      </c>
      <c r="D85" s="40">
        <f>C85*'Energy Content Assumptions'!C15</f>
        <v>1645.6</v>
      </c>
      <c r="E85" s="41"/>
      <c r="F85" s="41"/>
      <c r="G85" s="41"/>
      <c r="H85" s="36"/>
      <c r="I85" s="36"/>
      <c r="J85" s="36"/>
      <c r="K85" s="36"/>
      <c r="L85" s="36"/>
      <c r="M85" s="36"/>
      <c r="N85" s="36"/>
      <c r="O85" s="36"/>
      <c r="P85" s="36"/>
      <c r="Q85" s="36"/>
      <c r="R85" s="36"/>
    </row>
    <row r="86" spans="1:18" x14ac:dyDescent="0.25">
      <c r="A86" s="39" t="s">
        <v>530</v>
      </c>
      <c r="B86" s="21">
        <v>710</v>
      </c>
      <c r="C86" s="40">
        <f>'Biomass Data Assumptions'!B54*B86</f>
        <v>1207</v>
      </c>
      <c r="D86" s="40">
        <f>C86*'Energy Content Assumptions'!C16</f>
        <v>1025.95</v>
      </c>
      <c r="E86" s="41"/>
      <c r="F86" s="41"/>
      <c r="G86" s="41"/>
      <c r="H86" s="36"/>
      <c r="I86" s="36"/>
      <c r="J86" s="36"/>
      <c r="K86" s="36"/>
      <c r="L86" s="36"/>
      <c r="M86" s="36"/>
      <c r="N86" s="36"/>
      <c r="O86" s="36"/>
      <c r="P86" s="36"/>
      <c r="Q86" s="36"/>
      <c r="R86" s="36"/>
    </row>
    <row r="87" spans="1:18" x14ac:dyDescent="0.25">
      <c r="A87" s="39" t="s">
        <v>522</v>
      </c>
      <c r="B87" s="21">
        <v>160</v>
      </c>
      <c r="C87" s="40">
        <f>'Biomass Data Assumptions'!B55*B87</f>
        <v>280</v>
      </c>
      <c r="D87" s="40">
        <f>C87*'Energy Content Assumptions'!C17</f>
        <v>238</v>
      </c>
      <c r="E87" s="41"/>
      <c r="F87" s="41"/>
      <c r="G87" s="41"/>
      <c r="H87" s="36"/>
      <c r="I87" s="36"/>
      <c r="J87" s="36"/>
      <c r="K87" s="36"/>
      <c r="L87" s="36"/>
      <c r="M87" s="36"/>
      <c r="N87" s="36"/>
      <c r="O87" s="36"/>
      <c r="P87" s="36"/>
      <c r="Q87" s="36"/>
      <c r="R87" s="36"/>
    </row>
    <row r="88" spans="1:18" x14ac:dyDescent="0.25">
      <c r="A88" s="43"/>
      <c r="B88" s="41"/>
      <c r="C88" s="41"/>
      <c r="D88" s="41"/>
      <c r="E88" s="41"/>
      <c r="F88" s="41"/>
      <c r="G88" s="41"/>
      <c r="H88" s="36"/>
      <c r="I88" s="36"/>
      <c r="J88" s="36"/>
      <c r="K88" s="36"/>
      <c r="L88" s="36"/>
      <c r="M88" s="36"/>
      <c r="N88" s="36"/>
      <c r="O88" s="36"/>
      <c r="P88" s="36"/>
      <c r="Q88" s="36"/>
      <c r="R88" s="36"/>
    </row>
    <row r="89" spans="1:18" x14ac:dyDescent="0.25">
      <c r="A89" s="43"/>
      <c r="B89" s="640" t="s">
        <v>297</v>
      </c>
      <c r="C89" s="122" t="s">
        <v>299</v>
      </c>
      <c r="D89" s="122" t="s">
        <v>300</v>
      </c>
      <c r="E89" s="41"/>
      <c r="F89" s="41"/>
      <c r="G89" s="41"/>
      <c r="H89" s="36"/>
      <c r="I89" s="36"/>
      <c r="J89" s="36"/>
      <c r="K89" s="36"/>
      <c r="L89" s="36"/>
      <c r="M89" s="36"/>
      <c r="N89" s="36"/>
      <c r="O89" s="36"/>
      <c r="P89" s="36"/>
      <c r="Q89" s="36"/>
      <c r="R89" s="36"/>
    </row>
    <row r="90" spans="1:18" x14ac:dyDescent="0.25">
      <c r="A90" s="43" t="s">
        <v>296</v>
      </c>
      <c r="B90" s="85">
        <f>IF('Prac. Rec. Assumptions'!B56='Prac. Rec. Assumptions'!V3,0,SUM(IF('Prac. Rec. Assumptions'!B57="Yes",B74,0),IF('Prac. Rec. Assumptions'!B58="Yes",B81,0),IF('Prac. Rec. Assumptions'!B59="Yes",B82,0),IF('Prac. Rec. Assumptions'!B60="Yes",B83,0),IF('Prac. Rec. Assumptions'!B61="Yes",B84,0),IF('Prac. Rec. Assumptions'!B62="Yes",B85,0),IF('Prac. Rec. Assumptions'!B63="Yes",B86,0),IF('Prac. Rec. Assumptions'!B64="Yes",B87,0)))</f>
        <v>0</v>
      </c>
      <c r="C90" s="41">
        <f>IF('Prac. Rec. Assumptions'!B56='Prac. Rec. Assumptions'!V1,'Biomass Data Assumptions'!C46,IF('Prac. Rec. Assumptions'!B56='Prac. Rec. Assumptions'!V2,'Biomass Data Assumptions'!C45,0))</f>
        <v>0</v>
      </c>
      <c r="D90" s="41">
        <f>(C90*'Energy Content Assumptions'!C9)*B90</f>
        <v>0</v>
      </c>
      <c r="E90" s="41"/>
      <c r="F90" s="41"/>
      <c r="G90" s="41"/>
      <c r="H90" s="36"/>
      <c r="I90" s="36"/>
      <c r="J90" s="36"/>
      <c r="K90" s="36"/>
      <c r="L90" s="36"/>
      <c r="M90" s="36"/>
      <c r="N90" s="36"/>
      <c r="O90" s="36"/>
      <c r="P90" s="36"/>
      <c r="Q90" s="36"/>
      <c r="R90" s="36"/>
    </row>
    <row r="91" spans="1:18" x14ac:dyDescent="0.25">
      <c r="A91" s="36"/>
      <c r="B91" s="36"/>
      <c r="C91" s="36"/>
      <c r="D91" s="36"/>
      <c r="E91" s="36"/>
      <c r="F91" s="36"/>
      <c r="G91" s="36"/>
      <c r="H91" s="36"/>
      <c r="I91" s="36"/>
      <c r="J91" s="36"/>
      <c r="K91" s="36"/>
      <c r="L91" s="36"/>
      <c r="M91" s="36"/>
      <c r="N91" s="36"/>
      <c r="O91" s="36"/>
      <c r="P91" s="36"/>
      <c r="Q91" s="36"/>
      <c r="R91" s="36"/>
    </row>
    <row r="92" spans="1:18" ht="39.6" x14ac:dyDescent="0.25">
      <c r="A92" s="42" t="s">
        <v>531</v>
      </c>
      <c r="B92" s="455" t="s">
        <v>298</v>
      </c>
      <c r="C92" s="38" t="s">
        <v>1050</v>
      </c>
      <c r="D92" s="38" t="s">
        <v>1045</v>
      </c>
      <c r="E92" s="38" t="s">
        <v>1048</v>
      </c>
      <c r="F92" s="38" t="s">
        <v>1047</v>
      </c>
      <c r="G92" s="38" t="s">
        <v>1046</v>
      </c>
      <c r="H92" s="36" t="s">
        <v>599</v>
      </c>
      <c r="I92" s="36"/>
      <c r="J92" s="38"/>
      <c r="K92" s="38"/>
      <c r="L92" s="38"/>
      <c r="M92" s="38"/>
      <c r="N92" s="36"/>
      <c r="O92" s="36"/>
      <c r="P92" s="36"/>
      <c r="Q92" s="36"/>
      <c r="R92" s="36"/>
    </row>
    <row r="93" spans="1:18" x14ac:dyDescent="0.25">
      <c r="A93" s="42"/>
      <c r="B93" s="38"/>
      <c r="C93" s="38"/>
      <c r="D93" s="38"/>
      <c r="E93" s="38"/>
      <c r="F93" s="36"/>
      <c r="G93" s="36"/>
      <c r="H93" s="36"/>
      <c r="I93" s="36"/>
      <c r="J93" s="38"/>
      <c r="K93" s="38"/>
      <c r="L93" s="38"/>
      <c r="M93" s="38"/>
      <c r="N93" s="36"/>
      <c r="O93" s="36"/>
      <c r="P93" s="36"/>
      <c r="Q93" s="36"/>
      <c r="R93" s="36"/>
    </row>
    <row r="94" spans="1:18" x14ac:dyDescent="0.25">
      <c r="A94" s="459"/>
      <c r="B94" s="457"/>
      <c r="C94" s="458"/>
      <c r="D94" s="458"/>
      <c r="E94" s="463"/>
      <c r="F94" s="457"/>
      <c r="G94" s="457"/>
      <c r="H94" s="36"/>
      <c r="I94" s="36"/>
      <c r="J94" s="44"/>
      <c r="K94" s="44"/>
      <c r="L94" s="44"/>
      <c r="M94" s="44"/>
      <c r="N94" s="36"/>
      <c r="O94" s="36"/>
      <c r="P94" s="36"/>
      <c r="Q94" s="36"/>
      <c r="R94" s="36"/>
    </row>
    <row r="95" spans="1:18" x14ac:dyDescent="0.25">
      <c r="A95" s="456"/>
      <c r="B95" s="458"/>
      <c r="C95" s="458"/>
      <c r="D95" s="458"/>
      <c r="E95" s="458"/>
      <c r="F95" s="458"/>
      <c r="G95" s="458"/>
      <c r="H95" s="36"/>
      <c r="I95" s="36"/>
      <c r="J95" s="41"/>
      <c r="K95" s="41"/>
      <c r="L95" s="41"/>
      <c r="M95" s="41"/>
      <c r="N95" s="36"/>
      <c r="O95" s="36"/>
      <c r="P95" s="36"/>
      <c r="Q95" s="36"/>
      <c r="R95" s="36"/>
    </row>
    <row r="96" spans="1:18" x14ac:dyDescent="0.25">
      <c r="A96" s="456"/>
      <c r="B96" s="458"/>
      <c r="C96" s="458"/>
      <c r="D96" s="458"/>
      <c r="E96" s="458"/>
      <c r="F96" s="458"/>
      <c r="G96" s="458"/>
      <c r="H96" s="36"/>
      <c r="I96" s="36"/>
      <c r="J96" s="41"/>
      <c r="K96" s="41"/>
      <c r="L96" s="41"/>
      <c r="M96" s="41"/>
      <c r="N96" s="36"/>
      <c r="O96" s="36"/>
      <c r="P96" s="36"/>
      <c r="Q96" s="36"/>
      <c r="R96" s="36"/>
    </row>
    <row r="97" spans="1:18" x14ac:dyDescent="0.25">
      <c r="A97" s="467" t="s">
        <v>535</v>
      </c>
      <c r="B97" s="85">
        <v>123</v>
      </c>
      <c r="C97" s="41">
        <f>ROUND('Biomass Data Assumptions'!$B$60/1000*B97,0)</f>
        <v>123</v>
      </c>
      <c r="D97" s="41">
        <f>'Biomass Data Assumptions'!$C$60*C97</f>
        <v>4130340</v>
      </c>
      <c r="E97" s="41">
        <f>('Biomass Data Assumptions'!$D$60*'Energy Content Assumptions'!$C$44*D97)/2000</f>
        <v>49.564080000000004</v>
      </c>
      <c r="F97" s="41">
        <f>('Biomass Data Assumptions'!$E$60*B97*365)/2000</f>
        <v>89.79</v>
      </c>
      <c r="G97" s="41">
        <f>F97+E97</f>
        <v>139.35408000000001</v>
      </c>
      <c r="H97" s="36"/>
      <c r="I97" s="36"/>
      <c r="J97" s="41"/>
      <c r="K97" s="41"/>
      <c r="L97" s="41"/>
      <c r="M97" s="41"/>
      <c r="N97" s="36"/>
      <c r="O97" s="36"/>
      <c r="P97" s="36"/>
      <c r="Q97" s="36"/>
      <c r="R97" s="36"/>
    </row>
    <row r="98" spans="1:18" x14ac:dyDescent="0.25">
      <c r="A98" s="46"/>
      <c r="B98" s="41"/>
      <c r="C98" s="41"/>
      <c r="D98" s="41"/>
      <c r="E98" s="41"/>
      <c r="F98" s="41"/>
      <c r="G98" s="41"/>
      <c r="H98" s="36"/>
      <c r="I98" s="36"/>
      <c r="J98" s="41"/>
      <c r="K98" s="41"/>
      <c r="L98" s="41"/>
      <c r="M98" s="41"/>
      <c r="N98" s="36"/>
      <c r="O98" s="36"/>
      <c r="P98" s="36"/>
      <c r="Q98" s="36"/>
      <c r="R98" s="36"/>
    </row>
    <row r="99" spans="1:18" x14ac:dyDescent="0.25">
      <c r="A99" s="43" t="s">
        <v>539</v>
      </c>
      <c r="B99" s="47"/>
      <c r="C99" s="41"/>
      <c r="D99" s="41"/>
      <c r="E99" s="41"/>
      <c r="F99" s="41"/>
      <c r="G99" s="41"/>
      <c r="H99" s="36"/>
      <c r="I99" s="36"/>
      <c r="J99" s="41"/>
      <c r="K99" s="41"/>
      <c r="L99" s="41"/>
      <c r="M99" s="41"/>
      <c r="N99" s="36"/>
      <c r="O99" s="36"/>
      <c r="P99" s="36"/>
      <c r="Q99" s="36"/>
      <c r="R99" s="36"/>
    </row>
    <row r="100" spans="1:18" x14ac:dyDescent="0.25">
      <c r="A100" s="460" t="s">
        <v>603</v>
      </c>
      <c r="B100" s="85">
        <v>10</v>
      </c>
      <c r="C100" s="41">
        <f>ROUND('Biomass Data Assumptions'!B62/1000*B100,0)</f>
        <v>4</v>
      </c>
      <c r="D100" s="41">
        <f>'Biomass Data Assumptions'!C62*C100</f>
        <v>116800</v>
      </c>
      <c r="E100" s="41">
        <f>('Biomass Data Assumptions'!D62*'Energy Content Assumptions'!C46*D100)/2000</f>
        <v>5.2560000000000002</v>
      </c>
      <c r="F100" s="41">
        <f>('Biomass Data Assumptions'!E62*B100*365)/2000</f>
        <v>9.125</v>
      </c>
      <c r="G100" s="41">
        <f>F100+E100</f>
        <v>14.381</v>
      </c>
      <c r="H100" s="36"/>
      <c r="I100" s="36"/>
      <c r="J100" s="41"/>
      <c r="K100" s="41"/>
      <c r="L100" s="41"/>
      <c r="M100" s="41"/>
      <c r="N100" s="36"/>
      <c r="O100" s="36"/>
      <c r="P100" s="36"/>
      <c r="Q100" s="36"/>
      <c r="R100" s="36"/>
    </row>
    <row r="101" spans="1:18" hidden="1" x14ac:dyDescent="0.25">
      <c r="A101" s="456"/>
      <c r="B101" s="458"/>
      <c r="C101" s="458"/>
      <c r="D101" s="458"/>
      <c r="E101" s="458"/>
      <c r="F101" s="458"/>
      <c r="G101" s="458"/>
      <c r="H101" s="36"/>
      <c r="I101" s="36"/>
      <c r="J101" s="41"/>
      <c r="K101" s="41"/>
      <c r="L101" s="41"/>
      <c r="M101" s="41"/>
      <c r="N101" s="36"/>
      <c r="O101" s="36"/>
      <c r="P101" s="36"/>
      <c r="Q101" s="36"/>
      <c r="R101" s="36"/>
    </row>
    <row r="102" spans="1:18" ht="11.25" customHeight="1" x14ac:dyDescent="0.25">
      <c r="A102" s="460" t="s">
        <v>604</v>
      </c>
      <c r="B102" s="85">
        <v>1</v>
      </c>
      <c r="C102" s="41">
        <f>ROUND('Biomass Data Assumptions'!B64/1000*B102,0)</f>
        <v>1</v>
      </c>
      <c r="D102" s="41">
        <f>'Biomass Data Assumptions'!C64*C102</f>
        <v>40515</v>
      </c>
      <c r="E102" s="41">
        <f>('Biomass Data Assumptions'!D64*'Energy Content Assumptions'!C48*D102)/2000</f>
        <v>1.823175</v>
      </c>
      <c r="F102" s="41">
        <f>'Biomass Data Assumptions'!E64*B102*365/2000</f>
        <v>1.825</v>
      </c>
      <c r="G102" s="41">
        <f>F102+E102</f>
        <v>3.6481750000000002</v>
      </c>
      <c r="H102" s="36"/>
      <c r="I102" s="36"/>
      <c r="J102" s="41"/>
      <c r="K102" s="41"/>
      <c r="L102" s="41"/>
      <c r="M102" s="41"/>
      <c r="N102" s="36"/>
      <c r="O102" s="36"/>
      <c r="P102" s="36"/>
      <c r="Q102" s="36"/>
      <c r="R102" s="36"/>
    </row>
    <row r="103" spans="1:18" hidden="1" x14ac:dyDescent="0.25">
      <c r="A103" s="456"/>
      <c r="B103" s="458"/>
      <c r="C103" s="458"/>
      <c r="D103" s="458"/>
      <c r="E103" s="458"/>
      <c r="F103" s="458"/>
      <c r="G103" s="458"/>
      <c r="H103" s="36"/>
      <c r="I103" s="36"/>
      <c r="J103" s="41"/>
      <c r="K103" s="41"/>
      <c r="L103" s="41"/>
      <c r="M103" s="41"/>
      <c r="N103" s="36"/>
      <c r="O103" s="36"/>
      <c r="P103" s="36"/>
      <c r="Q103" s="36"/>
      <c r="R103" s="36"/>
    </row>
    <row r="104" spans="1:18" x14ac:dyDescent="0.25">
      <c r="A104" s="467" t="s">
        <v>544</v>
      </c>
      <c r="B104" s="85">
        <v>11</v>
      </c>
      <c r="C104" s="41">
        <f>SUM(C100:C103)</f>
        <v>5</v>
      </c>
      <c r="D104" s="41">
        <f>SUM(D100:D103)</f>
        <v>157315</v>
      </c>
      <c r="E104" s="41">
        <f>SUM(E100:E103)</f>
        <v>7.0791750000000002</v>
      </c>
      <c r="F104" s="41">
        <f>SUM(F100:F103)</f>
        <v>10.95</v>
      </c>
      <c r="G104" s="41">
        <f>SUM(G100:G103)</f>
        <v>18.029175000000002</v>
      </c>
      <c r="H104" s="36"/>
      <c r="I104" s="36"/>
      <c r="J104" s="41"/>
      <c r="K104" s="41"/>
      <c r="L104" s="41"/>
      <c r="M104" s="41"/>
      <c r="N104" s="36"/>
      <c r="O104" s="36"/>
      <c r="P104" s="36"/>
      <c r="Q104" s="36"/>
      <c r="R104" s="36"/>
    </row>
    <row r="105" spans="1:18" x14ac:dyDescent="0.25">
      <c r="A105" s="46"/>
      <c r="B105" s="41"/>
      <c r="C105" s="41"/>
      <c r="D105" s="41"/>
      <c r="E105" s="41"/>
      <c r="F105" s="41"/>
      <c r="G105" s="41"/>
      <c r="H105" s="36"/>
      <c r="I105" s="36"/>
      <c r="J105" s="41"/>
      <c r="K105" s="41"/>
      <c r="L105" s="41"/>
      <c r="M105" s="41"/>
      <c r="N105" s="36"/>
      <c r="O105" s="36"/>
      <c r="P105" s="36"/>
      <c r="Q105" s="36"/>
      <c r="R105" s="36"/>
    </row>
    <row r="106" spans="1:18" x14ac:dyDescent="0.25">
      <c r="A106" s="43" t="s">
        <v>545</v>
      </c>
      <c r="B106" s="85">
        <v>500</v>
      </c>
      <c r="C106" s="41">
        <f>ROUND('Biomass Data Assumptions'!B66/1000*B106,0)</f>
        <v>500</v>
      </c>
      <c r="D106" s="41">
        <f>'Biomass Data Assumptions'!C66*C106</f>
        <v>10128750</v>
      </c>
      <c r="E106" s="41">
        <f>('Biomass Data Assumptions'!D66*'Energy Content Assumptions'!C50*D106)/2000</f>
        <v>354.50625000000008</v>
      </c>
      <c r="F106" s="41">
        <f>'Biomass Data Assumptions'!E66*B106*365/2000</f>
        <v>1368.75</v>
      </c>
      <c r="G106" s="41">
        <f>F106+E106</f>
        <v>1723.2562500000001</v>
      </c>
      <c r="H106" s="36"/>
      <c r="I106" s="36"/>
      <c r="J106" s="41"/>
      <c r="K106" s="41"/>
      <c r="L106" s="41"/>
      <c r="M106" s="41"/>
      <c r="N106" s="36"/>
      <c r="O106" s="36"/>
      <c r="P106" s="36"/>
      <c r="Q106" s="36"/>
      <c r="R106" s="36"/>
    </row>
    <row r="107" spans="1:18" x14ac:dyDescent="0.25">
      <c r="A107" s="43"/>
      <c r="B107" s="41"/>
      <c r="C107" s="41"/>
      <c r="D107" s="41"/>
      <c r="E107" s="41"/>
      <c r="F107" s="41"/>
      <c r="G107" s="41"/>
      <c r="H107" s="36"/>
      <c r="I107" s="36"/>
      <c r="J107" s="41"/>
      <c r="K107" s="41"/>
      <c r="L107" s="41"/>
      <c r="M107" s="41"/>
      <c r="N107" s="36"/>
      <c r="O107" s="36"/>
      <c r="P107" s="36"/>
      <c r="Q107" s="36"/>
      <c r="R107" s="36"/>
    </row>
    <row r="108" spans="1:18" x14ac:dyDescent="0.25">
      <c r="A108" s="43" t="s">
        <v>546</v>
      </c>
      <c r="B108" s="85">
        <v>114</v>
      </c>
      <c r="C108" s="41">
        <f>ROUND('Biomass Data Assumptions'!B67/1000*B108,0)</f>
        <v>11</v>
      </c>
      <c r="D108" s="41">
        <f>'Biomass Data Assumptions'!C67*C108</f>
        <v>164615</v>
      </c>
      <c r="E108" s="41">
        <f>('Biomass Data Assumptions'!D67*'Energy Content Assumptions'!C51*D108)/2000</f>
        <v>4.1153750000000002</v>
      </c>
      <c r="F108" s="41">
        <f>'Biomass Data Assumptions'!E67*B108*365/2000</f>
        <v>20.805</v>
      </c>
      <c r="G108" s="41">
        <f>F108+E108</f>
        <v>24.920375</v>
      </c>
      <c r="H108" s="36"/>
      <c r="I108" s="36"/>
      <c r="J108" s="41"/>
      <c r="K108" s="41"/>
      <c r="L108" s="41"/>
      <c r="M108" s="41"/>
      <c r="N108" s="36"/>
      <c r="O108" s="36"/>
      <c r="P108" s="36"/>
      <c r="Q108" s="36"/>
      <c r="R108" s="36"/>
    </row>
    <row r="109" spans="1:18" x14ac:dyDescent="0.25">
      <c r="A109" s="43"/>
      <c r="B109" s="41"/>
      <c r="C109" s="41"/>
      <c r="D109" s="41"/>
      <c r="E109" s="41"/>
      <c r="F109" s="41"/>
      <c r="G109" s="41"/>
      <c r="H109" s="36"/>
      <c r="I109" s="36"/>
      <c r="J109" s="41"/>
      <c r="K109" s="41"/>
      <c r="L109" s="41"/>
      <c r="M109" s="41"/>
      <c r="N109" s="36"/>
      <c r="O109" s="36"/>
      <c r="P109" s="36"/>
      <c r="Q109" s="36"/>
      <c r="R109" s="36"/>
    </row>
    <row r="110" spans="1:18" x14ac:dyDescent="0.25">
      <c r="A110" s="43" t="s">
        <v>547</v>
      </c>
      <c r="B110" s="85">
        <v>211</v>
      </c>
      <c r="C110" s="41">
        <f>ROUND('Biomass Data Assumptions'!B68/1000*B110,0)</f>
        <v>21</v>
      </c>
      <c r="D110" s="41">
        <f>'Biomass Data Assumptions'!C68*C110</f>
        <v>314265</v>
      </c>
      <c r="E110" s="41">
        <f>('Biomass Data Assumptions'!D68*'Energy Content Assumptions'!C52*D110)/2000</f>
        <v>7.8566250000000002</v>
      </c>
      <c r="F110" s="41">
        <f>'Biomass Data Assumptions'!E68*B110*365/2000</f>
        <v>38.5075</v>
      </c>
      <c r="G110" s="41">
        <f>F110+E110</f>
        <v>46.364125000000001</v>
      </c>
      <c r="H110" s="36"/>
      <c r="I110" s="36"/>
      <c r="J110" s="41"/>
      <c r="K110" s="41"/>
      <c r="L110" s="41"/>
      <c r="M110" s="41"/>
      <c r="N110" s="36"/>
      <c r="O110" s="36"/>
      <c r="P110" s="36"/>
      <c r="Q110" s="36"/>
      <c r="R110" s="36"/>
    </row>
    <row r="111" spans="1:18" ht="10.5" customHeight="1" x14ac:dyDescent="0.25">
      <c r="A111" s="43"/>
      <c r="B111" s="41"/>
      <c r="C111" s="41"/>
      <c r="D111" s="41"/>
      <c r="E111" s="41"/>
      <c r="F111" s="41"/>
      <c r="G111" s="41"/>
      <c r="H111" s="36"/>
      <c r="I111" s="36"/>
      <c r="J111" s="41"/>
      <c r="K111" s="41"/>
      <c r="L111" s="41"/>
      <c r="M111" s="41"/>
      <c r="N111" s="36"/>
      <c r="O111" s="36"/>
      <c r="P111" s="36"/>
      <c r="Q111" s="36"/>
      <c r="R111" s="36"/>
    </row>
    <row r="112" spans="1:18" hidden="1" x14ac:dyDescent="0.25">
      <c r="A112" s="43" t="s">
        <v>548</v>
      </c>
      <c r="B112" s="36"/>
      <c r="C112" s="41"/>
      <c r="D112" s="41"/>
      <c r="E112" s="41"/>
      <c r="F112" s="41"/>
      <c r="G112" s="41"/>
      <c r="H112" s="36"/>
      <c r="I112" s="36"/>
      <c r="J112" s="41"/>
      <c r="K112" s="41"/>
      <c r="L112" s="41"/>
      <c r="M112" s="41"/>
      <c r="N112" s="36"/>
      <c r="O112" s="36"/>
      <c r="P112" s="36"/>
      <c r="Q112" s="36"/>
      <c r="R112" s="36"/>
    </row>
    <row r="113" spans="1:18" hidden="1" x14ac:dyDescent="0.25">
      <c r="A113" s="45"/>
      <c r="B113" s="85"/>
      <c r="C113" s="41"/>
      <c r="D113" s="41"/>
      <c r="E113" s="41"/>
      <c r="F113" s="41"/>
      <c r="G113" s="41"/>
      <c r="H113" s="36"/>
      <c r="I113" s="36"/>
      <c r="J113" s="41"/>
      <c r="K113" s="41"/>
      <c r="L113" s="41"/>
      <c r="M113" s="41"/>
      <c r="N113" s="36"/>
      <c r="O113" s="36"/>
      <c r="P113" s="36"/>
      <c r="Q113" s="36"/>
      <c r="R113" s="36"/>
    </row>
    <row r="114" spans="1:18" hidden="1" x14ac:dyDescent="0.25">
      <c r="A114" s="45"/>
      <c r="B114" s="85"/>
      <c r="C114" s="41"/>
      <c r="D114" s="41"/>
      <c r="E114" s="41"/>
      <c r="F114" s="41"/>
      <c r="G114" s="41"/>
      <c r="H114" s="36"/>
      <c r="I114" s="36"/>
      <c r="J114" s="41"/>
      <c r="K114" s="41"/>
      <c r="L114" s="41"/>
      <c r="M114" s="41"/>
      <c r="N114" s="36"/>
      <c r="O114" s="36"/>
      <c r="P114" s="36"/>
      <c r="Q114" s="36"/>
      <c r="R114" s="36"/>
    </row>
    <row r="115" spans="1:18" x14ac:dyDescent="0.25">
      <c r="A115" s="467" t="s">
        <v>605</v>
      </c>
      <c r="B115" s="85">
        <v>39</v>
      </c>
      <c r="C115" s="41">
        <f>ROUND('Biomass Data Assumptions'!$B$71/1000*B115,0)</f>
        <v>16</v>
      </c>
      <c r="D115" s="41">
        <f>'Biomass Data Assumptions'!$C$71*C115</f>
        <v>274480</v>
      </c>
      <c r="E115" s="41">
        <f>('Biomass Data Assumptions'!$D$71*'Energy Content Assumptions'!$C$55*D115)/2000</f>
        <v>6.8620000000000001</v>
      </c>
      <c r="F115" s="41">
        <f>'Biomass Data Assumptions'!$E$71*B115*365/2000</f>
        <v>0</v>
      </c>
      <c r="G115" s="41">
        <f>F115+E115</f>
        <v>6.8620000000000001</v>
      </c>
      <c r="H115" s="36"/>
      <c r="I115" s="36"/>
      <c r="J115" s="41"/>
      <c r="K115" s="41"/>
      <c r="L115" s="41"/>
      <c r="M115" s="41"/>
      <c r="N115" s="36"/>
      <c r="O115" s="36"/>
      <c r="P115" s="36"/>
      <c r="Q115" s="36"/>
      <c r="R115" s="36"/>
    </row>
    <row r="116" spans="1:18" x14ac:dyDescent="0.25">
      <c r="A116" s="46"/>
      <c r="B116" s="41"/>
      <c r="C116" s="41"/>
      <c r="D116" s="41"/>
      <c r="E116" s="41"/>
      <c r="F116" s="41"/>
      <c r="G116" s="41"/>
      <c r="H116" s="36"/>
      <c r="I116" s="36"/>
      <c r="J116" s="41"/>
      <c r="K116" s="41"/>
      <c r="L116" s="41"/>
      <c r="M116" s="41"/>
      <c r="N116" s="36"/>
      <c r="O116" s="36"/>
      <c r="P116" s="36"/>
      <c r="Q116" s="36"/>
      <c r="R116" s="36"/>
    </row>
    <row r="117" spans="1:18" x14ac:dyDescent="0.25">
      <c r="A117" s="43" t="s">
        <v>551</v>
      </c>
      <c r="B117" s="85">
        <f>120+188+888</f>
        <v>1196</v>
      </c>
      <c r="C117" s="41">
        <f>ROUND('Biomass Data Assumptions'!B72/1000*B117,0)</f>
        <v>6</v>
      </c>
      <c r="D117" s="41">
        <f>'Biomass Data Assumptions'!C72*C117</f>
        <v>109500</v>
      </c>
      <c r="E117" s="41">
        <f>('Biomass Data Assumptions'!D72*'Energy Content Assumptions'!C56*D117)/2000</f>
        <v>10.67625</v>
      </c>
      <c r="F117" s="41">
        <f>'Biomass Data Assumptions'!E72*B117*365/2000</f>
        <v>0</v>
      </c>
      <c r="G117" s="41">
        <f>F117+E117</f>
        <v>10.67625</v>
      </c>
      <c r="H117" s="150" t="s">
        <v>609</v>
      </c>
      <c r="I117" s="36"/>
      <c r="J117" s="41"/>
      <c r="K117" s="41"/>
      <c r="L117" s="41"/>
      <c r="M117" s="41"/>
      <c r="N117" s="36"/>
      <c r="O117" s="36"/>
      <c r="P117" s="36"/>
      <c r="Q117" s="36"/>
      <c r="R117" s="36"/>
    </row>
    <row r="118" spans="1:18" x14ac:dyDescent="0.25">
      <c r="A118" s="43"/>
      <c r="B118" s="41"/>
      <c r="C118" s="41"/>
      <c r="D118" s="41"/>
      <c r="E118" s="41"/>
      <c r="F118" s="41"/>
      <c r="G118" s="41"/>
      <c r="H118" s="36"/>
      <c r="I118" s="36"/>
      <c r="J118" s="41"/>
      <c r="K118" s="41"/>
      <c r="L118" s="41"/>
      <c r="M118" s="41"/>
      <c r="N118" s="36"/>
      <c r="O118" s="36"/>
      <c r="P118" s="36"/>
      <c r="Q118" s="36"/>
      <c r="R118" s="36"/>
    </row>
    <row r="119" spans="1:18" x14ac:dyDescent="0.25">
      <c r="A119" s="43" t="s">
        <v>552</v>
      </c>
      <c r="B119" s="85">
        <v>24</v>
      </c>
      <c r="C119" s="41">
        <f>ROUND('Biomass Data Assumptions'!B73/1000*B119,0)</f>
        <v>0</v>
      </c>
      <c r="D119" s="41">
        <f>'Biomass Data Assumptions'!C73*C119</f>
        <v>0</v>
      </c>
      <c r="E119" s="41">
        <f>('Biomass Data Assumptions'!D73*'Energy Content Assumptions'!C57*D119)/2000</f>
        <v>0</v>
      </c>
      <c r="F119" s="41">
        <f>'Biomass Data Assumptions'!E73*B119*365/2000</f>
        <v>0.43800000000000006</v>
      </c>
      <c r="G119" s="41">
        <f>F119+E119</f>
        <v>0.43800000000000006</v>
      </c>
      <c r="H119" s="36"/>
      <c r="I119" s="36"/>
      <c r="J119" s="41"/>
      <c r="K119" s="41"/>
      <c r="L119" s="41"/>
      <c r="M119" s="41"/>
      <c r="N119" s="36"/>
      <c r="O119" s="36"/>
      <c r="P119" s="36"/>
      <c r="Q119" s="36"/>
      <c r="R119" s="36"/>
    </row>
    <row r="120" spans="1:18" x14ac:dyDescent="0.25">
      <c r="A120" s="43"/>
      <c r="B120" s="41"/>
      <c r="C120" s="41"/>
      <c r="D120" s="41"/>
      <c r="E120" s="41"/>
      <c r="F120" s="41"/>
      <c r="G120" s="41"/>
      <c r="H120" s="36"/>
      <c r="I120" s="36"/>
      <c r="J120" s="41"/>
      <c r="K120" s="41"/>
      <c r="L120" s="41"/>
      <c r="M120" s="41"/>
      <c r="N120" s="36"/>
      <c r="O120" s="36"/>
      <c r="P120" s="36"/>
      <c r="Q120" s="36"/>
      <c r="R120" s="36"/>
    </row>
    <row r="121" spans="1:18" x14ac:dyDescent="0.25">
      <c r="A121" s="43" t="s">
        <v>553</v>
      </c>
      <c r="B121" s="86">
        <f t="shared" ref="B121:G121" si="14">B97+B104+B106+B108+B110+B115+B117+B119</f>
        <v>2218</v>
      </c>
      <c r="C121" s="48">
        <f t="shared" si="14"/>
        <v>682</v>
      </c>
      <c r="D121" s="48">
        <f t="shared" si="14"/>
        <v>15279265</v>
      </c>
      <c r="E121" s="48">
        <f t="shared" si="14"/>
        <v>440.65975500000008</v>
      </c>
      <c r="F121" s="48">
        <f t="shared" si="14"/>
        <v>1529.2405000000001</v>
      </c>
      <c r="G121" s="48">
        <f t="shared" si="14"/>
        <v>1969.9002550000002</v>
      </c>
      <c r="H121" s="36"/>
      <c r="I121" s="36"/>
      <c r="J121" s="48"/>
      <c r="K121" s="48"/>
      <c r="L121" s="48"/>
      <c r="M121" s="48"/>
      <c r="N121" s="36"/>
      <c r="O121" s="36"/>
      <c r="P121" s="36"/>
      <c r="Q121" s="36"/>
      <c r="R121" s="36"/>
    </row>
    <row r="122" spans="1:18" x14ac:dyDescent="0.25">
      <c r="A122" s="36"/>
      <c r="B122" s="36"/>
      <c r="C122" s="36"/>
      <c r="D122" s="36"/>
      <c r="E122" s="36"/>
      <c r="F122" s="36"/>
      <c r="G122" s="36"/>
      <c r="H122" s="36"/>
      <c r="I122" s="36"/>
      <c r="J122" s="36"/>
      <c r="K122" s="36"/>
      <c r="L122" s="36"/>
      <c r="M122" s="36"/>
      <c r="N122" s="36"/>
      <c r="O122" s="36"/>
      <c r="P122" s="36"/>
      <c r="Q122" s="36"/>
      <c r="R122" s="36"/>
    </row>
    <row r="123" spans="1:18" x14ac:dyDescent="0.25">
      <c r="A123" s="49" t="s">
        <v>1014</v>
      </c>
      <c r="B123" s="49" t="s">
        <v>1043</v>
      </c>
      <c r="C123" s="49" t="s">
        <v>1044</v>
      </c>
      <c r="D123" s="547" t="s">
        <v>1013</v>
      </c>
      <c r="E123" s="36"/>
      <c r="F123" s="36"/>
      <c r="G123" s="36"/>
      <c r="H123" s="36"/>
      <c r="I123" s="36"/>
      <c r="J123" s="36"/>
      <c r="K123" s="36"/>
      <c r="L123" s="36"/>
      <c r="M123" s="36"/>
      <c r="N123" s="36"/>
      <c r="O123" s="36"/>
      <c r="P123" s="36"/>
      <c r="Q123" s="36"/>
      <c r="R123" s="36"/>
    </row>
    <row r="124" spans="1:18" x14ac:dyDescent="0.25">
      <c r="A124" s="50" t="s">
        <v>555</v>
      </c>
      <c r="B124" s="87">
        <v>48595.61</v>
      </c>
      <c r="C124" s="543">
        <f>B124*'Energy Content Assumptions'!C33</f>
        <v>43736.048999999999</v>
      </c>
      <c r="D124" s="36"/>
      <c r="E124" s="36"/>
      <c r="F124" s="36"/>
      <c r="G124" s="36"/>
      <c r="H124" s="36"/>
      <c r="I124" s="36"/>
      <c r="J124" s="36"/>
      <c r="K124" s="36"/>
      <c r="L124" s="36"/>
      <c r="M124" s="36"/>
      <c r="N124" s="36"/>
      <c r="O124" s="36"/>
      <c r="P124" s="36"/>
      <c r="Q124" s="36"/>
      <c r="R124" s="36"/>
    </row>
    <row r="125" spans="1:18" x14ac:dyDescent="0.25">
      <c r="A125" s="50" t="s">
        <v>556</v>
      </c>
      <c r="B125" s="87">
        <v>6742.23</v>
      </c>
      <c r="C125" s="543">
        <f>B125*'Energy Content Assumptions'!C34</f>
        <v>6068.0069999999996</v>
      </c>
      <c r="D125" s="36"/>
      <c r="E125" s="36"/>
      <c r="F125" s="36"/>
      <c r="G125" s="36"/>
      <c r="H125" s="36"/>
      <c r="I125" s="36"/>
      <c r="J125" s="36"/>
      <c r="K125" s="36"/>
      <c r="L125" s="36"/>
      <c r="M125" s="36"/>
      <c r="N125" s="36"/>
      <c r="O125" s="36"/>
      <c r="P125" s="36"/>
      <c r="Q125" s="36"/>
      <c r="R125" s="36"/>
    </row>
    <row r="126" spans="1:18" x14ac:dyDescent="0.25">
      <c r="A126" s="50" t="s">
        <v>557</v>
      </c>
      <c r="B126" s="87">
        <v>13741.64</v>
      </c>
      <c r="C126" s="543">
        <f>B126*'Energy Content Assumptions'!C35</f>
        <v>12367.476000000001</v>
      </c>
      <c r="D126" s="36"/>
      <c r="E126" s="36"/>
      <c r="F126" s="36"/>
      <c r="G126" s="36"/>
      <c r="H126" s="36"/>
      <c r="I126" s="36"/>
      <c r="J126" s="36"/>
      <c r="K126" s="36"/>
      <c r="L126" s="36"/>
      <c r="M126" s="36"/>
      <c r="N126" s="36"/>
      <c r="O126" s="36"/>
      <c r="P126" s="36"/>
      <c r="Q126" s="36"/>
      <c r="R126" s="36"/>
    </row>
    <row r="127" spans="1:18" x14ac:dyDescent="0.25">
      <c r="A127" s="50" t="s">
        <v>558</v>
      </c>
      <c r="B127" s="87">
        <v>11293.98</v>
      </c>
      <c r="C127" s="543">
        <f>B127*'Energy Content Assumptions'!C36</f>
        <v>10164.582</v>
      </c>
      <c r="D127" s="36"/>
      <c r="E127" s="36"/>
      <c r="F127" s="36"/>
      <c r="G127" s="36"/>
      <c r="H127" s="36"/>
      <c r="I127" s="36"/>
      <c r="J127" s="36"/>
      <c r="K127" s="36"/>
      <c r="L127" s="36"/>
      <c r="M127" s="36"/>
      <c r="N127" s="36"/>
      <c r="O127" s="36"/>
      <c r="P127" s="36"/>
      <c r="Q127" s="36"/>
      <c r="R127" s="36"/>
    </row>
    <row r="128" spans="1:18" x14ac:dyDescent="0.25">
      <c r="A128" s="50" t="s">
        <v>559</v>
      </c>
      <c r="B128" s="87">
        <v>28989.32</v>
      </c>
      <c r="C128" s="543">
        <f>B128*'Energy Content Assumptions'!C21</f>
        <v>14494.66</v>
      </c>
      <c r="D128" s="36"/>
      <c r="E128" s="36"/>
      <c r="F128" s="36"/>
      <c r="G128" s="36"/>
      <c r="H128" s="36"/>
      <c r="I128" s="36"/>
      <c r="J128" s="36"/>
      <c r="K128" s="36"/>
      <c r="L128" s="36"/>
      <c r="M128" s="36"/>
      <c r="N128" s="36"/>
      <c r="O128" s="36"/>
      <c r="P128" s="36"/>
      <c r="Q128" s="36"/>
      <c r="R128" s="36"/>
    </row>
    <row r="129" spans="1:18" x14ac:dyDescent="0.25">
      <c r="A129" s="50" t="s">
        <v>560</v>
      </c>
      <c r="B129" s="87">
        <v>18262.71</v>
      </c>
      <c r="C129" s="543">
        <f>B129*'Energy Content Assumptions'!C22</f>
        <v>6087.57</v>
      </c>
      <c r="D129" s="36"/>
      <c r="E129" s="36"/>
      <c r="F129" s="36"/>
      <c r="G129" s="36"/>
      <c r="H129" s="36"/>
      <c r="I129" s="36"/>
      <c r="J129" s="36"/>
      <c r="K129" s="36"/>
      <c r="L129" s="36"/>
      <c r="M129" s="36"/>
      <c r="N129" s="36"/>
      <c r="O129" s="36"/>
      <c r="P129" s="36"/>
      <c r="Q129" s="36"/>
      <c r="R129" s="36"/>
    </row>
    <row r="130" spans="1:18" x14ac:dyDescent="0.25">
      <c r="A130" s="50" t="s">
        <v>561</v>
      </c>
      <c r="B130" s="87">
        <v>66573.87</v>
      </c>
      <c r="C130" s="543">
        <f>B130*'Energy Content Assumptions'!C23</f>
        <v>22191.289999999997</v>
      </c>
      <c r="D130" s="36"/>
      <c r="E130" s="36"/>
      <c r="F130" s="36"/>
      <c r="G130" s="36"/>
      <c r="H130" s="36"/>
      <c r="I130" s="36"/>
      <c r="J130" s="36"/>
      <c r="K130" s="36"/>
      <c r="L130" s="36"/>
      <c r="M130" s="36"/>
      <c r="N130" s="36"/>
      <c r="O130" s="36"/>
      <c r="P130" s="36"/>
      <c r="Q130" s="36"/>
      <c r="R130" s="36"/>
    </row>
    <row r="131" spans="1:18" x14ac:dyDescent="0.25">
      <c r="A131" s="50" t="s">
        <v>562</v>
      </c>
      <c r="B131" s="87">
        <v>3222.28</v>
      </c>
      <c r="C131" s="543">
        <f>B131*'Energy Content Assumptions'!C24</f>
        <v>1611.14</v>
      </c>
      <c r="D131" s="36"/>
      <c r="E131" s="36"/>
      <c r="F131" s="36"/>
      <c r="G131" s="36"/>
      <c r="H131" s="36"/>
      <c r="I131" s="36"/>
      <c r="J131" s="36"/>
      <c r="K131" s="36"/>
      <c r="L131" s="36"/>
      <c r="M131" s="36"/>
      <c r="N131" s="36"/>
      <c r="O131" s="36"/>
      <c r="P131" s="36"/>
      <c r="Q131" s="36"/>
      <c r="R131" s="36"/>
    </row>
    <row r="132" spans="1:18" x14ac:dyDescent="0.25">
      <c r="A132" s="50" t="s">
        <v>563</v>
      </c>
      <c r="B132" s="87">
        <v>1899.37</v>
      </c>
      <c r="C132" s="543">
        <f>B132*'Energy Content Assumptions'!C31</f>
        <v>474.84249999999997</v>
      </c>
      <c r="D132" s="36"/>
      <c r="E132" s="36"/>
      <c r="F132" s="36"/>
      <c r="G132" s="36"/>
      <c r="H132" s="36"/>
      <c r="I132" s="36"/>
      <c r="J132" s="36"/>
      <c r="K132" s="36"/>
      <c r="L132" s="36"/>
      <c r="M132" s="36"/>
      <c r="N132" s="36"/>
      <c r="O132" s="36"/>
      <c r="P132" s="36"/>
      <c r="Q132" s="36"/>
      <c r="R132" s="36"/>
    </row>
    <row r="133" spans="1:18" x14ac:dyDescent="0.25">
      <c r="A133" s="50" t="s">
        <v>564</v>
      </c>
      <c r="B133" s="87">
        <v>20.68</v>
      </c>
      <c r="C133" s="543">
        <f>B133*'Energy Content Assumptions'!C19</f>
        <v>18.612000000000002</v>
      </c>
      <c r="D133" s="36"/>
      <c r="E133" s="36"/>
      <c r="F133" s="36"/>
      <c r="G133" s="36"/>
      <c r="H133" s="36"/>
      <c r="I133" s="36"/>
      <c r="J133" s="36"/>
      <c r="K133" s="36"/>
      <c r="L133" s="36"/>
      <c r="M133" s="36"/>
      <c r="N133" s="36"/>
      <c r="O133" s="36"/>
      <c r="P133" s="36"/>
      <c r="Q133" s="36"/>
      <c r="R133" s="36"/>
    </row>
    <row r="134" spans="1:18" x14ac:dyDescent="0.25">
      <c r="A134" s="50" t="s">
        <v>565</v>
      </c>
      <c r="B134" s="87">
        <v>3770.41</v>
      </c>
      <c r="C134" s="543">
        <f>B134*'Energy Content Assumptions'!C32</f>
        <v>3016.328</v>
      </c>
      <c r="D134" s="36"/>
      <c r="E134" s="36"/>
      <c r="F134" s="36"/>
      <c r="G134" s="36"/>
      <c r="H134" s="36"/>
      <c r="I134" s="36"/>
      <c r="J134" s="36"/>
      <c r="K134" s="36"/>
      <c r="L134" s="36"/>
      <c r="M134" s="36"/>
      <c r="N134" s="36"/>
      <c r="O134" s="36"/>
      <c r="P134" s="36"/>
      <c r="Q134" s="36"/>
      <c r="R134" s="36"/>
    </row>
    <row r="135" spans="1:18" x14ac:dyDescent="0.25">
      <c r="A135" s="36"/>
      <c r="B135" s="36"/>
      <c r="C135" s="36"/>
      <c r="D135" s="36"/>
      <c r="E135" s="36"/>
      <c r="F135" s="36"/>
      <c r="G135" s="36"/>
      <c r="H135" s="36"/>
      <c r="I135" s="36"/>
      <c r="J135" s="36"/>
      <c r="K135" s="36"/>
      <c r="L135" s="36"/>
      <c r="M135" s="36"/>
      <c r="N135" s="36"/>
      <c r="O135" s="36"/>
      <c r="P135" s="36"/>
      <c r="Q135" s="36"/>
      <c r="R135" s="36"/>
    </row>
    <row r="136" spans="1:18" x14ac:dyDescent="0.25">
      <c r="A136" s="49" t="s">
        <v>462</v>
      </c>
      <c r="B136" s="49" t="s">
        <v>1039</v>
      </c>
      <c r="C136" s="49" t="s">
        <v>1040</v>
      </c>
      <c r="D136" s="36"/>
      <c r="E136" s="36"/>
      <c r="F136" s="36"/>
      <c r="G136" s="36"/>
      <c r="H136" s="36"/>
      <c r="I136" s="36"/>
      <c r="J136" s="36"/>
      <c r="K136" s="36"/>
      <c r="L136" s="36"/>
      <c r="M136" s="36"/>
      <c r="N136" s="36"/>
      <c r="O136" s="36"/>
      <c r="P136" s="36"/>
      <c r="Q136" s="36"/>
      <c r="R136" s="36"/>
    </row>
    <row r="137" spans="1:18" x14ac:dyDescent="0.25">
      <c r="A137" s="50" t="s">
        <v>211</v>
      </c>
      <c r="B137" s="87">
        <f>'Biomass Data Assumptions'!$M$10</f>
        <v>590903.79</v>
      </c>
      <c r="C137" s="544"/>
      <c r="D137" s="546" t="s">
        <v>1016</v>
      </c>
      <c r="E137" s="36"/>
      <c r="F137" s="36"/>
      <c r="G137" s="36"/>
      <c r="H137" s="36"/>
      <c r="I137" s="36"/>
      <c r="J137" s="36"/>
      <c r="K137" s="36"/>
      <c r="L137" s="36"/>
      <c r="M137" s="36"/>
      <c r="N137" s="36"/>
      <c r="O137" s="36"/>
      <c r="P137" s="36"/>
      <c r="Q137" s="36"/>
      <c r="R137" s="36"/>
    </row>
    <row r="138" spans="1:18" x14ac:dyDescent="0.25">
      <c r="A138" s="50" t="s">
        <v>208</v>
      </c>
      <c r="B138" s="87">
        <f>'Biomass Data Assumptions'!$F$10</f>
        <v>363868.19</v>
      </c>
      <c r="C138" s="543">
        <f>B138*'Energy Content Assumptions'!$C$28</f>
        <v>181934.095</v>
      </c>
      <c r="D138" s="546" t="s">
        <v>1016</v>
      </c>
      <c r="E138" s="36"/>
      <c r="F138" s="36"/>
      <c r="G138" s="36"/>
      <c r="H138" s="36"/>
      <c r="I138" s="36"/>
      <c r="J138" s="36"/>
      <c r="K138" s="36"/>
      <c r="L138" s="36"/>
      <c r="M138" s="36"/>
      <c r="N138" s="36"/>
      <c r="O138" s="36"/>
      <c r="P138" s="36"/>
      <c r="Q138" s="36"/>
      <c r="R138" s="36"/>
    </row>
    <row r="139" spans="1:18" x14ac:dyDescent="0.25">
      <c r="A139" s="50" t="s">
        <v>209</v>
      </c>
      <c r="B139" s="87">
        <f>'Biomass Data Assumptions'!$H$10</f>
        <v>279236.40000000002</v>
      </c>
      <c r="C139" s="543"/>
      <c r="D139" s="36" t="s">
        <v>1020</v>
      </c>
      <c r="E139" s="36"/>
      <c r="F139" s="36"/>
      <c r="G139" s="36"/>
      <c r="H139" s="36"/>
      <c r="I139" s="36"/>
      <c r="J139" s="36"/>
      <c r="K139" s="36"/>
      <c r="L139" s="36"/>
      <c r="M139" s="36"/>
      <c r="N139" s="36"/>
      <c r="O139" s="36"/>
      <c r="P139" s="36"/>
      <c r="Q139" s="36"/>
      <c r="R139" s="36"/>
    </row>
    <row r="140" spans="1:18" x14ac:dyDescent="0.25">
      <c r="A140" s="50" t="s">
        <v>210</v>
      </c>
      <c r="B140" s="87">
        <f>'Biomass Data Assumptions'!$I$10</f>
        <v>84631.789999999979</v>
      </c>
      <c r="C140" s="543">
        <f>B140*'Energy Content Assumptions'!$C$28</f>
        <v>42315.89499999999</v>
      </c>
      <c r="D140" s="36" t="s">
        <v>1021</v>
      </c>
      <c r="E140" s="36"/>
      <c r="F140" s="36"/>
      <c r="G140" s="36"/>
      <c r="H140" s="36"/>
      <c r="I140" s="36"/>
      <c r="J140" s="36"/>
      <c r="K140" s="36"/>
      <c r="L140" s="36"/>
      <c r="M140" s="36"/>
      <c r="N140" s="36"/>
      <c r="O140" s="36"/>
      <c r="P140" s="36"/>
      <c r="Q140" s="36"/>
      <c r="R140" s="36"/>
    </row>
    <row r="141" spans="1:18" x14ac:dyDescent="0.25">
      <c r="A141" s="50" t="str">
        <f>'Bioenergy Calculator'!B35</f>
        <v>Food waste, Landfilled</v>
      </c>
      <c r="B141" s="87">
        <f>IF('Bioenergy Calculator'!H75="No",'Biomass Data Assumptions'!J10,'Biomass Data Assumptions'!F10*'Biomass Data Assumptions'!I41)</f>
        <v>13388.749177999998</v>
      </c>
      <c r="C141" s="543">
        <f>B141*'Energy Content Assumptions'!C26</f>
        <v>4016.6247533999995</v>
      </c>
      <c r="D141" s="150" t="s">
        <v>1063</v>
      </c>
      <c r="E141" s="36"/>
      <c r="F141" s="36"/>
      <c r="G141" s="36"/>
      <c r="H141" s="36"/>
      <c r="I141" s="36"/>
      <c r="J141" s="36"/>
      <c r="K141" s="36"/>
      <c r="L141" s="36"/>
      <c r="M141" s="36"/>
      <c r="N141" s="36"/>
      <c r="O141" s="36"/>
      <c r="P141" s="36"/>
      <c r="Q141" s="36"/>
      <c r="R141" s="36"/>
    </row>
    <row r="142" spans="1:18" x14ac:dyDescent="0.25">
      <c r="A142" s="50" t="str">
        <f>'Bioenergy Calculator'!B36</f>
        <v>Waste paper, Landfilled</v>
      </c>
      <c r="B142" s="87">
        <f>IF('Bioenergy Calculator'!H75="No",'Biomass Data Assumptions'!K10,'Biomass Data Assumptions'!F10*'Biomass Data Assumptions'!I42)</f>
        <v>16460.883154999996</v>
      </c>
      <c r="C142" s="543">
        <f>B142*'Energy Content Assumptions'!C27</f>
        <v>14814.794839499997</v>
      </c>
      <c r="D142" s="150" t="s">
        <v>1063</v>
      </c>
      <c r="E142" s="36"/>
      <c r="F142" s="36"/>
      <c r="G142" s="36"/>
      <c r="H142" s="36"/>
      <c r="I142" s="36"/>
      <c r="J142" s="36"/>
      <c r="K142" s="36"/>
      <c r="L142" s="36"/>
      <c r="M142" s="36"/>
      <c r="N142" s="36"/>
      <c r="O142" s="36"/>
      <c r="P142" s="36"/>
      <c r="Q142" s="36"/>
      <c r="R142" s="36"/>
    </row>
    <row r="143" spans="1:18" x14ac:dyDescent="0.25">
      <c r="A143" s="50" t="str">
        <f>'Bioenergy Calculator'!B37</f>
        <v>Other Biomass, Landfilled</v>
      </c>
      <c r="B143" s="87">
        <f>IF('Bioenergy Calculator'!H75="No",'Biomass Data Assumptions'!L10,'Biomass Data Assumptions'!F10*'Biomass Data Assumptions'!I43)</f>
        <v>22791.341046999994</v>
      </c>
      <c r="C143" s="543">
        <f>B143*'Energy Content Assumptions'!$C$28</f>
        <v>11395.670523499997</v>
      </c>
      <c r="D143" s="547" t="s">
        <v>1064</v>
      </c>
      <c r="E143" s="36"/>
      <c r="F143" s="36"/>
      <c r="G143" s="36"/>
      <c r="H143" s="36"/>
      <c r="I143" s="36"/>
      <c r="J143" s="36"/>
      <c r="K143" s="36"/>
      <c r="L143" s="36"/>
      <c r="M143" s="36"/>
      <c r="N143" s="36"/>
      <c r="O143" s="36"/>
      <c r="P143" s="36"/>
      <c r="Q143" s="36"/>
      <c r="R143" s="36"/>
    </row>
    <row r="144" spans="1:18" x14ac:dyDescent="0.25">
      <c r="A144" s="50" t="s">
        <v>463</v>
      </c>
      <c r="B144" s="87">
        <v>64321.79</v>
      </c>
      <c r="C144" s="543">
        <f>B144*'Energy Content Assumptions'!C29</f>
        <v>51457.432000000001</v>
      </c>
      <c r="D144" s="151" t="s">
        <v>206</v>
      </c>
      <c r="E144" s="36"/>
      <c r="F144" s="36"/>
      <c r="G144" s="36"/>
      <c r="H144" s="36"/>
      <c r="I144" s="36"/>
      <c r="J144" s="36"/>
      <c r="K144" s="36"/>
      <c r="L144" s="36"/>
      <c r="M144" s="36"/>
      <c r="N144" s="36"/>
      <c r="O144" s="36"/>
      <c r="P144" s="36"/>
      <c r="Q144" s="36"/>
      <c r="R144" s="36"/>
    </row>
    <row r="145" spans="1:18" x14ac:dyDescent="0.25">
      <c r="A145" s="709" t="s">
        <v>179</v>
      </c>
      <c r="B145" s="710">
        <v>0.4</v>
      </c>
      <c r="C145" s="543">
        <f>C144*B145</f>
        <v>20582.972800000003</v>
      </c>
      <c r="D145" s="36" t="s">
        <v>1202</v>
      </c>
      <c r="E145" s="36"/>
      <c r="F145" s="36"/>
      <c r="G145" s="36"/>
      <c r="H145" s="36"/>
      <c r="I145" s="36"/>
      <c r="J145" s="36"/>
      <c r="K145" s="36"/>
      <c r="L145" s="36"/>
      <c r="M145" s="36"/>
      <c r="N145" s="36"/>
      <c r="O145" s="36"/>
      <c r="P145" s="36"/>
      <c r="Q145" s="36"/>
      <c r="R145" s="36"/>
    </row>
    <row r="146" spans="1:18" x14ac:dyDescent="0.25">
      <c r="A146" s="712"/>
      <c r="B146" s="713"/>
      <c r="C146" s="543"/>
      <c r="D146" s="150" t="s">
        <v>1553</v>
      </c>
      <c r="E146" s="36"/>
      <c r="F146" s="36"/>
      <c r="G146" s="36"/>
      <c r="H146" s="36"/>
      <c r="I146" s="36"/>
      <c r="J146" s="36"/>
      <c r="K146" s="36"/>
      <c r="L146" s="36"/>
      <c r="M146" s="36"/>
      <c r="N146" s="36"/>
      <c r="O146" s="36"/>
      <c r="P146" s="36"/>
      <c r="Q146" s="36"/>
      <c r="R146" s="36"/>
    </row>
    <row r="147" spans="1:18" x14ac:dyDescent="0.25">
      <c r="A147" s="1238" t="s">
        <v>1568</v>
      </c>
      <c r="B147" s="49" t="s">
        <v>1039</v>
      </c>
      <c r="C147" s="49" t="s">
        <v>1571</v>
      </c>
      <c r="D147" s="150"/>
      <c r="E147" s="36"/>
      <c r="F147" s="36"/>
      <c r="G147" s="36"/>
      <c r="H147" s="36"/>
      <c r="I147" s="36"/>
      <c r="J147" s="36"/>
      <c r="K147" s="36"/>
      <c r="L147" s="36"/>
      <c r="M147" s="36"/>
      <c r="N147" s="36"/>
      <c r="O147" s="36"/>
      <c r="P147" s="36"/>
      <c r="Q147" s="36"/>
      <c r="R147" s="36"/>
    </row>
    <row r="148" spans="1:18" x14ac:dyDescent="0.25">
      <c r="A148" s="1236" t="s">
        <v>508</v>
      </c>
      <c r="B148" s="549">
        <f>'Biomass Data Assumptions'!R10/2000</f>
        <v>2260.0908000000004</v>
      </c>
      <c r="C148" s="1239">
        <f>B148*'Energy Content Assumptions'!C39</f>
        <v>1921.0771800000002</v>
      </c>
      <c r="D148" s="150" t="s">
        <v>1567</v>
      </c>
      <c r="E148" s="36"/>
      <c r="F148" s="36"/>
      <c r="G148" s="36"/>
      <c r="H148" s="36"/>
      <c r="I148" s="36"/>
      <c r="J148" s="36"/>
      <c r="K148" s="36"/>
      <c r="L148" s="36"/>
      <c r="M148" s="36"/>
      <c r="N148" s="36"/>
      <c r="O148" s="36"/>
      <c r="P148" s="36"/>
      <c r="Q148" s="36"/>
      <c r="R148" s="36"/>
    </row>
    <row r="149" spans="1:18" x14ac:dyDescent="0.25">
      <c r="A149" s="1236" t="s">
        <v>509</v>
      </c>
      <c r="B149" s="549">
        <f>'Biomass Data Assumptions'!S10/2000</f>
        <v>3433.7970449999998</v>
      </c>
      <c r="C149" s="1239">
        <f>B149*'Energy Content Assumptions'!C40</f>
        <v>171.68985225</v>
      </c>
      <c r="D149" s="150" t="s">
        <v>1566</v>
      </c>
      <c r="E149" s="36"/>
      <c r="F149" s="36"/>
      <c r="G149" s="36"/>
      <c r="H149" s="36"/>
      <c r="I149" s="36"/>
      <c r="J149" s="36"/>
      <c r="K149" s="36"/>
      <c r="L149" s="36"/>
      <c r="M149" s="36"/>
      <c r="N149" s="36"/>
      <c r="O149" s="36"/>
      <c r="P149" s="36"/>
      <c r="Q149" s="36"/>
      <c r="R149" s="36"/>
    </row>
    <row r="150" spans="1:18" x14ac:dyDescent="0.25">
      <c r="A150" s="36"/>
      <c r="B150" s="36"/>
      <c r="C150" s="36"/>
      <c r="D150" s="36"/>
      <c r="E150" s="36"/>
      <c r="F150" s="36"/>
      <c r="G150" s="36"/>
      <c r="H150" s="36"/>
      <c r="I150" s="36"/>
      <c r="J150" s="36"/>
      <c r="K150" s="36"/>
      <c r="L150" s="36"/>
      <c r="M150" s="36"/>
      <c r="N150" s="36"/>
      <c r="O150" s="36"/>
      <c r="P150" s="36"/>
      <c r="Q150" s="36"/>
      <c r="R150" s="36"/>
    </row>
    <row r="151" spans="1:18" x14ac:dyDescent="0.25">
      <c r="A151" s="36"/>
      <c r="B151" s="36"/>
      <c r="C151" s="36"/>
      <c r="D151" s="36"/>
      <c r="E151" s="36"/>
      <c r="F151" s="36"/>
      <c r="G151" s="36"/>
      <c r="H151" s="36"/>
      <c r="I151" s="36"/>
      <c r="J151" s="36"/>
      <c r="K151" s="36"/>
      <c r="L151" s="36"/>
      <c r="M151" s="36"/>
      <c r="N151" s="36"/>
      <c r="O151" s="36"/>
      <c r="P151" s="36"/>
      <c r="Q151" s="36"/>
      <c r="R151" s="36"/>
    </row>
    <row r="152" spans="1:18" x14ac:dyDescent="0.25">
      <c r="A152" s="36"/>
      <c r="B152" s="36"/>
      <c r="C152" s="36"/>
      <c r="D152" s="36"/>
      <c r="E152" s="36"/>
      <c r="F152" s="36"/>
      <c r="G152" s="36"/>
      <c r="H152" s="36"/>
      <c r="I152" s="36"/>
      <c r="J152" s="36"/>
      <c r="K152" s="36"/>
      <c r="L152" s="36"/>
      <c r="M152" s="36"/>
      <c r="N152" s="36"/>
      <c r="O152" s="36"/>
      <c r="P152" s="36"/>
      <c r="Q152" s="36"/>
      <c r="R152" s="36"/>
    </row>
    <row r="153" spans="1:18" x14ac:dyDescent="0.25">
      <c r="A153" s="36"/>
      <c r="B153" s="36"/>
      <c r="C153" s="36"/>
      <c r="D153" s="36"/>
      <c r="E153" s="36"/>
      <c r="F153" s="36"/>
      <c r="G153" s="36"/>
      <c r="H153" s="36"/>
      <c r="I153" s="36"/>
      <c r="J153" s="36"/>
      <c r="K153" s="36"/>
      <c r="L153" s="36"/>
      <c r="M153" s="36"/>
      <c r="N153" s="36"/>
      <c r="O153" s="36"/>
      <c r="P153" s="36"/>
      <c r="Q153" s="36"/>
      <c r="R153" s="36"/>
    </row>
    <row r="154" spans="1:18" x14ac:dyDescent="0.25">
      <c r="A154" s="36"/>
      <c r="B154" s="36"/>
      <c r="C154" s="36"/>
      <c r="D154" s="36"/>
      <c r="E154" s="36"/>
      <c r="F154" s="36"/>
      <c r="G154" s="36"/>
      <c r="H154" s="36"/>
      <c r="I154" s="36"/>
      <c r="J154" s="36"/>
      <c r="K154" s="36"/>
      <c r="L154" s="36"/>
      <c r="M154" s="36"/>
      <c r="N154" s="36"/>
      <c r="O154" s="36"/>
      <c r="P154" s="36"/>
      <c r="Q154" s="36"/>
      <c r="R154" s="36"/>
    </row>
    <row r="155" spans="1:18" x14ac:dyDescent="0.25">
      <c r="A155" s="36"/>
      <c r="B155" s="36"/>
      <c r="C155" s="36"/>
      <c r="D155" s="36"/>
      <c r="E155" s="36"/>
      <c r="F155" s="36"/>
      <c r="G155" s="36"/>
      <c r="H155" s="36"/>
      <c r="I155" s="36"/>
      <c r="J155" s="36"/>
      <c r="K155" s="36"/>
      <c r="L155" s="36"/>
      <c r="M155" s="36"/>
      <c r="N155" s="36"/>
      <c r="O155" s="36"/>
      <c r="P155" s="36"/>
      <c r="Q155" s="36"/>
      <c r="R155" s="36"/>
    </row>
    <row r="156" spans="1:18" x14ac:dyDescent="0.25">
      <c r="A156" s="36"/>
      <c r="B156" s="36"/>
      <c r="C156" s="36"/>
      <c r="D156" s="36"/>
      <c r="E156" s="36"/>
      <c r="F156" s="36"/>
      <c r="G156" s="36"/>
      <c r="H156" s="36"/>
      <c r="I156" s="36"/>
      <c r="J156" s="36"/>
      <c r="K156" s="36"/>
      <c r="L156" s="36"/>
      <c r="M156" s="36"/>
      <c r="N156" s="36"/>
      <c r="O156" s="36"/>
      <c r="P156" s="36"/>
      <c r="Q156" s="36"/>
      <c r="R156" s="36"/>
    </row>
    <row r="157" spans="1:18" x14ac:dyDescent="0.25">
      <c r="A157" s="36"/>
      <c r="B157" s="36"/>
      <c r="C157" s="36"/>
      <c r="D157" s="36"/>
      <c r="E157" s="36"/>
      <c r="F157" s="36"/>
      <c r="G157" s="36"/>
      <c r="H157" s="36"/>
      <c r="I157" s="36"/>
      <c r="J157" s="36"/>
      <c r="K157" s="36"/>
      <c r="L157" s="36"/>
      <c r="M157" s="36"/>
      <c r="N157" s="36"/>
      <c r="O157" s="36"/>
      <c r="P157" s="36"/>
      <c r="Q157" s="36"/>
      <c r="R157" s="36"/>
    </row>
    <row r="158" spans="1:18" x14ac:dyDescent="0.25">
      <c r="A158" s="36"/>
      <c r="B158" s="36"/>
      <c r="C158" s="36"/>
      <c r="D158" s="36"/>
      <c r="E158" s="36"/>
      <c r="F158" s="36"/>
      <c r="G158" s="36"/>
      <c r="H158" s="36"/>
      <c r="I158" s="36"/>
      <c r="J158" s="36"/>
      <c r="K158" s="36"/>
      <c r="L158" s="36"/>
      <c r="M158" s="36"/>
      <c r="N158" s="36"/>
      <c r="O158" s="36"/>
      <c r="P158" s="36"/>
      <c r="Q158" s="36"/>
      <c r="R158" s="36"/>
    </row>
    <row r="159" spans="1:18" x14ac:dyDescent="0.25">
      <c r="A159" s="36"/>
      <c r="B159" s="36"/>
      <c r="C159" s="36"/>
      <c r="D159" s="36"/>
      <c r="E159" s="36"/>
      <c r="F159" s="36"/>
      <c r="G159" s="36"/>
      <c r="H159" s="36"/>
      <c r="I159" s="36"/>
      <c r="J159" s="36"/>
      <c r="K159" s="36"/>
      <c r="L159" s="36"/>
      <c r="M159" s="36"/>
      <c r="N159" s="36"/>
      <c r="O159" s="36"/>
      <c r="P159" s="36"/>
      <c r="Q159" s="36"/>
      <c r="R159" s="36"/>
    </row>
    <row r="160" spans="1:18" x14ac:dyDescent="0.25">
      <c r="A160" s="36"/>
      <c r="B160" s="36"/>
      <c r="C160" s="36"/>
      <c r="D160" s="36"/>
      <c r="E160" s="36"/>
      <c r="F160" s="36"/>
      <c r="G160" s="36"/>
      <c r="H160" s="36"/>
      <c r="I160" s="36"/>
      <c r="J160" s="36"/>
      <c r="K160" s="36"/>
      <c r="L160" s="36"/>
      <c r="M160" s="36"/>
      <c r="N160" s="36"/>
      <c r="O160" s="36"/>
      <c r="P160" s="36"/>
      <c r="Q160" s="36"/>
      <c r="R160" s="36"/>
    </row>
    <row r="161" spans="1:18" x14ac:dyDescent="0.25">
      <c r="A161" s="36"/>
      <c r="B161" s="36"/>
      <c r="C161" s="36"/>
      <c r="D161" s="36"/>
      <c r="E161" s="36"/>
      <c r="F161" s="36"/>
      <c r="G161" s="36"/>
      <c r="H161" s="36"/>
      <c r="I161" s="36"/>
      <c r="J161" s="36"/>
      <c r="K161" s="36"/>
      <c r="L161" s="36"/>
      <c r="M161" s="36"/>
      <c r="N161" s="36"/>
      <c r="O161" s="36"/>
      <c r="P161" s="36"/>
      <c r="Q161" s="36"/>
      <c r="R161" s="36"/>
    </row>
    <row r="162" spans="1:18" x14ac:dyDescent="0.25">
      <c r="A162" s="36"/>
      <c r="B162" s="36"/>
      <c r="C162" s="36"/>
      <c r="D162" s="36"/>
      <c r="E162" s="36"/>
      <c r="F162" s="36"/>
      <c r="G162" s="36"/>
      <c r="H162" s="36"/>
      <c r="I162" s="36"/>
      <c r="J162" s="36"/>
      <c r="K162" s="36"/>
      <c r="L162" s="36"/>
      <c r="M162" s="36"/>
      <c r="N162" s="36"/>
      <c r="O162" s="36"/>
      <c r="P162" s="36"/>
      <c r="Q162" s="36"/>
      <c r="R162" s="36"/>
    </row>
    <row r="163" spans="1:18" x14ac:dyDescent="0.25">
      <c r="A163" s="36"/>
      <c r="B163" s="36"/>
      <c r="C163" s="36"/>
      <c r="D163" s="36"/>
      <c r="E163" s="36"/>
      <c r="F163" s="36"/>
      <c r="G163" s="36"/>
      <c r="H163" s="36"/>
      <c r="I163" s="36"/>
      <c r="J163" s="36"/>
      <c r="K163" s="36"/>
      <c r="L163" s="36"/>
      <c r="M163" s="36"/>
      <c r="N163" s="36"/>
      <c r="O163" s="36"/>
      <c r="P163" s="36"/>
      <c r="Q163" s="36"/>
      <c r="R163" s="36"/>
    </row>
    <row r="164" spans="1:18" x14ac:dyDescent="0.25">
      <c r="A164" s="36"/>
      <c r="B164" s="36"/>
      <c r="C164" s="36"/>
      <c r="D164" s="36"/>
      <c r="E164" s="36"/>
      <c r="F164" s="36"/>
      <c r="G164" s="36"/>
      <c r="H164" s="36"/>
      <c r="I164" s="36"/>
      <c r="J164" s="36"/>
      <c r="K164" s="36"/>
      <c r="L164" s="36"/>
      <c r="M164" s="36"/>
      <c r="N164" s="36"/>
      <c r="O164" s="36"/>
      <c r="P164" s="36"/>
      <c r="Q164" s="36"/>
      <c r="R164" s="36"/>
    </row>
    <row r="165" spans="1:18" x14ac:dyDescent="0.25">
      <c r="A165" s="36"/>
      <c r="B165" s="36"/>
      <c r="C165" s="36"/>
      <c r="D165" s="36"/>
      <c r="E165" s="36"/>
      <c r="F165" s="36"/>
      <c r="G165" s="36"/>
      <c r="H165" s="36"/>
      <c r="I165" s="36"/>
      <c r="J165" s="36"/>
      <c r="K165" s="36"/>
      <c r="L165" s="36"/>
      <c r="M165" s="36"/>
      <c r="N165" s="36"/>
      <c r="O165" s="36"/>
      <c r="P165" s="36"/>
      <c r="Q165" s="36"/>
      <c r="R165" s="36"/>
    </row>
    <row r="166" spans="1:18" x14ac:dyDescent="0.25">
      <c r="A166" s="36"/>
      <c r="B166" s="36"/>
      <c r="C166" s="36"/>
      <c r="D166" s="36"/>
      <c r="E166" s="36"/>
      <c r="F166" s="36"/>
      <c r="G166" s="36"/>
      <c r="H166" s="36"/>
      <c r="I166" s="36"/>
      <c r="J166" s="36"/>
      <c r="K166" s="36"/>
      <c r="L166" s="36"/>
      <c r="M166" s="36"/>
      <c r="N166" s="36"/>
      <c r="O166" s="36"/>
      <c r="P166" s="36"/>
      <c r="Q166" s="36"/>
      <c r="R166" s="36"/>
    </row>
    <row r="167" spans="1:18" x14ac:dyDescent="0.25">
      <c r="A167" s="36"/>
      <c r="B167" s="36"/>
      <c r="C167" s="36"/>
      <c r="D167" s="36"/>
      <c r="E167" s="36"/>
      <c r="F167" s="36"/>
      <c r="G167" s="36"/>
      <c r="H167" s="36"/>
      <c r="I167" s="36"/>
      <c r="J167" s="36"/>
      <c r="K167" s="36"/>
      <c r="L167" s="36"/>
      <c r="M167" s="36"/>
      <c r="N167" s="36"/>
      <c r="O167" s="36"/>
      <c r="P167" s="36"/>
      <c r="Q167" s="36"/>
      <c r="R167" s="36"/>
    </row>
    <row r="168" spans="1:18" x14ac:dyDescent="0.25">
      <c r="A168" s="36"/>
      <c r="B168" s="36"/>
      <c r="C168" s="36"/>
      <c r="D168" s="36"/>
      <c r="E168" s="36"/>
      <c r="F168" s="36"/>
      <c r="G168" s="36"/>
      <c r="H168" s="36"/>
      <c r="I168" s="36"/>
      <c r="J168" s="36"/>
      <c r="K168" s="36"/>
      <c r="L168" s="36"/>
      <c r="M168" s="36"/>
      <c r="N168" s="36"/>
      <c r="O168" s="36"/>
      <c r="P168" s="36"/>
      <c r="Q168" s="36"/>
      <c r="R168" s="36"/>
    </row>
    <row r="169" spans="1:18" x14ac:dyDescent="0.25">
      <c r="A169" s="36"/>
      <c r="B169" s="36"/>
      <c r="C169" s="36"/>
      <c r="D169" s="36"/>
      <c r="E169" s="36"/>
      <c r="F169" s="36"/>
      <c r="G169" s="36"/>
      <c r="H169" s="36"/>
      <c r="I169" s="36"/>
      <c r="J169" s="36"/>
      <c r="K169" s="36"/>
      <c r="L169" s="36"/>
      <c r="M169" s="36"/>
      <c r="N169" s="36"/>
      <c r="O169" s="36"/>
      <c r="P169" s="36"/>
      <c r="Q169" s="36"/>
      <c r="R169" s="36"/>
    </row>
    <row r="170" spans="1:18" x14ac:dyDescent="0.25">
      <c r="A170" s="36"/>
      <c r="B170" s="36"/>
      <c r="C170" s="36"/>
      <c r="D170" s="36"/>
      <c r="E170" s="36"/>
      <c r="F170" s="36"/>
      <c r="G170" s="36"/>
      <c r="H170" s="36"/>
      <c r="I170" s="36"/>
      <c r="J170" s="36"/>
      <c r="K170" s="36"/>
      <c r="L170" s="36"/>
      <c r="M170" s="36"/>
      <c r="N170" s="36"/>
      <c r="O170" s="36"/>
      <c r="P170" s="36"/>
      <c r="Q170" s="36"/>
      <c r="R170" s="36"/>
    </row>
    <row r="171" spans="1:18" x14ac:dyDescent="0.25">
      <c r="P171" s="36"/>
      <c r="Q171" s="36"/>
      <c r="R171" s="36"/>
    </row>
    <row r="172" spans="1:18" x14ac:dyDescent="0.25">
      <c r="P172" s="36"/>
      <c r="Q172" s="36"/>
      <c r="R172" s="36"/>
    </row>
    <row r="173" spans="1:18" x14ac:dyDescent="0.25">
      <c r="P173" s="457"/>
      <c r="Q173" s="36"/>
      <c r="R173" s="36"/>
    </row>
    <row r="174" spans="1:18" x14ac:dyDescent="0.25">
      <c r="P174" s="36"/>
      <c r="Q174" s="36"/>
      <c r="R174" s="36"/>
    </row>
    <row r="175" spans="1:18" x14ac:dyDescent="0.25">
      <c r="P175" s="36"/>
      <c r="Q175" s="36"/>
      <c r="R175" s="36"/>
    </row>
    <row r="176" spans="1:18" x14ac:dyDescent="0.25">
      <c r="P176" s="36"/>
      <c r="Q176" s="36"/>
      <c r="R176" s="36"/>
    </row>
    <row r="177" spans="16:18" x14ac:dyDescent="0.25">
      <c r="P177" s="36"/>
      <c r="Q177" s="36"/>
      <c r="R177" s="36"/>
    </row>
    <row r="178" spans="16:18" x14ac:dyDescent="0.25">
      <c r="P178" s="36"/>
      <c r="Q178" s="36"/>
      <c r="R178" s="36"/>
    </row>
    <row r="179" spans="16:18" x14ac:dyDescent="0.25">
      <c r="P179" s="36"/>
      <c r="Q179" s="36"/>
      <c r="R179" s="36"/>
    </row>
    <row r="180" spans="16:18" x14ac:dyDescent="0.25">
      <c r="P180" s="36"/>
      <c r="Q180" s="36"/>
      <c r="R180" s="36"/>
    </row>
    <row r="181" spans="16:18" x14ac:dyDescent="0.25">
      <c r="P181" s="36"/>
      <c r="Q181" s="36"/>
      <c r="R181" s="36"/>
    </row>
    <row r="182" spans="16:18" x14ac:dyDescent="0.25">
      <c r="P182" s="36"/>
      <c r="Q182" s="36"/>
      <c r="R182" s="36"/>
    </row>
    <row r="183" spans="16:18" x14ac:dyDescent="0.25">
      <c r="P183" s="36"/>
      <c r="Q183" s="36"/>
      <c r="R183" s="36"/>
    </row>
    <row r="184" spans="16:18" x14ac:dyDescent="0.25">
      <c r="P184" s="36"/>
      <c r="Q184" s="36"/>
      <c r="R184" s="36"/>
    </row>
    <row r="185" spans="16:18" x14ac:dyDescent="0.25">
      <c r="P185" s="36"/>
      <c r="Q185" s="36"/>
      <c r="R185" s="36"/>
    </row>
    <row r="186" spans="16:18" x14ac:dyDescent="0.25">
      <c r="P186" s="36"/>
      <c r="Q186" s="36"/>
      <c r="R186" s="36"/>
    </row>
    <row r="187" spans="16:18" x14ac:dyDescent="0.25">
      <c r="P187" s="36"/>
      <c r="Q187" s="36"/>
      <c r="R187" s="36"/>
    </row>
    <row r="188" spans="16:18" x14ac:dyDescent="0.25">
      <c r="P188" s="36"/>
      <c r="Q188" s="36"/>
      <c r="R188" s="36"/>
    </row>
    <row r="189" spans="16:18" x14ac:dyDescent="0.25">
      <c r="P189" s="36"/>
      <c r="Q189" s="36"/>
      <c r="R189" s="36"/>
    </row>
    <row r="190" spans="16:18" x14ac:dyDescent="0.25">
      <c r="P190" s="36"/>
      <c r="Q190" s="36"/>
      <c r="R190" s="36"/>
    </row>
    <row r="191" spans="16:18" x14ac:dyDescent="0.25">
      <c r="P191" s="36"/>
      <c r="Q191" s="36"/>
      <c r="R191" s="36"/>
    </row>
    <row r="192" spans="16:18" x14ac:dyDescent="0.25">
      <c r="P192" s="36"/>
      <c r="Q192" s="36"/>
      <c r="R192" s="36"/>
    </row>
    <row r="193" spans="16:18" x14ac:dyDescent="0.25">
      <c r="P193" s="36"/>
      <c r="Q193" s="36"/>
      <c r="R193" s="36"/>
    </row>
    <row r="194" spans="16:18" x14ac:dyDescent="0.25">
      <c r="P194" s="36"/>
      <c r="Q194" s="36"/>
      <c r="R194" s="36"/>
    </row>
    <row r="195" spans="16:18" x14ac:dyDescent="0.25">
      <c r="P195" s="36"/>
      <c r="Q195" s="36"/>
      <c r="R195" s="36"/>
    </row>
    <row r="196" spans="16:18" x14ac:dyDescent="0.25">
      <c r="P196" s="36"/>
      <c r="Q196" s="36"/>
      <c r="R196" s="36"/>
    </row>
    <row r="197" spans="16:18" x14ac:dyDescent="0.25">
      <c r="P197" s="36"/>
      <c r="Q197" s="36"/>
      <c r="R197" s="36"/>
    </row>
    <row r="198" spans="16:18" x14ac:dyDescent="0.25">
      <c r="P198" s="36"/>
      <c r="Q198" s="36"/>
      <c r="R198" s="36"/>
    </row>
    <row r="199" spans="16:18" x14ac:dyDescent="0.25">
      <c r="P199" s="36"/>
      <c r="Q199" s="36"/>
      <c r="R199" s="36"/>
    </row>
  </sheetData>
  <mergeCells count="15">
    <mergeCell ref="A3:A4"/>
    <mergeCell ref="B3:B4"/>
    <mergeCell ref="C3:C4"/>
    <mergeCell ref="A51:A67"/>
    <mergeCell ref="A5:A11"/>
    <mergeCell ref="A13:A29"/>
    <mergeCell ref="A31:A43"/>
    <mergeCell ref="A45:A49"/>
    <mergeCell ref="I1:L1"/>
    <mergeCell ref="M1:P1"/>
    <mergeCell ref="Q3:Q4"/>
    <mergeCell ref="D3:D4"/>
    <mergeCell ref="I3:L3"/>
    <mergeCell ref="M3:P3"/>
    <mergeCell ref="E3:H3"/>
  </mergeCells>
  <phoneticPr fontId="0" type="noConversion"/>
  <pageMargins left="0.75" right="0.75" top="1" bottom="1" header="0.5" footer="0.5"/>
  <pageSetup paperSize="5" scale="50" orientation="landscape" r:id="rId1"/>
  <headerFooter alignWithMargins="0">
    <oddFooter>&amp;L&amp;"Arial,Italic" 7/02/07&amp;C&amp;"Arial,Italic"&amp;A&amp;R&amp;"Arial,Italic"NJAES Report 2007-1 ©2007
New Jersey Agricultural Experiment Station</oddFooter>
  </headerFooter>
  <ignoredErrors>
    <ignoredError sqref="D67" formula="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S199"/>
  <sheetViews>
    <sheetView topLeftCell="A111" zoomScale="70" zoomScaleNormal="75" workbookViewId="0">
      <selection activeCell="C147" sqref="C147"/>
    </sheetView>
  </sheetViews>
  <sheetFormatPr defaultColWidth="9.109375" defaultRowHeight="13.2" x14ac:dyDescent="0.25"/>
  <cols>
    <col min="1" max="1" width="28.6640625" style="5" customWidth="1"/>
    <col min="2" max="2" width="42.6640625" style="5" customWidth="1"/>
    <col min="3" max="3" width="23.6640625" style="5" customWidth="1"/>
    <col min="4" max="4" width="18.6640625" style="5" customWidth="1"/>
    <col min="5" max="16" width="14.6640625" style="5" customWidth="1"/>
    <col min="17" max="17" width="45.6640625" style="5" customWidth="1"/>
    <col min="18" max="18" width="34.44140625" style="5" customWidth="1"/>
    <col min="19" max="19" width="19.33203125" style="5" customWidth="1"/>
    <col min="20" max="20" width="14" style="5" customWidth="1"/>
    <col min="21" max="16384" width="9.109375" style="5"/>
  </cols>
  <sheetData>
    <row r="1" spans="1:17" ht="15.6" x14ac:dyDescent="0.3">
      <c r="A1" s="407" t="s">
        <v>447</v>
      </c>
      <c r="E1" s="412" t="s">
        <v>433</v>
      </c>
      <c r="I1" s="1195" t="str">
        <f>'Bioenergy Calculator'!B3</f>
        <v>None</v>
      </c>
      <c r="J1" s="1195"/>
      <c r="K1" s="1195"/>
      <c r="L1" s="1196"/>
      <c r="M1" s="1195" t="str">
        <f>'Bioenergy Calculator'!B4</f>
        <v>None</v>
      </c>
      <c r="N1" s="1195"/>
      <c r="O1" s="1195"/>
      <c r="P1" s="1196"/>
    </row>
    <row r="3" spans="1:17" s="6" customFormat="1" ht="24.75" customHeight="1" x14ac:dyDescent="0.25">
      <c r="A3" s="1062" t="s">
        <v>567</v>
      </c>
      <c r="B3" s="1062" t="s">
        <v>506</v>
      </c>
      <c r="C3" s="1062" t="s">
        <v>1035</v>
      </c>
      <c r="D3" s="1062" t="s">
        <v>1051</v>
      </c>
      <c r="E3" s="1083" t="s">
        <v>523</v>
      </c>
      <c r="F3" s="1209"/>
      <c r="G3" s="1209"/>
      <c r="H3" s="1198"/>
      <c r="I3" s="1072" t="s">
        <v>275</v>
      </c>
      <c r="J3" s="1073"/>
      <c r="K3" s="1074"/>
      <c r="L3" s="1075"/>
      <c r="M3" s="1083" t="s">
        <v>274</v>
      </c>
      <c r="N3" s="1084"/>
      <c r="O3" s="1197"/>
      <c r="P3" s="1198"/>
      <c r="Q3" s="1060" t="s">
        <v>570</v>
      </c>
    </row>
    <row r="4" spans="1:17" s="6" customFormat="1" x14ac:dyDescent="0.25">
      <c r="A4" s="1063"/>
      <c r="B4" s="1063"/>
      <c r="C4" s="1063"/>
      <c r="D4" s="1071"/>
      <c r="E4" s="22">
        <v>2010</v>
      </c>
      <c r="F4" s="22">
        <v>2015</v>
      </c>
      <c r="G4" s="22">
        <v>2020</v>
      </c>
      <c r="H4" s="22">
        <v>2025</v>
      </c>
      <c r="I4" s="22">
        <v>2010</v>
      </c>
      <c r="J4" s="22">
        <v>2015</v>
      </c>
      <c r="K4" s="22">
        <v>2020</v>
      </c>
      <c r="L4" s="22">
        <v>2025</v>
      </c>
      <c r="M4" s="22">
        <v>2010</v>
      </c>
      <c r="N4" s="22">
        <v>2015</v>
      </c>
      <c r="O4" s="22">
        <v>2020</v>
      </c>
      <c r="P4" s="22">
        <v>2025</v>
      </c>
      <c r="Q4" s="1061"/>
    </row>
    <row r="5" spans="1:17" x14ac:dyDescent="0.25">
      <c r="A5" s="1064" t="s">
        <v>513</v>
      </c>
      <c r="B5" s="1" t="s">
        <v>511</v>
      </c>
      <c r="C5" s="13"/>
      <c r="D5" s="13"/>
      <c r="E5" s="13"/>
      <c r="F5" s="13"/>
      <c r="G5" s="13"/>
      <c r="H5" s="13"/>
      <c r="I5" s="7"/>
      <c r="J5" s="7"/>
      <c r="K5" s="7"/>
      <c r="L5" s="7"/>
      <c r="M5" s="7"/>
      <c r="N5" s="7"/>
      <c r="O5" s="7"/>
      <c r="P5" s="7"/>
      <c r="Q5" s="7"/>
    </row>
    <row r="6" spans="1:17" x14ac:dyDescent="0.25">
      <c r="A6" s="1064"/>
      <c r="B6" s="11" t="str">
        <f>IF('Prac. Rec. Assumptions'!$B$56='Prac. Rec. Assumptions'!$V$3,A74,IF('Prac. Rec. Assumptions'!B57="No",A74,"Sorghum- Converted to Energy Crop"))</f>
        <v>Sorghum</v>
      </c>
      <c r="C6" s="294">
        <f>IF('Prac. Rec. Assumptions'!$B$56='Prac. Rec. Assumptions'!$V$3,D74,IF('Prac. Rec. Assumptions'!B57="No",D74,0))</f>
        <v>49.366799999999998</v>
      </c>
      <c r="D6" s="294" t="s">
        <v>431</v>
      </c>
      <c r="E6" s="294">
        <f>C6*'Prac. Rec. Assumptions'!B4</f>
        <v>0</v>
      </c>
      <c r="F6" s="294">
        <f>$E6</f>
        <v>0</v>
      </c>
      <c r="G6" s="294">
        <f>$E6</f>
        <v>0</v>
      </c>
      <c r="H6" s="294">
        <f>$E6</f>
        <v>0</v>
      </c>
      <c r="I6" s="16" t="str">
        <f>IF('Conversion Tables'!F7="NA","NA",$D6/'Conversion Tables'!F7)</f>
        <v>NA</v>
      </c>
      <c r="J6" s="16" t="str">
        <f>IF('Conversion Tables'!G7="NA","NA",$D6/'Conversion Tables'!G7)</f>
        <v>NA</v>
      </c>
      <c r="K6" s="16" t="str">
        <f>IF('Conversion Tables'!H7="NA","NA",$D6/'Conversion Tables'!H7)</f>
        <v>NA</v>
      </c>
      <c r="L6" s="16" t="str">
        <f>IF('Conversion Tables'!H7="NA","NA",$D6/'Conversion Tables'!H7)</f>
        <v>NA</v>
      </c>
      <c r="M6" s="16" t="str">
        <f>IF('Conversion Tables'!K7="NA","NA",$C74*'Conversion Tables'!K7)</f>
        <v>NA</v>
      </c>
      <c r="N6" s="16" t="str">
        <f>IF('Conversion Tables'!L7="NA","NA",$C74*'Conversion Tables'!L7)</f>
        <v>NA</v>
      </c>
      <c r="O6" s="16" t="str">
        <f>IF('Conversion Tables'!M7="NA","NA",$C74*'Conversion Tables'!M7)</f>
        <v>NA</v>
      </c>
      <c r="P6" s="16" t="str">
        <f>IF('Conversion Tables'!N7="NA","NA",$C74*'Conversion Tables'!N7)</f>
        <v>NA</v>
      </c>
      <c r="Q6" s="15"/>
    </row>
    <row r="7" spans="1:17" x14ac:dyDescent="0.25">
      <c r="A7" s="1064"/>
      <c r="B7" s="11" t="str">
        <f>IF('Prac. Rec. Assumptions'!$B$56='Prac. Rec. Assumptions'!$V$3,A75,IF('Prac. Rec. Assumptions'!B59="No",A75,"Rye- Converted to Energy Crop"))</f>
        <v>Rye</v>
      </c>
      <c r="C7" s="294">
        <f>IF('Prac. Rec. Assumptions'!$B$56='Prac. Rec. Assumptions'!$V$3,D75,IF('Prac. Rec. Assumptions'!B59="No",D75,0))</f>
        <v>116.18880000000001</v>
      </c>
      <c r="D7" s="294" t="s">
        <v>431</v>
      </c>
      <c r="E7" s="294">
        <f>C7*'Prac. Rec. Assumptions'!B5</f>
        <v>0</v>
      </c>
      <c r="F7" s="294">
        <f t="shared" ref="F7:H10" si="0">$E7</f>
        <v>0</v>
      </c>
      <c r="G7" s="294">
        <f t="shared" si="0"/>
        <v>0</v>
      </c>
      <c r="H7" s="294">
        <f t="shared" si="0"/>
        <v>0</v>
      </c>
      <c r="I7" s="16" t="str">
        <f>IF('Conversion Tables'!F8="NA","NA",$D7/'Conversion Tables'!F8)</f>
        <v>NA</v>
      </c>
      <c r="J7" s="16" t="str">
        <f>IF('Conversion Tables'!G8="NA","NA",$D7/'Conversion Tables'!G8)</f>
        <v>NA</v>
      </c>
      <c r="K7" s="16" t="str">
        <f>IF('Conversion Tables'!H8="NA","NA",$D7/'Conversion Tables'!H8)</f>
        <v>NA</v>
      </c>
      <c r="L7" s="16" t="str">
        <f>IF('Conversion Tables'!H8="NA","NA",$D7/'Conversion Tables'!H8)</f>
        <v>NA</v>
      </c>
      <c r="M7" s="16" t="str">
        <f>IF('Conversion Tables'!K8="NA","NA",$C75*'Conversion Tables'!K8)</f>
        <v>NA</v>
      </c>
      <c r="N7" s="16" t="str">
        <f>IF('Conversion Tables'!L8="NA","NA",$C75*'Conversion Tables'!L8)</f>
        <v>NA</v>
      </c>
      <c r="O7" s="16" t="str">
        <f>IF('Conversion Tables'!M8="NA","NA",$C75*'Conversion Tables'!M8)</f>
        <v>NA</v>
      </c>
      <c r="P7" s="16" t="str">
        <f>IF('Conversion Tables'!N8="NA","NA",$C75*'Conversion Tables'!N8)</f>
        <v>NA</v>
      </c>
      <c r="Q7" s="15"/>
    </row>
    <row r="8" spans="1:17" x14ac:dyDescent="0.25">
      <c r="A8" s="1064"/>
      <c r="B8" s="11" t="str">
        <f>IF('Prac. Rec. Assumptions'!$B$56='Prac. Rec. Assumptions'!$V$3,A76,IF('Prac. Rec. Assumptions'!B60="No",A76,"Corn for Grain- Converted to Energy Crop"))</f>
        <v>Corn for Grain</v>
      </c>
      <c r="C8" s="294">
        <f>IF('Prac. Rec. Assumptions'!$B$56='Prac. Rec. Assumptions'!$V$3,D76,IF('Prac. Rec. Assumptions'!B60="No",D76,0))</f>
        <v>318.5</v>
      </c>
      <c r="D8" s="294" t="s">
        <v>431</v>
      </c>
      <c r="E8" s="294">
        <f>C8*'Prac. Rec. Assumptions'!B6</f>
        <v>0</v>
      </c>
      <c r="F8" s="294">
        <f t="shared" si="0"/>
        <v>0</v>
      </c>
      <c r="G8" s="294">
        <f t="shared" si="0"/>
        <v>0</v>
      </c>
      <c r="H8" s="294">
        <f t="shared" si="0"/>
        <v>0</v>
      </c>
      <c r="I8" s="16" t="str">
        <f>IF('Conversion Tables'!F9="NA","NA",$D8/'Conversion Tables'!F9)</f>
        <v>NA</v>
      </c>
      <c r="J8" s="16" t="str">
        <f>IF('Conversion Tables'!G9="NA","NA",$D8/'Conversion Tables'!G9)</f>
        <v>NA</v>
      </c>
      <c r="K8" s="16" t="str">
        <f>IF('Conversion Tables'!H9="NA","NA",$D8/'Conversion Tables'!H9)</f>
        <v>NA</v>
      </c>
      <c r="L8" s="16" t="str">
        <f>IF('Conversion Tables'!H9="NA","NA",$D8/'Conversion Tables'!H9)</f>
        <v>NA</v>
      </c>
      <c r="M8" s="16" t="str">
        <f>IF('Conversion Tables'!K9="NA","NA",$C76*'Conversion Tables'!K9)</f>
        <v>NA</v>
      </c>
      <c r="N8" s="16" t="str">
        <f>IF('Conversion Tables'!L9="NA","NA",$C76*'Conversion Tables'!L9)</f>
        <v>NA</v>
      </c>
      <c r="O8" s="16" t="str">
        <f>IF('Conversion Tables'!M9="NA","NA",$C76*'Conversion Tables'!M9)</f>
        <v>NA</v>
      </c>
      <c r="P8" s="16" t="str">
        <f>IF('Conversion Tables'!N9="NA","NA",$C76*'Conversion Tables'!N9)</f>
        <v>NA</v>
      </c>
      <c r="Q8" s="15"/>
    </row>
    <row r="9" spans="1:17" x14ac:dyDescent="0.25">
      <c r="A9" s="1064"/>
      <c r="B9" s="11" t="str">
        <f>IF('Prac. Rec. Assumptions'!$B$56='Prac. Rec. Assumptions'!$V$3,A78,IF('Prac. Rec. Assumptions'!B64="No",A78,"Wheat- Converted to Energy Crop"))</f>
        <v>Wheat</v>
      </c>
      <c r="C9" s="294">
        <f>IF('Prac. Rec. Assumptions'!$B$56='Prac. Rec. Assumptions'!$V$3,D78,IF('Prac. Rec. Assumptions'!B64="No",D78,0))</f>
        <v>288.36</v>
      </c>
      <c r="D9" s="294" t="s">
        <v>431</v>
      </c>
      <c r="E9" s="294">
        <f>C9*'Prac. Rec. Assumptions'!B7</f>
        <v>0</v>
      </c>
      <c r="F9" s="294">
        <f t="shared" si="0"/>
        <v>0</v>
      </c>
      <c r="G9" s="294">
        <f t="shared" si="0"/>
        <v>0</v>
      </c>
      <c r="H9" s="294">
        <f t="shared" si="0"/>
        <v>0</v>
      </c>
      <c r="I9" s="16" t="str">
        <f>IF('Conversion Tables'!F10="NA","NA",$D9/'Conversion Tables'!F10)</f>
        <v>NA</v>
      </c>
      <c r="J9" s="16" t="str">
        <f>IF('Conversion Tables'!G10="NA","NA",$D9/'Conversion Tables'!G10)</f>
        <v>NA</v>
      </c>
      <c r="K9" s="16" t="str">
        <f>IF('Conversion Tables'!H10="NA","NA",$D9/'Conversion Tables'!H10)</f>
        <v>NA</v>
      </c>
      <c r="L9" s="16" t="str">
        <f>IF('Conversion Tables'!H10="NA","NA",$D9/'Conversion Tables'!H10)</f>
        <v>NA</v>
      </c>
      <c r="M9" s="16" t="str">
        <f>IF('Conversion Tables'!K10="NA","NA",$C78*'Conversion Tables'!K10)</f>
        <v>NA</v>
      </c>
      <c r="N9" s="16" t="str">
        <f>IF('Conversion Tables'!L10="NA","NA",$C78*'Conversion Tables'!L10)</f>
        <v>NA</v>
      </c>
      <c r="O9" s="16" t="str">
        <f>IF('Conversion Tables'!M10="NA","NA",$C78*'Conversion Tables'!M10)</f>
        <v>NA</v>
      </c>
      <c r="P9" s="16" t="str">
        <f>IF('Conversion Tables'!N10="NA","NA",$C78*'Conversion Tables'!N10)</f>
        <v>NA</v>
      </c>
      <c r="Q9" s="15"/>
    </row>
    <row r="10" spans="1:17" x14ac:dyDescent="0.25">
      <c r="A10" s="1064"/>
      <c r="B10" s="129" t="s">
        <v>301</v>
      </c>
      <c r="C10" s="294"/>
      <c r="D10" s="294" t="s">
        <v>431</v>
      </c>
      <c r="E10" s="294">
        <f>C10*'Prac. Rec. Assumptions'!B8</f>
        <v>0</v>
      </c>
      <c r="F10" s="294">
        <f t="shared" si="0"/>
        <v>0</v>
      </c>
      <c r="G10" s="294">
        <f t="shared" si="0"/>
        <v>0</v>
      </c>
      <c r="H10" s="294">
        <f t="shared" si="0"/>
        <v>0</v>
      </c>
      <c r="I10" s="16" t="str">
        <f>IF('Conversion Tables'!F11="NA","NA",$D10/'Conversion Tables'!F11)</f>
        <v>NA</v>
      </c>
      <c r="J10" s="16" t="str">
        <f>IF('Conversion Tables'!G11="NA","NA",$D10/'Conversion Tables'!G11)</f>
        <v>NA</v>
      </c>
      <c r="K10" s="16" t="str">
        <f>IF('Conversion Tables'!H11="NA","NA",$D10/'Conversion Tables'!H11)</f>
        <v>NA</v>
      </c>
      <c r="L10" s="16" t="str">
        <f>IF('Conversion Tables'!H11="NA","NA",$D10/'Conversion Tables'!H11)</f>
        <v>NA</v>
      </c>
      <c r="M10" s="16" t="str">
        <f>IF('Conversion Tables'!K11="NA","NA",E10*'Conversion Tables'!K11)</f>
        <v>NA</v>
      </c>
      <c r="N10" s="16" t="str">
        <f>IF('Conversion Tables'!L11="NA","NA",F10*'Conversion Tables'!L11)</f>
        <v>NA</v>
      </c>
      <c r="O10" s="16" t="str">
        <f>IF('Conversion Tables'!M11="NA","NA",G10*'Conversion Tables'!M11)</f>
        <v>NA</v>
      </c>
      <c r="P10" s="16" t="str">
        <f>IF('Conversion Tables'!N11="NA","NA",H10*'Conversion Tables'!N11)</f>
        <v>NA</v>
      </c>
      <c r="Q10" s="7"/>
    </row>
    <row r="11" spans="1:17" x14ac:dyDescent="0.25">
      <c r="A11" s="1065"/>
      <c r="B11" s="9" t="s">
        <v>524</v>
      </c>
      <c r="C11" s="295">
        <f t="shared" ref="C11:P11" si="1">SUM(C5:C10)</f>
        <v>772.41560000000004</v>
      </c>
      <c r="D11" s="295">
        <f t="shared" si="1"/>
        <v>0</v>
      </c>
      <c r="E11" s="295">
        <f t="shared" si="1"/>
        <v>0</v>
      </c>
      <c r="F11" s="295">
        <f t="shared" si="1"/>
        <v>0</v>
      </c>
      <c r="G11" s="295">
        <f t="shared" si="1"/>
        <v>0</v>
      </c>
      <c r="H11" s="295">
        <f t="shared" si="1"/>
        <v>0</v>
      </c>
      <c r="I11" s="19">
        <f t="shared" si="1"/>
        <v>0</v>
      </c>
      <c r="J11" s="19">
        <f t="shared" si="1"/>
        <v>0</v>
      </c>
      <c r="K11" s="19">
        <f t="shared" si="1"/>
        <v>0</v>
      </c>
      <c r="L11" s="19">
        <f t="shared" si="1"/>
        <v>0</v>
      </c>
      <c r="M11" s="19">
        <f t="shared" si="1"/>
        <v>0</v>
      </c>
      <c r="N11" s="19">
        <f t="shared" si="1"/>
        <v>0</v>
      </c>
      <c r="O11" s="19">
        <f t="shared" si="1"/>
        <v>0</v>
      </c>
      <c r="P11" s="19">
        <f t="shared" si="1"/>
        <v>0</v>
      </c>
      <c r="Q11" s="19"/>
    </row>
    <row r="12" spans="1:17" x14ac:dyDescent="0.25">
      <c r="A12" s="8"/>
      <c r="C12" s="296"/>
      <c r="D12" s="296"/>
      <c r="E12" s="296"/>
      <c r="F12" s="296"/>
      <c r="G12" s="296"/>
      <c r="H12" s="296"/>
      <c r="I12" s="28"/>
      <c r="J12" s="28"/>
      <c r="K12" s="28"/>
      <c r="L12" s="28"/>
      <c r="M12" s="28"/>
      <c r="N12" s="28"/>
      <c r="O12" s="28"/>
      <c r="P12" s="28"/>
    </row>
    <row r="13" spans="1:17" x14ac:dyDescent="0.25">
      <c r="A13" s="1206" t="s">
        <v>514</v>
      </c>
      <c r="B13" s="1" t="s">
        <v>507</v>
      </c>
      <c r="C13" s="294">
        <f>D90</f>
        <v>0</v>
      </c>
      <c r="D13" s="294">
        <f>E13*'Conversion Tables'!C12</f>
        <v>0</v>
      </c>
      <c r="E13" s="294">
        <f>C13*'Prac. Rec. Assumptions'!B9</f>
        <v>0</v>
      </c>
      <c r="F13" s="294">
        <f>$E13</f>
        <v>0</v>
      </c>
      <c r="G13" s="294">
        <f>$E13</f>
        <v>0</v>
      </c>
      <c r="H13" s="294">
        <f>$E13</f>
        <v>0</v>
      </c>
      <c r="I13" s="16" t="str">
        <f>IF('Conversion Tables'!F12="NA","NA",(E13*'Conversion Tables'!$C12)/'Conversion Tables'!F12)</f>
        <v>NA</v>
      </c>
      <c r="J13" s="16" t="str">
        <f>IF('Conversion Tables'!G12="NA","NA",(F13*'Conversion Tables'!$C12)/'Conversion Tables'!G12)</f>
        <v>NA</v>
      </c>
      <c r="K13" s="16" t="str">
        <f>IF('Conversion Tables'!H12="NA","NA",(G13*'Conversion Tables'!$C12)/'Conversion Tables'!H12)</f>
        <v>NA</v>
      </c>
      <c r="L13" s="16" t="str">
        <f>IF('Conversion Tables'!I12="NA","NA",(H13*'Conversion Tables'!$C12)/'Conversion Tables'!I12)</f>
        <v>NA</v>
      </c>
      <c r="M13" s="16" t="str">
        <f>IF('Conversion Tables'!K12="NA","NA",E13*'Conversion Tables'!K12)</f>
        <v>NA</v>
      </c>
      <c r="N13" s="16" t="str">
        <f>IF('Conversion Tables'!L12="NA","NA",F13*'Conversion Tables'!L12)</f>
        <v>NA</v>
      </c>
      <c r="O13" s="16" t="str">
        <f>IF('Conversion Tables'!M12="NA","NA",G13*'Conversion Tables'!M12)</f>
        <v>NA</v>
      </c>
      <c r="P13" s="16" t="str">
        <f>IF('Conversion Tables'!N12="NA","NA",H13*'Conversion Tables'!N12)</f>
        <v>NA</v>
      </c>
      <c r="Q13" s="7"/>
    </row>
    <row r="14" spans="1:17" x14ac:dyDescent="0.25">
      <c r="A14" s="1207"/>
      <c r="B14" s="1" t="s">
        <v>504</v>
      </c>
      <c r="C14" s="294"/>
      <c r="D14" s="294"/>
      <c r="E14" s="294"/>
      <c r="F14" s="294"/>
      <c r="G14" s="294"/>
      <c r="H14" s="294"/>
      <c r="I14" s="16"/>
      <c r="J14" s="16"/>
      <c r="K14" s="16"/>
      <c r="L14" s="16"/>
      <c r="M14" s="16"/>
      <c r="N14" s="16"/>
      <c r="O14" s="16"/>
      <c r="P14" s="16"/>
      <c r="Q14" s="7"/>
    </row>
    <row r="15" spans="1:17" x14ac:dyDescent="0.25">
      <c r="A15" s="1207"/>
      <c r="B15" s="11" t="str">
        <f>IF('Prac. Rec. Assumptions'!$B$56='Prac. Rec. Assumptions'!$V$3,A81,IF('Prac. Rec. Assumptions'!B57="No",A81,"Sweet Corn- Converted to Energy Crop"))</f>
        <v>Sweet Corn</v>
      </c>
      <c r="C15" s="294">
        <f>IF('Prac. Rec. Assumptions'!$B$56='Prac. Rec. Assumptions'!$V$3,D81,IF('Prac. Rec. Assumptions'!B58="No",D81,0))</f>
        <v>99.45</v>
      </c>
      <c r="D15" s="294">
        <f>E15*'Conversion Tables'!C14</f>
        <v>1251.6379199999999</v>
      </c>
      <c r="E15" s="294">
        <f>C15*'Prac. Rec. Assumptions'!B11</f>
        <v>79.56</v>
      </c>
      <c r="F15" s="294">
        <f>$E15</f>
        <v>79.56</v>
      </c>
      <c r="G15" s="294">
        <f>$E15</f>
        <v>79.56</v>
      </c>
      <c r="H15" s="294">
        <f>$E15</f>
        <v>79.56</v>
      </c>
      <c r="I15" s="16" t="str">
        <f>IF('Conversion Tables'!F14="NA","NA",(E15*'Conversion Tables'!$C14)/'Conversion Tables'!F14)</f>
        <v>NA</v>
      </c>
      <c r="J15" s="16" t="str">
        <f>IF('Conversion Tables'!G14="NA","NA",(F15*'Conversion Tables'!$C14)/'Conversion Tables'!G14)</f>
        <v>NA</v>
      </c>
      <c r="K15" s="16" t="str">
        <f>IF('Conversion Tables'!H14="NA","NA",(G15*'Conversion Tables'!$C14)/'Conversion Tables'!H14)</f>
        <v>NA</v>
      </c>
      <c r="L15" s="16" t="str">
        <f>IF('Conversion Tables'!I14="NA","NA",(H15*'Conversion Tables'!$C14)/'Conversion Tables'!I14)</f>
        <v>NA</v>
      </c>
      <c r="M15" s="16" t="str">
        <f>IF('Conversion Tables'!K14="NA","NA",E15*'Conversion Tables'!K14)</f>
        <v>NA</v>
      </c>
      <c r="N15" s="16" t="str">
        <f>IF('Conversion Tables'!L14="NA","NA",F15*'Conversion Tables'!L14)</f>
        <v>NA</v>
      </c>
      <c r="O15" s="16" t="str">
        <f>IF('Conversion Tables'!M14="NA","NA",G15*'Conversion Tables'!M14)</f>
        <v>NA</v>
      </c>
      <c r="P15" s="16" t="str">
        <f>IF('Conversion Tables'!N14="NA","NA",H15*'Conversion Tables'!N14)</f>
        <v>NA</v>
      </c>
      <c r="Q15" s="15"/>
    </row>
    <row r="16" spans="1:17" x14ac:dyDescent="0.25">
      <c r="A16" s="1207"/>
      <c r="B16" s="11" t="str">
        <f>IF('Prac. Rec. Assumptions'!$B$56='Prac. Rec. Assumptions'!$V$3,A82,IF('Prac. Rec. Assumptions'!B58="No",A82,"Rye- Converted to Energy Crop"))</f>
        <v>Rye</v>
      </c>
      <c r="C16" s="294">
        <f>IF('Prac. Rec. Assumptions'!$B$56='Prac. Rec. Assumptions'!$V$3,D82,IF('Prac. Rec. Assumptions'!B59="No",D82,0))</f>
        <v>382.5</v>
      </c>
      <c r="D16" s="294">
        <f>E16*'Conversion Tables'!C15</f>
        <v>0</v>
      </c>
      <c r="E16" s="294">
        <f>C16*'Prac. Rec. Assumptions'!B12</f>
        <v>0</v>
      </c>
      <c r="F16" s="294">
        <f t="shared" ref="F16:H23" si="2">$E16</f>
        <v>0</v>
      </c>
      <c r="G16" s="294">
        <f t="shared" si="2"/>
        <v>0</v>
      </c>
      <c r="H16" s="294">
        <f t="shared" si="2"/>
        <v>0</v>
      </c>
      <c r="I16" s="16" t="str">
        <f>IF('Conversion Tables'!F15="NA","NA",(E16*'Conversion Tables'!$C15)/'Conversion Tables'!F15)</f>
        <v>NA</v>
      </c>
      <c r="J16" s="16" t="str">
        <f>IF('Conversion Tables'!G15="NA","NA",(F16*'Conversion Tables'!$C15)/'Conversion Tables'!G15)</f>
        <v>NA</v>
      </c>
      <c r="K16" s="16" t="str">
        <f>IF('Conversion Tables'!H15="NA","NA",(G16*'Conversion Tables'!$C15)/'Conversion Tables'!H15)</f>
        <v>NA</v>
      </c>
      <c r="L16" s="16" t="str">
        <f>IF('Conversion Tables'!I15="NA","NA",(H16*'Conversion Tables'!$C15)/'Conversion Tables'!I15)</f>
        <v>NA</v>
      </c>
      <c r="M16" s="16" t="str">
        <f>IF('Conversion Tables'!K15="NA","NA",E16*'Conversion Tables'!K15)</f>
        <v>NA</v>
      </c>
      <c r="N16" s="16" t="str">
        <f>IF('Conversion Tables'!L15="NA","NA",F16*'Conversion Tables'!L15)</f>
        <v>NA</v>
      </c>
      <c r="O16" s="16" t="str">
        <f>IF('Conversion Tables'!M15="NA","NA",G16*'Conversion Tables'!M15)</f>
        <v>NA</v>
      </c>
      <c r="P16" s="16" t="str">
        <f>IF('Conversion Tables'!N15="NA","NA",H16*'Conversion Tables'!N15)</f>
        <v>NA</v>
      </c>
      <c r="Q16" s="15"/>
    </row>
    <row r="17" spans="1:17" x14ac:dyDescent="0.25">
      <c r="A17" s="1207"/>
      <c r="B17" s="11" t="str">
        <f>IF('Prac. Rec. Assumptions'!$B$56='Prac. Rec. Assumptions'!$V$3,A83,IF('Prac. Rec. Assumptions'!B59="No",A83,"Corn for Grain- Converted to Energy Crop"))</f>
        <v>Corn for Grain</v>
      </c>
      <c r="C17" s="294">
        <f>IF('Prac. Rec. Assumptions'!$B$56='Prac. Rec. Assumptions'!$V$3,D83,IF('Prac. Rec. Assumptions'!B60="No",D83,0))</f>
        <v>193.375</v>
      </c>
      <c r="D17" s="294">
        <f>E17*'Conversion Tables'!C16</f>
        <v>2585.8491749999998</v>
      </c>
      <c r="E17" s="294">
        <f>C17*'Prac. Rec. Assumptions'!B13</f>
        <v>164.36875000000001</v>
      </c>
      <c r="F17" s="294">
        <f t="shared" si="2"/>
        <v>164.36875000000001</v>
      </c>
      <c r="G17" s="294">
        <f t="shared" si="2"/>
        <v>164.36875000000001</v>
      </c>
      <c r="H17" s="294">
        <f t="shared" si="2"/>
        <v>164.36875000000001</v>
      </c>
      <c r="I17" s="16" t="str">
        <f>IF('Conversion Tables'!F16="NA","NA",(E17*'Conversion Tables'!$C16)/'Conversion Tables'!F16)</f>
        <v>NA</v>
      </c>
      <c r="J17" s="16" t="str">
        <f>IF('Conversion Tables'!G16="NA","NA",(F17*'Conversion Tables'!$C16)/'Conversion Tables'!G16)</f>
        <v>NA</v>
      </c>
      <c r="K17" s="16" t="str">
        <f>IF('Conversion Tables'!H16="NA","NA",(G17*'Conversion Tables'!$C16)/'Conversion Tables'!H16)</f>
        <v>NA</v>
      </c>
      <c r="L17" s="16" t="str">
        <f>IF('Conversion Tables'!I16="NA","NA",(H17*'Conversion Tables'!$C16)/'Conversion Tables'!I16)</f>
        <v>NA</v>
      </c>
      <c r="M17" s="16" t="str">
        <f>IF('Conversion Tables'!K16="NA","NA",E17*'Conversion Tables'!K16)</f>
        <v>NA</v>
      </c>
      <c r="N17" s="16" t="str">
        <f>IF('Conversion Tables'!L16="NA","NA",F17*'Conversion Tables'!L16)</f>
        <v>NA</v>
      </c>
      <c r="O17" s="16" t="str">
        <f>IF('Conversion Tables'!M16="NA","NA",G17*'Conversion Tables'!M16)</f>
        <v>NA</v>
      </c>
      <c r="P17" s="16" t="str">
        <f>IF('Conversion Tables'!N16="NA","NA",H17*'Conversion Tables'!N16)</f>
        <v>NA</v>
      </c>
      <c r="Q17" s="15"/>
    </row>
    <row r="18" spans="1:17" x14ac:dyDescent="0.25">
      <c r="A18" s="1207"/>
      <c r="B18" s="11" t="str">
        <f>IF('Prac. Rec. Assumptions'!$B$56='Prac. Rec. Assumptions'!$V$3,A84,IF('Prac. Rec. Assumptions'!B60="No",A84,"Corn for Silage- Converted to Energy Crop"))</f>
        <v>Corn for Silage</v>
      </c>
      <c r="C18" s="294">
        <f>IF('Prac. Rec. Assumptions'!$B$56='Prac. Rec. Assumptions'!$V$3,D84,IF('Prac. Rec. Assumptions'!B61="No",D84,0))</f>
        <v>40.179999999999993</v>
      </c>
      <c r="D18" s="294">
        <f>E18*'Conversion Tables'!C17</f>
        <v>474.08381999999989</v>
      </c>
      <c r="E18" s="294">
        <f>C18*'Prac. Rec. Assumptions'!B14</f>
        <v>30.134999999999994</v>
      </c>
      <c r="F18" s="294">
        <f t="shared" si="2"/>
        <v>30.134999999999994</v>
      </c>
      <c r="G18" s="294">
        <f t="shared" si="2"/>
        <v>30.134999999999994</v>
      </c>
      <c r="H18" s="294">
        <f t="shared" si="2"/>
        <v>30.134999999999994</v>
      </c>
      <c r="I18" s="16" t="str">
        <f>IF('Conversion Tables'!F17="NA","NA",(E18*'Conversion Tables'!$C17)/'Conversion Tables'!F17)</f>
        <v>NA</v>
      </c>
      <c r="J18" s="16" t="str">
        <f>IF('Conversion Tables'!G17="NA","NA",(F18*'Conversion Tables'!$C17)/'Conversion Tables'!G17)</f>
        <v>NA</v>
      </c>
      <c r="K18" s="16" t="str">
        <f>IF('Conversion Tables'!H17="NA","NA",(G18*'Conversion Tables'!$C17)/'Conversion Tables'!H17)</f>
        <v>NA</v>
      </c>
      <c r="L18" s="16" t="str">
        <f>IF('Conversion Tables'!I17="NA","NA",(H18*'Conversion Tables'!$C17)/'Conversion Tables'!I17)</f>
        <v>NA</v>
      </c>
      <c r="M18" s="16" t="str">
        <f>IF('Conversion Tables'!K17="NA","NA",E18*'Conversion Tables'!K17)</f>
        <v>NA</v>
      </c>
      <c r="N18" s="16" t="str">
        <f>IF('Conversion Tables'!L17="NA","NA",F18*'Conversion Tables'!L17)</f>
        <v>NA</v>
      </c>
      <c r="O18" s="16" t="str">
        <f>IF('Conversion Tables'!M17="NA","NA",G18*'Conversion Tables'!M17)</f>
        <v>NA</v>
      </c>
      <c r="P18" s="16" t="str">
        <f>IF('Conversion Tables'!N17="NA","NA",H18*'Conversion Tables'!N17)</f>
        <v>NA</v>
      </c>
      <c r="Q18" s="15"/>
    </row>
    <row r="19" spans="1:17" x14ac:dyDescent="0.25">
      <c r="A19" s="1207"/>
      <c r="B19" s="11" t="str">
        <f>IF('Prac. Rec. Assumptions'!$B$56='Prac. Rec. Assumptions'!$V$3,A85,IF('Prac. Rec. Assumptions'!B61="No",A85,"Alfalfa Hay- Converted to Energy Crop"))</f>
        <v>Alfalfa Hay</v>
      </c>
      <c r="C19" s="294">
        <f>IF('Prac. Rec. Assumptions'!$B$56='Prac. Rec. Assumptions'!$V$3,D85,IF('Prac. Rec. Assumptions'!B62="No",D85,0))</f>
        <v>557.6</v>
      </c>
      <c r="D19" s="294">
        <f>E19*'Conversion Tables'!C18</f>
        <v>0</v>
      </c>
      <c r="E19" s="294">
        <f>C19*'Prac. Rec. Assumptions'!B15</f>
        <v>0</v>
      </c>
      <c r="F19" s="294">
        <f t="shared" si="2"/>
        <v>0</v>
      </c>
      <c r="G19" s="294">
        <f t="shared" si="2"/>
        <v>0</v>
      </c>
      <c r="H19" s="294">
        <f t="shared" si="2"/>
        <v>0</v>
      </c>
      <c r="I19" s="16" t="str">
        <f>IF('Conversion Tables'!F18="NA","NA",(E19*'Conversion Tables'!$C18)/'Conversion Tables'!F18)</f>
        <v>NA</v>
      </c>
      <c r="J19" s="16" t="str">
        <f>IF('Conversion Tables'!G18="NA","NA",(F19*'Conversion Tables'!$C18)/'Conversion Tables'!G18)</f>
        <v>NA</v>
      </c>
      <c r="K19" s="16" t="str">
        <f>IF('Conversion Tables'!H18="NA","NA",(G19*'Conversion Tables'!$C18)/'Conversion Tables'!H18)</f>
        <v>NA</v>
      </c>
      <c r="L19" s="16" t="str">
        <f>IF('Conversion Tables'!I18="NA","NA",(H19*'Conversion Tables'!$C18)/'Conversion Tables'!I18)</f>
        <v>NA</v>
      </c>
      <c r="M19" s="16" t="str">
        <f>IF('Conversion Tables'!K18="NA","NA",E19*'Conversion Tables'!K18)</f>
        <v>NA</v>
      </c>
      <c r="N19" s="16" t="str">
        <f>IF('Conversion Tables'!L18="NA","NA",F19*'Conversion Tables'!L18)</f>
        <v>NA</v>
      </c>
      <c r="O19" s="16" t="str">
        <f>IF('Conversion Tables'!M18="NA","NA",G19*'Conversion Tables'!M18)</f>
        <v>NA</v>
      </c>
      <c r="P19" s="16" t="str">
        <f>IF('Conversion Tables'!N18="NA","NA",H19*'Conversion Tables'!N18)</f>
        <v>NA</v>
      </c>
      <c r="Q19" s="15"/>
    </row>
    <row r="20" spans="1:17" x14ac:dyDescent="0.25">
      <c r="A20" s="1207"/>
      <c r="B20" s="11" t="str">
        <f>IF('Prac. Rec. Assumptions'!$B$56='Prac. Rec. Assumptions'!$V$3,A86,IF('Prac. Rec. Assumptions'!B62="No",A86,"Other Hay- Converted to Energy Crop"))</f>
        <v>Other Hay</v>
      </c>
      <c r="C20" s="294">
        <f>IF('Prac. Rec. Assumptions'!$B$56='Prac. Rec. Assumptions'!$V$3,D86,IF('Prac. Rec. Assumptions'!B63="No",D86,0))</f>
        <v>958.03499999999985</v>
      </c>
      <c r="D20" s="294">
        <f>E20*'Conversion Tables'!C19</f>
        <v>7472.6729999999989</v>
      </c>
      <c r="E20" s="294">
        <f>C20*'Prac. Rec. Assumptions'!B16</f>
        <v>479.01749999999993</v>
      </c>
      <c r="F20" s="294">
        <f t="shared" si="2"/>
        <v>479.01749999999993</v>
      </c>
      <c r="G20" s="294">
        <f t="shared" si="2"/>
        <v>479.01749999999993</v>
      </c>
      <c r="H20" s="294">
        <f t="shared" si="2"/>
        <v>479.01749999999993</v>
      </c>
      <c r="I20" s="16" t="str">
        <f>IF('Conversion Tables'!F19="NA","NA",(E20*'Conversion Tables'!$C19)/'Conversion Tables'!F19)</f>
        <v>NA</v>
      </c>
      <c r="J20" s="16" t="str">
        <f>IF('Conversion Tables'!G19="NA","NA",(F20*'Conversion Tables'!$C19)/'Conversion Tables'!G19)</f>
        <v>NA</v>
      </c>
      <c r="K20" s="16" t="str">
        <f>IF('Conversion Tables'!H19="NA","NA",(G20*'Conversion Tables'!$C19)/'Conversion Tables'!H19)</f>
        <v>NA</v>
      </c>
      <c r="L20" s="16" t="str">
        <f>IF('Conversion Tables'!I19="NA","NA",(H20*'Conversion Tables'!$C19)/'Conversion Tables'!I19)</f>
        <v>NA</v>
      </c>
      <c r="M20" s="16" t="str">
        <f>IF('Conversion Tables'!K19="NA","NA",E20*'Conversion Tables'!K19)</f>
        <v>NA</v>
      </c>
      <c r="N20" s="16" t="str">
        <f>IF('Conversion Tables'!L19="NA","NA",F20*'Conversion Tables'!L19)</f>
        <v>NA</v>
      </c>
      <c r="O20" s="16" t="str">
        <f>IF('Conversion Tables'!M19="NA","NA",G20*'Conversion Tables'!M19)</f>
        <v>NA</v>
      </c>
      <c r="P20" s="16" t="str">
        <f>IF('Conversion Tables'!N19="NA","NA",H20*'Conversion Tables'!N19)</f>
        <v>NA</v>
      </c>
      <c r="Q20" s="15"/>
    </row>
    <row r="21" spans="1:17" x14ac:dyDescent="0.25">
      <c r="A21" s="1207"/>
      <c r="B21" s="11" t="str">
        <f>IF('Prac. Rec. Assumptions'!$B$56='Prac. Rec. Assumptions'!$V$3,A87,IF('Prac. Rec. Assumptions'!B63="No",A87,"Wheat- Converted to Energy Crop"))</f>
        <v>Wheat</v>
      </c>
      <c r="C21" s="294">
        <f>IF('Prac. Rec. Assumptions'!$B$56='Prac. Rec. Assumptions'!$V$3,D87,IF('Prac. Rec. Assumptions'!B64="No",D87,0))</f>
        <v>264.77499999999998</v>
      </c>
      <c r="D21" s="294">
        <f>E21*'Conversion Tables'!C20</f>
        <v>0</v>
      </c>
      <c r="E21" s="294">
        <f>C21*'Prac. Rec. Assumptions'!B17</f>
        <v>0</v>
      </c>
      <c r="F21" s="294">
        <f t="shared" si="2"/>
        <v>0</v>
      </c>
      <c r="G21" s="294">
        <f t="shared" si="2"/>
        <v>0</v>
      </c>
      <c r="H21" s="294">
        <f t="shared" si="2"/>
        <v>0</v>
      </c>
      <c r="I21" s="16" t="str">
        <f>IF('Conversion Tables'!F20="NA","NA",(E21*'Conversion Tables'!$C20)/'Conversion Tables'!F20)</f>
        <v>NA</v>
      </c>
      <c r="J21" s="16" t="str">
        <f>IF('Conversion Tables'!G20="NA","NA",(F21*'Conversion Tables'!$C20)/'Conversion Tables'!G20)</f>
        <v>NA</v>
      </c>
      <c r="K21" s="16" t="str">
        <f>IF('Conversion Tables'!H20="NA","NA",(G21*'Conversion Tables'!$C20)/'Conversion Tables'!H20)</f>
        <v>NA</v>
      </c>
      <c r="L21" s="16" t="str">
        <f>IF('Conversion Tables'!I20="NA","NA",(H21*'Conversion Tables'!$C20)/'Conversion Tables'!I20)</f>
        <v>NA</v>
      </c>
      <c r="M21" s="16" t="str">
        <f>IF('Conversion Tables'!K20="NA","NA",E21*'Conversion Tables'!K20)</f>
        <v>NA</v>
      </c>
      <c r="N21" s="16" t="str">
        <f>IF('Conversion Tables'!L20="NA","NA",F21*'Conversion Tables'!L20)</f>
        <v>NA</v>
      </c>
      <c r="O21" s="16" t="str">
        <f>IF('Conversion Tables'!M20="NA","NA",G21*'Conversion Tables'!M20)</f>
        <v>NA</v>
      </c>
      <c r="P21" s="16" t="str">
        <f>IF('Conversion Tables'!N20="NA","NA",H21*'Conversion Tables'!N20)</f>
        <v>NA</v>
      </c>
      <c r="Q21" s="15"/>
    </row>
    <row r="22" spans="1:17" x14ac:dyDescent="0.25">
      <c r="A22" s="1207"/>
      <c r="B22" s="148" t="s">
        <v>205</v>
      </c>
      <c r="C22" s="294">
        <f>'Biomass Data Assumptions'!P11*1000*'Energy Content Assumptions'!C18</f>
        <v>26537.5</v>
      </c>
      <c r="D22" s="294">
        <f>E22*'Conversion Tables'!C21</f>
        <v>206992.5</v>
      </c>
      <c r="E22" s="294">
        <f>C22*'Prac. Rec. Assumptions'!B18</f>
        <v>13268.75</v>
      </c>
      <c r="F22" s="294">
        <f t="shared" si="2"/>
        <v>13268.75</v>
      </c>
      <c r="G22" s="294">
        <f t="shared" si="2"/>
        <v>13268.75</v>
      </c>
      <c r="H22" s="294">
        <f t="shared" si="2"/>
        <v>13268.75</v>
      </c>
      <c r="I22" s="16" t="str">
        <f>IF('Conversion Tables'!F21="NA","NA",(E22*'Conversion Tables'!$C21)/'Conversion Tables'!F21)</f>
        <v>NA</v>
      </c>
      <c r="J22" s="16" t="str">
        <f>IF('Conversion Tables'!G21="NA","NA",(F22*'Conversion Tables'!$C21)/'Conversion Tables'!G21)</f>
        <v>NA</v>
      </c>
      <c r="K22" s="16" t="str">
        <f>IF('Conversion Tables'!H21="NA","NA",(G22*'Conversion Tables'!$C21)/'Conversion Tables'!H21)</f>
        <v>NA</v>
      </c>
      <c r="L22" s="16" t="str">
        <f>IF('Conversion Tables'!I21="NA","NA",(H22*'Conversion Tables'!$C21)/'Conversion Tables'!I21)</f>
        <v>NA</v>
      </c>
      <c r="M22" s="16" t="str">
        <f>IF('Conversion Tables'!K21="NA","NA",E22*'Conversion Tables'!K21)</f>
        <v>NA</v>
      </c>
      <c r="N22" s="16" t="str">
        <f>IF('Conversion Tables'!L21="NA","NA",F22*'Conversion Tables'!L21)</f>
        <v>NA</v>
      </c>
      <c r="O22" s="16" t="str">
        <f>IF('Conversion Tables'!M21="NA","NA",G22*'Conversion Tables'!M21)</f>
        <v>NA</v>
      </c>
      <c r="P22" s="16" t="str">
        <f>IF('Conversion Tables'!N21="NA","NA",H22*'Conversion Tables'!N21)</f>
        <v>NA</v>
      </c>
      <c r="Q22" s="15"/>
    </row>
    <row r="23" spans="1:17" x14ac:dyDescent="0.25">
      <c r="A23" s="1207"/>
      <c r="B23" s="2" t="s">
        <v>302</v>
      </c>
      <c r="C23" s="294">
        <f>B133</f>
        <v>47427.75</v>
      </c>
      <c r="D23" s="294">
        <f>E23*'Conversion Tables'!C22</f>
        <v>774779.72399999993</v>
      </c>
      <c r="E23" s="294">
        <f>C23*'Prac. Rec. Assumptions'!B19</f>
        <v>47427.75</v>
      </c>
      <c r="F23" s="297">
        <f t="shared" si="2"/>
        <v>47427.75</v>
      </c>
      <c r="G23" s="297">
        <f t="shared" si="2"/>
        <v>47427.75</v>
      </c>
      <c r="H23" s="297">
        <f t="shared" si="2"/>
        <v>47427.75</v>
      </c>
      <c r="I23" s="16" t="str">
        <f>IF('Conversion Tables'!F22="NA","NA",(E23*'Conversion Tables'!$C22)/'Conversion Tables'!F22)</f>
        <v>NA</v>
      </c>
      <c r="J23" s="16" t="str">
        <f>IF('Conversion Tables'!G22="NA","NA",(F23*'Conversion Tables'!$C22)/'Conversion Tables'!G22)</f>
        <v>NA</v>
      </c>
      <c r="K23" s="16" t="str">
        <f>IF('Conversion Tables'!H22="NA","NA",(G23*'Conversion Tables'!$C22)/'Conversion Tables'!H22)</f>
        <v>NA</v>
      </c>
      <c r="L23" s="16" t="str">
        <f>IF('Conversion Tables'!I22="NA","NA",(H23*'Conversion Tables'!$C22)/'Conversion Tables'!I22)</f>
        <v>NA</v>
      </c>
      <c r="M23" s="16" t="str">
        <f>IF('Conversion Tables'!K22="NA","NA",E23*'Conversion Tables'!K22)</f>
        <v>NA</v>
      </c>
      <c r="N23" s="16" t="str">
        <f>IF('Conversion Tables'!L22="NA","NA",F23*'Conversion Tables'!L22)</f>
        <v>NA</v>
      </c>
      <c r="O23" s="16" t="str">
        <f>IF('Conversion Tables'!M22="NA","NA",G23*'Conversion Tables'!M22)</f>
        <v>NA</v>
      </c>
      <c r="P23" s="16" t="str">
        <f>IF('Conversion Tables'!N22="NA","NA",H23*'Conversion Tables'!N22)</f>
        <v>NA</v>
      </c>
      <c r="Q23" s="7"/>
    </row>
    <row r="24" spans="1:17" x14ac:dyDescent="0.25">
      <c r="A24" s="1207"/>
      <c r="B24" s="1" t="s">
        <v>518</v>
      </c>
      <c r="C24" s="294"/>
      <c r="D24" s="294"/>
      <c r="E24" s="294"/>
      <c r="F24" s="294"/>
      <c r="G24" s="294"/>
      <c r="H24" s="294"/>
      <c r="I24" s="16"/>
      <c r="J24" s="16"/>
      <c r="K24" s="16"/>
      <c r="L24" s="16"/>
      <c r="M24" s="16"/>
      <c r="N24" s="16"/>
      <c r="O24" s="16"/>
      <c r="P24" s="16"/>
      <c r="Q24" s="7"/>
    </row>
    <row r="25" spans="1:17" x14ac:dyDescent="0.25">
      <c r="A25" s="1207"/>
      <c r="B25" s="11" t="s">
        <v>559</v>
      </c>
      <c r="C25" s="294">
        <f>C128</f>
        <v>8671.11</v>
      </c>
      <c r="D25" s="294">
        <f>E25*'Conversion Tables'!C24</f>
        <v>153478.647</v>
      </c>
      <c r="E25" s="294">
        <f>C25*'Prac. Rec. Assumptions'!B21</f>
        <v>8671.11</v>
      </c>
      <c r="F25" s="294">
        <f>($C25*(1+'Biomass Data Assumptions'!G$96))*'Prac. Rec. Assumptions'!$B21</f>
        <v>8437.4842383419691</v>
      </c>
      <c r="G25" s="294">
        <f>($C25*(1+'Biomass Data Assumptions'!H$96))*'Prac. Rec. Assumptions'!$B21</f>
        <v>8446.4698445595859</v>
      </c>
      <c r="H25" s="294">
        <f>($C25*(1+'Biomass Data Assumptions'!I$96))*'Prac. Rec. Assumptions'!$B21</f>
        <v>8428.4986321243523</v>
      </c>
      <c r="I25" s="16" t="str">
        <f>IF('Conversion Tables'!F24="NA","NA",(E25*'Conversion Tables'!$C24)/'Conversion Tables'!F24)</f>
        <v>NA</v>
      </c>
      <c r="J25" s="16" t="str">
        <f>IF('Conversion Tables'!G24="NA","NA",(F25*'Conversion Tables'!$C24)/'Conversion Tables'!G24)</f>
        <v>NA</v>
      </c>
      <c r="K25" s="16" t="str">
        <f>IF('Conversion Tables'!H24="NA","NA",(G25*'Conversion Tables'!$C24)/'Conversion Tables'!H24)</f>
        <v>NA</v>
      </c>
      <c r="L25" s="16" t="str">
        <f>IF('Conversion Tables'!I24="NA","NA",(H25*'Conversion Tables'!$C24)/'Conversion Tables'!I24)</f>
        <v>NA</v>
      </c>
      <c r="M25" s="16" t="str">
        <f>IF('Conversion Tables'!K24="NA","NA",E25*'Conversion Tables'!K24)</f>
        <v>NA</v>
      </c>
      <c r="N25" s="16" t="str">
        <f>IF('Conversion Tables'!L24="NA","NA",F25*'Conversion Tables'!L24)</f>
        <v>NA</v>
      </c>
      <c r="O25" s="16" t="str">
        <f>IF('Conversion Tables'!M24="NA","NA",G25*'Conversion Tables'!M24)</f>
        <v>NA</v>
      </c>
      <c r="P25" s="16" t="str">
        <f>IF('Conversion Tables'!N24="NA","NA",H25*'Conversion Tables'!N24)</f>
        <v>NA</v>
      </c>
      <c r="Q25" s="13"/>
    </row>
    <row r="26" spans="1:17" x14ac:dyDescent="0.25">
      <c r="A26" s="1207"/>
      <c r="B26" s="11" t="s">
        <v>560</v>
      </c>
      <c r="C26" s="294">
        <f>C129</f>
        <v>1716.8400000000001</v>
      </c>
      <c r="D26" s="294">
        <f>E26*'Conversion Tables'!C25</f>
        <v>26782.704000000002</v>
      </c>
      <c r="E26" s="294">
        <f>C26*'Prac. Rec. Assumptions'!B22</f>
        <v>1716.8400000000001</v>
      </c>
      <c r="F26" s="294">
        <f>($C26*(1+'Biomass Data Assumptions'!G$96))*'Prac. Rec. Assumptions'!$B22</f>
        <v>1670.583170984456</v>
      </c>
      <c r="G26" s="294">
        <f>($C26*(1+'Biomass Data Assumptions'!H$96))*'Prac. Rec. Assumptions'!$B22</f>
        <v>1672.3622797927462</v>
      </c>
      <c r="H26" s="294">
        <f>($C26*(1+'Biomass Data Assumptions'!I$96))*'Prac. Rec. Assumptions'!$B22</f>
        <v>1668.8040621761661</v>
      </c>
      <c r="I26" s="16" t="str">
        <f>IF('Conversion Tables'!F25="NA","NA",(E26*'Conversion Tables'!$C25)/'Conversion Tables'!F25)</f>
        <v>NA</v>
      </c>
      <c r="J26" s="16" t="str">
        <f>IF('Conversion Tables'!G25="NA","NA",(F26*'Conversion Tables'!$C25)/'Conversion Tables'!G25)</f>
        <v>NA</v>
      </c>
      <c r="K26" s="16" t="str">
        <f>IF('Conversion Tables'!H25="NA","NA",(G26*'Conversion Tables'!$C25)/'Conversion Tables'!H25)</f>
        <v>NA</v>
      </c>
      <c r="L26" s="16" t="str">
        <f>IF('Conversion Tables'!I25="NA","NA",(H26*'Conversion Tables'!$C25)/'Conversion Tables'!I25)</f>
        <v>NA</v>
      </c>
      <c r="M26" s="16" t="str">
        <f>IF('Conversion Tables'!K25="NA","NA",E26*'Conversion Tables'!K25)</f>
        <v>NA</v>
      </c>
      <c r="N26" s="16" t="str">
        <f>IF('Conversion Tables'!L25="NA","NA",F26*'Conversion Tables'!L25)</f>
        <v>NA</v>
      </c>
      <c r="O26" s="16" t="str">
        <f>IF('Conversion Tables'!M25="NA","NA",G26*'Conversion Tables'!M25)</f>
        <v>NA</v>
      </c>
      <c r="P26" s="16" t="str">
        <f>IF('Conversion Tables'!N25="NA","NA",H26*'Conversion Tables'!N25)</f>
        <v>NA</v>
      </c>
      <c r="Q26" s="13"/>
    </row>
    <row r="27" spans="1:17" x14ac:dyDescent="0.25">
      <c r="A27" s="1207"/>
      <c r="B27" s="11" t="s">
        <v>561</v>
      </c>
      <c r="C27" s="294">
        <f>C130</f>
        <v>2905.7733333333331</v>
      </c>
      <c r="D27" s="294">
        <f>E27*'Conversion Tables'!C26</f>
        <v>45330.063999999998</v>
      </c>
      <c r="E27" s="294">
        <f>C27*'Prac. Rec. Assumptions'!B23</f>
        <v>2905.7733333333331</v>
      </c>
      <c r="F27" s="294">
        <f>($C27*(1+'Biomass Data Assumptions'!G$96))*'Prac. Rec. Assumptions'!$B23</f>
        <v>2827.4830673575125</v>
      </c>
      <c r="G27" s="294">
        <f>($C27*(1+'Biomass Data Assumptions'!H$96))*'Prac. Rec. Assumptions'!$B23</f>
        <v>2830.4942314335058</v>
      </c>
      <c r="H27" s="294">
        <f>($C27*(1+'Biomass Data Assumptions'!I$96))*'Prac. Rec. Assumptions'!$B23</f>
        <v>2824.4719032815196</v>
      </c>
      <c r="I27" s="16" t="str">
        <f>IF('Conversion Tables'!F26="NA","NA",(E27*'Conversion Tables'!$C26)/'Conversion Tables'!F26)</f>
        <v>NA</v>
      </c>
      <c r="J27" s="16" t="str">
        <f>IF('Conversion Tables'!G26="NA","NA",(F27*'Conversion Tables'!$C26)/'Conversion Tables'!G26)</f>
        <v>NA</v>
      </c>
      <c r="K27" s="16" t="str">
        <f>IF('Conversion Tables'!H26="NA","NA",(G27*'Conversion Tables'!$C26)/'Conversion Tables'!H26)</f>
        <v>NA</v>
      </c>
      <c r="L27" s="16" t="str">
        <f>IF('Conversion Tables'!I26="NA","NA",(H27*'Conversion Tables'!$C26)/'Conversion Tables'!I26)</f>
        <v>NA</v>
      </c>
      <c r="M27" s="16" t="str">
        <f>IF('Conversion Tables'!K26="NA","NA",E27*'Conversion Tables'!K26)</f>
        <v>NA</v>
      </c>
      <c r="N27" s="16" t="str">
        <f>IF('Conversion Tables'!L26="NA","NA",F27*'Conversion Tables'!L26)</f>
        <v>NA</v>
      </c>
      <c r="O27" s="16" t="str">
        <f>IF('Conversion Tables'!M26="NA","NA",G27*'Conversion Tables'!M26)</f>
        <v>NA</v>
      </c>
      <c r="P27" s="16" t="str">
        <f>IF('Conversion Tables'!N26="NA","NA",H27*'Conversion Tables'!N26)</f>
        <v>NA</v>
      </c>
      <c r="Q27" s="13"/>
    </row>
    <row r="28" spans="1:17" x14ac:dyDescent="0.25">
      <c r="A28" s="1207"/>
      <c r="B28" s="11" t="s">
        <v>562</v>
      </c>
      <c r="C28" s="294">
        <f>C131</f>
        <v>411.94499999999999</v>
      </c>
      <c r="D28" s="294">
        <f>E28*'Conversion Tables'!C27</f>
        <v>7291.4264999999996</v>
      </c>
      <c r="E28" s="294">
        <f>C28*'Prac. Rec. Assumptions'!B24</f>
        <v>411.94499999999999</v>
      </c>
      <c r="F28" s="294">
        <f>($C28*(1+'Biomass Data Assumptions'!G$96))*'Prac. Rec. Assumptions'!$B24</f>
        <v>400.84596373056991</v>
      </c>
      <c r="G28" s="294">
        <f>($C28*(1+'Biomass Data Assumptions'!H$96))*'Prac. Rec. Assumptions'!$B24</f>
        <v>401.27284974093266</v>
      </c>
      <c r="H28" s="294">
        <f>($C28*(1+'Biomass Data Assumptions'!I$96))*'Prac. Rec. Assumptions'!$B24</f>
        <v>400.41907772020727</v>
      </c>
      <c r="I28" s="16" t="str">
        <f>IF('Conversion Tables'!F27="NA","NA",(E28*'Conversion Tables'!$C27)/'Conversion Tables'!F27)</f>
        <v>NA</v>
      </c>
      <c r="J28" s="16" t="str">
        <f>IF('Conversion Tables'!G27="NA","NA",(F28*'Conversion Tables'!$C27)/'Conversion Tables'!G27)</f>
        <v>NA</v>
      </c>
      <c r="K28" s="16" t="str">
        <f>IF('Conversion Tables'!H27="NA","NA",(G28*'Conversion Tables'!$C27)/'Conversion Tables'!H27)</f>
        <v>NA</v>
      </c>
      <c r="L28" s="16" t="str">
        <f>IF('Conversion Tables'!I27="NA","NA",(H28*'Conversion Tables'!$C27)/'Conversion Tables'!I27)</f>
        <v>NA</v>
      </c>
      <c r="M28" s="16" t="str">
        <f>IF('Conversion Tables'!K27="NA","NA",E28*'Conversion Tables'!K27)</f>
        <v>NA</v>
      </c>
      <c r="N28" s="16" t="str">
        <f>IF('Conversion Tables'!L27="NA","NA",F28*'Conversion Tables'!L27)</f>
        <v>NA</v>
      </c>
      <c r="O28" s="16" t="str">
        <f>IF('Conversion Tables'!M27="NA","NA",G28*'Conversion Tables'!M27)</f>
        <v>NA</v>
      </c>
      <c r="P28" s="16" t="str">
        <f>IF('Conversion Tables'!N27="NA","NA",H28*'Conversion Tables'!N27)</f>
        <v>NA</v>
      </c>
      <c r="Q28" s="13"/>
    </row>
    <row r="29" spans="1:17" x14ac:dyDescent="0.25">
      <c r="A29" s="1208"/>
      <c r="B29" s="9" t="s">
        <v>524</v>
      </c>
      <c r="C29" s="295">
        <f t="shared" ref="C29:P29" si="3">SUM(C13:C28)</f>
        <v>90166.833333333343</v>
      </c>
      <c r="D29" s="295">
        <f>SUM(D13:D28)</f>
        <v>1226439.3094149998</v>
      </c>
      <c r="E29" s="295">
        <f t="shared" si="3"/>
        <v>75155.249583333338</v>
      </c>
      <c r="F29" s="295">
        <f>SUM(F13:F28)</f>
        <v>74785.977690414496</v>
      </c>
      <c r="G29" s="295">
        <f>SUM(G13:G28)</f>
        <v>74800.180455526774</v>
      </c>
      <c r="H29" s="295">
        <f>SUM(H13:H28)</f>
        <v>74771.774925302234</v>
      </c>
      <c r="I29" s="19">
        <f t="shared" si="3"/>
        <v>0</v>
      </c>
      <c r="J29" s="19">
        <f t="shared" si="3"/>
        <v>0</v>
      </c>
      <c r="K29" s="19">
        <f t="shared" si="3"/>
        <v>0</v>
      </c>
      <c r="L29" s="19">
        <f t="shared" si="3"/>
        <v>0</v>
      </c>
      <c r="M29" s="19">
        <f t="shared" si="3"/>
        <v>0</v>
      </c>
      <c r="N29" s="19">
        <f t="shared" si="3"/>
        <v>0</v>
      </c>
      <c r="O29" s="19">
        <f t="shared" si="3"/>
        <v>0</v>
      </c>
      <c r="P29" s="19">
        <f t="shared" si="3"/>
        <v>0</v>
      </c>
      <c r="Q29" s="19"/>
    </row>
    <row r="30" spans="1:17" x14ac:dyDescent="0.25">
      <c r="A30" s="8"/>
      <c r="C30" s="296"/>
      <c r="D30" s="296"/>
      <c r="E30" s="296"/>
      <c r="F30" s="296"/>
      <c r="G30" s="296"/>
      <c r="H30" s="296"/>
      <c r="I30" s="28"/>
      <c r="J30" s="28"/>
      <c r="K30" s="28"/>
      <c r="L30" s="28"/>
      <c r="M30" s="28"/>
      <c r="N30" s="28"/>
      <c r="O30" s="28"/>
      <c r="P30" s="28"/>
    </row>
    <row r="31" spans="1:17" x14ac:dyDescent="0.25">
      <c r="A31" s="1064" t="s">
        <v>516</v>
      </c>
      <c r="B31" s="130" t="str">
        <f>'Bioenergy Calculator'!B34</f>
        <v>Solid wastes - Landfilled</v>
      </c>
      <c r="C31" s="294"/>
      <c r="D31" s="294"/>
      <c r="E31" s="294"/>
      <c r="F31" s="294"/>
      <c r="G31" s="294"/>
      <c r="H31" s="294"/>
      <c r="I31" s="16"/>
      <c r="J31" s="16"/>
      <c r="K31" s="16"/>
      <c r="L31" s="16"/>
      <c r="M31" s="16"/>
      <c r="N31" s="16"/>
      <c r="O31" s="16"/>
      <c r="P31" s="16"/>
      <c r="Q31" s="7"/>
    </row>
    <row r="32" spans="1:17" x14ac:dyDescent="0.25">
      <c r="A32" s="1064"/>
      <c r="B32" s="11" t="str">
        <f>'Bioenergy Calculator'!B35</f>
        <v>Food waste, Landfilled</v>
      </c>
      <c r="C32" s="294">
        <f>C141</f>
        <v>4319.3023272000009</v>
      </c>
      <c r="D32" s="294">
        <f>E32*'Conversion Tables'!C29</f>
        <v>41465.302341120012</v>
      </c>
      <c r="E32" s="294">
        <f>C32*'Prac. Rec. Assumptions'!B26</f>
        <v>2591.5813963200007</v>
      </c>
      <c r="F32" s="294">
        <f>($C32*(1+'Biomass Data Assumptions'!G$96)*(1+'Biomass Data Assumptions'!C$82))*'Prac. Rec. Assumptions'!$B26</f>
        <v>2520.0441844118459</v>
      </c>
      <c r="G32" s="294">
        <f>($C32*(1+'Biomass Data Assumptions'!H$96)*(1+'Biomass Data Assumptions'!D$82))*'Prac. Rec. Assumptions'!$B26</f>
        <v>2521.015056967206</v>
      </c>
      <c r="H32" s="294">
        <f>($C32*(1+'Biomass Data Assumptions'!I$96)*(1+'Biomass Data Assumptions'!E$82))*'Prac. Rec. Assumptions'!$B26</f>
        <v>2513.9431195372485</v>
      </c>
      <c r="I32" s="16" t="str">
        <f>IF('Conversion Tables'!F29="NA","NA",(E32*'Conversion Tables'!$C29)/'Conversion Tables'!F29)</f>
        <v>NA</v>
      </c>
      <c r="J32" s="16" t="str">
        <f>IF('Conversion Tables'!G29="NA","NA",(F32*'Conversion Tables'!$C29)/'Conversion Tables'!G29)</f>
        <v>NA</v>
      </c>
      <c r="K32" s="16" t="str">
        <f>IF('Conversion Tables'!H29="NA","NA",(G32*'Conversion Tables'!$C29)/'Conversion Tables'!H29)</f>
        <v>NA</v>
      </c>
      <c r="L32" s="16" t="str">
        <f>IF('Conversion Tables'!I29="NA","NA",(H32*'Conversion Tables'!$C29)/'Conversion Tables'!I29)</f>
        <v>NA</v>
      </c>
      <c r="M32" s="16" t="str">
        <f>IF('Conversion Tables'!K29="NA","NA",E32*'Conversion Tables'!K29)</f>
        <v>NA</v>
      </c>
      <c r="N32" s="16" t="str">
        <f>IF('Conversion Tables'!L29="NA","NA",F32*'Conversion Tables'!L29)</f>
        <v>NA</v>
      </c>
      <c r="O32" s="16" t="str">
        <f>IF('Conversion Tables'!M29="NA","NA",G32*'Conversion Tables'!M29)</f>
        <v>NA</v>
      </c>
      <c r="P32" s="16" t="str">
        <f>IF('Conversion Tables'!N29="NA","NA",H32*'Conversion Tables'!N29)</f>
        <v>NA</v>
      </c>
      <c r="Q32" s="7"/>
    </row>
    <row r="33" spans="1:17" x14ac:dyDescent="0.25">
      <c r="A33" s="1064"/>
      <c r="B33" s="11" t="str">
        <f>'Bioenergy Calculator'!B36</f>
        <v>Waste paper, Landfilled</v>
      </c>
      <c r="C33" s="294">
        <f>C142</f>
        <v>15931.181466000002</v>
      </c>
      <c r="D33" s="294">
        <f>E33*'Conversion Tables'!C30</f>
        <v>185082.09379940163</v>
      </c>
      <c r="E33" s="294">
        <f>C33*'Prac. Rec. Assumptions'!B27</f>
        <v>12744.945172800002</v>
      </c>
      <c r="F33" s="294">
        <f>($C33*(1+'Biomass Data Assumptions'!G$96)*(1+'Biomass Data Assumptions'!C$82))*'Prac. Rec. Assumptions'!$B27</f>
        <v>12393.137645211225</v>
      </c>
      <c r="G33" s="294">
        <f>($C33*(1+'Biomass Data Assumptions'!H$96)*(1+'Biomass Data Assumptions'!D$82))*'Prac. Rec. Assumptions'!$B27</f>
        <v>12397.91222705743</v>
      </c>
      <c r="H33" s="294">
        <f>($C33*(1+'Biomass Data Assumptions'!I$96)*(1+'Biomass Data Assumptions'!E$82))*'Prac. Rec. Assumptions'!$B27</f>
        <v>12363.133672566239</v>
      </c>
      <c r="I33" s="16" t="str">
        <f>IF('Conversion Tables'!F30="NA","NA",(E33*'Conversion Tables'!$C30)/'Conversion Tables'!F30)</f>
        <v>NA</v>
      </c>
      <c r="J33" s="16" t="str">
        <f>IF('Conversion Tables'!G30="NA","NA",(F33*'Conversion Tables'!$C30)/'Conversion Tables'!G30)</f>
        <v>NA</v>
      </c>
      <c r="K33" s="16" t="str">
        <f>IF('Conversion Tables'!H30="NA","NA",(G33*'Conversion Tables'!$C30)/'Conversion Tables'!H30)</f>
        <v>NA</v>
      </c>
      <c r="L33" s="16" t="str">
        <f>IF('Conversion Tables'!I30="NA","NA",(H33*'Conversion Tables'!$C30)/'Conversion Tables'!I30)</f>
        <v>NA</v>
      </c>
      <c r="M33" s="16" t="str">
        <f>IF('Conversion Tables'!K30="NA","NA",E33*'Conversion Tables'!K30)</f>
        <v>NA</v>
      </c>
      <c r="N33" s="16" t="str">
        <f>IF('Conversion Tables'!L30="NA","NA",F33*'Conversion Tables'!L30)</f>
        <v>NA</v>
      </c>
      <c r="O33" s="16" t="str">
        <f>IF('Conversion Tables'!M30="NA","NA",G33*'Conversion Tables'!M30)</f>
        <v>NA</v>
      </c>
      <c r="P33" s="16" t="str">
        <f>IF('Conversion Tables'!N30="NA","NA",H33*'Conversion Tables'!N30)</f>
        <v>NA</v>
      </c>
      <c r="Q33" s="7"/>
    </row>
    <row r="34" spans="1:17" x14ac:dyDescent="0.25">
      <c r="A34" s="1064"/>
      <c r="B34" s="11" t="str">
        <f>'Bioenergy Calculator'!B37</f>
        <v>Other Biomass, Landfilled</v>
      </c>
      <c r="C34" s="294">
        <f>C143</f>
        <v>12254.404938</v>
      </c>
      <c r="D34" s="294">
        <f>E34*'Conversion Tables'!C31</f>
        <v>128130.09732693793</v>
      </c>
      <c r="E34" s="294">
        <f>C34*'Prac. Rec. Assumptions'!B28</f>
        <v>8823.1715553600006</v>
      </c>
      <c r="F34" s="294">
        <f>($C34*(1+'Biomass Data Assumptions'!G$96)*(1+'Biomass Data Assumptions'!C$82))*'Prac. Rec. Assumptions'!$B28</f>
        <v>8579.6194546410861</v>
      </c>
      <c r="G34" s="294">
        <f>($C34*(1+'Biomass Data Assumptions'!H$96)*(1+'Biomass Data Assumptions'!D$82))*'Prac. Rec. Assumptions'!$B28</f>
        <v>8582.9248399654662</v>
      </c>
      <c r="H34" s="294">
        <f>($C34*(1+'Biomass Data Assumptions'!I$96)*(1+'Biomass Data Assumptions'!E$82))*'Prac. Rec. Assumptions'!$B28</f>
        <v>8558.8480668948268</v>
      </c>
      <c r="I34" s="16" t="str">
        <f>IF('Conversion Tables'!F31="NA","NA",(E34*'Conversion Tables'!$C31)/'Conversion Tables'!F31)</f>
        <v>NA</v>
      </c>
      <c r="J34" s="16" t="str">
        <f>IF('Conversion Tables'!G31="NA","NA",(F34*'Conversion Tables'!$C31)/'Conversion Tables'!G31)</f>
        <v>NA</v>
      </c>
      <c r="K34" s="16" t="str">
        <f>IF('Conversion Tables'!H31="NA","NA",(G34*'Conversion Tables'!$C31)/'Conversion Tables'!H31)</f>
        <v>NA</v>
      </c>
      <c r="L34" s="16" t="str">
        <f>IF('Conversion Tables'!I31="NA","NA",(H34*'Conversion Tables'!$C31)/'Conversion Tables'!I31)</f>
        <v>NA</v>
      </c>
      <c r="M34" s="16" t="str">
        <f>IF('Conversion Tables'!K31="NA","NA",E34*'Conversion Tables'!K31)</f>
        <v>NA</v>
      </c>
      <c r="N34" s="16" t="str">
        <f>IF('Conversion Tables'!L31="NA","NA",F34*'Conversion Tables'!L31)</f>
        <v>NA</v>
      </c>
      <c r="O34" s="16" t="str">
        <f>IF('Conversion Tables'!M31="NA","NA",G34*'Conversion Tables'!M31)</f>
        <v>NA</v>
      </c>
      <c r="P34" s="16" t="str">
        <f>IF('Conversion Tables'!N31="NA","NA",H34*'Conversion Tables'!N31)</f>
        <v>NA</v>
      </c>
      <c r="Q34" s="7"/>
    </row>
    <row r="35" spans="1:17" x14ac:dyDescent="0.25">
      <c r="A35" s="1065"/>
      <c r="B35" s="11" t="str">
        <f>'Bioenergy Calculator'!B38</f>
        <v>C&amp;D (Non-recycled wood)</v>
      </c>
      <c r="C35" s="294">
        <f>C145</f>
        <v>21896.950400000002</v>
      </c>
      <c r="D35" s="294">
        <f>E35*'Conversion Tables'!C32</f>
        <v>248048.65413120005</v>
      </c>
      <c r="E35" s="294">
        <f>C35*'Prac. Rec. Assumptions'!B29</f>
        <v>14014.048256000004</v>
      </c>
      <c r="F35" s="294">
        <f>($C35*(1+'Biomass Data Assumptions'!G$96)*(1+'Biomass Data Assumptions'!C$83))*'Prac. Rec. Assumptions'!$B29</f>
        <v>14321.169630927563</v>
      </c>
      <c r="G35" s="294">
        <f>($C35*(1+'Biomass Data Assumptions'!H$96)*(1+'Biomass Data Assumptions'!D$83))*'Prac. Rec. Assumptions'!$B29</f>
        <v>15056.268520978021</v>
      </c>
      <c r="H35" s="294">
        <f>($C35*(1+'Biomass Data Assumptions'!I$96)*(1+'Biomass Data Assumptions'!E$83))*'Prac. Rec. Assumptions'!$B29</f>
        <v>15778.617116115567</v>
      </c>
      <c r="I35" s="16" t="str">
        <f>IF('Conversion Tables'!F32="NA","NA",(E35*'Conversion Tables'!$C32)/'Conversion Tables'!F32)</f>
        <v>NA</v>
      </c>
      <c r="J35" s="16" t="str">
        <f>IF('Conversion Tables'!G32="NA","NA",(F35*'Conversion Tables'!$C32)/'Conversion Tables'!G32)</f>
        <v>NA</v>
      </c>
      <c r="K35" s="16" t="str">
        <f>IF('Conversion Tables'!H32="NA","NA",(G35*'Conversion Tables'!$C32)/'Conversion Tables'!H32)</f>
        <v>NA</v>
      </c>
      <c r="L35" s="16" t="str">
        <f>IF('Conversion Tables'!I32="NA","NA",(H35*'Conversion Tables'!$C32)/'Conversion Tables'!I32)</f>
        <v>NA</v>
      </c>
      <c r="M35" s="16" t="str">
        <f>IF('Conversion Tables'!K32="NA","NA",E35*'Conversion Tables'!K32)</f>
        <v>NA</v>
      </c>
      <c r="N35" s="16" t="str">
        <f>IF('Conversion Tables'!L32="NA","NA",F35*'Conversion Tables'!L32)</f>
        <v>NA</v>
      </c>
      <c r="O35" s="16" t="str">
        <f>IF('Conversion Tables'!M32="NA","NA",G35*'Conversion Tables'!M32)</f>
        <v>NA</v>
      </c>
      <c r="P35" s="16" t="str">
        <f>IF('Conversion Tables'!N32="NA","NA",H35*'Conversion Tables'!N32)</f>
        <v>NA</v>
      </c>
      <c r="Q35" s="7"/>
    </row>
    <row r="36" spans="1:17" x14ac:dyDescent="0.25">
      <c r="A36" s="1065"/>
      <c r="B36" s="4" t="s">
        <v>280</v>
      </c>
      <c r="C36" s="294"/>
      <c r="D36" s="294"/>
      <c r="E36" s="294"/>
      <c r="F36" s="294"/>
      <c r="G36" s="294"/>
      <c r="H36" s="294"/>
      <c r="I36" s="16"/>
      <c r="J36" s="16"/>
      <c r="K36" s="16"/>
      <c r="L36" s="16"/>
      <c r="M36" s="16"/>
      <c r="N36" s="16"/>
      <c r="O36" s="16"/>
      <c r="P36" s="16"/>
      <c r="Q36" s="7"/>
    </row>
    <row r="37" spans="1:17" x14ac:dyDescent="0.25">
      <c r="A37" s="1065"/>
      <c r="B37" s="677" t="s">
        <v>563</v>
      </c>
      <c r="C37" s="299">
        <f>C132</f>
        <v>257.59500000000003</v>
      </c>
      <c r="D37" s="294">
        <f>E37*'Conversion Tables'!C34</f>
        <v>4121.5200000000004</v>
      </c>
      <c r="E37" s="294">
        <f>C37*'Prac. Rec. Assumptions'!B31</f>
        <v>257.59500000000003</v>
      </c>
      <c r="F37" s="294">
        <f>($C37*(1+'Biomass Data Assumptions'!G$96)*(1+'Biomass Data Assumptions'!C$84))*'Prac. Rec. Assumptions'!$B31</f>
        <v>274.08485393754819</v>
      </c>
      <c r="G37" s="294">
        <f>($C37*(1+'Biomass Data Assumptions'!H$96)*(1+'Biomass Data Assumptions'!D$84))*'Prac. Rec. Assumptions'!$B31</f>
        <v>300.02443543225809</v>
      </c>
      <c r="H37" s="294">
        <f>($C37*(1+'Biomass Data Assumptions'!I$96)*(1+'Biomass Data Assumptions'!E$84))*'Prac. Rec. Assumptions'!$B31</f>
        <v>327.37155474651536</v>
      </c>
      <c r="I37" s="16" t="str">
        <f>IF('Conversion Tables'!F34="NA","NA",(E37*'Conversion Tables'!$C34)/'Conversion Tables'!F34)</f>
        <v>NA</v>
      </c>
      <c r="J37" s="16" t="str">
        <f>IF('Conversion Tables'!G34="NA","NA",(F37*'Conversion Tables'!$C34)/'Conversion Tables'!G34)</f>
        <v>NA</v>
      </c>
      <c r="K37" s="16" t="str">
        <f>IF('Conversion Tables'!H34="NA","NA",(G37*'Conversion Tables'!$C34)/'Conversion Tables'!H34)</f>
        <v>NA</v>
      </c>
      <c r="L37" s="16" t="str">
        <f>IF('Conversion Tables'!I34="NA","NA",(H37*'Conversion Tables'!$C34)/'Conversion Tables'!I34)</f>
        <v>NA</v>
      </c>
      <c r="M37" s="16" t="str">
        <f>IF('Conversion Tables'!K34="NA","NA",E37*'Conversion Tables'!K34)</f>
        <v>NA</v>
      </c>
      <c r="N37" s="16" t="str">
        <f>IF('Conversion Tables'!L34="NA","NA",F37*'Conversion Tables'!L34)</f>
        <v>NA</v>
      </c>
      <c r="O37" s="16" t="str">
        <f>IF('Conversion Tables'!M34="NA","NA",G37*'Conversion Tables'!M34)</f>
        <v>NA</v>
      </c>
      <c r="P37" s="16" t="str">
        <f>IF('Conversion Tables'!N34="NA","NA",H37*'Conversion Tables'!N34)</f>
        <v>NA</v>
      </c>
      <c r="Q37" s="18"/>
    </row>
    <row r="38" spans="1:17" x14ac:dyDescent="0.25">
      <c r="A38" s="1065"/>
      <c r="B38" s="11" t="s">
        <v>565</v>
      </c>
      <c r="C38" s="294">
        <f>C134</f>
        <v>3860.2800000000007</v>
      </c>
      <c r="D38" s="294">
        <f>E38*'Conversion Tables'!C35</f>
        <v>34163.478000000003</v>
      </c>
      <c r="E38" s="294">
        <f>C38*'Prac. Rec. Assumptions'!B32</f>
        <v>1930.1400000000003</v>
      </c>
      <c r="F38" s="294">
        <f>($C38*(1+'Biomass Data Assumptions'!G$96)*(1+'Biomass Data Assumptions'!C$84))*'Prac. Rec. Assumptions'!$B32</f>
        <v>2053.6972378307782</v>
      </c>
      <c r="G38" s="294">
        <f>($C38*(1+'Biomass Data Assumptions'!H$96)*(1+'Biomass Data Assumptions'!D$84))*'Prac. Rec. Assumptions'!$B32</f>
        <v>2248.060574953779</v>
      </c>
      <c r="H38" s="294">
        <f>($C38*(1+'Biomass Data Assumptions'!I$96)*(1+'Biomass Data Assumptions'!E$84))*'Prac. Rec. Assumptions'!$B32</f>
        <v>2452.9704873093001</v>
      </c>
      <c r="I38" s="16" t="str">
        <f>IF('Conversion Tables'!F35="NA","NA",(E38*'Conversion Tables'!$C35)/'Conversion Tables'!F35)</f>
        <v>NA</v>
      </c>
      <c r="J38" s="16" t="str">
        <f>IF('Conversion Tables'!G35="NA","NA",(F38*'Conversion Tables'!$C35)/'Conversion Tables'!G35)</f>
        <v>NA</v>
      </c>
      <c r="K38" s="16" t="str">
        <f>IF('Conversion Tables'!H35="NA","NA",(G38*'Conversion Tables'!$C35)/'Conversion Tables'!H35)</f>
        <v>NA</v>
      </c>
      <c r="L38" s="16" t="str">
        <f>IF('Conversion Tables'!I35="NA","NA",(H38*'Conversion Tables'!$C35)/'Conversion Tables'!I35)</f>
        <v>NA</v>
      </c>
      <c r="M38" s="16" t="str">
        <f>IF('Conversion Tables'!K35="NA","NA",E38*'Conversion Tables'!K35)</f>
        <v>NA</v>
      </c>
      <c r="N38" s="16" t="str">
        <f>IF('Conversion Tables'!L35="NA","NA",F38*'Conversion Tables'!L35)</f>
        <v>NA</v>
      </c>
      <c r="O38" s="16" t="str">
        <f>IF('Conversion Tables'!M35="NA","NA",G38*'Conversion Tables'!M35)</f>
        <v>NA</v>
      </c>
      <c r="P38" s="16" t="str">
        <f>IF('Conversion Tables'!N35="NA","NA",H38*'Conversion Tables'!N35)</f>
        <v>NA</v>
      </c>
      <c r="Q38" s="13"/>
    </row>
    <row r="39" spans="1:17" x14ac:dyDescent="0.25">
      <c r="A39" s="1065"/>
      <c r="B39" s="17" t="s">
        <v>555</v>
      </c>
      <c r="C39" s="294">
        <f>C124</f>
        <v>11403.207</v>
      </c>
      <c r="D39" s="299">
        <f>E39*'Conversion Tables'!C36</f>
        <v>0</v>
      </c>
      <c r="E39" s="299">
        <f>C39*'Prac. Rec. Assumptions'!B33</f>
        <v>0</v>
      </c>
      <c r="F39" s="294">
        <f>($C39*(1+'Biomass Data Assumptions'!G$96)*(1+'Biomass Data Assumptions'!C$84))*'Prac. Rec. Assumptions'!$B33</f>
        <v>0</v>
      </c>
      <c r="G39" s="294">
        <f>($C39*(1+'Biomass Data Assumptions'!H$96)*(1+'Biomass Data Assumptions'!D$84))*'Prac. Rec. Assumptions'!$B33</f>
        <v>0</v>
      </c>
      <c r="H39" s="294">
        <f>($C39*(1+'Biomass Data Assumptions'!I$96)*(1+'Biomass Data Assumptions'!E$84))*'Prac. Rec. Assumptions'!$B33</f>
        <v>0</v>
      </c>
      <c r="I39" s="16" t="str">
        <f>IF('Conversion Tables'!F36="NA","NA",(E39*'Conversion Tables'!$C36)/'Conversion Tables'!F36)</f>
        <v>NA</v>
      </c>
      <c r="J39" s="16" t="str">
        <f>IF('Conversion Tables'!G36="NA","NA",(F39*'Conversion Tables'!$C36)/'Conversion Tables'!G36)</f>
        <v>NA</v>
      </c>
      <c r="K39" s="16" t="str">
        <f>IF('Conversion Tables'!H36="NA","NA",(G39*'Conversion Tables'!$C36)/'Conversion Tables'!H36)</f>
        <v>NA</v>
      </c>
      <c r="L39" s="16" t="str">
        <f>IF('Conversion Tables'!I36="NA","NA",(H39*'Conversion Tables'!$C36)/'Conversion Tables'!I36)</f>
        <v>NA</v>
      </c>
      <c r="M39" s="16" t="str">
        <f>IF('Conversion Tables'!K36="NA","NA",E39*'Conversion Tables'!K36)</f>
        <v>NA</v>
      </c>
      <c r="N39" s="16" t="str">
        <f>IF('Conversion Tables'!L36="NA","NA",F39*'Conversion Tables'!L36)</f>
        <v>NA</v>
      </c>
      <c r="O39" s="16" t="str">
        <f>IF('Conversion Tables'!M36="NA","NA",G39*'Conversion Tables'!M36)</f>
        <v>NA</v>
      </c>
      <c r="P39" s="16" t="str">
        <f>IF('Conversion Tables'!N36="NA","NA",H39*'Conversion Tables'!N36)</f>
        <v>NA</v>
      </c>
      <c r="Q39" s="27"/>
    </row>
    <row r="40" spans="1:17" x14ac:dyDescent="0.25">
      <c r="A40" s="1065"/>
      <c r="B40" s="17" t="s">
        <v>556</v>
      </c>
      <c r="C40" s="294">
        <f>C125</f>
        <v>106.61399999999999</v>
      </c>
      <c r="D40" s="299">
        <f>E40*'Conversion Tables'!C37</f>
        <v>0</v>
      </c>
      <c r="E40" s="299">
        <f>C40*'Prac. Rec. Assumptions'!B34</f>
        <v>0</v>
      </c>
      <c r="F40" s="294">
        <f>($C40*(1+'Biomass Data Assumptions'!G$96)*(1+'Biomass Data Assumptions'!C$84))*'Prac. Rec. Assumptions'!$B34</f>
        <v>0</v>
      </c>
      <c r="G40" s="294">
        <f>($C40*(1+'Biomass Data Assumptions'!H$96)*(1+'Biomass Data Assumptions'!D$84))*'Prac. Rec. Assumptions'!$B34</f>
        <v>0</v>
      </c>
      <c r="H40" s="294">
        <f>($C40*(1+'Biomass Data Assumptions'!I$96)*(1+'Biomass Data Assumptions'!E$84))*'Prac. Rec. Assumptions'!$B34</f>
        <v>0</v>
      </c>
      <c r="I40" s="16" t="str">
        <f>IF('Conversion Tables'!F37="NA","NA",(E40*'Conversion Tables'!$C37)/'Conversion Tables'!F37)</f>
        <v>NA</v>
      </c>
      <c r="J40" s="16" t="str">
        <f>IF('Conversion Tables'!G37="NA","NA",(F40*'Conversion Tables'!$C37)/'Conversion Tables'!G37)</f>
        <v>NA</v>
      </c>
      <c r="K40" s="16" t="str">
        <f>IF('Conversion Tables'!H37="NA","NA",(G40*'Conversion Tables'!$C37)/'Conversion Tables'!H37)</f>
        <v>NA</v>
      </c>
      <c r="L40" s="16" t="str">
        <f>IF('Conversion Tables'!I37="NA","NA",(H40*'Conversion Tables'!$C37)/'Conversion Tables'!I37)</f>
        <v>NA</v>
      </c>
      <c r="M40" s="16" t="str">
        <f>IF('Conversion Tables'!K37="NA","NA",E40*'Conversion Tables'!K37)</f>
        <v>NA</v>
      </c>
      <c r="N40" s="16" t="str">
        <f>IF('Conversion Tables'!L37="NA","NA",F40*'Conversion Tables'!L37)</f>
        <v>NA</v>
      </c>
      <c r="O40" s="16" t="str">
        <f>IF('Conversion Tables'!M37="NA","NA",G40*'Conversion Tables'!M37)</f>
        <v>NA</v>
      </c>
      <c r="P40" s="16" t="str">
        <f>IF('Conversion Tables'!N37="NA","NA",H40*'Conversion Tables'!N37)</f>
        <v>NA</v>
      </c>
      <c r="Q40" s="27"/>
    </row>
    <row r="41" spans="1:17" x14ac:dyDescent="0.25">
      <c r="A41" s="1065"/>
      <c r="B41" s="17" t="s">
        <v>557</v>
      </c>
      <c r="C41" s="294">
        <f>C126</f>
        <v>6902.2079999999996</v>
      </c>
      <c r="D41" s="299">
        <f>E41*'Conversion Tables'!C38</f>
        <v>0</v>
      </c>
      <c r="E41" s="299">
        <f>C41*'Prac. Rec. Assumptions'!B35</f>
        <v>0</v>
      </c>
      <c r="F41" s="294">
        <f>($C41*(1+'Biomass Data Assumptions'!G$96)*(1+'Biomass Data Assumptions'!C$84))*'Prac. Rec. Assumptions'!$B35</f>
        <v>0</v>
      </c>
      <c r="G41" s="294">
        <f>($C41*(1+'Biomass Data Assumptions'!H$96)*(1+'Biomass Data Assumptions'!D$84))*'Prac. Rec. Assumptions'!$B35</f>
        <v>0</v>
      </c>
      <c r="H41" s="294">
        <f>($C41*(1+'Biomass Data Assumptions'!I$96)*(1+'Biomass Data Assumptions'!E$84))*'Prac. Rec. Assumptions'!$B35</f>
        <v>0</v>
      </c>
      <c r="I41" s="16" t="str">
        <f>IF('Conversion Tables'!F38="NA","NA",(E41*'Conversion Tables'!$C38)/'Conversion Tables'!F38)</f>
        <v>NA</v>
      </c>
      <c r="J41" s="16" t="str">
        <f>IF('Conversion Tables'!G38="NA","NA",(F41*'Conversion Tables'!$C38)/'Conversion Tables'!G38)</f>
        <v>NA</v>
      </c>
      <c r="K41" s="16" t="str">
        <f>IF('Conversion Tables'!H38="NA","NA",(G41*'Conversion Tables'!$C38)/'Conversion Tables'!H38)</f>
        <v>NA</v>
      </c>
      <c r="L41" s="16" t="str">
        <f>IF('Conversion Tables'!I38="NA","NA",(H41*'Conversion Tables'!$C38)/'Conversion Tables'!I38)</f>
        <v>NA</v>
      </c>
      <c r="M41" s="16" t="str">
        <f>IF('Conversion Tables'!K38="NA","NA",E41*'Conversion Tables'!K38)</f>
        <v>NA</v>
      </c>
      <c r="N41" s="16" t="str">
        <f>IF('Conversion Tables'!L38="NA","NA",F41*'Conversion Tables'!L38)</f>
        <v>NA</v>
      </c>
      <c r="O41" s="16" t="str">
        <f>IF('Conversion Tables'!M38="NA","NA",G41*'Conversion Tables'!M38)</f>
        <v>NA</v>
      </c>
      <c r="P41" s="16" t="str">
        <f>IF('Conversion Tables'!N38="NA","NA",H41*'Conversion Tables'!N38)</f>
        <v>NA</v>
      </c>
      <c r="Q41" s="27"/>
    </row>
    <row r="42" spans="1:17" x14ac:dyDescent="0.25">
      <c r="A42" s="1065"/>
      <c r="B42" s="17" t="s">
        <v>558</v>
      </c>
      <c r="C42" s="294">
        <f>C127</f>
        <v>9.2700000000000014</v>
      </c>
      <c r="D42" s="299">
        <f>E42*'Conversion Tables'!C39</f>
        <v>134.61894000000001</v>
      </c>
      <c r="E42" s="299">
        <f>C42*'Prac. Rec. Assumptions'!B36</f>
        <v>9.2700000000000014</v>
      </c>
      <c r="F42" s="294">
        <f>($C42*(1+'Biomass Data Assumptions'!G$96)*(1+'Biomass Data Assumptions'!C$84))*'Prac. Rec. Assumptions'!$B36</f>
        <v>9.8634158116464672</v>
      </c>
      <c r="G42" s="294">
        <f>($C42*(1+'Biomass Data Assumptions'!H$96)*(1+'Biomass Data Assumptions'!D$84))*'Prac. Rec. Assumptions'!$B36</f>
        <v>10.796896354576109</v>
      </c>
      <c r="H42" s="294">
        <f>($C42*(1+'Biomass Data Assumptions'!I$96)*(1+'Biomass Data Assumptions'!E$84))*'Prac. Rec. Assumptions'!$B36</f>
        <v>11.781029571615122</v>
      </c>
      <c r="I42" s="16" t="str">
        <f>IF('Conversion Tables'!F39="NA","NA",(E42*'Conversion Tables'!$C39)/'Conversion Tables'!F39)</f>
        <v>NA</v>
      </c>
      <c r="J42" s="16" t="str">
        <f>IF('Conversion Tables'!G39="NA","NA",(F42*'Conversion Tables'!$C39)/'Conversion Tables'!G39)</f>
        <v>NA</v>
      </c>
      <c r="K42" s="16" t="str">
        <f>IF('Conversion Tables'!H39="NA","NA",(G42*'Conversion Tables'!$C39)/'Conversion Tables'!H39)</f>
        <v>NA</v>
      </c>
      <c r="L42" s="16" t="str">
        <f>IF('Conversion Tables'!I39="NA","NA",(H42*'Conversion Tables'!$C39)/'Conversion Tables'!I39)</f>
        <v>NA</v>
      </c>
      <c r="M42" s="16" t="str">
        <f>IF('Conversion Tables'!K39="NA","NA",E42*'Conversion Tables'!K39)</f>
        <v>NA</v>
      </c>
      <c r="N42" s="16" t="str">
        <f>IF('Conversion Tables'!L39="NA","NA",F42*'Conversion Tables'!L39)</f>
        <v>NA</v>
      </c>
      <c r="O42" s="16" t="str">
        <f>IF('Conversion Tables'!M39="NA","NA",G42*'Conversion Tables'!M39)</f>
        <v>NA</v>
      </c>
      <c r="P42" s="16" t="str">
        <f>IF('Conversion Tables'!N39="NA","NA",H42*'Conversion Tables'!N39)</f>
        <v>NA</v>
      </c>
      <c r="Q42" s="27"/>
    </row>
    <row r="43" spans="1:17" x14ac:dyDescent="0.25">
      <c r="A43" s="1065"/>
      <c r="B43" s="9" t="s">
        <v>524</v>
      </c>
      <c r="C43" s="295">
        <f t="shared" ref="C43:P43" si="4">SUM(C31:C42)</f>
        <v>76941.013131200001</v>
      </c>
      <c r="D43" s="295">
        <f t="shared" si="4"/>
        <v>641145.7645386596</v>
      </c>
      <c r="E43" s="295">
        <f t="shared" si="4"/>
        <v>40370.751380480004</v>
      </c>
      <c r="F43" s="295">
        <f t="shared" si="4"/>
        <v>40151.616422771694</v>
      </c>
      <c r="G43" s="295">
        <f t="shared" si="4"/>
        <v>41117.002551708734</v>
      </c>
      <c r="H43" s="295">
        <f t="shared" si="4"/>
        <v>42006.665046741313</v>
      </c>
      <c r="I43" s="19">
        <f t="shared" si="4"/>
        <v>0</v>
      </c>
      <c r="J43" s="19">
        <f t="shared" si="4"/>
        <v>0</v>
      </c>
      <c r="K43" s="19">
        <f t="shared" si="4"/>
        <v>0</v>
      </c>
      <c r="L43" s="19">
        <f t="shared" si="4"/>
        <v>0</v>
      </c>
      <c r="M43" s="19">
        <f t="shared" si="4"/>
        <v>0</v>
      </c>
      <c r="N43" s="19">
        <f t="shared" si="4"/>
        <v>0</v>
      </c>
      <c r="O43" s="19">
        <f t="shared" si="4"/>
        <v>0</v>
      </c>
      <c r="P43" s="19">
        <f t="shared" si="4"/>
        <v>0</v>
      </c>
      <c r="Q43" s="19"/>
    </row>
    <row r="44" spans="1:17" x14ac:dyDescent="0.25">
      <c r="A44" s="8"/>
      <c r="C44" s="296"/>
      <c r="D44" s="296"/>
      <c r="E44" s="296"/>
      <c r="F44" s="296"/>
      <c r="G44" s="296"/>
      <c r="H44" s="296"/>
      <c r="I44" s="28"/>
      <c r="J44" s="28"/>
      <c r="K44" s="28"/>
      <c r="L44" s="28"/>
      <c r="M44" s="28"/>
      <c r="N44" s="28"/>
      <c r="O44" s="28"/>
      <c r="P44" s="28"/>
    </row>
    <row r="45" spans="1:17" x14ac:dyDescent="0.25">
      <c r="A45" s="1064" t="s">
        <v>515</v>
      </c>
      <c r="B45" s="2" t="s">
        <v>510</v>
      </c>
      <c r="C45" s="294"/>
      <c r="D45" s="294"/>
      <c r="E45" s="294"/>
      <c r="F45" s="294"/>
      <c r="G45" s="294"/>
      <c r="H45" s="294"/>
      <c r="I45" s="16"/>
      <c r="J45" s="16"/>
      <c r="K45" s="16"/>
      <c r="L45" s="16"/>
      <c r="M45" s="16"/>
      <c r="N45" s="16"/>
      <c r="O45" s="16"/>
      <c r="P45" s="16"/>
      <c r="Q45" s="7"/>
    </row>
    <row r="46" spans="1:17" x14ac:dyDescent="0.25">
      <c r="A46" s="1064"/>
      <c r="B46" s="12" t="s">
        <v>525</v>
      </c>
      <c r="C46" s="294">
        <f>D77</f>
        <v>0</v>
      </c>
      <c r="D46" s="294">
        <f>E46*'Conversion Tables'!C41</f>
        <v>0</v>
      </c>
      <c r="E46" s="294">
        <f>C46*'Prac. Rec. Assumptions'!B38</f>
        <v>0</v>
      </c>
      <c r="F46" s="294">
        <f>$E46</f>
        <v>0</v>
      </c>
      <c r="G46" s="294">
        <f>$E46</f>
        <v>0</v>
      </c>
      <c r="H46" s="294">
        <f>$E46</f>
        <v>0</v>
      </c>
      <c r="I46" s="16" t="str">
        <f>IF('Conversion Tables'!F41="NA","NA",(E46*'Conversion Tables'!$C41)/'Conversion Tables'!F41)</f>
        <v>NA</v>
      </c>
      <c r="J46" s="16" t="str">
        <f>IF('Conversion Tables'!G41="NA","NA",(F46*'Conversion Tables'!$C41)/'Conversion Tables'!G41)</f>
        <v>NA</v>
      </c>
      <c r="K46" s="16" t="str">
        <f>IF('Conversion Tables'!H41="NA","NA",(G46*'Conversion Tables'!$C41)/'Conversion Tables'!H41)</f>
        <v>NA</v>
      </c>
      <c r="L46" s="16" t="str">
        <f>IF('Conversion Tables'!I41="NA","NA",(H46*'Conversion Tables'!$C41)/'Conversion Tables'!I41)</f>
        <v>NA</v>
      </c>
      <c r="M46" s="16" t="str">
        <f>IF('Conversion Tables'!K41="NA","NA",E46*'Conversion Tables'!K41)</f>
        <v>NA</v>
      </c>
      <c r="N46" s="16" t="str">
        <f>IF('Conversion Tables'!L41="NA","NA",F46*'Conversion Tables'!L41)</f>
        <v>NA</v>
      </c>
      <c r="O46" s="16" t="str">
        <f>IF('Conversion Tables'!M41="NA","NA",G46*'Conversion Tables'!M41)</f>
        <v>NA</v>
      </c>
      <c r="P46" s="16" t="str">
        <f>IF('Conversion Tables'!N41="NA","NA",H46*'Conversion Tables'!N41)</f>
        <v>NA</v>
      </c>
      <c r="Q46" s="15"/>
    </row>
    <row r="47" spans="1:17" x14ac:dyDescent="0.25">
      <c r="A47" s="1065"/>
      <c r="B47" s="2" t="s">
        <v>508</v>
      </c>
      <c r="C47" s="294">
        <f t="shared" ref="C47:C48" si="5">C148</f>
        <v>363.77110000000005</v>
      </c>
      <c r="D47" s="294"/>
      <c r="E47" s="294">
        <f>C47*'Prac. Rec. Assumptions'!B39</f>
        <v>181.88555000000002</v>
      </c>
      <c r="F47" s="294">
        <f>($C47*(1+'Biomass Data Assumptions'!G$96))*'Prac. Rec. Assumptions'!$B39</f>
        <v>176.98500668393785</v>
      </c>
      <c r="G47" s="294">
        <f>($C47*(1+'Biomass Data Assumptions'!H$96))*'Prac. Rec. Assumptions'!$B39</f>
        <v>177.17348911917102</v>
      </c>
      <c r="H47" s="294">
        <f>($C47*(1+'Biomass Data Assumptions'!I$96))*'Prac. Rec. Assumptions'!$B39</f>
        <v>176.79652424870469</v>
      </c>
      <c r="I47" s="16" t="str">
        <f>IF('Conversion Tables'!F42="NA","NA",(E47*'Conversion Tables'!$C42)/'Conversion Tables'!F42)</f>
        <v>NA</v>
      </c>
      <c r="J47" s="16" t="str">
        <f>IF('Conversion Tables'!G42="NA","NA",(F47*'Conversion Tables'!$C42)/'Conversion Tables'!G42)</f>
        <v>NA</v>
      </c>
      <c r="K47" s="16" t="str">
        <f>IF('Conversion Tables'!H42="NA","NA",(G47*'Conversion Tables'!$C42)/'Conversion Tables'!H42)</f>
        <v>NA</v>
      </c>
      <c r="L47" s="16" t="str">
        <f>IF('Conversion Tables'!I42="NA","NA",(H47*'Conversion Tables'!$C42)/'Conversion Tables'!I42)</f>
        <v>NA</v>
      </c>
      <c r="M47" s="16" t="str">
        <f>IF('Conversion Tables'!K42="NA","NA",E47*'Conversion Tables'!K42)</f>
        <v>NA</v>
      </c>
      <c r="N47" s="16" t="str">
        <f>IF('Conversion Tables'!L42="NA","NA",F47*'Conversion Tables'!L42)</f>
        <v>NA</v>
      </c>
      <c r="O47" s="16" t="str">
        <f>IF('Conversion Tables'!M42="NA","NA",G47*'Conversion Tables'!M42)</f>
        <v>NA</v>
      </c>
      <c r="P47" s="16" t="str">
        <f>IF('Conversion Tables'!N42="NA","NA",H47*'Conversion Tables'!N42)</f>
        <v>NA</v>
      </c>
      <c r="Q47" s="7"/>
    </row>
    <row r="48" spans="1:17" x14ac:dyDescent="0.25">
      <c r="A48" s="1065"/>
      <c r="B48" s="1" t="s">
        <v>509</v>
      </c>
      <c r="C48" s="294">
        <f t="shared" si="5"/>
        <v>32.510826250000001</v>
      </c>
      <c r="D48" s="294"/>
      <c r="E48" s="294">
        <f>C48*'Prac. Rec. Assumptions'!B40</f>
        <v>32.510826250000001</v>
      </c>
      <c r="F48" s="294">
        <f>($C48*(1+'Biomass Data Assumptions'!G$96))*'Prac. Rec. Assumptions'!$B40</f>
        <v>31.634886889896372</v>
      </c>
      <c r="G48" s="294">
        <f>($C48*(1+'Biomass Data Assumptions'!H$96))*'Prac. Rec. Assumptions'!$B40</f>
        <v>31.668576865284976</v>
      </c>
      <c r="H48" s="294">
        <f>($C48*(1+'Biomass Data Assumptions'!I$96))*'Prac. Rec. Assumptions'!$B40</f>
        <v>31.601196914507774</v>
      </c>
      <c r="I48" s="16" t="str">
        <f>IF('Conversion Tables'!F43="NA","NA",(E48*'Conversion Tables'!$C43)/'Conversion Tables'!F43)</f>
        <v>NA</v>
      </c>
      <c r="J48" s="16" t="str">
        <f>IF('Conversion Tables'!G43="NA","NA",(F48*'Conversion Tables'!$C43)/'Conversion Tables'!G43)</f>
        <v>NA</v>
      </c>
      <c r="K48" s="16" t="str">
        <f>IF('Conversion Tables'!H43="NA","NA",(G48*'Conversion Tables'!$C43)/'Conversion Tables'!H43)</f>
        <v>NA</v>
      </c>
      <c r="L48" s="16" t="str">
        <f>IF('Conversion Tables'!I43="NA","NA",(H48*'Conversion Tables'!$C43)/'Conversion Tables'!I43)</f>
        <v>NA</v>
      </c>
      <c r="M48" s="16" t="str">
        <f>IF('Conversion Tables'!K43="NA","NA",E48*'Conversion Tables'!K43)</f>
        <v>NA</v>
      </c>
      <c r="N48" s="16" t="str">
        <f>IF('Conversion Tables'!L43="NA","NA",F48*'Conversion Tables'!L43)</f>
        <v>NA</v>
      </c>
      <c r="O48" s="16" t="str">
        <f>IF('Conversion Tables'!M43="NA","NA",G48*'Conversion Tables'!M43)</f>
        <v>NA</v>
      </c>
      <c r="P48" s="16" t="str">
        <f>IF('Conversion Tables'!N43="NA","NA",H48*'Conversion Tables'!N43)</f>
        <v>NA</v>
      </c>
      <c r="Q48" s="7"/>
    </row>
    <row r="49" spans="1:17" x14ac:dyDescent="0.25">
      <c r="A49" s="1065"/>
      <c r="B49" s="9" t="s">
        <v>524</v>
      </c>
      <c r="C49" s="295">
        <f t="shared" ref="C49:P49" si="6">SUM(C45:C48)</f>
        <v>396.28192625000003</v>
      </c>
      <c r="D49" s="295">
        <f>SUM(D45:D48)</f>
        <v>0</v>
      </c>
      <c r="E49" s="295">
        <f t="shared" si="6"/>
        <v>214.39637625000003</v>
      </c>
      <c r="F49" s="295">
        <f>SUM(F45:F48)</f>
        <v>208.61989357383422</v>
      </c>
      <c r="G49" s="295">
        <f>SUM(G45:G48)</f>
        <v>208.84206598445599</v>
      </c>
      <c r="H49" s="295">
        <f>SUM(H45:H48)</f>
        <v>208.39772116321245</v>
      </c>
      <c r="I49" s="19">
        <f t="shared" si="6"/>
        <v>0</v>
      </c>
      <c r="J49" s="19">
        <f t="shared" si="6"/>
        <v>0</v>
      </c>
      <c r="K49" s="19">
        <f t="shared" si="6"/>
        <v>0</v>
      </c>
      <c r="L49" s="19">
        <f t="shared" si="6"/>
        <v>0</v>
      </c>
      <c r="M49" s="19">
        <f t="shared" si="6"/>
        <v>0</v>
      </c>
      <c r="N49" s="19">
        <f t="shared" si="6"/>
        <v>0</v>
      </c>
      <c r="O49" s="19">
        <f t="shared" si="6"/>
        <v>0</v>
      </c>
      <c r="P49" s="19">
        <f t="shared" si="6"/>
        <v>0</v>
      </c>
      <c r="Q49" s="19"/>
    </row>
    <row r="50" spans="1:17" x14ac:dyDescent="0.25">
      <c r="A50" s="8"/>
      <c r="C50" s="296"/>
      <c r="D50" s="296"/>
      <c r="E50" s="296"/>
      <c r="F50" s="296"/>
      <c r="G50" s="296"/>
      <c r="H50" s="296"/>
      <c r="I50" s="28"/>
      <c r="J50" s="28"/>
      <c r="K50" s="28"/>
      <c r="L50" s="28"/>
      <c r="M50" s="28"/>
      <c r="N50" s="28"/>
      <c r="O50" s="28"/>
      <c r="P50" s="28"/>
    </row>
    <row r="51" spans="1:17" x14ac:dyDescent="0.25">
      <c r="A51" s="1200" t="s">
        <v>517</v>
      </c>
      <c r="B51" s="2" t="s">
        <v>505</v>
      </c>
      <c r="C51" s="294"/>
      <c r="D51" s="294"/>
      <c r="E51" s="294"/>
      <c r="F51" s="294"/>
      <c r="G51" s="294"/>
      <c r="H51" s="294"/>
      <c r="I51" s="16"/>
      <c r="J51" s="16"/>
      <c r="K51" s="16"/>
      <c r="L51" s="16"/>
      <c r="M51" s="16"/>
      <c r="N51" s="16"/>
      <c r="O51" s="16"/>
      <c r="P51" s="16"/>
      <c r="Q51" s="7"/>
    </row>
    <row r="52" spans="1:17" x14ac:dyDescent="0.25">
      <c r="A52" s="1201"/>
      <c r="B52" s="12" t="s">
        <v>535</v>
      </c>
      <c r="C52" s="294">
        <f>G97</f>
        <v>55.515039999999999</v>
      </c>
      <c r="D52" s="299">
        <f>E52*'Conversion Tables'!C45</f>
        <v>163.92481011200002</v>
      </c>
      <c r="E52" s="299">
        <f>C52*'Prac. Rec. Assumptions'!B42</f>
        <v>11.103008000000001</v>
      </c>
      <c r="F52" s="294">
        <f t="shared" ref="F52:H59" si="7">$E52</f>
        <v>11.103008000000001</v>
      </c>
      <c r="G52" s="294">
        <f t="shared" si="7"/>
        <v>11.103008000000001</v>
      </c>
      <c r="H52" s="294">
        <f t="shared" si="7"/>
        <v>11.103008000000001</v>
      </c>
      <c r="I52" s="16" t="str">
        <f>IF('Conversion Tables'!F45="NA","NA",(E52*'Conversion Tables'!$C45)/'Conversion Tables'!F45)</f>
        <v>NA</v>
      </c>
      <c r="J52" s="16" t="str">
        <f>IF('Conversion Tables'!G45="NA","NA",(F52*'Conversion Tables'!$C45)/'Conversion Tables'!G45)</f>
        <v>NA</v>
      </c>
      <c r="K52" s="16" t="str">
        <f>IF('Conversion Tables'!H45="NA","NA",(G52*'Conversion Tables'!$C45)/'Conversion Tables'!H45)</f>
        <v>NA</v>
      </c>
      <c r="L52" s="16" t="str">
        <f>IF('Conversion Tables'!I45="NA","NA",(H52*'Conversion Tables'!$C45)/'Conversion Tables'!I45)</f>
        <v>NA</v>
      </c>
      <c r="M52" s="16" t="str">
        <f>IF('Conversion Tables'!K45="NA","NA",E52*'Conversion Tables'!K45)</f>
        <v>NA</v>
      </c>
      <c r="N52" s="16" t="str">
        <f>IF('Conversion Tables'!L45="NA","NA",F52*'Conversion Tables'!L45)</f>
        <v>NA</v>
      </c>
      <c r="O52" s="16" t="str">
        <f>IF('Conversion Tables'!M45="NA","NA",G52*'Conversion Tables'!M45)</f>
        <v>NA</v>
      </c>
      <c r="P52" s="16" t="str">
        <f>IF('Conversion Tables'!N45="NA","NA",H52*'Conversion Tables'!N45)</f>
        <v>NA</v>
      </c>
      <c r="Q52" s="27"/>
    </row>
    <row r="53" spans="1:17" x14ac:dyDescent="0.25">
      <c r="A53" s="1201"/>
      <c r="B53" s="12" t="s">
        <v>539</v>
      </c>
      <c r="C53" s="294">
        <f>G104</f>
        <v>0</v>
      </c>
      <c r="D53" s="299">
        <f>E53*'Conversion Tables'!C46</f>
        <v>0</v>
      </c>
      <c r="E53" s="299">
        <f>C53*'Prac. Rec. Assumptions'!B43</f>
        <v>0</v>
      </c>
      <c r="F53" s="294">
        <f t="shared" si="7"/>
        <v>0</v>
      </c>
      <c r="G53" s="294">
        <f t="shared" si="7"/>
        <v>0</v>
      </c>
      <c r="H53" s="294">
        <f t="shared" si="7"/>
        <v>0</v>
      </c>
      <c r="I53" s="16" t="str">
        <f>IF('Conversion Tables'!F46="NA","NA",(E53*'Conversion Tables'!$C46)/'Conversion Tables'!F46)</f>
        <v>NA</v>
      </c>
      <c r="J53" s="16" t="str">
        <f>IF('Conversion Tables'!G46="NA","NA",(F53*'Conversion Tables'!$C46)/'Conversion Tables'!G46)</f>
        <v>NA</v>
      </c>
      <c r="K53" s="16" t="str">
        <f>IF('Conversion Tables'!H46="NA","NA",(G53*'Conversion Tables'!$C46)/'Conversion Tables'!H46)</f>
        <v>NA</v>
      </c>
      <c r="L53" s="16" t="str">
        <f>IF('Conversion Tables'!I46="NA","NA",(H53*'Conversion Tables'!$C46)/'Conversion Tables'!I46)</f>
        <v>NA</v>
      </c>
      <c r="M53" s="16" t="str">
        <f>IF('Conversion Tables'!K46="NA","NA",E53*'Conversion Tables'!K46)</f>
        <v>NA</v>
      </c>
      <c r="N53" s="16" t="str">
        <f>IF('Conversion Tables'!L46="NA","NA",F53*'Conversion Tables'!L46)</f>
        <v>NA</v>
      </c>
      <c r="O53" s="16" t="str">
        <f>IF('Conversion Tables'!M46="NA","NA",G53*'Conversion Tables'!M46)</f>
        <v>NA</v>
      </c>
      <c r="P53" s="16" t="str">
        <f>IF('Conversion Tables'!N46="NA","NA",H53*'Conversion Tables'!N46)</f>
        <v>NA</v>
      </c>
      <c r="Q53" s="27"/>
    </row>
    <row r="54" spans="1:17" x14ac:dyDescent="0.25">
      <c r="A54" s="1201"/>
      <c r="B54" s="12" t="s">
        <v>545</v>
      </c>
      <c r="C54" s="294">
        <f>G106</f>
        <v>820.26997499999993</v>
      </c>
      <c r="D54" s="299">
        <f>E54*'Conversion Tables'!C47</f>
        <v>7266.2795465399995</v>
      </c>
      <c r="E54" s="299">
        <f>C54*'Prac. Rec. Assumptions'!B44</f>
        <v>492.16198499999996</v>
      </c>
      <c r="F54" s="294">
        <f t="shared" si="7"/>
        <v>492.16198499999996</v>
      </c>
      <c r="G54" s="294">
        <f t="shared" si="7"/>
        <v>492.16198499999996</v>
      </c>
      <c r="H54" s="294">
        <f t="shared" si="7"/>
        <v>492.16198499999996</v>
      </c>
      <c r="I54" s="16" t="str">
        <f>IF('Conversion Tables'!F47="NA","NA",(E54*'Conversion Tables'!$C47)/'Conversion Tables'!F47)</f>
        <v>NA</v>
      </c>
      <c r="J54" s="16" t="str">
        <f>IF('Conversion Tables'!G47="NA","NA",(F54*'Conversion Tables'!$C47)/'Conversion Tables'!G47)</f>
        <v>NA</v>
      </c>
      <c r="K54" s="16" t="str">
        <f>IF('Conversion Tables'!H47="NA","NA",(G54*'Conversion Tables'!$C47)/'Conversion Tables'!H47)</f>
        <v>NA</v>
      </c>
      <c r="L54" s="16" t="str">
        <f>IF('Conversion Tables'!I47="NA","NA",(H54*'Conversion Tables'!$C47)/'Conversion Tables'!I47)</f>
        <v>NA</v>
      </c>
      <c r="M54" s="16" t="str">
        <f>IF('Conversion Tables'!K47="NA","NA",E54*'Conversion Tables'!K47)</f>
        <v>NA</v>
      </c>
      <c r="N54" s="16" t="str">
        <f>IF('Conversion Tables'!L47="NA","NA",F54*'Conversion Tables'!L47)</f>
        <v>NA</v>
      </c>
      <c r="O54" s="16" t="str">
        <f>IF('Conversion Tables'!M47="NA","NA",G54*'Conversion Tables'!M47)</f>
        <v>NA</v>
      </c>
      <c r="P54" s="16" t="str">
        <f>IF('Conversion Tables'!N47="NA","NA",H54*'Conversion Tables'!N47)</f>
        <v>NA</v>
      </c>
      <c r="Q54" s="27"/>
    </row>
    <row r="55" spans="1:17" x14ac:dyDescent="0.25">
      <c r="A55" s="1201"/>
      <c r="B55" s="12" t="s">
        <v>546</v>
      </c>
      <c r="C55" s="294">
        <f>G108</f>
        <v>38.115124999999999</v>
      </c>
      <c r="D55" s="299">
        <f>E55*'Conversion Tables'!C48</f>
        <v>112.54634109999999</v>
      </c>
      <c r="E55" s="299">
        <f>C55*'Prac. Rec. Assumptions'!B45</f>
        <v>7.6230250000000002</v>
      </c>
      <c r="F55" s="294">
        <f t="shared" si="7"/>
        <v>7.6230250000000002</v>
      </c>
      <c r="G55" s="294">
        <f t="shared" si="7"/>
        <v>7.6230250000000002</v>
      </c>
      <c r="H55" s="294">
        <f t="shared" si="7"/>
        <v>7.6230250000000002</v>
      </c>
      <c r="I55" s="16" t="str">
        <f>IF('Conversion Tables'!F48="NA","NA",(E55*'Conversion Tables'!$C48)/'Conversion Tables'!F48)</f>
        <v>NA</v>
      </c>
      <c r="J55" s="16" t="str">
        <f>IF('Conversion Tables'!G48="NA","NA",(F55*'Conversion Tables'!$C48)/'Conversion Tables'!G48)</f>
        <v>NA</v>
      </c>
      <c r="K55" s="16" t="str">
        <f>IF('Conversion Tables'!H48="NA","NA",(G55*'Conversion Tables'!$C48)/'Conversion Tables'!H48)</f>
        <v>NA</v>
      </c>
      <c r="L55" s="16" t="str">
        <f>IF('Conversion Tables'!I48="NA","NA",(H55*'Conversion Tables'!$C48)/'Conversion Tables'!I48)</f>
        <v>NA</v>
      </c>
      <c r="M55" s="16" t="str">
        <f>IF('Conversion Tables'!K48="NA","NA",E55*'Conversion Tables'!K48)</f>
        <v>NA</v>
      </c>
      <c r="N55" s="16" t="str">
        <f>IF('Conversion Tables'!L48="NA","NA",F55*'Conversion Tables'!L48)</f>
        <v>NA</v>
      </c>
      <c r="O55" s="16" t="str">
        <f>IF('Conversion Tables'!M48="NA","NA",G55*'Conversion Tables'!M48)</f>
        <v>NA</v>
      </c>
      <c r="P55" s="16" t="str">
        <f>IF('Conversion Tables'!N48="NA","NA",H55*'Conversion Tables'!N48)</f>
        <v>NA</v>
      </c>
      <c r="Q55" s="27"/>
    </row>
    <row r="56" spans="1:17" x14ac:dyDescent="0.25">
      <c r="A56" s="1201"/>
      <c r="B56" s="12" t="s">
        <v>547</v>
      </c>
      <c r="C56" s="294">
        <f>G110</f>
        <v>31.152749999999997</v>
      </c>
      <c r="D56" s="299">
        <f>E56*'Conversion Tables'!C49</f>
        <v>91.987840199999994</v>
      </c>
      <c r="E56" s="299">
        <f>C56*'Prac. Rec. Assumptions'!B46</f>
        <v>6.23055</v>
      </c>
      <c r="F56" s="294">
        <f t="shared" si="7"/>
        <v>6.23055</v>
      </c>
      <c r="G56" s="294">
        <f t="shared" si="7"/>
        <v>6.23055</v>
      </c>
      <c r="H56" s="294">
        <f t="shared" si="7"/>
        <v>6.23055</v>
      </c>
      <c r="I56" s="16" t="str">
        <f>IF('Conversion Tables'!F49="NA","NA",(E56*'Conversion Tables'!$C49)/'Conversion Tables'!F49)</f>
        <v>NA</v>
      </c>
      <c r="J56" s="16" t="str">
        <f>IF('Conversion Tables'!G49="NA","NA",(F56*'Conversion Tables'!$C49)/'Conversion Tables'!G49)</f>
        <v>NA</v>
      </c>
      <c r="K56" s="16" t="str">
        <f>IF('Conversion Tables'!H49="NA","NA",(G56*'Conversion Tables'!$C49)/'Conversion Tables'!H49)</f>
        <v>NA</v>
      </c>
      <c r="L56" s="16" t="str">
        <f>IF('Conversion Tables'!I49="NA","NA",(H56*'Conversion Tables'!$C49)/'Conversion Tables'!I49)</f>
        <v>NA</v>
      </c>
      <c r="M56" s="16" t="str">
        <f>IF('Conversion Tables'!K49="NA","NA",E56*'Conversion Tables'!K49)</f>
        <v>NA</v>
      </c>
      <c r="N56" s="16" t="str">
        <f>IF('Conversion Tables'!L49="NA","NA",F56*'Conversion Tables'!L49)</f>
        <v>NA</v>
      </c>
      <c r="O56" s="16" t="str">
        <f>IF('Conversion Tables'!M49="NA","NA",G56*'Conversion Tables'!M49)</f>
        <v>NA</v>
      </c>
      <c r="P56" s="16" t="str">
        <f>IF('Conversion Tables'!N49="NA","NA",H56*'Conversion Tables'!N49)</f>
        <v>NA</v>
      </c>
      <c r="Q56" s="27"/>
    </row>
    <row r="57" spans="1:17" x14ac:dyDescent="0.25">
      <c r="A57" s="1201"/>
      <c r="B57" s="133" t="s">
        <v>605</v>
      </c>
      <c r="C57" s="294">
        <f>G115</f>
        <v>233.30799999999999</v>
      </c>
      <c r="D57" s="299">
        <f>E57*'Conversion Tables'!C50</f>
        <v>1722.2796559999999</v>
      </c>
      <c r="E57" s="299">
        <f>C57*'Prac. Rec. Assumptions'!B47</f>
        <v>116.654</v>
      </c>
      <c r="F57" s="294">
        <f t="shared" si="7"/>
        <v>116.654</v>
      </c>
      <c r="G57" s="294">
        <f t="shared" si="7"/>
        <v>116.654</v>
      </c>
      <c r="H57" s="294">
        <f t="shared" si="7"/>
        <v>116.654</v>
      </c>
      <c r="I57" s="16" t="str">
        <f>IF('Conversion Tables'!F50="NA","NA",(E57*'Conversion Tables'!$C50)/'Conversion Tables'!F50)</f>
        <v>NA</v>
      </c>
      <c r="J57" s="16" t="str">
        <f>IF('Conversion Tables'!G50="NA","NA",(F57*'Conversion Tables'!$C50)/'Conversion Tables'!G50)</f>
        <v>NA</v>
      </c>
      <c r="K57" s="16" t="str">
        <f>IF('Conversion Tables'!H50="NA","NA",(G57*'Conversion Tables'!$C50)/'Conversion Tables'!H50)</f>
        <v>NA</v>
      </c>
      <c r="L57" s="16" t="str">
        <f>IF('Conversion Tables'!I50="NA","NA",(H57*'Conversion Tables'!$C50)/'Conversion Tables'!I50)</f>
        <v>NA</v>
      </c>
      <c r="M57" s="16" t="str">
        <f>IF('Conversion Tables'!K50="NA","NA",E57*'Conversion Tables'!K50)</f>
        <v>NA</v>
      </c>
      <c r="N57" s="16" t="str">
        <f>IF('Conversion Tables'!L50="NA","NA",F57*'Conversion Tables'!L50)</f>
        <v>NA</v>
      </c>
      <c r="O57" s="16" t="str">
        <f>IF('Conversion Tables'!M50="NA","NA",G57*'Conversion Tables'!M50)</f>
        <v>NA</v>
      </c>
      <c r="P57" s="16" t="str">
        <f>IF('Conversion Tables'!N50="NA","NA",H57*'Conversion Tables'!N50)</f>
        <v>NA</v>
      </c>
      <c r="Q57" s="27"/>
    </row>
    <row r="58" spans="1:17" x14ac:dyDescent="0.25">
      <c r="A58" s="1201"/>
      <c r="B58" s="12" t="s">
        <v>551</v>
      </c>
      <c r="C58" s="294">
        <f>G117</f>
        <v>10.67625</v>
      </c>
      <c r="D58" s="299">
        <f>E58*'Conversion Tables'!C51</f>
        <v>128.11500000000001</v>
      </c>
      <c r="E58" s="299">
        <f>C58*'Prac. Rec. Assumptions'!B48</f>
        <v>10.67625</v>
      </c>
      <c r="F58" s="294">
        <f t="shared" si="7"/>
        <v>10.67625</v>
      </c>
      <c r="G58" s="294">
        <f t="shared" si="7"/>
        <v>10.67625</v>
      </c>
      <c r="H58" s="294">
        <f t="shared" si="7"/>
        <v>10.67625</v>
      </c>
      <c r="I58" s="16" t="str">
        <f>IF('Conversion Tables'!F51="NA","NA",(E58*'Conversion Tables'!$C51)/'Conversion Tables'!F51)</f>
        <v>NA</v>
      </c>
      <c r="J58" s="16" t="str">
        <f>IF('Conversion Tables'!G51="NA","NA",(F58*'Conversion Tables'!$C51)/'Conversion Tables'!G51)</f>
        <v>NA</v>
      </c>
      <c r="K58" s="16" t="str">
        <f>IF('Conversion Tables'!H51="NA","NA",(G58*'Conversion Tables'!$C51)/'Conversion Tables'!H51)</f>
        <v>NA</v>
      </c>
      <c r="L58" s="16" t="str">
        <f>IF('Conversion Tables'!I51="NA","NA",(H58*'Conversion Tables'!$C51)/'Conversion Tables'!I51)</f>
        <v>NA</v>
      </c>
      <c r="M58" s="16" t="str">
        <f>IF('Conversion Tables'!K51="NA","NA",E58*'Conversion Tables'!K51)</f>
        <v>NA</v>
      </c>
      <c r="N58" s="16" t="str">
        <f>IF('Conversion Tables'!L51="NA","NA",F58*'Conversion Tables'!L51)</f>
        <v>NA</v>
      </c>
      <c r="O58" s="16" t="str">
        <f>IF('Conversion Tables'!M51="NA","NA",G58*'Conversion Tables'!M51)</f>
        <v>NA</v>
      </c>
      <c r="P58" s="16" t="str">
        <f>IF('Conversion Tables'!N51="NA","NA",H58*'Conversion Tables'!N51)</f>
        <v>NA</v>
      </c>
      <c r="Q58" s="27"/>
    </row>
    <row r="59" spans="1:17" x14ac:dyDescent="0.25">
      <c r="A59" s="1201"/>
      <c r="B59" s="12" t="s">
        <v>552</v>
      </c>
      <c r="C59" s="294">
        <f>G119</f>
        <v>1.83184375</v>
      </c>
      <c r="D59" s="299">
        <f>E59*'Conversion Tables'!C52</f>
        <v>27.045341125</v>
      </c>
      <c r="E59" s="299">
        <f>C59*'Prac. Rec. Assumptions'!B49</f>
        <v>1.83184375</v>
      </c>
      <c r="F59" s="294">
        <f t="shared" si="7"/>
        <v>1.83184375</v>
      </c>
      <c r="G59" s="294">
        <f t="shared" si="7"/>
        <v>1.83184375</v>
      </c>
      <c r="H59" s="294">
        <f t="shared" si="7"/>
        <v>1.83184375</v>
      </c>
      <c r="I59" s="16" t="str">
        <f>IF('Conversion Tables'!F52="NA","NA",(E59*'Conversion Tables'!$C52)/'Conversion Tables'!F52)</f>
        <v>NA</v>
      </c>
      <c r="J59" s="16" t="str">
        <f>IF('Conversion Tables'!G52="NA","NA",(F59*'Conversion Tables'!$C52)/'Conversion Tables'!G52)</f>
        <v>NA</v>
      </c>
      <c r="K59" s="16" t="str">
        <f>IF('Conversion Tables'!H52="NA","NA",(G59*'Conversion Tables'!$C52)/'Conversion Tables'!H52)</f>
        <v>NA</v>
      </c>
      <c r="L59" s="16" t="str">
        <f>IF('Conversion Tables'!I52="NA","NA",(H59*'Conversion Tables'!$C52)/'Conversion Tables'!I52)</f>
        <v>NA</v>
      </c>
      <c r="M59" s="16" t="str">
        <f>IF('Conversion Tables'!K52="NA","NA",E59*'Conversion Tables'!K52)</f>
        <v>NA</v>
      </c>
      <c r="N59" s="16" t="str">
        <f>IF('Conversion Tables'!L52="NA","NA",F59*'Conversion Tables'!L52)</f>
        <v>NA</v>
      </c>
      <c r="O59" s="16" t="str">
        <f>IF('Conversion Tables'!M52="NA","NA",G59*'Conversion Tables'!M52)</f>
        <v>NA</v>
      </c>
      <c r="P59" s="16" t="str">
        <f>IF('Conversion Tables'!N52="NA","NA",H59*'Conversion Tables'!N52)</f>
        <v>NA</v>
      </c>
      <c r="Q59" s="27"/>
    </row>
    <row r="60" spans="1:17" x14ac:dyDescent="0.25">
      <c r="A60" s="1202"/>
      <c r="B60" s="129" t="s">
        <v>305</v>
      </c>
      <c r="C60" s="294">
        <f>'Biomass Data Assumptions'!AE11</f>
        <v>1.102310000000216</v>
      </c>
      <c r="D60" s="299">
        <f>E60*'Conversion Tables'!C53</f>
        <v>13.227720000002591</v>
      </c>
      <c r="E60" s="299">
        <f>C60*'Prac. Rec. Assumptions'!B50</f>
        <v>1.102310000000216</v>
      </c>
      <c r="F60" s="294">
        <f>($C60*(1+'Biomass Data Assumptions'!G$96*(4/5)))*'Prac. Rec. Assumptions'!$B50</f>
        <v>1.0785503647670507</v>
      </c>
      <c r="G60" s="294">
        <f>($C60*(1+'Biomass Data Assumptions'!H$96*(9/10)))*'Prac. Rec. Assumptions'!$B50</f>
        <v>1.0766084715028017</v>
      </c>
      <c r="H60" s="294">
        <f>($C60*(1+'Biomass Data Assumptions'!I$96*(14/15)))*'Prac. Rec. Assumptions'!$B50</f>
        <v>1.073524288083112</v>
      </c>
      <c r="I60" s="16" t="str">
        <f>IF('Conversion Tables'!F53="NA","NA",(E60*'Conversion Tables'!$C53)/'Conversion Tables'!F53)</f>
        <v>NA</v>
      </c>
      <c r="J60" s="16" t="str">
        <f>IF('Conversion Tables'!G53="NA","NA",(F60*'Conversion Tables'!$C53)/'Conversion Tables'!G53)</f>
        <v>NA</v>
      </c>
      <c r="K60" s="16" t="str">
        <f>IF('Conversion Tables'!H53="NA","NA",(G60*'Conversion Tables'!$C53)/'Conversion Tables'!H53)</f>
        <v>NA</v>
      </c>
      <c r="L60" s="16" t="str">
        <f>IF('Conversion Tables'!I53="NA","NA",(H60*'Conversion Tables'!$C53)/'Conversion Tables'!I53)</f>
        <v>NA</v>
      </c>
      <c r="M60" s="16" t="str">
        <f>IF('Conversion Tables'!K53="NA","NA",E60*'Conversion Tables'!K53)</f>
        <v>NA</v>
      </c>
      <c r="N60" s="16" t="str">
        <f>IF('Conversion Tables'!L53="NA","NA",F60*'Conversion Tables'!L53)</f>
        <v>NA</v>
      </c>
      <c r="O60" s="16" t="str">
        <f>IF('Conversion Tables'!M53="NA","NA",G60*'Conversion Tables'!M53)</f>
        <v>NA</v>
      </c>
      <c r="P60" s="16" t="str">
        <f>IF('Conversion Tables'!N53="NA","NA",H60*'Conversion Tables'!N53)</f>
        <v>NA</v>
      </c>
      <c r="Q60" s="7"/>
    </row>
    <row r="61" spans="1:17" x14ac:dyDescent="0.25">
      <c r="A61" s="1202"/>
      <c r="B61" s="9" t="s">
        <v>257</v>
      </c>
      <c r="C61" s="295">
        <f>SUM(C52:C60)</f>
        <v>1191.9712937500001</v>
      </c>
      <c r="D61" s="295">
        <f>SUM(D52:D60)</f>
        <v>9525.4062550770032</v>
      </c>
      <c r="E61" s="295">
        <f t="shared" ref="E61:P61" si="8">SUM(E52:E60)</f>
        <v>647.38297175000014</v>
      </c>
      <c r="F61" s="295">
        <f>SUM(F52:F60)</f>
        <v>647.35921211476693</v>
      </c>
      <c r="G61" s="295">
        <f>SUM(G52:G60)</f>
        <v>647.35727022150274</v>
      </c>
      <c r="H61" s="295">
        <f>SUM(H52:H60)</f>
        <v>647.35418603808307</v>
      </c>
      <c r="I61" s="19">
        <f t="shared" si="8"/>
        <v>0</v>
      </c>
      <c r="J61" s="19">
        <f t="shared" si="8"/>
        <v>0</v>
      </c>
      <c r="K61" s="19">
        <f t="shared" si="8"/>
        <v>0</v>
      </c>
      <c r="L61" s="19">
        <f t="shared" si="8"/>
        <v>0</v>
      </c>
      <c r="M61" s="19">
        <f t="shared" si="8"/>
        <v>0</v>
      </c>
      <c r="N61" s="19">
        <f t="shared" si="8"/>
        <v>0</v>
      </c>
      <c r="O61" s="19">
        <f t="shared" si="8"/>
        <v>0</v>
      </c>
      <c r="P61" s="19">
        <f t="shared" si="8"/>
        <v>0</v>
      </c>
      <c r="Q61" s="7"/>
    </row>
    <row r="62" spans="1:17" x14ac:dyDescent="0.25">
      <c r="A62" s="1202"/>
      <c r="B62" s="7" t="s">
        <v>256</v>
      </c>
      <c r="C62" s="298" t="s">
        <v>251</v>
      </c>
      <c r="D62" s="13"/>
      <c r="E62" s="298" t="s">
        <v>251</v>
      </c>
      <c r="F62" s="298"/>
      <c r="G62" s="298"/>
      <c r="H62" s="298"/>
      <c r="I62" s="7"/>
      <c r="J62" s="7"/>
      <c r="K62" s="7"/>
      <c r="L62" s="7"/>
      <c r="M62" s="7"/>
      <c r="N62" s="7"/>
      <c r="O62" s="7"/>
      <c r="P62" s="7"/>
      <c r="Q62" s="7"/>
    </row>
    <row r="63" spans="1:17" x14ac:dyDescent="0.25">
      <c r="A63" s="1203"/>
      <c r="B63" s="133" t="s">
        <v>304</v>
      </c>
      <c r="C63" s="294">
        <f>'Biomass Data Assumptions'!AB11</f>
        <v>53.833302499999995</v>
      </c>
      <c r="D63" s="300">
        <f>E63*'Conversion Tables'!C55</f>
        <v>33322.814247499999</v>
      </c>
      <c r="E63" s="299">
        <f>C63*'Prac. Rec. Assumptions'!B51</f>
        <v>53.833302499999995</v>
      </c>
      <c r="F63" s="294">
        <f>($C63*(1+'Biomass Data Assumptions'!G$96*(4/5)))*'Prac. Rec. Assumptions'!$B51</f>
        <v>52.672957741450773</v>
      </c>
      <c r="G63" s="294">
        <f>($C63*(1+'Biomass Data Assumptions'!H$96*(9/10)))*'Prac. Rec. Assumptions'!$B51</f>
        <v>52.578121871761653</v>
      </c>
      <c r="H63" s="294">
        <f>($C63*(1+'Biomass Data Assumptions'!I$96*(14/15)))*'Prac. Rec. Assumptions'!$B51</f>
        <v>52.427500196373053</v>
      </c>
      <c r="I63" s="16" t="str">
        <f>IF('Conversion Tables'!F55="NA","NA",(E63*'Conversion Tables'!$C55)/'Conversion Tables'!F55)</f>
        <v>NA</v>
      </c>
      <c r="J63" s="16" t="str">
        <f>IF('Conversion Tables'!G55="NA","NA",(F63*'Conversion Tables'!$C55)/'Conversion Tables'!G55)</f>
        <v>NA</v>
      </c>
      <c r="K63" s="16" t="str">
        <f>IF('Conversion Tables'!H55="NA","NA",(G63*'Conversion Tables'!$C55)/'Conversion Tables'!H55)</f>
        <v>NA</v>
      </c>
      <c r="L63" s="16" t="str">
        <f>IF('Conversion Tables'!I55="NA","NA",(H63*'Conversion Tables'!$C55)/'Conversion Tables'!I55)</f>
        <v>NA</v>
      </c>
      <c r="M63" s="16" t="str">
        <f>IF('Conversion Tables'!K55="NA","NA",E63*'Conversion Tables'!K55)</f>
        <v>NA</v>
      </c>
      <c r="N63" s="16" t="str">
        <f>IF('Conversion Tables'!L55="NA","NA",F63*'Conversion Tables'!L55)</f>
        <v>NA</v>
      </c>
      <c r="O63" s="16" t="str">
        <f>IF('Conversion Tables'!M55="NA","NA",G63*'Conversion Tables'!M55)</f>
        <v>NA</v>
      </c>
      <c r="P63" s="16" t="str">
        <f>IF('Conversion Tables'!N55="NA","NA",H63*'Conversion Tables'!N55)</f>
        <v>NA</v>
      </c>
      <c r="Q63" s="7"/>
    </row>
    <row r="64" spans="1:17" x14ac:dyDescent="0.25">
      <c r="A64" s="1204"/>
      <c r="B64" s="17" t="s">
        <v>512</v>
      </c>
      <c r="C64" s="294">
        <f>'Biomass Data Assumptions'!X11</f>
        <v>732.41336239999998</v>
      </c>
      <c r="D64" s="300">
        <f>E64*'Conversion Tables'!C56</f>
        <v>370601.16137439996</v>
      </c>
      <c r="E64" s="299">
        <f>C64*'Prac. Rec. Assumptions'!B52</f>
        <v>732.41336239999998</v>
      </c>
      <c r="F64" s="545">
        <f>($C64*(1+'Biomass Data Assumptions'!G$96*(3/5))*(1+('Biomass Data Assumptions'!C$82-((1+'Biomass Data Assumptions'!$B$82)^2 - 1))))*'Prac. Rec. Assumptions'!$B52</f>
        <v>720.27979935979874</v>
      </c>
      <c r="G64" s="545">
        <f>($C64*(1+'Biomass Data Assumptions'!H$96*(4/5))*(1+('Biomass Data Assumptions'!D$82-((1+'Biomass Data Assumptions'!$B$82)^2 - 1))))*'Prac. Rec. Assumptions'!$B52</f>
        <v>716.45500190066298</v>
      </c>
      <c r="H64" s="545">
        <f>($C64*(1+'Biomass Data Assumptions'!I$96*(13/15))*(1+('Biomass Data Assumptions'!E$82-((1+'Biomass Data Assumptions'!$B$82)^2 - 1))))*'Prac. Rec. Assumptions'!$B52</f>
        <v>713.39270397008374</v>
      </c>
      <c r="I64" s="16" t="str">
        <f>IF('Conversion Tables'!F56="NA","NA",(E64*'Conversion Tables'!$C56)/'Conversion Tables'!F56)</f>
        <v>NA</v>
      </c>
      <c r="J64" s="16" t="str">
        <f>IF('Conversion Tables'!G56="NA","NA",(F64*'Conversion Tables'!$C56)/'Conversion Tables'!G56)</f>
        <v>NA</v>
      </c>
      <c r="K64" s="16" t="str">
        <f>IF('Conversion Tables'!H56="NA","NA",(G64*'Conversion Tables'!$C56)/'Conversion Tables'!H56)</f>
        <v>NA</v>
      </c>
      <c r="L64" s="16" t="str">
        <f>IF('Conversion Tables'!I56="NA","NA",(H64*'Conversion Tables'!$C56)/'Conversion Tables'!I56)</f>
        <v>NA</v>
      </c>
      <c r="M64" s="16" t="str">
        <f>IF('Conversion Tables'!K56="NA","NA",E64*'Conversion Tables'!K56)</f>
        <v>NA</v>
      </c>
      <c r="N64" s="16" t="str">
        <f>IF('Conversion Tables'!L56="NA","NA",F64*'Conversion Tables'!L56)</f>
        <v>NA</v>
      </c>
      <c r="O64" s="16" t="str">
        <f>IF('Conversion Tables'!M56="NA","NA",G64*'Conversion Tables'!M56)</f>
        <v>NA</v>
      </c>
      <c r="P64" s="16" t="str">
        <f>IF('Conversion Tables'!N56="NA","NA",H64*'Conversion Tables'!N56)</f>
        <v>NA</v>
      </c>
      <c r="Q64" s="7"/>
    </row>
    <row r="65" spans="1:19" x14ac:dyDescent="0.25">
      <c r="A65" s="1204"/>
      <c r="B65" s="9" t="s">
        <v>248</v>
      </c>
      <c r="C65" s="295">
        <f>SUM(C63:C64)</f>
        <v>786.24666489999993</v>
      </c>
      <c r="D65" s="295">
        <f>SUM(D63:D64)</f>
        <v>403923.97562189994</v>
      </c>
      <c r="E65" s="295">
        <f t="shared" ref="E65:P65" si="9">SUM(E63:E64)</f>
        <v>786.24666489999993</v>
      </c>
      <c r="F65" s="295">
        <f>SUM(F63:F64)</f>
        <v>772.95275710124952</v>
      </c>
      <c r="G65" s="295">
        <f>SUM(G63:G64)</f>
        <v>769.03312377242469</v>
      </c>
      <c r="H65" s="295">
        <f>SUM(H63:H64)</f>
        <v>765.82020416645685</v>
      </c>
      <c r="I65" s="19">
        <f t="shared" si="9"/>
        <v>0</v>
      </c>
      <c r="J65" s="19">
        <f t="shared" si="9"/>
        <v>0</v>
      </c>
      <c r="K65" s="19">
        <f t="shared" si="9"/>
        <v>0</v>
      </c>
      <c r="L65" s="19">
        <f t="shared" si="9"/>
        <v>0</v>
      </c>
      <c r="M65" s="19">
        <f t="shared" si="9"/>
        <v>0</v>
      </c>
      <c r="N65" s="19">
        <f t="shared" si="9"/>
        <v>0</v>
      </c>
      <c r="O65" s="19">
        <f t="shared" si="9"/>
        <v>0</v>
      </c>
      <c r="P65" s="19">
        <f t="shared" si="9"/>
        <v>0</v>
      </c>
      <c r="Q65" s="19">
        <f>SUM(Q51:Q64)</f>
        <v>0</v>
      </c>
    </row>
    <row r="66" spans="1:19" x14ac:dyDescent="0.25">
      <c r="A66" s="1204"/>
      <c r="B66" s="9"/>
      <c r="C66" s="295"/>
      <c r="D66" s="295"/>
      <c r="E66" s="295"/>
      <c r="F66" s="295"/>
      <c r="G66" s="295"/>
      <c r="H66" s="295"/>
      <c r="I66" s="19"/>
      <c r="J66" s="19"/>
      <c r="K66" s="19"/>
      <c r="L66" s="19"/>
      <c r="M66" s="19"/>
      <c r="N66" s="19"/>
      <c r="O66" s="19"/>
      <c r="P66" s="19"/>
      <c r="Q66" s="19"/>
    </row>
    <row r="67" spans="1:19" ht="12" customHeight="1" x14ac:dyDescent="0.25">
      <c r="A67" s="1205"/>
      <c r="B67" s="9" t="s">
        <v>258</v>
      </c>
      <c r="C67" s="295">
        <f>C61+(C63*1000000/29487.1582406855)+(C64*1000000/25364.5039539246)</f>
        <v>31893.14851532691</v>
      </c>
      <c r="D67" s="295">
        <f t="shared" ref="D67" si="10">D61+D65</f>
        <v>413449.38187697693</v>
      </c>
      <c r="E67" s="295">
        <f>E61+(E63*1000000/29487.1582406855)+(E64*1000000/25364.5039539246)</f>
        <v>31348.56019332691</v>
      </c>
      <c r="F67" s="295">
        <f t="shared" ref="F67:H67" si="11">F61+(F63*1000000/29487.1582406855)+(F64*1000000/25364.5039539246)</f>
        <v>30830.817740288861</v>
      </c>
      <c r="G67" s="295">
        <f t="shared" si="11"/>
        <v>30676.806315021626</v>
      </c>
      <c r="H67" s="295">
        <f t="shared" si="11"/>
        <v>30550.963556782088</v>
      </c>
      <c r="I67" s="19">
        <f t="shared" ref="I67:P67" si="12">I61+I65</f>
        <v>0</v>
      </c>
      <c r="J67" s="19">
        <f t="shared" si="12"/>
        <v>0</v>
      </c>
      <c r="K67" s="19">
        <f t="shared" si="12"/>
        <v>0</v>
      </c>
      <c r="L67" s="19">
        <f t="shared" si="12"/>
        <v>0</v>
      </c>
      <c r="M67" s="19">
        <f t="shared" si="12"/>
        <v>0</v>
      </c>
      <c r="N67" s="19">
        <f t="shared" si="12"/>
        <v>0</v>
      </c>
      <c r="O67" s="19">
        <f t="shared" si="12"/>
        <v>0</v>
      </c>
      <c r="P67" s="19">
        <f t="shared" si="12"/>
        <v>0</v>
      </c>
      <c r="Q67" s="19"/>
    </row>
    <row r="68" spans="1:19" customFormat="1" x14ac:dyDescent="0.25">
      <c r="B68" s="270" t="s">
        <v>162</v>
      </c>
      <c r="C68" s="132">
        <f>C11+C29+C43+C49+C67</f>
        <v>200169.69250611024</v>
      </c>
      <c r="D68" s="132"/>
      <c r="E68" s="132">
        <f>E11+E29+E43+E49+E67</f>
        <v>147088.95753339026</v>
      </c>
      <c r="F68" s="132">
        <f>F11+F29+F43+F49+F67</f>
        <v>145977.0317470489</v>
      </c>
      <c r="G68" s="132">
        <f>G11+G29+G43+G49+G67</f>
        <v>146802.83138824158</v>
      </c>
      <c r="H68" s="132">
        <f>H11+H29+H43+H49+H67</f>
        <v>147537.80124998884</v>
      </c>
      <c r="I68" s="264"/>
    </row>
    <row r="69" spans="1:19" ht="13.8" thickBot="1" x14ac:dyDescent="0.3">
      <c r="A69" s="10"/>
      <c r="B69" s="10"/>
      <c r="C69" s="10"/>
      <c r="D69" s="10"/>
      <c r="E69" s="10"/>
      <c r="F69" s="10"/>
      <c r="G69" s="10"/>
      <c r="H69" s="10"/>
      <c r="I69" s="1003">
        <f>SUM(I8:I66)/2</f>
        <v>0</v>
      </c>
      <c r="J69" s="1003">
        <f>SUM(J8:J66)/2</f>
        <v>0</v>
      </c>
      <c r="K69" s="1003">
        <f>SUM(K8:K66)/2</f>
        <v>0</v>
      </c>
      <c r="L69" s="1003">
        <f>SUM(L8:L66)/2</f>
        <v>0</v>
      </c>
      <c r="M69" s="1003">
        <f>SUM(M8:M66)/2</f>
        <v>0</v>
      </c>
      <c r="N69" s="1003">
        <f t="shared" ref="N69:P69" si="13">SUM(N8:N66)/2</f>
        <v>0</v>
      </c>
      <c r="O69" s="1003">
        <f t="shared" si="13"/>
        <v>0</v>
      </c>
      <c r="P69" s="1003">
        <f t="shared" si="13"/>
        <v>0</v>
      </c>
      <c r="Q69" s="10"/>
      <c r="R69" s="10"/>
      <c r="S69" s="10"/>
    </row>
    <row r="70" spans="1:19" x14ac:dyDescent="0.25">
      <c r="A70" s="35" t="s">
        <v>23</v>
      </c>
      <c r="B70" s="36"/>
      <c r="C70" s="36"/>
      <c r="D70" s="36"/>
      <c r="E70" s="36"/>
      <c r="F70" s="36"/>
      <c r="G70" s="36"/>
      <c r="H70" s="36"/>
      <c r="I70" s="36"/>
      <c r="J70" s="36"/>
      <c r="K70" s="36"/>
      <c r="L70" s="36"/>
      <c r="M70" s="36"/>
      <c r="N70" s="36"/>
      <c r="O70" s="36"/>
      <c r="P70" s="36"/>
      <c r="Q70" s="36"/>
      <c r="R70" s="36"/>
    </row>
    <row r="71" spans="1:19" x14ac:dyDescent="0.25">
      <c r="A71" s="36"/>
      <c r="B71" s="36"/>
      <c r="C71" s="36"/>
      <c r="D71" s="36"/>
      <c r="E71" s="36"/>
      <c r="F71" s="36"/>
      <c r="G71" s="36"/>
      <c r="H71" s="36"/>
      <c r="I71" s="36"/>
      <c r="J71" s="36"/>
      <c r="K71" s="36"/>
      <c r="L71" s="36"/>
      <c r="M71" s="36"/>
      <c r="N71" s="36"/>
      <c r="O71" s="36"/>
      <c r="P71" s="36"/>
      <c r="Q71" s="36"/>
      <c r="R71" s="36"/>
    </row>
    <row r="72" spans="1:19" x14ac:dyDescent="0.25">
      <c r="A72" s="36"/>
      <c r="B72" s="36"/>
      <c r="C72" s="36"/>
      <c r="D72" s="36"/>
      <c r="E72" s="36"/>
      <c r="F72" s="36"/>
      <c r="G72" s="36"/>
      <c r="H72" s="36"/>
      <c r="I72" s="36"/>
      <c r="J72" s="36"/>
      <c r="K72" s="36"/>
      <c r="L72" s="36"/>
      <c r="M72" s="36"/>
      <c r="N72" s="36"/>
      <c r="O72" s="36"/>
      <c r="P72" s="36"/>
      <c r="Q72" s="36"/>
      <c r="R72" s="36"/>
    </row>
    <row r="73" spans="1:19" ht="26.4" x14ac:dyDescent="0.25">
      <c r="A73" s="37" t="s">
        <v>1037</v>
      </c>
      <c r="B73" s="454" t="s">
        <v>297</v>
      </c>
      <c r="C73" s="37" t="s">
        <v>1042</v>
      </c>
      <c r="D73" s="37" t="s">
        <v>1041</v>
      </c>
      <c r="E73" s="36" t="s">
        <v>598</v>
      </c>
      <c r="F73" s="38"/>
      <c r="G73" s="38"/>
      <c r="H73" s="36"/>
      <c r="I73" s="36"/>
      <c r="J73" s="36"/>
      <c r="K73" s="36"/>
      <c r="L73" s="36"/>
      <c r="M73" s="36"/>
      <c r="N73" s="36"/>
      <c r="O73" s="36"/>
      <c r="P73" s="36"/>
      <c r="Q73" s="36"/>
      <c r="R73" s="36"/>
    </row>
    <row r="74" spans="1:19" x14ac:dyDescent="0.25">
      <c r="A74" s="39" t="s">
        <v>519</v>
      </c>
      <c r="B74" s="21">
        <v>27</v>
      </c>
      <c r="C74" s="40">
        <f>'Biomass Data Assumptions'!B38*B74</f>
        <v>1763.1</v>
      </c>
      <c r="D74" s="40">
        <f>(C74*'Biomass Data Assumptions'!C38)/2000</f>
        <v>49.366799999999998</v>
      </c>
      <c r="E74" s="41"/>
      <c r="F74" s="41"/>
      <c r="G74" s="41"/>
      <c r="H74" s="36"/>
      <c r="I74" s="36"/>
      <c r="J74" s="36"/>
      <c r="K74" s="36"/>
      <c r="L74" s="36"/>
      <c r="M74" s="36"/>
      <c r="N74" s="36"/>
      <c r="O74" s="36"/>
      <c r="P74" s="36"/>
      <c r="Q74" s="36"/>
      <c r="R74" s="36"/>
    </row>
    <row r="75" spans="1:19" x14ac:dyDescent="0.25">
      <c r="A75" s="39" t="s">
        <v>520</v>
      </c>
      <c r="B75" s="21">
        <v>152</v>
      </c>
      <c r="C75" s="40">
        <f>'Biomass Data Assumptions'!B39*B75</f>
        <v>4149.6000000000004</v>
      </c>
      <c r="D75" s="40">
        <f>(C75*'Biomass Data Assumptions'!C39)/2000</f>
        <v>116.18880000000001</v>
      </c>
      <c r="E75" s="41"/>
      <c r="F75" s="41"/>
      <c r="G75" s="41"/>
      <c r="H75" s="36"/>
      <c r="I75" s="36"/>
      <c r="J75" s="36"/>
      <c r="K75" s="36"/>
      <c r="L75" s="36"/>
      <c r="M75" s="36"/>
      <c r="N75" s="36"/>
      <c r="O75" s="36"/>
      <c r="P75" s="36"/>
      <c r="Q75" s="36"/>
      <c r="R75" s="36"/>
    </row>
    <row r="76" spans="1:19" x14ac:dyDescent="0.25">
      <c r="A76" s="39" t="s">
        <v>521</v>
      </c>
      <c r="B76" s="21">
        <v>91</v>
      </c>
      <c r="C76" s="40">
        <f>'Biomass Data Assumptions'!B40*B76</f>
        <v>11375</v>
      </c>
      <c r="D76" s="40">
        <f>(C76*'Biomass Data Assumptions'!C40)/2000</f>
        <v>318.5</v>
      </c>
      <c r="E76" s="41"/>
      <c r="F76" s="41"/>
      <c r="G76" s="41"/>
      <c r="H76" s="36"/>
      <c r="I76" s="36"/>
      <c r="J76" s="36"/>
      <c r="K76" s="36"/>
      <c r="L76" s="36"/>
      <c r="M76" s="36"/>
      <c r="N76" s="36"/>
      <c r="O76" s="36"/>
      <c r="P76" s="36"/>
      <c r="Q76" s="36"/>
      <c r="R76" s="36"/>
    </row>
    <row r="77" spans="1:19" x14ac:dyDescent="0.25">
      <c r="A77" s="39" t="s">
        <v>525</v>
      </c>
      <c r="B77" s="21">
        <v>0</v>
      </c>
      <c r="C77" s="40">
        <f>'Biomass Data Assumptions'!B41*B77</f>
        <v>0</v>
      </c>
      <c r="D77" s="40">
        <f>(C77*'Biomass Data Assumptions'!C41)/2000</f>
        <v>0</v>
      </c>
      <c r="E77" s="41"/>
      <c r="F77" s="41"/>
      <c r="G77" s="41"/>
      <c r="H77" s="36"/>
      <c r="I77" s="36"/>
      <c r="J77" s="36"/>
      <c r="K77" s="36"/>
      <c r="L77" s="36"/>
      <c r="M77" s="36"/>
      <c r="N77" s="36"/>
      <c r="O77" s="36"/>
      <c r="P77" s="36"/>
      <c r="Q77" s="36"/>
      <c r="R77" s="36"/>
    </row>
    <row r="78" spans="1:19" x14ac:dyDescent="0.25">
      <c r="A78" s="39" t="s">
        <v>522</v>
      </c>
      <c r="B78" s="21">
        <v>178</v>
      </c>
      <c r="C78" s="40">
        <f>'Biomass Data Assumptions'!B42*B78</f>
        <v>9612</v>
      </c>
      <c r="D78" s="40">
        <f>(C78*'Biomass Data Assumptions'!C42)/2000</f>
        <v>288.36</v>
      </c>
      <c r="E78" s="41"/>
      <c r="F78" s="41"/>
      <c r="G78" s="41"/>
      <c r="H78" s="36"/>
      <c r="I78" s="36"/>
      <c r="J78" s="36"/>
      <c r="K78" s="36"/>
      <c r="L78" s="36"/>
      <c r="M78" s="36"/>
      <c r="N78" s="36"/>
      <c r="O78" s="36"/>
      <c r="P78" s="36"/>
      <c r="Q78" s="36"/>
      <c r="R78" s="36"/>
    </row>
    <row r="79" spans="1:19" x14ac:dyDescent="0.25">
      <c r="A79" s="36"/>
      <c r="B79" s="36"/>
      <c r="C79" s="36"/>
      <c r="D79" s="36"/>
      <c r="E79" s="36"/>
      <c r="F79" s="36"/>
      <c r="G79" s="36"/>
      <c r="H79" s="36"/>
      <c r="I79" s="36"/>
      <c r="J79" s="36"/>
      <c r="K79" s="36"/>
      <c r="L79" s="36"/>
      <c r="M79" s="36"/>
      <c r="N79" s="36"/>
      <c r="O79" s="36"/>
      <c r="P79" s="36"/>
      <c r="Q79" s="36"/>
      <c r="R79" s="36"/>
    </row>
    <row r="80" spans="1:19" ht="39.6" x14ac:dyDescent="0.25">
      <c r="A80" s="37" t="s">
        <v>1038</v>
      </c>
      <c r="B80" s="454" t="s">
        <v>297</v>
      </c>
      <c r="C80" s="37" t="s">
        <v>1041</v>
      </c>
      <c r="D80" s="37" t="s">
        <v>1036</v>
      </c>
      <c r="E80" s="36" t="s">
        <v>598</v>
      </c>
      <c r="F80" s="38"/>
      <c r="G80" s="38"/>
      <c r="H80" s="36"/>
      <c r="I80" s="36"/>
      <c r="J80" s="36"/>
      <c r="K80" s="36"/>
      <c r="L80" s="36"/>
      <c r="M80" s="36"/>
      <c r="N80" s="36"/>
      <c r="O80" s="36"/>
      <c r="P80" s="36"/>
      <c r="Q80" s="36"/>
      <c r="R80" s="36"/>
    </row>
    <row r="81" spans="1:18" x14ac:dyDescent="0.25">
      <c r="A81" s="39" t="s">
        <v>527</v>
      </c>
      <c r="B81" s="21">
        <v>117</v>
      </c>
      <c r="C81" s="40">
        <f>'Biomass Data Assumptions'!B49*B81</f>
        <v>117</v>
      </c>
      <c r="D81" s="40">
        <f>C81*'Energy Content Assumptions'!C11</f>
        <v>99.45</v>
      </c>
      <c r="E81" s="41"/>
      <c r="F81" s="41"/>
      <c r="G81" s="41"/>
      <c r="H81" s="36"/>
      <c r="I81" s="36"/>
      <c r="J81" s="36"/>
      <c r="K81" s="36"/>
      <c r="L81" s="36"/>
      <c r="M81" s="36"/>
      <c r="N81" s="36"/>
      <c r="O81" s="36"/>
      <c r="P81" s="36"/>
      <c r="Q81" s="36"/>
      <c r="R81" s="36"/>
    </row>
    <row r="82" spans="1:18" x14ac:dyDescent="0.25">
      <c r="A82" s="39" t="s">
        <v>520</v>
      </c>
      <c r="B82" s="21">
        <f>152+48</f>
        <v>200</v>
      </c>
      <c r="C82" s="40">
        <f>'Biomass Data Assumptions'!B50*B82</f>
        <v>450</v>
      </c>
      <c r="D82" s="40">
        <f>C82*'Energy Content Assumptions'!C12</f>
        <v>382.5</v>
      </c>
      <c r="E82" s="41"/>
      <c r="F82" s="41"/>
      <c r="G82" s="41"/>
      <c r="H82" s="36"/>
      <c r="I82" s="36"/>
      <c r="J82" s="36"/>
      <c r="K82" s="36"/>
      <c r="L82" s="36"/>
      <c r="M82" s="36"/>
      <c r="N82" s="36"/>
      <c r="O82" s="36"/>
      <c r="P82" s="36"/>
      <c r="Q82" s="36"/>
      <c r="R82" s="36"/>
    </row>
    <row r="83" spans="1:18" x14ac:dyDescent="0.25">
      <c r="A83" s="39" t="s">
        <v>521</v>
      </c>
      <c r="B83" s="21">
        <v>91</v>
      </c>
      <c r="C83" s="40">
        <f>'Biomass Data Assumptions'!B51*B83</f>
        <v>227.5</v>
      </c>
      <c r="D83" s="40">
        <f>C83*'Energy Content Assumptions'!C13</f>
        <v>193.375</v>
      </c>
      <c r="E83" s="41"/>
      <c r="F83" s="41"/>
      <c r="G83" s="41"/>
      <c r="H83" s="36"/>
      <c r="I83" s="36"/>
      <c r="J83" s="36"/>
      <c r="K83" s="36"/>
      <c r="L83" s="36"/>
      <c r="M83" s="36"/>
      <c r="N83" s="36"/>
      <c r="O83" s="36"/>
      <c r="P83" s="36"/>
      <c r="Q83" s="36"/>
      <c r="R83" s="36"/>
    </row>
    <row r="84" spans="1:18" x14ac:dyDescent="0.25">
      <c r="A84" s="39" t="s">
        <v>528</v>
      </c>
      <c r="B84" s="21">
        <v>7</v>
      </c>
      <c r="C84" s="40">
        <f>'Biomass Data Assumptions'!B52*B84</f>
        <v>114.79999999999998</v>
      </c>
      <c r="D84" s="40">
        <f>C84*'Energy Content Assumptions'!C14</f>
        <v>40.179999999999993</v>
      </c>
      <c r="E84" s="41"/>
      <c r="F84" s="41"/>
      <c r="G84" s="41"/>
      <c r="H84" s="36"/>
      <c r="I84" s="36"/>
      <c r="J84" s="36"/>
      <c r="K84" s="36"/>
      <c r="L84" s="36"/>
      <c r="M84" s="36"/>
      <c r="N84" s="36"/>
      <c r="O84" s="36"/>
      <c r="P84" s="36"/>
      <c r="Q84" s="36"/>
      <c r="R84" s="36"/>
    </row>
    <row r="85" spans="1:18" x14ac:dyDescent="0.25">
      <c r="A85" s="39" t="s">
        <v>529</v>
      </c>
      <c r="B85" s="21">
        <v>205</v>
      </c>
      <c r="C85" s="40">
        <f>'Biomass Data Assumptions'!B53*B85</f>
        <v>656</v>
      </c>
      <c r="D85" s="40">
        <f>C85*'Energy Content Assumptions'!C15</f>
        <v>557.6</v>
      </c>
      <c r="E85" s="41"/>
      <c r="F85" s="41"/>
      <c r="G85" s="41"/>
      <c r="H85" s="36"/>
      <c r="I85" s="36"/>
      <c r="J85" s="36"/>
      <c r="K85" s="36"/>
      <c r="L85" s="36"/>
      <c r="M85" s="36"/>
      <c r="N85" s="36"/>
      <c r="O85" s="36"/>
      <c r="P85" s="36"/>
      <c r="Q85" s="36"/>
      <c r="R85" s="36"/>
    </row>
    <row r="86" spans="1:18" x14ac:dyDescent="0.25">
      <c r="A86" s="39" t="s">
        <v>530</v>
      </c>
      <c r="B86" s="21">
        <v>663</v>
      </c>
      <c r="C86" s="40">
        <f>'Biomass Data Assumptions'!B54*B86</f>
        <v>1127.0999999999999</v>
      </c>
      <c r="D86" s="40">
        <f>C86*'Energy Content Assumptions'!C16</f>
        <v>958.03499999999985</v>
      </c>
      <c r="E86" s="41"/>
      <c r="F86" s="41"/>
      <c r="G86" s="41"/>
      <c r="H86" s="36"/>
      <c r="I86" s="36"/>
      <c r="J86" s="36"/>
      <c r="K86" s="36"/>
      <c r="L86" s="36"/>
      <c r="M86" s="36"/>
      <c r="N86" s="36"/>
      <c r="O86" s="36"/>
      <c r="P86" s="36"/>
      <c r="Q86" s="36"/>
      <c r="R86" s="36"/>
    </row>
    <row r="87" spans="1:18" x14ac:dyDescent="0.25">
      <c r="A87" s="39" t="s">
        <v>522</v>
      </c>
      <c r="B87" s="21">
        <v>178</v>
      </c>
      <c r="C87" s="40">
        <f>'Biomass Data Assumptions'!B55*B87</f>
        <v>311.5</v>
      </c>
      <c r="D87" s="40">
        <f>C87*'Energy Content Assumptions'!C17</f>
        <v>264.77499999999998</v>
      </c>
      <c r="E87" s="41"/>
      <c r="F87" s="41"/>
      <c r="G87" s="41"/>
      <c r="H87" s="36"/>
      <c r="I87" s="36"/>
      <c r="J87" s="36"/>
      <c r="K87" s="36"/>
      <c r="L87" s="36"/>
      <c r="M87" s="36"/>
      <c r="N87" s="36"/>
      <c r="O87" s="36"/>
      <c r="P87" s="36"/>
      <c r="Q87" s="36"/>
      <c r="R87" s="36"/>
    </row>
    <row r="88" spans="1:18" x14ac:dyDescent="0.25">
      <c r="A88" s="43"/>
      <c r="B88" s="41"/>
      <c r="C88" s="41"/>
      <c r="D88" s="41"/>
      <c r="E88" s="41"/>
      <c r="F88" s="41"/>
      <c r="G88" s="41"/>
      <c r="H88" s="36"/>
      <c r="I88" s="36"/>
      <c r="J88" s="36"/>
      <c r="K88" s="36"/>
      <c r="L88" s="36"/>
      <c r="M88" s="36"/>
      <c r="N88" s="36"/>
      <c r="O88" s="36"/>
      <c r="P88" s="36"/>
      <c r="Q88" s="36"/>
      <c r="R88" s="36"/>
    </row>
    <row r="89" spans="1:18" x14ac:dyDescent="0.25">
      <c r="A89" s="43"/>
      <c r="B89" s="640" t="s">
        <v>297</v>
      </c>
      <c r="C89" s="122" t="s">
        <v>299</v>
      </c>
      <c r="D89" s="122" t="s">
        <v>300</v>
      </c>
      <c r="E89" s="41"/>
      <c r="F89" s="41"/>
      <c r="G89" s="41"/>
      <c r="H89" s="36"/>
      <c r="I89" s="36"/>
      <c r="J89" s="36"/>
      <c r="K89" s="36"/>
      <c r="L89" s="36"/>
      <c r="M89" s="36"/>
      <c r="N89" s="36"/>
      <c r="O89" s="36"/>
      <c r="P89" s="36"/>
      <c r="Q89" s="36"/>
      <c r="R89" s="36"/>
    </row>
    <row r="90" spans="1:18" x14ac:dyDescent="0.25">
      <c r="A90" s="43" t="s">
        <v>296</v>
      </c>
      <c r="B90" s="85">
        <f>IF('Prac. Rec. Assumptions'!B56='Prac. Rec. Assumptions'!V3,0,SUM(IF('Prac. Rec. Assumptions'!B57="Yes",B74,0),IF('Prac. Rec. Assumptions'!B58="Yes",B81,0),IF('Prac. Rec. Assumptions'!B59="Yes",B82,0),IF('Prac. Rec. Assumptions'!B60="Yes",B83,0),IF('Prac. Rec. Assumptions'!B61="Yes",B84,0),IF('Prac. Rec. Assumptions'!B62="Yes",B85,0),IF('Prac. Rec. Assumptions'!B63="Yes",B86,0),IF('Prac. Rec. Assumptions'!B64="Yes",B87,0)))</f>
        <v>0</v>
      </c>
      <c r="C90" s="41">
        <f>IF('Prac. Rec. Assumptions'!B56='Prac. Rec. Assumptions'!V1,'Biomass Data Assumptions'!C46,IF('Prac. Rec. Assumptions'!B56='Prac. Rec. Assumptions'!V2,'Biomass Data Assumptions'!C45,0))</f>
        <v>0</v>
      </c>
      <c r="D90" s="41">
        <f>(C90*'Energy Content Assumptions'!C9)*B90</f>
        <v>0</v>
      </c>
      <c r="E90" s="41"/>
      <c r="F90" s="41"/>
      <c r="G90" s="41"/>
      <c r="H90" s="36"/>
      <c r="I90" s="36"/>
      <c r="J90" s="36"/>
      <c r="K90" s="36"/>
      <c r="L90" s="36"/>
      <c r="M90" s="36"/>
      <c r="N90" s="36"/>
      <c r="O90" s="36"/>
      <c r="P90" s="36"/>
      <c r="Q90" s="36"/>
      <c r="R90" s="36"/>
    </row>
    <row r="91" spans="1:18" x14ac:dyDescent="0.25">
      <c r="A91" s="36"/>
      <c r="B91" s="36"/>
      <c r="C91" s="36"/>
      <c r="D91" s="36"/>
      <c r="E91" s="36"/>
      <c r="F91" s="36"/>
      <c r="G91" s="36"/>
      <c r="H91" s="36"/>
      <c r="I91" s="36"/>
      <c r="J91" s="36"/>
      <c r="K91" s="36"/>
      <c r="L91" s="36"/>
      <c r="M91" s="36"/>
      <c r="N91" s="36"/>
      <c r="O91" s="36"/>
      <c r="P91" s="36"/>
      <c r="Q91" s="36"/>
      <c r="R91" s="36"/>
    </row>
    <row r="92" spans="1:18" ht="39.6" x14ac:dyDescent="0.25">
      <c r="A92" s="42" t="s">
        <v>531</v>
      </c>
      <c r="B92" s="455" t="s">
        <v>298</v>
      </c>
      <c r="C92" s="38" t="s">
        <v>1050</v>
      </c>
      <c r="D92" s="38" t="s">
        <v>1045</v>
      </c>
      <c r="E92" s="38" t="s">
        <v>1048</v>
      </c>
      <c r="F92" s="38" t="s">
        <v>1047</v>
      </c>
      <c r="G92" s="38" t="s">
        <v>1046</v>
      </c>
      <c r="H92" s="36" t="s">
        <v>599</v>
      </c>
      <c r="I92" s="36"/>
      <c r="J92" s="38"/>
      <c r="K92" s="38"/>
      <c r="L92" s="38"/>
      <c r="M92" s="38"/>
      <c r="N92" s="36"/>
      <c r="O92" s="36"/>
      <c r="P92" s="36"/>
      <c r="Q92" s="36"/>
      <c r="R92" s="36"/>
    </row>
    <row r="93" spans="1:18" x14ac:dyDescent="0.25">
      <c r="A93" s="42"/>
      <c r="B93" s="38"/>
      <c r="C93" s="38"/>
      <c r="D93" s="38"/>
      <c r="E93" s="38"/>
      <c r="F93" s="36"/>
      <c r="G93" s="36"/>
      <c r="H93" s="36"/>
      <c r="I93" s="36"/>
      <c r="J93" s="38"/>
      <c r="K93" s="38"/>
      <c r="L93" s="38"/>
      <c r="M93" s="38"/>
      <c r="N93" s="36"/>
      <c r="O93" s="36"/>
      <c r="P93" s="36"/>
      <c r="Q93" s="36"/>
      <c r="R93" s="36"/>
    </row>
    <row r="94" spans="1:18" x14ac:dyDescent="0.25">
      <c r="A94" s="43"/>
      <c r="B94" s="457"/>
      <c r="C94" s="41"/>
      <c r="D94" s="41"/>
      <c r="E94" s="44"/>
      <c r="F94" s="36"/>
      <c r="G94" s="36"/>
      <c r="H94" s="36"/>
      <c r="I94" s="36"/>
      <c r="J94" s="44"/>
      <c r="K94" s="44"/>
      <c r="L94" s="44"/>
      <c r="M94" s="44"/>
      <c r="N94" s="36"/>
      <c r="O94" s="36"/>
      <c r="P94" s="36"/>
      <c r="Q94" s="36"/>
      <c r="R94" s="36"/>
    </row>
    <row r="95" spans="1:18" x14ac:dyDescent="0.25">
      <c r="A95" s="45"/>
      <c r="B95" s="458"/>
      <c r="C95" s="41"/>
      <c r="D95" s="41"/>
      <c r="E95" s="41"/>
      <c r="F95" s="41"/>
      <c r="G95" s="41"/>
      <c r="H95" s="36"/>
      <c r="I95" s="36"/>
      <c r="J95" s="41"/>
      <c r="K95" s="41"/>
      <c r="L95" s="41"/>
      <c r="M95" s="41"/>
      <c r="N95" s="36"/>
      <c r="O95" s="36"/>
      <c r="P95" s="36"/>
      <c r="Q95" s="36"/>
      <c r="R95" s="36"/>
    </row>
    <row r="96" spans="1:18" x14ac:dyDescent="0.25">
      <c r="A96" s="45"/>
      <c r="B96" s="458"/>
      <c r="C96" s="41"/>
      <c r="D96" s="41"/>
      <c r="E96" s="41"/>
      <c r="F96" s="41"/>
      <c r="G96" s="41"/>
      <c r="H96" s="36"/>
      <c r="I96" s="36"/>
      <c r="J96" s="41"/>
      <c r="K96" s="41"/>
      <c r="L96" s="41"/>
      <c r="M96" s="41"/>
      <c r="N96" s="36"/>
      <c r="O96" s="36"/>
      <c r="P96" s="36"/>
      <c r="Q96" s="36"/>
      <c r="R96" s="36"/>
    </row>
    <row r="97" spans="1:18" x14ac:dyDescent="0.25">
      <c r="A97" s="467" t="s">
        <v>535</v>
      </c>
      <c r="B97" s="85">
        <v>49</v>
      </c>
      <c r="C97" s="41">
        <f>ROUND('Biomass Data Assumptions'!$B$60/1000*B97,0)</f>
        <v>49</v>
      </c>
      <c r="D97" s="41">
        <f>'Biomass Data Assumptions'!$C$60*C97</f>
        <v>1645420</v>
      </c>
      <c r="E97" s="41">
        <f>('Biomass Data Assumptions'!$D$60*'Energy Content Assumptions'!$C$44*D97)/2000</f>
        <v>19.745039999999999</v>
      </c>
      <c r="F97" s="41">
        <f>('Biomass Data Assumptions'!$E$60*B97*365)/2000</f>
        <v>35.770000000000003</v>
      </c>
      <c r="G97" s="41">
        <f>F97+E97</f>
        <v>55.515039999999999</v>
      </c>
      <c r="H97" s="36"/>
      <c r="I97" s="36"/>
      <c r="J97" s="41"/>
      <c r="K97" s="41"/>
      <c r="L97" s="41"/>
      <c r="M97" s="41"/>
      <c r="N97" s="36"/>
      <c r="O97" s="36"/>
      <c r="P97" s="36"/>
      <c r="Q97" s="36"/>
      <c r="R97" s="36"/>
    </row>
    <row r="98" spans="1:18" x14ac:dyDescent="0.25">
      <c r="A98" s="46"/>
      <c r="B98" s="41"/>
      <c r="C98" s="41"/>
      <c r="D98" s="41"/>
      <c r="E98" s="41"/>
      <c r="F98" s="41"/>
      <c r="G98" s="41"/>
      <c r="H98" s="36"/>
      <c r="I98" s="36"/>
      <c r="J98" s="41"/>
      <c r="K98" s="41"/>
      <c r="L98" s="41"/>
      <c r="M98" s="41"/>
      <c r="N98" s="36"/>
      <c r="O98" s="36"/>
      <c r="P98" s="36"/>
      <c r="Q98" s="36"/>
      <c r="R98" s="36"/>
    </row>
    <row r="99" spans="1:18" x14ac:dyDescent="0.25">
      <c r="A99" s="43" t="s">
        <v>539</v>
      </c>
      <c r="B99" s="47"/>
      <c r="C99" s="41"/>
      <c r="D99" s="41"/>
      <c r="E99" s="41"/>
      <c r="F99" s="41"/>
      <c r="G99" s="41"/>
      <c r="H99" s="36"/>
      <c r="I99" s="36"/>
      <c r="J99" s="41"/>
      <c r="K99" s="41"/>
      <c r="L99" s="41"/>
      <c r="M99" s="41"/>
      <c r="N99" s="36"/>
      <c r="O99" s="36"/>
      <c r="P99" s="36"/>
      <c r="Q99" s="36"/>
      <c r="R99" s="36"/>
    </row>
    <row r="100" spans="1:18" x14ac:dyDescent="0.25">
      <c r="A100" s="460" t="s">
        <v>603</v>
      </c>
      <c r="B100" s="85">
        <v>0</v>
      </c>
      <c r="C100" s="41">
        <f>ROUND('Biomass Data Assumptions'!B62/1000*B100,0)</f>
        <v>0</v>
      </c>
      <c r="D100" s="41">
        <f>'Biomass Data Assumptions'!C62*C100</f>
        <v>0</v>
      </c>
      <c r="E100" s="41">
        <f>('Biomass Data Assumptions'!D62*'Energy Content Assumptions'!C46*D100)/2000</f>
        <v>0</v>
      </c>
      <c r="F100" s="41">
        <f>('Biomass Data Assumptions'!E62*B100*365)/2000</f>
        <v>0</v>
      </c>
      <c r="G100" s="41">
        <f>F100+E100</f>
        <v>0</v>
      </c>
      <c r="H100" s="36"/>
      <c r="I100" s="36"/>
      <c r="J100" s="41"/>
      <c r="K100" s="41"/>
      <c r="L100" s="41"/>
      <c r="M100" s="41"/>
      <c r="N100" s="36"/>
      <c r="O100" s="36"/>
      <c r="P100" s="36"/>
      <c r="Q100" s="36"/>
      <c r="R100" s="36"/>
    </row>
    <row r="101" spans="1:18" hidden="1" x14ac:dyDescent="0.25">
      <c r="A101" s="45"/>
      <c r="B101" s="85"/>
      <c r="C101" s="41"/>
      <c r="D101" s="41"/>
      <c r="E101" s="41"/>
      <c r="F101" s="41"/>
      <c r="G101" s="41"/>
      <c r="H101" s="36"/>
      <c r="I101" s="36"/>
      <c r="J101" s="41"/>
      <c r="K101" s="41"/>
      <c r="L101" s="41"/>
      <c r="M101" s="41"/>
      <c r="N101" s="36"/>
      <c r="O101" s="36"/>
      <c r="P101" s="36"/>
      <c r="Q101" s="36"/>
      <c r="R101" s="36"/>
    </row>
    <row r="102" spans="1:18" ht="14.25" customHeight="1" x14ac:dyDescent="0.25">
      <c r="A102" s="460" t="s">
        <v>604</v>
      </c>
      <c r="B102" s="85">
        <v>0</v>
      </c>
      <c r="C102" s="41">
        <f>ROUND('Biomass Data Assumptions'!B64/1000*B102,0)</f>
        <v>0</v>
      </c>
      <c r="D102" s="41">
        <f>'Biomass Data Assumptions'!C64*C102</f>
        <v>0</v>
      </c>
      <c r="E102" s="41">
        <f>('Biomass Data Assumptions'!D64*'Energy Content Assumptions'!C48*D102)/2000</f>
        <v>0</v>
      </c>
      <c r="F102" s="41">
        <f>'Biomass Data Assumptions'!E64*B102*365/2000</f>
        <v>0</v>
      </c>
      <c r="G102" s="41">
        <f>F102+E102</f>
        <v>0</v>
      </c>
      <c r="H102" s="36"/>
      <c r="I102" s="36"/>
      <c r="J102" s="41"/>
      <c r="K102" s="41"/>
      <c r="L102" s="41"/>
      <c r="M102" s="41"/>
      <c r="N102" s="36"/>
      <c r="O102" s="36"/>
      <c r="P102" s="36"/>
      <c r="Q102" s="36"/>
      <c r="R102" s="36"/>
    </row>
    <row r="103" spans="1:18" hidden="1" x14ac:dyDescent="0.25">
      <c r="A103" s="45"/>
      <c r="B103" s="85"/>
      <c r="C103" s="41"/>
      <c r="D103" s="41"/>
      <c r="E103" s="41"/>
      <c r="F103" s="41"/>
      <c r="G103" s="41"/>
      <c r="H103" s="36"/>
      <c r="I103" s="36"/>
      <c r="J103" s="41"/>
      <c r="K103" s="41"/>
      <c r="L103" s="41"/>
      <c r="M103" s="41"/>
      <c r="N103" s="36"/>
      <c r="O103" s="36"/>
      <c r="P103" s="36"/>
      <c r="Q103" s="36"/>
      <c r="R103" s="36"/>
    </row>
    <row r="104" spans="1:18" x14ac:dyDescent="0.25">
      <c r="A104" s="46" t="s">
        <v>544</v>
      </c>
      <c r="B104" s="85">
        <v>0</v>
      </c>
      <c r="C104" s="41">
        <f>SUM(C100:C103)</f>
        <v>0</v>
      </c>
      <c r="D104" s="41">
        <f>SUM(D100:D103)</f>
        <v>0</v>
      </c>
      <c r="E104" s="41">
        <f>SUM(E100:E103)</f>
        <v>0</v>
      </c>
      <c r="F104" s="41">
        <f>SUM(F100:F103)</f>
        <v>0</v>
      </c>
      <c r="G104" s="41">
        <f>SUM(G100:G103)</f>
        <v>0</v>
      </c>
      <c r="H104" s="36"/>
      <c r="I104" s="36"/>
      <c r="J104" s="41"/>
      <c r="K104" s="41"/>
      <c r="L104" s="41"/>
      <c r="M104" s="41"/>
      <c r="N104" s="36"/>
      <c r="O104" s="36"/>
      <c r="P104" s="36"/>
      <c r="Q104" s="36"/>
      <c r="R104" s="36"/>
    </row>
    <row r="105" spans="1:18" x14ac:dyDescent="0.25">
      <c r="A105" s="46"/>
      <c r="B105" s="41"/>
      <c r="C105" s="41"/>
      <c r="D105" s="41"/>
      <c r="E105" s="41"/>
      <c r="F105" s="41"/>
      <c r="G105" s="41"/>
      <c r="H105" s="36"/>
      <c r="I105" s="36"/>
      <c r="J105" s="41"/>
      <c r="K105" s="41"/>
      <c r="L105" s="41"/>
      <c r="M105" s="41"/>
      <c r="N105" s="36"/>
      <c r="O105" s="36"/>
      <c r="P105" s="36"/>
      <c r="Q105" s="36"/>
      <c r="R105" s="36"/>
    </row>
    <row r="106" spans="1:18" x14ac:dyDescent="0.25">
      <c r="A106" s="43" t="s">
        <v>545</v>
      </c>
      <c r="B106" s="85">
        <v>238</v>
      </c>
      <c r="C106" s="41">
        <f>ROUND('Biomass Data Assumptions'!B66/1000*B106,0)</f>
        <v>238</v>
      </c>
      <c r="D106" s="41">
        <f>'Biomass Data Assumptions'!C66*C106</f>
        <v>4821285</v>
      </c>
      <c r="E106" s="41">
        <f>('Biomass Data Assumptions'!D66*'Energy Content Assumptions'!C50*D106)/2000</f>
        <v>168.74497500000001</v>
      </c>
      <c r="F106" s="41">
        <f>'Biomass Data Assumptions'!E66*B106*365/2000</f>
        <v>651.52499999999998</v>
      </c>
      <c r="G106" s="41">
        <f>F106+E106</f>
        <v>820.26997499999993</v>
      </c>
      <c r="H106" s="36"/>
      <c r="I106" s="36"/>
      <c r="J106" s="41"/>
      <c r="K106" s="41"/>
      <c r="L106" s="41"/>
      <c r="M106" s="41"/>
      <c r="N106" s="36"/>
      <c r="O106" s="36"/>
      <c r="P106" s="36"/>
      <c r="Q106" s="36"/>
      <c r="R106" s="36"/>
    </row>
    <row r="107" spans="1:18" x14ac:dyDescent="0.25">
      <c r="A107" s="43"/>
      <c r="B107" s="41"/>
      <c r="C107" s="41"/>
      <c r="D107" s="41"/>
      <c r="E107" s="41"/>
      <c r="F107" s="41"/>
      <c r="G107" s="41"/>
      <c r="H107" s="36"/>
      <c r="I107" s="36"/>
      <c r="J107" s="41"/>
      <c r="K107" s="41"/>
      <c r="L107" s="41"/>
      <c r="M107" s="41"/>
      <c r="N107" s="36"/>
      <c r="O107" s="36"/>
      <c r="P107" s="36"/>
      <c r="Q107" s="36"/>
      <c r="R107" s="36"/>
    </row>
    <row r="108" spans="1:18" x14ac:dyDescent="0.25">
      <c r="A108" s="43" t="s">
        <v>546</v>
      </c>
      <c r="B108" s="85">
        <v>174</v>
      </c>
      <c r="C108" s="41">
        <f>ROUND('Biomass Data Assumptions'!B67/1000*B108,0)</f>
        <v>17</v>
      </c>
      <c r="D108" s="41">
        <f>'Biomass Data Assumptions'!C67*C108</f>
        <v>254405</v>
      </c>
      <c r="E108" s="41">
        <f>('Biomass Data Assumptions'!D67*'Energy Content Assumptions'!C51*D108)/2000</f>
        <v>6.360125</v>
      </c>
      <c r="F108" s="41">
        <f>'Biomass Data Assumptions'!E67*B108*365/2000</f>
        <v>31.754999999999999</v>
      </c>
      <c r="G108" s="41">
        <f>F108+E108</f>
        <v>38.115124999999999</v>
      </c>
      <c r="H108" s="36"/>
      <c r="I108" s="36"/>
      <c r="J108" s="41"/>
      <c r="K108" s="41"/>
      <c r="L108" s="41"/>
      <c r="M108" s="41"/>
      <c r="N108" s="36"/>
      <c r="O108" s="36"/>
      <c r="P108" s="36"/>
      <c r="Q108" s="36"/>
      <c r="R108" s="36"/>
    </row>
    <row r="109" spans="1:18" x14ac:dyDescent="0.25">
      <c r="A109" s="43"/>
      <c r="B109" s="41"/>
      <c r="C109" s="41"/>
      <c r="D109" s="41"/>
      <c r="E109" s="41"/>
      <c r="F109" s="41"/>
      <c r="G109" s="41"/>
      <c r="H109" s="36"/>
      <c r="I109" s="36"/>
      <c r="J109" s="41"/>
      <c r="K109" s="41"/>
      <c r="L109" s="41"/>
      <c r="M109" s="41"/>
      <c r="N109" s="36"/>
      <c r="O109" s="36"/>
      <c r="P109" s="36"/>
      <c r="Q109" s="36"/>
      <c r="R109" s="36"/>
    </row>
    <row r="110" spans="1:18" x14ac:dyDescent="0.25">
      <c r="A110" s="43" t="s">
        <v>547</v>
      </c>
      <c r="B110" s="85">
        <v>142</v>
      </c>
      <c r="C110" s="41">
        <f>ROUND('Biomass Data Assumptions'!B68/1000*B110,0)</f>
        <v>14</v>
      </c>
      <c r="D110" s="41">
        <f>'Biomass Data Assumptions'!C68*C110</f>
        <v>209510</v>
      </c>
      <c r="E110" s="41">
        <f>('Biomass Data Assumptions'!D68*'Energy Content Assumptions'!C52*D110)/2000</f>
        <v>5.2377500000000001</v>
      </c>
      <c r="F110" s="41">
        <f>'Biomass Data Assumptions'!E68*B110*365/2000</f>
        <v>25.914999999999999</v>
      </c>
      <c r="G110" s="41">
        <f>F110+E110</f>
        <v>31.152749999999997</v>
      </c>
      <c r="H110" s="36"/>
      <c r="I110" s="36"/>
      <c r="J110" s="41"/>
      <c r="K110" s="41"/>
      <c r="L110" s="41"/>
      <c r="M110" s="41"/>
      <c r="N110" s="36"/>
      <c r="O110" s="36"/>
      <c r="P110" s="36"/>
      <c r="Q110" s="36"/>
      <c r="R110" s="36"/>
    </row>
    <row r="111" spans="1:18" ht="14.4" customHeight="1" x14ac:dyDescent="0.25">
      <c r="A111" s="43"/>
      <c r="B111" s="41"/>
      <c r="C111" s="41"/>
      <c r="D111" s="41"/>
      <c r="E111" s="41"/>
      <c r="F111" s="41"/>
      <c r="G111" s="41"/>
      <c r="H111" s="36"/>
      <c r="I111" s="36"/>
      <c r="J111" s="41"/>
      <c r="K111" s="41"/>
      <c r="L111" s="41"/>
      <c r="M111" s="41"/>
      <c r="N111" s="36"/>
      <c r="O111" s="36"/>
      <c r="P111" s="36"/>
      <c r="Q111" s="36"/>
      <c r="R111" s="36"/>
    </row>
    <row r="112" spans="1:18" ht="0.75" hidden="1" customHeight="1" x14ac:dyDescent="0.25">
      <c r="A112" s="43" t="s">
        <v>548</v>
      </c>
      <c r="B112" s="36"/>
      <c r="C112" s="41"/>
      <c r="D112" s="41"/>
      <c r="E112" s="41"/>
      <c r="F112" s="41"/>
      <c r="G112" s="41"/>
      <c r="H112" s="36"/>
      <c r="I112" s="36"/>
      <c r="J112" s="41"/>
      <c r="K112" s="41"/>
      <c r="L112" s="41"/>
      <c r="M112" s="41"/>
      <c r="N112" s="36"/>
      <c r="O112" s="36"/>
      <c r="P112" s="36"/>
      <c r="Q112" s="36"/>
      <c r="R112" s="36"/>
    </row>
    <row r="113" spans="1:18" hidden="1" x14ac:dyDescent="0.25">
      <c r="A113" s="45"/>
      <c r="B113" s="85"/>
      <c r="C113" s="41"/>
      <c r="D113" s="41"/>
      <c r="E113" s="41"/>
      <c r="F113" s="41"/>
      <c r="G113" s="41"/>
      <c r="H113" s="36"/>
      <c r="I113" s="36"/>
      <c r="J113" s="41"/>
      <c r="K113" s="41"/>
      <c r="L113" s="41"/>
      <c r="M113" s="41"/>
      <c r="N113" s="36"/>
      <c r="O113" s="36"/>
      <c r="P113" s="36"/>
      <c r="Q113" s="36"/>
      <c r="R113" s="36"/>
    </row>
    <row r="114" spans="1:18" hidden="1" x14ac:dyDescent="0.25">
      <c r="A114" s="45"/>
      <c r="B114" s="85"/>
      <c r="C114" s="41"/>
      <c r="D114" s="41"/>
      <c r="E114" s="41"/>
      <c r="F114" s="41"/>
      <c r="G114" s="41"/>
      <c r="H114" s="36"/>
      <c r="I114" s="36"/>
      <c r="J114" s="41"/>
      <c r="K114" s="41"/>
      <c r="L114" s="41"/>
      <c r="M114" s="41"/>
      <c r="N114" s="36"/>
      <c r="O114" s="36"/>
      <c r="P114" s="36"/>
      <c r="Q114" s="36"/>
      <c r="R114" s="36"/>
    </row>
    <row r="115" spans="1:18" x14ac:dyDescent="0.25">
      <c r="A115" s="467" t="s">
        <v>605</v>
      </c>
      <c r="B115" s="85">
        <v>1360</v>
      </c>
      <c r="C115" s="41">
        <f>ROUND('Biomass Data Assumptions'!$B$71/1000*B115,0)</f>
        <v>544</v>
      </c>
      <c r="D115" s="41">
        <f>'Biomass Data Assumptions'!$C$71*C115</f>
        <v>9332320</v>
      </c>
      <c r="E115" s="41">
        <f>('Biomass Data Assumptions'!$D$71*'Energy Content Assumptions'!$C$55*D115)/2000</f>
        <v>233.30799999999999</v>
      </c>
      <c r="F115" s="41">
        <f>'Biomass Data Assumptions'!$E$71*B115*365/2000</f>
        <v>0</v>
      </c>
      <c r="G115" s="41">
        <f>F115+E115</f>
        <v>233.30799999999999</v>
      </c>
      <c r="H115" s="36"/>
      <c r="I115" s="36"/>
      <c r="J115" s="41"/>
      <c r="K115" s="41"/>
      <c r="L115" s="41"/>
      <c r="M115" s="41"/>
      <c r="N115" s="36"/>
      <c r="O115" s="36"/>
      <c r="P115" s="36"/>
      <c r="Q115" s="36"/>
      <c r="R115" s="36"/>
    </row>
    <row r="116" spans="1:18" x14ac:dyDescent="0.25">
      <c r="A116" s="46"/>
      <c r="B116" s="41"/>
      <c r="C116" s="41"/>
      <c r="D116" s="41"/>
      <c r="E116" s="41"/>
      <c r="F116" s="41"/>
      <c r="G116" s="41"/>
      <c r="H116" s="36"/>
      <c r="I116" s="36"/>
      <c r="J116" s="41"/>
      <c r="K116" s="41"/>
      <c r="L116" s="41"/>
      <c r="M116" s="41"/>
      <c r="N116" s="36"/>
      <c r="O116" s="36"/>
      <c r="P116" s="36"/>
      <c r="Q116" s="36"/>
      <c r="R116" s="36"/>
    </row>
    <row r="117" spans="1:18" x14ac:dyDescent="0.25">
      <c r="A117" s="43" t="s">
        <v>551</v>
      </c>
      <c r="B117" s="85">
        <f>292+147+694</f>
        <v>1133</v>
      </c>
      <c r="C117" s="41">
        <f>ROUND('Biomass Data Assumptions'!B72/1000*B117,0)</f>
        <v>6</v>
      </c>
      <c r="D117" s="41">
        <f>'Biomass Data Assumptions'!C72*C117</f>
        <v>109500</v>
      </c>
      <c r="E117" s="41">
        <f>('Biomass Data Assumptions'!D72*'Energy Content Assumptions'!C56*D117)/2000</f>
        <v>10.67625</v>
      </c>
      <c r="F117" s="41">
        <f>'Biomass Data Assumptions'!E72*B117*365/2000</f>
        <v>0</v>
      </c>
      <c r="G117" s="41">
        <f>F117+E117</f>
        <v>10.67625</v>
      </c>
      <c r="H117" s="150" t="s">
        <v>609</v>
      </c>
      <c r="I117" s="36"/>
      <c r="J117" s="41"/>
      <c r="K117" s="41"/>
      <c r="L117" s="41"/>
      <c r="M117" s="41"/>
      <c r="N117" s="36"/>
      <c r="O117" s="36"/>
      <c r="P117" s="36"/>
      <c r="Q117" s="36"/>
      <c r="R117" s="36"/>
    </row>
    <row r="118" spans="1:18" x14ac:dyDescent="0.25">
      <c r="A118" s="43"/>
      <c r="B118" s="41"/>
      <c r="C118" s="41"/>
      <c r="D118" s="41"/>
      <c r="E118" s="41"/>
      <c r="F118" s="41"/>
      <c r="G118" s="41"/>
      <c r="H118" s="36"/>
      <c r="I118" s="36"/>
      <c r="J118" s="41"/>
      <c r="K118" s="41"/>
      <c r="L118" s="41"/>
      <c r="M118" s="41"/>
      <c r="N118" s="36"/>
      <c r="O118" s="36"/>
      <c r="P118" s="36"/>
      <c r="Q118" s="36"/>
      <c r="R118" s="36"/>
    </row>
    <row r="119" spans="1:18" x14ac:dyDescent="0.25">
      <c r="A119" s="43" t="s">
        <v>552</v>
      </c>
      <c r="B119" s="85">
        <v>31</v>
      </c>
      <c r="C119" s="41">
        <f>ROUND('Biomass Data Assumptions'!B73/1000*B119,0)</f>
        <v>1</v>
      </c>
      <c r="D119" s="41">
        <f>'Biomass Data Assumptions'!C73*C119</f>
        <v>13505</v>
      </c>
      <c r="E119" s="41">
        <f>('Biomass Data Assumptions'!D73*'Energy Content Assumptions'!C57*D119)/2000</f>
        <v>1.26609375</v>
      </c>
      <c r="F119" s="41">
        <f>'Biomass Data Assumptions'!E73*B119*365/2000</f>
        <v>0.56574999999999998</v>
      </c>
      <c r="G119" s="41">
        <f>F119+E119</f>
        <v>1.83184375</v>
      </c>
      <c r="H119" s="36"/>
      <c r="I119" s="36"/>
      <c r="J119" s="41"/>
      <c r="K119" s="41"/>
      <c r="L119" s="41"/>
      <c r="M119" s="41"/>
      <c r="N119" s="36"/>
      <c r="O119" s="36"/>
      <c r="P119" s="36"/>
      <c r="Q119" s="36"/>
      <c r="R119" s="36"/>
    </row>
    <row r="120" spans="1:18" x14ac:dyDescent="0.25">
      <c r="A120" s="43"/>
      <c r="B120" s="41"/>
      <c r="C120" s="41"/>
      <c r="D120" s="41"/>
      <c r="E120" s="41"/>
      <c r="F120" s="41"/>
      <c r="G120" s="41"/>
      <c r="H120" s="36"/>
      <c r="I120" s="36"/>
      <c r="J120" s="41"/>
      <c r="K120" s="41"/>
      <c r="L120" s="41"/>
      <c r="M120" s="41"/>
      <c r="N120" s="36"/>
      <c r="O120" s="36"/>
      <c r="P120" s="36"/>
      <c r="Q120" s="36"/>
      <c r="R120" s="36"/>
    </row>
    <row r="121" spans="1:18" x14ac:dyDescent="0.25">
      <c r="A121" s="43" t="s">
        <v>553</v>
      </c>
      <c r="B121" s="86">
        <f t="shared" ref="B121:G121" si="14">B97+B104+B106+B108+B110+B115+B117+B119</f>
        <v>3127</v>
      </c>
      <c r="C121" s="48">
        <f t="shared" si="14"/>
        <v>869</v>
      </c>
      <c r="D121" s="48">
        <f t="shared" si="14"/>
        <v>16385945</v>
      </c>
      <c r="E121" s="48">
        <f t="shared" si="14"/>
        <v>445.33823374999997</v>
      </c>
      <c r="F121" s="48">
        <f t="shared" si="14"/>
        <v>745.5307499999999</v>
      </c>
      <c r="G121" s="48">
        <f t="shared" si="14"/>
        <v>1190.8689837499999</v>
      </c>
      <c r="H121" s="36"/>
      <c r="I121" s="36"/>
      <c r="J121" s="48"/>
      <c r="K121" s="48"/>
      <c r="L121" s="48"/>
      <c r="M121" s="48"/>
      <c r="N121" s="36"/>
      <c r="O121" s="36"/>
      <c r="P121" s="36"/>
      <c r="Q121" s="36"/>
      <c r="R121" s="36"/>
    </row>
    <row r="122" spans="1:18" x14ac:dyDescent="0.25">
      <c r="A122" s="36"/>
      <c r="B122" s="36"/>
      <c r="C122" s="36"/>
      <c r="D122" s="36"/>
      <c r="E122" s="36"/>
      <c r="F122" s="36"/>
      <c r="G122" s="36"/>
      <c r="H122" s="36"/>
      <c r="I122" s="36"/>
      <c r="J122" s="36"/>
      <c r="K122" s="36"/>
      <c r="L122" s="36"/>
      <c r="M122" s="36"/>
      <c r="N122" s="36"/>
      <c r="O122" s="36"/>
      <c r="P122" s="36"/>
      <c r="Q122" s="36"/>
      <c r="R122" s="36"/>
    </row>
    <row r="123" spans="1:18" x14ac:dyDescent="0.25">
      <c r="A123" s="49" t="s">
        <v>1014</v>
      </c>
      <c r="B123" s="49" t="s">
        <v>1043</v>
      </c>
      <c r="C123" s="49" t="s">
        <v>1044</v>
      </c>
      <c r="D123" s="547" t="s">
        <v>1013</v>
      </c>
      <c r="E123" s="36"/>
      <c r="F123" s="36"/>
      <c r="G123" s="36"/>
      <c r="H123" s="36"/>
      <c r="I123" s="36"/>
      <c r="J123" s="36"/>
      <c r="K123" s="36"/>
      <c r="L123" s="36"/>
      <c r="M123" s="36"/>
      <c r="N123" s="36"/>
      <c r="O123" s="36"/>
      <c r="P123" s="36"/>
      <c r="Q123" s="36"/>
      <c r="R123" s="36"/>
    </row>
    <row r="124" spans="1:18" x14ac:dyDescent="0.25">
      <c r="A124" s="50" t="s">
        <v>555</v>
      </c>
      <c r="B124" s="87">
        <v>12670.23</v>
      </c>
      <c r="C124" s="543">
        <f>B124*'Energy Content Assumptions'!C33</f>
        <v>11403.207</v>
      </c>
      <c r="D124" s="36"/>
      <c r="E124" s="36"/>
      <c r="F124" s="36"/>
      <c r="G124" s="36"/>
      <c r="H124" s="36"/>
      <c r="I124" s="36"/>
      <c r="J124" s="36"/>
      <c r="K124" s="36"/>
      <c r="L124" s="36"/>
      <c r="M124" s="36"/>
      <c r="N124" s="36"/>
      <c r="O124" s="36"/>
      <c r="P124" s="36"/>
      <c r="Q124" s="36"/>
      <c r="R124" s="36"/>
    </row>
    <row r="125" spans="1:18" x14ac:dyDescent="0.25">
      <c r="A125" s="50" t="s">
        <v>556</v>
      </c>
      <c r="B125" s="87">
        <v>118.46</v>
      </c>
      <c r="C125" s="543">
        <f>B125*'Energy Content Assumptions'!C34</f>
        <v>106.61399999999999</v>
      </c>
      <c r="D125" s="36"/>
      <c r="E125" s="36"/>
      <c r="F125" s="36"/>
      <c r="G125" s="36"/>
      <c r="H125" s="36"/>
      <c r="I125" s="36"/>
      <c r="J125" s="36"/>
      <c r="K125" s="36"/>
      <c r="L125" s="36"/>
      <c r="M125" s="36"/>
      <c r="N125" s="36"/>
      <c r="O125" s="36"/>
      <c r="P125" s="36"/>
      <c r="Q125" s="36"/>
      <c r="R125" s="36"/>
    </row>
    <row r="126" spans="1:18" x14ac:dyDescent="0.25">
      <c r="A126" s="50" t="s">
        <v>557</v>
      </c>
      <c r="B126" s="87">
        <v>7669.12</v>
      </c>
      <c r="C126" s="543">
        <f>B126*'Energy Content Assumptions'!C35</f>
        <v>6902.2079999999996</v>
      </c>
      <c r="D126" s="36"/>
      <c r="E126" s="36"/>
      <c r="F126" s="36"/>
      <c r="G126" s="36"/>
      <c r="H126" s="36"/>
      <c r="I126" s="36"/>
      <c r="J126" s="36"/>
      <c r="K126" s="36"/>
      <c r="L126" s="36"/>
      <c r="M126" s="36"/>
      <c r="N126" s="36"/>
      <c r="O126" s="36"/>
      <c r="P126" s="36"/>
      <c r="Q126" s="36"/>
      <c r="R126" s="36"/>
    </row>
    <row r="127" spans="1:18" x14ac:dyDescent="0.25">
      <c r="A127" s="50" t="s">
        <v>558</v>
      </c>
      <c r="B127" s="87">
        <v>10.3</v>
      </c>
      <c r="C127" s="543">
        <f>B127*'Energy Content Assumptions'!C36</f>
        <v>9.2700000000000014</v>
      </c>
      <c r="D127" s="36"/>
      <c r="E127" s="36"/>
      <c r="F127" s="36"/>
      <c r="G127" s="36"/>
      <c r="H127" s="36"/>
      <c r="I127" s="36"/>
      <c r="J127" s="36"/>
      <c r="K127" s="36"/>
      <c r="L127" s="36"/>
      <c r="M127" s="36"/>
      <c r="N127" s="36"/>
      <c r="O127" s="36"/>
      <c r="P127" s="36"/>
      <c r="Q127" s="36"/>
      <c r="R127" s="36"/>
    </row>
    <row r="128" spans="1:18" x14ac:dyDescent="0.25">
      <c r="A128" s="50" t="s">
        <v>559</v>
      </c>
      <c r="B128" s="87">
        <v>17342.22</v>
      </c>
      <c r="C128" s="543">
        <f>B128*'Energy Content Assumptions'!C21</f>
        <v>8671.11</v>
      </c>
      <c r="D128" s="36"/>
      <c r="E128" s="36"/>
      <c r="F128" s="36"/>
      <c r="G128" s="36"/>
      <c r="H128" s="36"/>
      <c r="I128" s="36"/>
      <c r="J128" s="36"/>
      <c r="K128" s="36"/>
      <c r="L128" s="36"/>
      <c r="M128" s="36"/>
      <c r="N128" s="36"/>
      <c r="O128" s="36"/>
      <c r="P128" s="36"/>
      <c r="Q128" s="36"/>
      <c r="R128" s="36"/>
    </row>
    <row r="129" spans="1:18" x14ac:dyDescent="0.25">
      <c r="A129" s="50" t="s">
        <v>560</v>
      </c>
      <c r="B129" s="87">
        <v>5150.5200000000004</v>
      </c>
      <c r="C129" s="543">
        <f>B129*'Energy Content Assumptions'!C22</f>
        <v>1716.8400000000001</v>
      </c>
      <c r="D129" s="36"/>
      <c r="E129" s="36"/>
      <c r="F129" s="36"/>
      <c r="G129" s="36"/>
      <c r="H129" s="36"/>
      <c r="I129" s="36"/>
      <c r="J129" s="36"/>
      <c r="K129" s="36"/>
      <c r="L129" s="36"/>
      <c r="M129" s="36"/>
      <c r="N129" s="36"/>
      <c r="O129" s="36"/>
      <c r="P129" s="36"/>
      <c r="Q129" s="36"/>
      <c r="R129" s="36"/>
    </row>
    <row r="130" spans="1:18" x14ac:dyDescent="0.25">
      <c r="A130" s="50" t="s">
        <v>561</v>
      </c>
      <c r="B130" s="87">
        <v>8717.32</v>
      </c>
      <c r="C130" s="543">
        <f>B130*'Energy Content Assumptions'!C23</f>
        <v>2905.7733333333331</v>
      </c>
      <c r="D130" s="36"/>
      <c r="E130" s="36"/>
      <c r="F130" s="36"/>
      <c r="G130" s="36"/>
      <c r="H130" s="36"/>
      <c r="I130" s="36"/>
      <c r="J130" s="36"/>
      <c r="K130" s="36"/>
      <c r="L130" s="36"/>
      <c r="M130" s="36"/>
      <c r="N130" s="36"/>
      <c r="O130" s="36"/>
      <c r="P130" s="36"/>
      <c r="Q130" s="36"/>
      <c r="R130" s="36"/>
    </row>
    <row r="131" spans="1:18" x14ac:dyDescent="0.25">
      <c r="A131" s="50" t="s">
        <v>562</v>
      </c>
      <c r="B131" s="87">
        <v>823.89</v>
      </c>
      <c r="C131" s="543">
        <f>B131*'Energy Content Assumptions'!C24</f>
        <v>411.94499999999999</v>
      </c>
      <c r="D131" s="36"/>
      <c r="E131" s="36"/>
      <c r="F131" s="36"/>
      <c r="G131" s="36"/>
      <c r="H131" s="36"/>
      <c r="I131" s="36"/>
      <c r="J131" s="36"/>
      <c r="K131" s="36"/>
      <c r="L131" s="36"/>
      <c r="M131" s="36"/>
      <c r="N131" s="36"/>
      <c r="O131" s="36"/>
      <c r="P131" s="36"/>
      <c r="Q131" s="36"/>
      <c r="R131" s="36"/>
    </row>
    <row r="132" spans="1:18" x14ac:dyDescent="0.25">
      <c r="A132" s="50" t="s">
        <v>563</v>
      </c>
      <c r="B132" s="87">
        <v>1030.3800000000001</v>
      </c>
      <c r="C132" s="543">
        <f>B132*'Energy Content Assumptions'!C31</f>
        <v>257.59500000000003</v>
      </c>
      <c r="D132" s="36"/>
      <c r="E132" s="36"/>
      <c r="F132" s="36"/>
      <c r="G132" s="36"/>
      <c r="H132" s="36"/>
      <c r="I132" s="36"/>
      <c r="J132" s="36"/>
      <c r="K132" s="36"/>
      <c r="L132" s="36"/>
      <c r="M132" s="36"/>
      <c r="N132" s="36"/>
      <c r="O132" s="36"/>
      <c r="P132" s="36"/>
      <c r="Q132" s="36"/>
      <c r="R132" s="36"/>
    </row>
    <row r="133" spans="1:18" x14ac:dyDescent="0.25">
      <c r="A133" s="50" t="s">
        <v>564</v>
      </c>
      <c r="B133" s="87">
        <v>47427.75</v>
      </c>
      <c r="C133" s="543">
        <f>B133*'Energy Content Assumptions'!C19</f>
        <v>42684.974999999999</v>
      </c>
      <c r="D133" s="36"/>
      <c r="E133" s="36"/>
      <c r="F133" s="36"/>
      <c r="G133" s="36"/>
      <c r="H133" s="36"/>
      <c r="I133" s="36"/>
      <c r="J133" s="36"/>
      <c r="K133" s="36"/>
      <c r="L133" s="36"/>
      <c r="M133" s="36"/>
      <c r="N133" s="36"/>
      <c r="O133" s="36"/>
      <c r="P133" s="36"/>
      <c r="Q133" s="36"/>
      <c r="R133" s="36"/>
    </row>
    <row r="134" spans="1:18" x14ac:dyDescent="0.25">
      <c r="A134" s="50" t="s">
        <v>565</v>
      </c>
      <c r="B134" s="87">
        <v>4825.3500000000004</v>
      </c>
      <c r="C134" s="543">
        <f>B134*'Energy Content Assumptions'!C32</f>
        <v>3860.2800000000007</v>
      </c>
      <c r="D134" s="36"/>
      <c r="E134" s="36"/>
      <c r="F134" s="36"/>
      <c r="G134" s="36"/>
      <c r="H134" s="36"/>
      <c r="I134" s="36"/>
      <c r="J134" s="36"/>
      <c r="K134" s="36"/>
      <c r="L134" s="36"/>
      <c r="M134" s="36"/>
      <c r="N134" s="36"/>
      <c r="O134" s="36"/>
      <c r="P134" s="36"/>
      <c r="Q134" s="36"/>
      <c r="R134" s="36"/>
    </row>
    <row r="135" spans="1:18" x14ac:dyDescent="0.25">
      <c r="A135" s="36"/>
      <c r="B135" s="36"/>
      <c r="C135" s="36"/>
      <c r="D135" s="36"/>
      <c r="E135" s="36"/>
      <c r="F135" s="36"/>
      <c r="G135" s="36"/>
      <c r="H135" s="36"/>
      <c r="I135" s="36"/>
      <c r="J135" s="36"/>
      <c r="K135" s="36"/>
      <c r="L135" s="36"/>
      <c r="M135" s="36"/>
      <c r="N135" s="36"/>
      <c r="O135" s="36"/>
      <c r="P135" s="36"/>
      <c r="Q135" s="36"/>
      <c r="R135" s="36"/>
    </row>
    <row r="136" spans="1:18" x14ac:dyDescent="0.25">
      <c r="A136" s="49" t="s">
        <v>462</v>
      </c>
      <c r="B136" s="49" t="s">
        <v>1039</v>
      </c>
      <c r="C136" s="49" t="s">
        <v>1040</v>
      </c>
      <c r="D136" s="36"/>
      <c r="E136" s="36"/>
      <c r="F136" s="36"/>
      <c r="G136" s="36"/>
      <c r="H136" s="36"/>
      <c r="I136" s="36"/>
      <c r="J136" s="36"/>
      <c r="K136" s="36"/>
      <c r="L136" s="36"/>
      <c r="M136" s="36"/>
      <c r="N136" s="36"/>
      <c r="O136" s="36"/>
      <c r="P136" s="36"/>
      <c r="Q136" s="36"/>
      <c r="R136" s="36"/>
    </row>
    <row r="137" spans="1:18" x14ac:dyDescent="0.25">
      <c r="A137" s="50" t="s">
        <v>211</v>
      </c>
      <c r="B137" s="87">
        <f>'Biomass Data Assumptions'!$M$11</f>
        <v>160142.65</v>
      </c>
      <c r="C137" s="544"/>
      <c r="D137" s="546" t="s">
        <v>1016</v>
      </c>
      <c r="E137" s="36"/>
      <c r="F137" s="36"/>
      <c r="G137" s="36"/>
      <c r="H137" s="36"/>
      <c r="I137" s="36"/>
      <c r="J137" s="36"/>
      <c r="K137" s="36"/>
      <c r="L137" s="36"/>
      <c r="M137" s="36"/>
      <c r="N137" s="36"/>
      <c r="O137" s="36"/>
      <c r="P137" s="36"/>
      <c r="Q137" s="36"/>
      <c r="R137" s="36"/>
    </row>
    <row r="138" spans="1:18" x14ac:dyDescent="0.25">
      <c r="A138" s="50" t="s">
        <v>208</v>
      </c>
      <c r="B138" s="87">
        <f>'Biomass Data Assumptions'!$F$11</f>
        <v>91025.02</v>
      </c>
      <c r="C138" s="543">
        <f>B138*'Energy Content Assumptions'!$C$28</f>
        <v>45512.51</v>
      </c>
      <c r="D138" s="546" t="s">
        <v>1016</v>
      </c>
      <c r="E138" s="36"/>
      <c r="F138" s="36"/>
      <c r="G138" s="36"/>
      <c r="H138" s="36"/>
      <c r="I138" s="36"/>
      <c r="J138" s="36"/>
      <c r="K138" s="36"/>
      <c r="L138" s="36"/>
      <c r="M138" s="36"/>
      <c r="N138" s="36"/>
      <c r="O138" s="36"/>
      <c r="P138" s="36"/>
      <c r="Q138" s="36"/>
      <c r="R138" s="36"/>
    </row>
    <row r="139" spans="1:18" x14ac:dyDescent="0.25">
      <c r="A139" s="50" t="s">
        <v>209</v>
      </c>
      <c r="B139" s="87">
        <f>'Biomass Data Assumptions'!$H$11</f>
        <v>15.7</v>
      </c>
      <c r="C139" s="543"/>
      <c r="D139" s="36" t="s">
        <v>1020</v>
      </c>
      <c r="E139" s="36"/>
      <c r="F139" s="36"/>
      <c r="G139" s="36"/>
      <c r="H139" s="36"/>
      <c r="I139" s="36"/>
      <c r="J139" s="36"/>
      <c r="K139" s="36"/>
      <c r="L139" s="36"/>
      <c r="M139" s="36"/>
      <c r="N139" s="36"/>
      <c r="O139" s="36"/>
      <c r="P139" s="36"/>
      <c r="Q139" s="36"/>
      <c r="R139" s="36"/>
    </row>
    <row r="140" spans="1:18" x14ac:dyDescent="0.25">
      <c r="A140" s="50" t="s">
        <v>210</v>
      </c>
      <c r="B140" s="87">
        <f>'Biomass Data Assumptions'!$I$11</f>
        <v>91009.32</v>
      </c>
      <c r="C140" s="543">
        <f>B140*'Energy Content Assumptions'!$C$28</f>
        <v>45504.66</v>
      </c>
      <c r="D140" s="36" t="s">
        <v>1021</v>
      </c>
      <c r="E140" s="36"/>
      <c r="F140" s="36"/>
      <c r="G140" s="36"/>
      <c r="H140" s="36"/>
      <c r="I140" s="36"/>
      <c r="J140" s="36"/>
      <c r="K140" s="36"/>
      <c r="L140" s="36"/>
      <c r="M140" s="36"/>
      <c r="N140" s="36"/>
      <c r="O140" s="36"/>
      <c r="P140" s="36"/>
      <c r="Q140" s="36"/>
      <c r="R140" s="36"/>
    </row>
    <row r="141" spans="1:18" x14ac:dyDescent="0.25">
      <c r="A141" s="50" t="str">
        <f>'Bioenergy Calculator'!B35</f>
        <v>Food waste, Landfilled</v>
      </c>
      <c r="B141" s="87">
        <f>IF('Bioenergy Calculator'!H75="No",'Biomass Data Assumptions'!J11,'Biomass Data Assumptions'!F11*'Biomass Data Assumptions'!I41)</f>
        <v>14397.674424000003</v>
      </c>
      <c r="C141" s="543">
        <f>B141*'Energy Content Assumptions'!C26</f>
        <v>4319.3023272000009</v>
      </c>
      <c r="D141" s="150" t="s">
        <v>1063</v>
      </c>
      <c r="E141" s="36"/>
      <c r="F141" s="36"/>
      <c r="G141" s="36"/>
      <c r="H141" s="36"/>
      <c r="I141" s="36"/>
      <c r="J141" s="36"/>
      <c r="K141" s="36"/>
      <c r="L141" s="36"/>
      <c r="M141" s="36"/>
      <c r="N141" s="36"/>
      <c r="O141" s="36"/>
      <c r="P141" s="36"/>
      <c r="Q141" s="36"/>
      <c r="R141" s="36"/>
    </row>
    <row r="142" spans="1:18" x14ac:dyDescent="0.25">
      <c r="A142" s="50" t="str">
        <f>'Bioenergy Calculator'!B36</f>
        <v>Waste paper, Landfilled</v>
      </c>
      <c r="B142" s="87">
        <f>IF('Bioenergy Calculator'!H75="No",'Biomass Data Assumptions'!K11,'Biomass Data Assumptions'!F11*'Biomass Data Assumptions'!I42)</f>
        <v>17701.312740000001</v>
      </c>
      <c r="C142" s="543">
        <f>B142*'Energy Content Assumptions'!C27</f>
        <v>15931.181466000002</v>
      </c>
      <c r="D142" s="150" t="s">
        <v>1063</v>
      </c>
      <c r="E142" s="36"/>
      <c r="F142" s="36"/>
      <c r="G142" s="36"/>
      <c r="H142" s="36"/>
      <c r="I142" s="36"/>
      <c r="J142" s="36"/>
      <c r="K142" s="36"/>
      <c r="L142" s="36"/>
      <c r="M142" s="36"/>
      <c r="N142" s="36"/>
      <c r="O142" s="36"/>
      <c r="P142" s="36"/>
      <c r="Q142" s="36"/>
      <c r="R142" s="36"/>
    </row>
    <row r="143" spans="1:18" x14ac:dyDescent="0.25">
      <c r="A143" s="50" t="str">
        <f>'Bioenergy Calculator'!B37</f>
        <v>Other Biomass, Landfilled</v>
      </c>
      <c r="B143" s="87">
        <f>IF('Bioenergy Calculator'!H75="No",'Biomass Data Assumptions'!L11,'Biomass Data Assumptions'!F11*'Biomass Data Assumptions'!I43)</f>
        <v>24508.809875999999</v>
      </c>
      <c r="C143" s="543">
        <f>B143*'Energy Content Assumptions'!$C$28</f>
        <v>12254.404938</v>
      </c>
      <c r="D143" s="547" t="s">
        <v>1064</v>
      </c>
      <c r="E143" s="36"/>
      <c r="F143" s="36"/>
      <c r="G143" s="36"/>
      <c r="H143" s="36"/>
      <c r="I143" s="36"/>
      <c r="J143" s="36"/>
      <c r="K143" s="36"/>
      <c r="L143" s="36"/>
      <c r="M143" s="36"/>
      <c r="N143" s="36"/>
      <c r="O143" s="36"/>
      <c r="P143" s="36"/>
      <c r="Q143" s="36"/>
      <c r="R143" s="36"/>
    </row>
    <row r="144" spans="1:18" x14ac:dyDescent="0.25">
      <c r="A144" s="50" t="s">
        <v>463</v>
      </c>
      <c r="B144" s="87">
        <v>68427.97</v>
      </c>
      <c r="C144" s="543">
        <f>B144*'Energy Content Assumptions'!C29</f>
        <v>54742.376000000004</v>
      </c>
      <c r="D144" s="151" t="s">
        <v>206</v>
      </c>
      <c r="E144" s="36"/>
      <c r="F144" s="36"/>
      <c r="G144" s="36"/>
      <c r="H144" s="36"/>
      <c r="I144" s="36"/>
      <c r="J144" s="36"/>
      <c r="K144" s="36"/>
      <c r="L144" s="36"/>
      <c r="M144" s="36"/>
      <c r="N144" s="36"/>
      <c r="O144" s="36"/>
      <c r="P144" s="36"/>
      <c r="Q144" s="36"/>
      <c r="R144" s="36"/>
    </row>
    <row r="145" spans="1:18" x14ac:dyDescent="0.25">
      <c r="A145" s="709" t="s">
        <v>179</v>
      </c>
      <c r="B145" s="710">
        <v>0.4</v>
      </c>
      <c r="C145" s="543">
        <f>C144*B145</f>
        <v>21896.950400000002</v>
      </c>
      <c r="D145" s="36" t="s">
        <v>1202</v>
      </c>
      <c r="E145" s="36"/>
      <c r="F145" s="36"/>
      <c r="G145" s="36"/>
      <c r="H145" s="36"/>
      <c r="I145" s="36"/>
      <c r="J145" s="36"/>
      <c r="K145" s="36"/>
      <c r="L145" s="36"/>
      <c r="M145" s="36"/>
      <c r="N145" s="36"/>
      <c r="O145" s="36"/>
      <c r="P145" s="36"/>
      <c r="Q145" s="36"/>
      <c r="R145" s="36"/>
    </row>
    <row r="146" spans="1:18" x14ac:dyDescent="0.25">
      <c r="A146" s="712"/>
      <c r="B146" s="713"/>
      <c r="C146" s="714"/>
      <c r="D146" s="150" t="s">
        <v>1553</v>
      </c>
      <c r="E146" s="36"/>
      <c r="F146" s="36"/>
      <c r="G146" s="36"/>
      <c r="H146" s="36"/>
      <c r="I146" s="36"/>
      <c r="J146" s="36"/>
      <c r="K146" s="36"/>
      <c r="L146" s="36"/>
      <c r="M146" s="36"/>
      <c r="N146" s="36"/>
      <c r="O146" s="36"/>
      <c r="P146" s="36"/>
      <c r="Q146" s="36"/>
      <c r="R146" s="36"/>
    </row>
    <row r="147" spans="1:18" x14ac:dyDescent="0.25">
      <c r="A147" s="1238" t="s">
        <v>1568</v>
      </c>
      <c r="B147" s="49" t="s">
        <v>1039</v>
      </c>
      <c r="C147" s="49" t="s">
        <v>1571</v>
      </c>
      <c r="D147" s="150"/>
      <c r="E147" s="36"/>
      <c r="F147" s="36"/>
      <c r="G147" s="36"/>
      <c r="H147" s="36"/>
      <c r="I147" s="36"/>
      <c r="J147" s="36"/>
      <c r="K147" s="36"/>
      <c r="L147" s="36"/>
      <c r="M147" s="36"/>
      <c r="N147" s="36"/>
      <c r="O147" s="36"/>
      <c r="P147" s="36"/>
      <c r="Q147" s="36"/>
      <c r="R147" s="36"/>
    </row>
    <row r="148" spans="1:18" x14ac:dyDescent="0.25">
      <c r="A148" s="1236" t="s">
        <v>508</v>
      </c>
      <c r="B148" s="549">
        <f>'Biomass Data Assumptions'!R11/2000</f>
        <v>427.96600000000007</v>
      </c>
      <c r="C148" s="1239">
        <f>B148*'Energy Content Assumptions'!C39</f>
        <v>363.77110000000005</v>
      </c>
      <c r="D148" s="150" t="s">
        <v>1569</v>
      </c>
      <c r="E148" s="36"/>
      <c r="F148" s="36"/>
      <c r="G148" s="36"/>
      <c r="H148" s="36"/>
      <c r="I148" s="36"/>
      <c r="J148" s="36"/>
      <c r="K148" s="36"/>
      <c r="L148" s="36"/>
      <c r="M148" s="36"/>
      <c r="N148" s="36"/>
      <c r="O148" s="36"/>
      <c r="P148" s="36"/>
      <c r="Q148" s="36"/>
      <c r="R148" s="36"/>
    </row>
    <row r="149" spans="1:18" x14ac:dyDescent="0.25">
      <c r="A149" s="1236" t="s">
        <v>509</v>
      </c>
      <c r="B149" s="549">
        <f>'Biomass Data Assumptions'!S11/2000</f>
        <v>650.21652499999993</v>
      </c>
      <c r="C149" s="1239">
        <f>B149*'Energy Content Assumptions'!C40</f>
        <v>32.510826250000001</v>
      </c>
      <c r="D149" s="150" t="s">
        <v>1570</v>
      </c>
      <c r="E149" s="36"/>
      <c r="F149" s="36"/>
      <c r="G149" s="36"/>
      <c r="H149" s="36"/>
      <c r="I149" s="36"/>
      <c r="J149" s="36"/>
      <c r="K149" s="36"/>
      <c r="L149" s="36"/>
      <c r="M149" s="36"/>
      <c r="N149" s="36"/>
      <c r="O149" s="36"/>
      <c r="P149" s="36"/>
      <c r="Q149" s="36"/>
      <c r="R149" s="36"/>
    </row>
    <row r="150" spans="1:18" x14ac:dyDescent="0.25">
      <c r="A150" s="36"/>
      <c r="B150" s="36"/>
      <c r="C150" s="36"/>
      <c r="D150" s="36"/>
      <c r="E150" s="36"/>
      <c r="F150" s="36"/>
      <c r="G150" s="36"/>
      <c r="H150" s="36"/>
      <c r="I150" s="36"/>
      <c r="J150" s="36"/>
      <c r="K150" s="36"/>
      <c r="L150" s="36"/>
      <c r="M150" s="36"/>
      <c r="N150" s="36"/>
      <c r="O150" s="36"/>
      <c r="P150" s="36"/>
      <c r="Q150" s="36"/>
      <c r="R150" s="36"/>
    </row>
    <row r="151" spans="1:18" x14ac:dyDescent="0.25">
      <c r="A151" s="36"/>
      <c r="B151" s="36"/>
      <c r="C151" s="36"/>
      <c r="D151" s="36"/>
      <c r="E151" s="36"/>
      <c r="F151" s="36"/>
      <c r="G151" s="36"/>
      <c r="H151" s="36"/>
      <c r="I151" s="36"/>
      <c r="J151" s="36"/>
      <c r="K151" s="36"/>
      <c r="L151" s="36"/>
      <c r="M151" s="36"/>
      <c r="N151" s="36"/>
      <c r="O151" s="36"/>
      <c r="P151" s="36"/>
      <c r="Q151" s="36"/>
      <c r="R151" s="36"/>
    </row>
    <row r="152" spans="1:18" x14ac:dyDescent="0.25">
      <c r="A152" s="36"/>
      <c r="B152" s="36"/>
      <c r="C152" s="36"/>
      <c r="D152" s="36"/>
      <c r="E152" s="36"/>
      <c r="F152" s="36"/>
      <c r="G152" s="36"/>
      <c r="H152" s="36"/>
      <c r="I152" s="36"/>
      <c r="J152" s="36"/>
      <c r="K152" s="36"/>
      <c r="L152" s="36"/>
      <c r="M152" s="36"/>
      <c r="N152" s="36"/>
      <c r="O152" s="36"/>
      <c r="P152" s="36"/>
      <c r="Q152" s="36"/>
      <c r="R152" s="36"/>
    </row>
    <row r="153" spans="1:18" x14ac:dyDescent="0.25">
      <c r="A153" s="36"/>
      <c r="B153" s="36"/>
      <c r="C153" s="36"/>
      <c r="D153" s="36"/>
      <c r="E153" s="36"/>
      <c r="F153" s="36"/>
      <c r="G153" s="36"/>
      <c r="H153" s="36"/>
      <c r="I153" s="36"/>
      <c r="J153" s="36"/>
      <c r="K153" s="36"/>
      <c r="L153" s="36"/>
      <c r="M153" s="36"/>
      <c r="N153" s="36"/>
      <c r="O153" s="36"/>
      <c r="P153" s="36"/>
      <c r="Q153" s="36"/>
      <c r="R153" s="36"/>
    </row>
    <row r="154" spans="1:18" x14ac:dyDescent="0.25">
      <c r="A154" s="36"/>
      <c r="B154" s="36"/>
      <c r="C154" s="36"/>
      <c r="D154" s="36"/>
      <c r="E154" s="36"/>
      <c r="F154" s="36"/>
      <c r="G154" s="36"/>
      <c r="H154" s="36"/>
      <c r="I154" s="36"/>
      <c r="J154" s="36"/>
      <c r="K154" s="36"/>
      <c r="L154" s="36"/>
      <c r="M154" s="36"/>
      <c r="N154" s="36"/>
      <c r="O154" s="36"/>
      <c r="P154" s="36"/>
      <c r="Q154" s="36"/>
      <c r="R154" s="36"/>
    </row>
    <row r="155" spans="1:18" x14ac:dyDescent="0.25">
      <c r="A155" s="36"/>
      <c r="B155" s="36"/>
      <c r="C155" s="36"/>
      <c r="D155" s="36"/>
      <c r="E155" s="36"/>
      <c r="F155" s="36"/>
      <c r="G155" s="36"/>
      <c r="H155" s="36"/>
      <c r="I155" s="36"/>
      <c r="J155" s="36"/>
      <c r="K155" s="36"/>
      <c r="L155" s="36"/>
      <c r="M155" s="36"/>
      <c r="N155" s="36"/>
      <c r="O155" s="36"/>
      <c r="P155" s="36"/>
      <c r="Q155" s="36"/>
      <c r="R155" s="36"/>
    </row>
    <row r="156" spans="1:18" x14ac:dyDescent="0.25">
      <c r="A156" s="36"/>
      <c r="B156" s="36"/>
      <c r="C156" s="36"/>
      <c r="D156" s="36"/>
      <c r="E156" s="36"/>
      <c r="F156" s="36"/>
      <c r="G156" s="36"/>
      <c r="H156" s="36"/>
      <c r="I156" s="36"/>
      <c r="J156" s="36"/>
      <c r="K156" s="36"/>
      <c r="L156" s="36"/>
      <c r="M156" s="36"/>
      <c r="N156" s="36"/>
      <c r="O156" s="36"/>
      <c r="P156" s="36"/>
      <c r="Q156" s="36"/>
      <c r="R156" s="36"/>
    </row>
    <row r="157" spans="1:18" x14ac:dyDescent="0.25">
      <c r="A157" s="36"/>
      <c r="B157" s="36"/>
      <c r="C157" s="36"/>
      <c r="D157" s="36"/>
      <c r="E157" s="36"/>
      <c r="F157" s="36"/>
      <c r="G157" s="36"/>
      <c r="H157" s="36"/>
      <c r="I157" s="36"/>
      <c r="J157" s="36"/>
      <c r="K157" s="36"/>
      <c r="L157" s="36"/>
      <c r="M157" s="36"/>
      <c r="N157" s="36"/>
      <c r="O157" s="36"/>
      <c r="P157" s="36"/>
      <c r="Q157" s="36"/>
      <c r="R157" s="36"/>
    </row>
    <row r="158" spans="1:18" x14ac:dyDescent="0.25">
      <c r="A158" s="36"/>
      <c r="B158" s="36"/>
      <c r="C158" s="36"/>
      <c r="D158" s="36"/>
      <c r="E158" s="36"/>
      <c r="F158" s="36"/>
      <c r="G158" s="36"/>
      <c r="H158" s="36"/>
      <c r="I158" s="36"/>
      <c r="J158" s="36"/>
      <c r="K158" s="36"/>
      <c r="L158" s="36"/>
      <c r="M158" s="36"/>
      <c r="N158" s="36"/>
      <c r="O158" s="36"/>
      <c r="P158" s="36"/>
      <c r="Q158" s="36"/>
      <c r="R158" s="36"/>
    </row>
    <row r="159" spans="1:18" x14ac:dyDescent="0.25">
      <c r="A159" s="36"/>
      <c r="B159" s="36"/>
      <c r="C159" s="36"/>
      <c r="D159" s="36"/>
      <c r="E159" s="36"/>
      <c r="F159" s="36"/>
      <c r="G159" s="36"/>
      <c r="H159" s="36"/>
      <c r="I159" s="36"/>
      <c r="J159" s="36"/>
      <c r="K159" s="36"/>
      <c r="L159" s="36"/>
      <c r="M159" s="36"/>
      <c r="N159" s="36"/>
      <c r="O159" s="36"/>
      <c r="P159" s="36"/>
      <c r="Q159" s="36"/>
      <c r="R159" s="36"/>
    </row>
    <row r="160" spans="1:18" x14ac:dyDescent="0.25">
      <c r="A160" s="36"/>
      <c r="B160" s="36"/>
      <c r="C160" s="36"/>
      <c r="D160" s="36"/>
      <c r="E160" s="36"/>
      <c r="F160" s="36"/>
      <c r="G160" s="36"/>
      <c r="H160" s="36"/>
      <c r="I160" s="36"/>
      <c r="J160" s="36"/>
      <c r="K160" s="36"/>
      <c r="L160" s="36"/>
      <c r="M160" s="36"/>
      <c r="N160" s="36"/>
      <c r="O160" s="36"/>
      <c r="P160" s="36"/>
      <c r="Q160" s="36"/>
      <c r="R160" s="36"/>
    </row>
    <row r="161" spans="1:18" x14ac:dyDescent="0.25">
      <c r="A161" s="36"/>
      <c r="B161" s="36"/>
      <c r="C161" s="36"/>
      <c r="D161" s="36"/>
      <c r="E161" s="36"/>
      <c r="F161" s="36"/>
      <c r="G161" s="36"/>
      <c r="H161" s="36"/>
      <c r="I161" s="36"/>
      <c r="J161" s="36"/>
      <c r="K161" s="36"/>
      <c r="L161" s="36"/>
      <c r="M161" s="36"/>
      <c r="N161" s="36"/>
      <c r="O161" s="36"/>
      <c r="P161" s="36"/>
      <c r="Q161" s="36"/>
      <c r="R161" s="36"/>
    </row>
    <row r="162" spans="1:18" x14ac:dyDescent="0.25">
      <c r="A162" s="36"/>
      <c r="B162" s="36"/>
      <c r="C162" s="36"/>
      <c r="D162" s="36"/>
      <c r="E162" s="36"/>
      <c r="F162" s="36"/>
      <c r="G162" s="36"/>
      <c r="H162" s="36"/>
      <c r="I162" s="36"/>
      <c r="J162" s="36"/>
      <c r="K162" s="36"/>
      <c r="L162" s="36"/>
      <c r="M162" s="36"/>
      <c r="N162" s="36"/>
      <c r="O162" s="36"/>
      <c r="P162" s="36"/>
      <c r="Q162" s="36"/>
      <c r="R162" s="36"/>
    </row>
    <row r="163" spans="1:18" x14ac:dyDescent="0.25">
      <c r="A163" s="36"/>
      <c r="B163" s="36"/>
      <c r="C163" s="36"/>
      <c r="D163" s="36"/>
      <c r="E163" s="36"/>
      <c r="F163" s="36"/>
      <c r="G163" s="36"/>
      <c r="H163" s="36"/>
      <c r="I163" s="36"/>
      <c r="J163" s="36"/>
      <c r="K163" s="36"/>
      <c r="L163" s="36"/>
      <c r="M163" s="36"/>
      <c r="N163" s="36"/>
      <c r="O163" s="36"/>
      <c r="P163" s="36"/>
      <c r="Q163" s="36"/>
      <c r="R163" s="36"/>
    </row>
    <row r="164" spans="1:18" x14ac:dyDescent="0.25">
      <c r="A164" s="36"/>
      <c r="B164" s="36"/>
      <c r="C164" s="36"/>
      <c r="D164" s="36"/>
      <c r="E164" s="36"/>
      <c r="F164" s="36"/>
      <c r="G164" s="36"/>
      <c r="H164" s="36"/>
      <c r="I164" s="36"/>
      <c r="J164" s="36"/>
      <c r="K164" s="36"/>
      <c r="L164" s="36"/>
      <c r="M164" s="36"/>
      <c r="N164" s="36"/>
      <c r="O164" s="36"/>
      <c r="P164" s="36"/>
      <c r="Q164" s="36"/>
      <c r="R164" s="36"/>
    </row>
    <row r="165" spans="1:18" x14ac:dyDescent="0.25">
      <c r="A165" s="36"/>
      <c r="B165" s="36"/>
      <c r="C165" s="36"/>
      <c r="D165" s="36"/>
      <c r="E165" s="36"/>
      <c r="F165" s="36"/>
      <c r="G165" s="36"/>
      <c r="H165" s="36"/>
      <c r="I165" s="36"/>
      <c r="J165" s="36"/>
      <c r="K165" s="36"/>
      <c r="L165" s="36"/>
      <c r="M165" s="36"/>
      <c r="N165" s="36"/>
      <c r="O165" s="36"/>
      <c r="P165" s="36"/>
      <c r="Q165" s="36"/>
      <c r="R165" s="36"/>
    </row>
    <row r="166" spans="1:18" x14ac:dyDescent="0.25">
      <c r="A166" s="36"/>
      <c r="B166" s="36"/>
      <c r="C166" s="36"/>
      <c r="D166" s="36"/>
      <c r="E166" s="36"/>
      <c r="F166" s="36"/>
      <c r="G166" s="36"/>
      <c r="H166" s="36"/>
      <c r="I166" s="36"/>
      <c r="J166" s="36"/>
      <c r="K166" s="36"/>
      <c r="L166" s="36"/>
      <c r="M166" s="36"/>
      <c r="N166" s="36"/>
      <c r="O166" s="36"/>
      <c r="P166" s="36"/>
      <c r="Q166" s="36"/>
      <c r="R166" s="36"/>
    </row>
    <row r="167" spans="1:18" x14ac:dyDescent="0.25">
      <c r="A167" s="36"/>
      <c r="B167" s="36"/>
      <c r="C167" s="36"/>
      <c r="D167" s="36"/>
      <c r="E167" s="36"/>
      <c r="F167" s="36"/>
      <c r="G167" s="36"/>
      <c r="H167" s="36"/>
      <c r="I167" s="36"/>
      <c r="J167" s="36"/>
      <c r="K167" s="36"/>
      <c r="L167" s="36"/>
      <c r="M167" s="36"/>
      <c r="N167" s="36"/>
      <c r="O167" s="36"/>
      <c r="P167" s="36"/>
      <c r="Q167" s="36"/>
      <c r="R167" s="36"/>
    </row>
    <row r="168" spans="1:18" x14ac:dyDescent="0.25">
      <c r="A168" s="36"/>
      <c r="B168" s="36"/>
      <c r="C168" s="36"/>
      <c r="D168" s="36"/>
      <c r="E168" s="36"/>
      <c r="F168" s="36"/>
      <c r="G168" s="36"/>
      <c r="H168" s="36"/>
      <c r="I168" s="36"/>
      <c r="J168" s="36"/>
      <c r="K168" s="36"/>
      <c r="L168" s="36"/>
      <c r="M168" s="36"/>
      <c r="N168" s="36"/>
      <c r="O168" s="36"/>
      <c r="P168" s="36"/>
      <c r="Q168" s="36"/>
      <c r="R168" s="36"/>
    </row>
    <row r="169" spans="1:18" x14ac:dyDescent="0.25">
      <c r="A169" s="36"/>
      <c r="B169" s="36"/>
      <c r="C169" s="36"/>
      <c r="D169" s="36"/>
      <c r="E169" s="36"/>
      <c r="F169" s="36"/>
      <c r="G169" s="36"/>
      <c r="H169" s="36"/>
      <c r="I169" s="36"/>
      <c r="J169" s="36"/>
      <c r="K169" s="36"/>
      <c r="L169" s="36"/>
      <c r="M169" s="36"/>
      <c r="N169" s="36"/>
      <c r="O169" s="36"/>
      <c r="P169" s="36"/>
      <c r="Q169" s="36"/>
      <c r="R169" s="36"/>
    </row>
    <row r="170" spans="1:18" x14ac:dyDescent="0.25">
      <c r="A170" s="36"/>
      <c r="B170" s="36"/>
      <c r="C170" s="36"/>
      <c r="D170" s="36"/>
      <c r="E170" s="36"/>
      <c r="F170" s="36"/>
      <c r="G170" s="36"/>
      <c r="H170" s="36"/>
      <c r="I170" s="36"/>
      <c r="J170" s="36"/>
      <c r="K170" s="36"/>
      <c r="L170" s="36"/>
      <c r="M170" s="36"/>
      <c r="N170" s="36"/>
      <c r="O170" s="36"/>
      <c r="P170" s="36"/>
      <c r="Q170" s="36"/>
      <c r="R170" s="36"/>
    </row>
    <row r="171" spans="1:18" x14ac:dyDescent="0.25">
      <c r="P171" s="36"/>
      <c r="Q171" s="36"/>
      <c r="R171" s="36"/>
    </row>
    <row r="172" spans="1:18" x14ac:dyDescent="0.25">
      <c r="P172" s="36"/>
      <c r="Q172" s="36"/>
      <c r="R172" s="36"/>
    </row>
    <row r="173" spans="1:18" x14ac:dyDescent="0.25">
      <c r="P173" s="36"/>
      <c r="Q173" s="36"/>
      <c r="R173" s="36"/>
    </row>
    <row r="174" spans="1:18" x14ac:dyDescent="0.25">
      <c r="P174" s="36"/>
      <c r="Q174" s="36"/>
      <c r="R174" s="36"/>
    </row>
    <row r="175" spans="1:18" x14ac:dyDescent="0.25">
      <c r="P175" s="36"/>
      <c r="Q175" s="36"/>
      <c r="R175" s="36"/>
    </row>
    <row r="176" spans="1:18" x14ac:dyDescent="0.25">
      <c r="P176" s="36"/>
      <c r="Q176" s="36"/>
      <c r="R176" s="36"/>
    </row>
    <row r="177" spans="16:18" x14ac:dyDescent="0.25">
      <c r="P177" s="36"/>
      <c r="Q177" s="36"/>
      <c r="R177" s="36"/>
    </row>
    <row r="178" spans="16:18" x14ac:dyDescent="0.25">
      <c r="P178" s="36"/>
      <c r="Q178" s="36"/>
      <c r="R178" s="36"/>
    </row>
    <row r="179" spans="16:18" x14ac:dyDescent="0.25">
      <c r="P179" s="36"/>
      <c r="Q179" s="36"/>
      <c r="R179" s="36"/>
    </row>
    <row r="180" spans="16:18" x14ac:dyDescent="0.25">
      <c r="P180" s="36"/>
      <c r="Q180" s="36"/>
      <c r="R180" s="36"/>
    </row>
    <row r="181" spans="16:18" x14ac:dyDescent="0.25">
      <c r="P181" s="36"/>
      <c r="Q181" s="36"/>
      <c r="R181" s="36"/>
    </row>
    <row r="182" spans="16:18" x14ac:dyDescent="0.25">
      <c r="P182" s="36"/>
      <c r="Q182" s="36"/>
      <c r="R182" s="36"/>
    </row>
    <row r="183" spans="16:18" x14ac:dyDescent="0.25">
      <c r="P183" s="36"/>
      <c r="Q183" s="36"/>
      <c r="R183" s="36"/>
    </row>
    <row r="184" spans="16:18" x14ac:dyDescent="0.25">
      <c r="P184" s="36"/>
      <c r="Q184" s="36"/>
      <c r="R184" s="36"/>
    </row>
    <row r="185" spans="16:18" x14ac:dyDescent="0.25">
      <c r="P185" s="36"/>
      <c r="Q185" s="36"/>
      <c r="R185" s="36"/>
    </row>
    <row r="186" spans="16:18" x14ac:dyDescent="0.25">
      <c r="P186" s="36"/>
      <c r="Q186" s="36"/>
      <c r="R186" s="36"/>
    </row>
    <row r="187" spans="16:18" x14ac:dyDescent="0.25">
      <c r="P187" s="36"/>
      <c r="Q187" s="36"/>
      <c r="R187" s="36"/>
    </row>
    <row r="188" spans="16:18" x14ac:dyDescent="0.25">
      <c r="P188" s="36"/>
      <c r="Q188" s="36"/>
      <c r="R188" s="36"/>
    </row>
    <row r="189" spans="16:18" x14ac:dyDescent="0.25">
      <c r="P189" s="36"/>
      <c r="Q189" s="36"/>
      <c r="R189" s="36"/>
    </row>
    <row r="190" spans="16:18" x14ac:dyDescent="0.25">
      <c r="P190" s="36"/>
      <c r="Q190" s="36"/>
      <c r="R190" s="36"/>
    </row>
    <row r="191" spans="16:18" x14ac:dyDescent="0.25">
      <c r="P191" s="36"/>
      <c r="Q191" s="36"/>
      <c r="R191" s="36"/>
    </row>
    <row r="192" spans="16:18" x14ac:dyDescent="0.25">
      <c r="P192" s="36"/>
      <c r="Q192" s="36"/>
      <c r="R192" s="36"/>
    </row>
    <row r="193" spans="16:18" x14ac:dyDescent="0.25">
      <c r="P193" s="36"/>
      <c r="Q193" s="36"/>
      <c r="R193" s="36"/>
    </row>
    <row r="194" spans="16:18" x14ac:dyDescent="0.25">
      <c r="P194" s="36"/>
      <c r="Q194" s="36"/>
      <c r="R194" s="36"/>
    </row>
    <row r="195" spans="16:18" x14ac:dyDescent="0.25">
      <c r="P195" s="36"/>
      <c r="Q195" s="36"/>
      <c r="R195" s="36"/>
    </row>
    <row r="196" spans="16:18" x14ac:dyDescent="0.25">
      <c r="P196" s="36"/>
      <c r="Q196" s="36"/>
      <c r="R196" s="36"/>
    </row>
    <row r="197" spans="16:18" x14ac:dyDescent="0.25">
      <c r="P197" s="36"/>
      <c r="Q197" s="36"/>
      <c r="R197" s="36"/>
    </row>
    <row r="198" spans="16:18" x14ac:dyDescent="0.25">
      <c r="P198" s="36"/>
      <c r="Q198" s="36"/>
      <c r="R198" s="36"/>
    </row>
    <row r="199" spans="16:18" x14ac:dyDescent="0.25">
      <c r="P199" s="36"/>
      <c r="Q199" s="36"/>
      <c r="R199" s="36"/>
    </row>
  </sheetData>
  <mergeCells count="15">
    <mergeCell ref="A3:A4"/>
    <mergeCell ref="B3:B4"/>
    <mergeCell ref="C3:C4"/>
    <mergeCell ref="A51:A67"/>
    <mergeCell ref="A5:A11"/>
    <mergeCell ref="A13:A29"/>
    <mergeCell ref="A31:A43"/>
    <mergeCell ref="A45:A49"/>
    <mergeCell ref="I1:L1"/>
    <mergeCell ref="M1:P1"/>
    <mergeCell ref="Q3:Q4"/>
    <mergeCell ref="D3:D4"/>
    <mergeCell ref="I3:L3"/>
    <mergeCell ref="M3:P3"/>
    <mergeCell ref="E3:H3"/>
  </mergeCells>
  <phoneticPr fontId="0" type="noConversion"/>
  <pageMargins left="0.75" right="0.75" top="1" bottom="1" header="0.5" footer="0.5"/>
  <pageSetup paperSize="5" scale="50" orientation="landscape" r:id="rId1"/>
  <headerFooter alignWithMargins="0">
    <oddFooter>&amp;L&amp;"Arial,Italic" 7/02/07&amp;C&amp;"Arial,Italic"&amp;A&amp;R&amp;"Arial,Italic"NJAES Report 2007-1 ©2007
New Jersey Agricultural Experiment Station</oddFooter>
  </headerFooter>
  <ignoredErrors>
    <ignoredError sqref="D67" formula="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S199"/>
  <sheetViews>
    <sheetView topLeftCell="A100" zoomScale="70" zoomScaleNormal="75" workbookViewId="0">
      <selection activeCell="C147" sqref="C147"/>
    </sheetView>
  </sheetViews>
  <sheetFormatPr defaultColWidth="9.109375" defaultRowHeight="13.2" x14ac:dyDescent="0.25"/>
  <cols>
    <col min="1" max="1" width="28.6640625" style="5" customWidth="1"/>
    <col min="2" max="2" width="42.6640625" style="5" customWidth="1"/>
    <col min="3" max="3" width="23.6640625" style="5" customWidth="1"/>
    <col min="4" max="4" width="18.6640625" style="5" customWidth="1"/>
    <col min="5" max="16" width="14.6640625" style="5" customWidth="1"/>
    <col min="17" max="17" width="45.6640625" style="5" customWidth="1"/>
    <col min="18" max="18" width="34.44140625" style="5" customWidth="1"/>
    <col min="19" max="19" width="19.33203125" style="5" customWidth="1"/>
    <col min="20" max="20" width="14" style="5" customWidth="1"/>
    <col min="21" max="16384" width="9.109375" style="5"/>
  </cols>
  <sheetData>
    <row r="1" spans="1:17" ht="15.6" x14ac:dyDescent="0.3">
      <c r="A1" s="407" t="s">
        <v>446</v>
      </c>
      <c r="E1" s="412" t="s">
        <v>433</v>
      </c>
      <c r="I1" s="1195" t="str">
        <f>'Bioenergy Calculator'!B3</f>
        <v>None</v>
      </c>
      <c r="J1" s="1195"/>
      <c r="K1" s="1195"/>
      <c r="L1" s="1196"/>
      <c r="M1" s="1195" t="str">
        <f>'Bioenergy Calculator'!B4</f>
        <v>None</v>
      </c>
      <c r="N1" s="1195"/>
      <c r="O1" s="1195"/>
      <c r="P1" s="1196"/>
    </row>
    <row r="3" spans="1:17" s="6" customFormat="1" ht="24.75" customHeight="1" x14ac:dyDescent="0.25">
      <c r="A3" s="1062" t="s">
        <v>567</v>
      </c>
      <c r="B3" s="1062" t="s">
        <v>506</v>
      </c>
      <c r="C3" s="1062" t="s">
        <v>1035</v>
      </c>
      <c r="D3" s="1062" t="s">
        <v>1051</v>
      </c>
      <c r="E3" s="1083" t="s">
        <v>523</v>
      </c>
      <c r="F3" s="1209"/>
      <c r="G3" s="1209"/>
      <c r="H3" s="1198"/>
      <c r="I3" s="1072" t="s">
        <v>275</v>
      </c>
      <c r="J3" s="1073"/>
      <c r="K3" s="1074"/>
      <c r="L3" s="1075"/>
      <c r="M3" s="1083" t="s">
        <v>274</v>
      </c>
      <c r="N3" s="1084"/>
      <c r="O3" s="1197"/>
      <c r="P3" s="1198"/>
      <c r="Q3" s="1060" t="s">
        <v>570</v>
      </c>
    </row>
    <row r="4" spans="1:17" s="6" customFormat="1" x14ac:dyDescent="0.25">
      <c r="A4" s="1063"/>
      <c r="B4" s="1063"/>
      <c r="C4" s="1063"/>
      <c r="D4" s="1071"/>
      <c r="E4" s="22">
        <v>2010</v>
      </c>
      <c r="F4" s="22">
        <v>2015</v>
      </c>
      <c r="G4" s="22">
        <v>2020</v>
      </c>
      <c r="H4" s="22">
        <v>2025</v>
      </c>
      <c r="I4" s="22">
        <v>2010</v>
      </c>
      <c r="J4" s="22">
        <v>2015</v>
      </c>
      <c r="K4" s="22">
        <v>2020</v>
      </c>
      <c r="L4" s="22">
        <v>2025</v>
      </c>
      <c r="M4" s="22">
        <v>2010</v>
      </c>
      <c r="N4" s="22">
        <v>2015</v>
      </c>
      <c r="O4" s="22">
        <v>2020</v>
      </c>
      <c r="P4" s="22">
        <v>2025</v>
      </c>
      <c r="Q4" s="1061"/>
    </row>
    <row r="5" spans="1:17" x14ac:dyDescent="0.25">
      <c r="A5" s="1064" t="s">
        <v>513</v>
      </c>
      <c r="B5" s="1" t="s">
        <v>511</v>
      </c>
      <c r="C5" s="13"/>
      <c r="D5" s="13"/>
      <c r="E5" s="13"/>
      <c r="F5" s="13"/>
      <c r="G5" s="13"/>
      <c r="H5" s="13"/>
      <c r="I5" s="7"/>
      <c r="J5" s="7"/>
      <c r="K5" s="7"/>
      <c r="L5" s="7"/>
      <c r="M5" s="7"/>
      <c r="N5" s="7"/>
      <c r="O5" s="7"/>
      <c r="P5" s="7"/>
      <c r="Q5" s="7"/>
    </row>
    <row r="6" spans="1:17" x14ac:dyDescent="0.25">
      <c r="A6" s="1064"/>
      <c r="B6" s="11" t="str">
        <f>IF('Prac. Rec. Assumptions'!$B$56='Prac. Rec. Assumptions'!$V$3,A74,IF('Prac. Rec. Assumptions'!B57="No",A74,"Sorghum- Converted to Energy Crop"))</f>
        <v>Sorghum</v>
      </c>
      <c r="C6" s="294">
        <f>IF('Prac. Rec. Assumptions'!$B$56='Prac. Rec. Assumptions'!$V$3,D74,IF('Prac. Rec. Assumptions'!B57="No",D74,0))</f>
        <v>766.0995999999999</v>
      </c>
      <c r="D6" s="294" t="s">
        <v>431</v>
      </c>
      <c r="E6" s="294">
        <f>C6*'Prac. Rec. Assumptions'!B4</f>
        <v>0</v>
      </c>
      <c r="F6" s="294">
        <f>$E6</f>
        <v>0</v>
      </c>
      <c r="G6" s="294">
        <f>$E6</f>
        <v>0</v>
      </c>
      <c r="H6" s="294">
        <f>$E6</f>
        <v>0</v>
      </c>
      <c r="I6" s="16" t="str">
        <f>IF('Conversion Tables'!F7="NA","NA",$D6/'Conversion Tables'!F7)</f>
        <v>NA</v>
      </c>
      <c r="J6" s="16" t="str">
        <f>IF('Conversion Tables'!G7="NA","NA",$D6/'Conversion Tables'!G7)</f>
        <v>NA</v>
      </c>
      <c r="K6" s="16" t="str">
        <f>IF('Conversion Tables'!H7="NA","NA",$D6/'Conversion Tables'!H7)</f>
        <v>NA</v>
      </c>
      <c r="L6" s="16" t="str">
        <f>IF('Conversion Tables'!H7="NA","NA",$D6/'Conversion Tables'!H7)</f>
        <v>NA</v>
      </c>
      <c r="M6" s="16" t="str">
        <f>IF('Conversion Tables'!K7="NA","NA",$C74*'Conversion Tables'!K7)</f>
        <v>NA</v>
      </c>
      <c r="N6" s="16" t="str">
        <f>IF('Conversion Tables'!L7="NA","NA",$C74*'Conversion Tables'!L7)</f>
        <v>NA</v>
      </c>
      <c r="O6" s="16" t="str">
        <f>IF('Conversion Tables'!M7="NA","NA",$C74*'Conversion Tables'!M7)</f>
        <v>NA</v>
      </c>
      <c r="P6" s="16" t="str">
        <f>IF('Conversion Tables'!N7="NA","NA",$C74*'Conversion Tables'!N7)</f>
        <v>NA</v>
      </c>
      <c r="Q6" s="15"/>
    </row>
    <row r="7" spans="1:17" x14ac:dyDescent="0.25">
      <c r="A7" s="1064"/>
      <c r="B7" s="11" t="str">
        <f>IF('Prac. Rec. Assumptions'!$B$56='Prac. Rec. Assumptions'!$V$3,A75,IF('Prac. Rec. Assumptions'!B59="No",A75,"Rye- Converted to Energy Crop"))</f>
        <v>Rye</v>
      </c>
      <c r="C7" s="294">
        <f>IF('Prac. Rec. Assumptions'!$B$56='Prac. Rec. Assumptions'!$V$3,D75,IF('Prac. Rec. Assumptions'!B59="No",D75,0))</f>
        <v>444.88079999999997</v>
      </c>
      <c r="D7" s="294" t="s">
        <v>431</v>
      </c>
      <c r="E7" s="294">
        <f>C7*'Prac. Rec. Assumptions'!B5</f>
        <v>0</v>
      </c>
      <c r="F7" s="294">
        <f t="shared" ref="F7:H10" si="0">$E7</f>
        <v>0</v>
      </c>
      <c r="G7" s="294">
        <f t="shared" si="0"/>
        <v>0</v>
      </c>
      <c r="H7" s="294">
        <f t="shared" si="0"/>
        <v>0</v>
      </c>
      <c r="I7" s="16" t="str">
        <f>IF('Conversion Tables'!F8="NA","NA",$D7/'Conversion Tables'!F8)</f>
        <v>NA</v>
      </c>
      <c r="J7" s="16" t="str">
        <f>IF('Conversion Tables'!G8="NA","NA",$D7/'Conversion Tables'!G8)</f>
        <v>NA</v>
      </c>
      <c r="K7" s="16" t="str">
        <f>IF('Conversion Tables'!H8="NA","NA",$D7/'Conversion Tables'!H8)</f>
        <v>NA</v>
      </c>
      <c r="L7" s="16" t="str">
        <f>IF('Conversion Tables'!H8="NA","NA",$D7/'Conversion Tables'!H8)</f>
        <v>NA</v>
      </c>
      <c r="M7" s="16" t="str">
        <f>IF('Conversion Tables'!K8="NA","NA",$C75*'Conversion Tables'!K8)</f>
        <v>NA</v>
      </c>
      <c r="N7" s="16" t="str">
        <f>IF('Conversion Tables'!L8="NA","NA",$C75*'Conversion Tables'!L8)</f>
        <v>NA</v>
      </c>
      <c r="O7" s="16" t="str">
        <f>IF('Conversion Tables'!M8="NA","NA",$C75*'Conversion Tables'!M8)</f>
        <v>NA</v>
      </c>
      <c r="P7" s="16" t="str">
        <f>IF('Conversion Tables'!N8="NA","NA",$C75*'Conversion Tables'!N8)</f>
        <v>NA</v>
      </c>
      <c r="Q7" s="15"/>
    </row>
    <row r="8" spans="1:17" x14ac:dyDescent="0.25">
      <c r="A8" s="1064"/>
      <c r="B8" s="11" t="str">
        <f>IF('Prac. Rec. Assumptions'!$B$56='Prac. Rec. Assumptions'!$V$3,A76,IF('Prac. Rec. Assumptions'!B60="No",A76,"Corn for Grain- Converted to Energy Crop"))</f>
        <v>Corn for Grain</v>
      </c>
      <c r="C8" s="294">
        <f>IF('Prac. Rec. Assumptions'!$B$56='Prac. Rec. Assumptions'!$V$3,D76,IF('Prac. Rec. Assumptions'!B60="No",D76,0))</f>
        <v>17626</v>
      </c>
      <c r="D8" s="294" t="s">
        <v>431</v>
      </c>
      <c r="E8" s="294">
        <f>C8*'Prac. Rec. Assumptions'!B6</f>
        <v>0</v>
      </c>
      <c r="F8" s="294">
        <f t="shared" si="0"/>
        <v>0</v>
      </c>
      <c r="G8" s="294">
        <f t="shared" si="0"/>
        <v>0</v>
      </c>
      <c r="H8" s="294">
        <f t="shared" si="0"/>
        <v>0</v>
      </c>
      <c r="I8" s="16" t="str">
        <f>IF('Conversion Tables'!F9="NA","NA",$D8/'Conversion Tables'!F9)</f>
        <v>NA</v>
      </c>
      <c r="J8" s="16" t="str">
        <f>IF('Conversion Tables'!G9="NA","NA",$D8/'Conversion Tables'!G9)</f>
        <v>NA</v>
      </c>
      <c r="K8" s="16" t="str">
        <f>IF('Conversion Tables'!H9="NA","NA",$D8/'Conversion Tables'!H9)</f>
        <v>NA</v>
      </c>
      <c r="L8" s="16" t="str">
        <f>IF('Conversion Tables'!H9="NA","NA",$D8/'Conversion Tables'!H9)</f>
        <v>NA</v>
      </c>
      <c r="M8" s="16" t="str">
        <f>IF('Conversion Tables'!K9="NA","NA",$C76*'Conversion Tables'!K9)</f>
        <v>NA</v>
      </c>
      <c r="N8" s="16" t="str">
        <f>IF('Conversion Tables'!L9="NA","NA",$C76*'Conversion Tables'!L9)</f>
        <v>NA</v>
      </c>
      <c r="O8" s="16" t="str">
        <f>IF('Conversion Tables'!M9="NA","NA",$C76*'Conversion Tables'!M9)</f>
        <v>NA</v>
      </c>
      <c r="P8" s="16" t="str">
        <f>IF('Conversion Tables'!N9="NA","NA",$C76*'Conversion Tables'!N9)</f>
        <v>NA</v>
      </c>
      <c r="Q8" s="15"/>
    </row>
    <row r="9" spans="1:17" x14ac:dyDescent="0.25">
      <c r="A9" s="1064"/>
      <c r="B9" s="11" t="str">
        <f>IF('Prac. Rec. Assumptions'!$B$56='Prac. Rec. Assumptions'!$V$3,A78,IF('Prac. Rec. Assumptions'!B64="No",A78,"Wheat- Converted to Energy Crop"))</f>
        <v>Wheat</v>
      </c>
      <c r="C9" s="294">
        <f>IF('Prac. Rec. Assumptions'!$B$56='Prac. Rec. Assumptions'!$V$3,D78,IF('Prac. Rec. Assumptions'!B64="No",D78,0))</f>
        <v>8445.06</v>
      </c>
      <c r="D9" s="294" t="s">
        <v>431</v>
      </c>
      <c r="E9" s="294">
        <f>C9*'Prac. Rec. Assumptions'!B7</f>
        <v>0</v>
      </c>
      <c r="F9" s="294">
        <f t="shared" si="0"/>
        <v>0</v>
      </c>
      <c r="G9" s="294">
        <f t="shared" si="0"/>
        <v>0</v>
      </c>
      <c r="H9" s="294">
        <f t="shared" si="0"/>
        <v>0</v>
      </c>
      <c r="I9" s="16" t="str">
        <f>IF('Conversion Tables'!F10="NA","NA",$D9/'Conversion Tables'!F10)</f>
        <v>NA</v>
      </c>
      <c r="J9" s="16" t="str">
        <f>IF('Conversion Tables'!G10="NA","NA",$D9/'Conversion Tables'!G10)</f>
        <v>NA</v>
      </c>
      <c r="K9" s="16" t="str">
        <f>IF('Conversion Tables'!H10="NA","NA",$D9/'Conversion Tables'!H10)</f>
        <v>NA</v>
      </c>
      <c r="L9" s="16" t="str">
        <f>IF('Conversion Tables'!H10="NA","NA",$D9/'Conversion Tables'!H10)</f>
        <v>NA</v>
      </c>
      <c r="M9" s="16" t="str">
        <f>IF('Conversion Tables'!K10="NA","NA",$C78*'Conversion Tables'!K10)</f>
        <v>NA</v>
      </c>
      <c r="N9" s="16" t="str">
        <f>IF('Conversion Tables'!L10="NA","NA",$C78*'Conversion Tables'!L10)</f>
        <v>NA</v>
      </c>
      <c r="O9" s="16" t="str">
        <f>IF('Conversion Tables'!M10="NA","NA",$C78*'Conversion Tables'!M10)</f>
        <v>NA</v>
      </c>
      <c r="P9" s="16" t="str">
        <f>IF('Conversion Tables'!N10="NA","NA",$C78*'Conversion Tables'!N10)</f>
        <v>NA</v>
      </c>
      <c r="Q9" s="15"/>
    </row>
    <row r="10" spans="1:17" x14ac:dyDescent="0.25">
      <c r="A10" s="1064"/>
      <c r="B10" s="129" t="s">
        <v>301</v>
      </c>
      <c r="C10" s="294"/>
      <c r="D10" s="294" t="s">
        <v>431</v>
      </c>
      <c r="E10" s="294">
        <f>C10*'Prac. Rec. Assumptions'!B8</f>
        <v>0</v>
      </c>
      <c r="F10" s="294">
        <f t="shared" si="0"/>
        <v>0</v>
      </c>
      <c r="G10" s="294">
        <f t="shared" si="0"/>
        <v>0</v>
      </c>
      <c r="H10" s="294">
        <f t="shared" si="0"/>
        <v>0</v>
      </c>
      <c r="I10" s="16" t="str">
        <f>IF('Conversion Tables'!F11="NA","NA",$D10/'Conversion Tables'!F11)</f>
        <v>NA</v>
      </c>
      <c r="J10" s="16" t="str">
        <f>IF('Conversion Tables'!G11="NA","NA",$D10/'Conversion Tables'!G11)</f>
        <v>NA</v>
      </c>
      <c r="K10" s="16" t="str">
        <f>IF('Conversion Tables'!H11="NA","NA",$D10/'Conversion Tables'!H11)</f>
        <v>NA</v>
      </c>
      <c r="L10" s="16" t="str">
        <f>IF('Conversion Tables'!H11="NA","NA",$D10/'Conversion Tables'!H11)</f>
        <v>NA</v>
      </c>
      <c r="M10" s="16" t="str">
        <f>IF('Conversion Tables'!K11="NA","NA",E10*'Conversion Tables'!K11)</f>
        <v>NA</v>
      </c>
      <c r="N10" s="16" t="str">
        <f>IF('Conversion Tables'!L11="NA","NA",F10*'Conversion Tables'!L11)</f>
        <v>NA</v>
      </c>
      <c r="O10" s="16" t="str">
        <f>IF('Conversion Tables'!M11="NA","NA",G10*'Conversion Tables'!M11)</f>
        <v>NA</v>
      </c>
      <c r="P10" s="16" t="str">
        <f>IF('Conversion Tables'!N11="NA","NA",H10*'Conversion Tables'!N11)</f>
        <v>NA</v>
      </c>
      <c r="Q10" s="7"/>
    </row>
    <row r="11" spans="1:17" x14ac:dyDescent="0.25">
      <c r="A11" s="1065"/>
      <c r="B11" s="9" t="s">
        <v>524</v>
      </c>
      <c r="C11" s="295">
        <f t="shared" ref="C11:P11" si="1">SUM(C5:C10)</f>
        <v>27282.040399999998</v>
      </c>
      <c r="D11" s="295">
        <f t="shared" si="1"/>
        <v>0</v>
      </c>
      <c r="E11" s="295">
        <f t="shared" si="1"/>
        <v>0</v>
      </c>
      <c r="F11" s="295">
        <f t="shared" si="1"/>
        <v>0</v>
      </c>
      <c r="G11" s="295">
        <f t="shared" si="1"/>
        <v>0</v>
      </c>
      <c r="H11" s="295">
        <f t="shared" si="1"/>
        <v>0</v>
      </c>
      <c r="I11" s="19">
        <f t="shared" si="1"/>
        <v>0</v>
      </c>
      <c r="J11" s="19">
        <f t="shared" si="1"/>
        <v>0</v>
      </c>
      <c r="K11" s="19">
        <f t="shared" si="1"/>
        <v>0</v>
      </c>
      <c r="L11" s="19">
        <f t="shared" si="1"/>
        <v>0</v>
      </c>
      <c r="M11" s="19">
        <f t="shared" si="1"/>
        <v>0</v>
      </c>
      <c r="N11" s="19">
        <f t="shared" si="1"/>
        <v>0</v>
      </c>
      <c r="O11" s="19">
        <f t="shared" si="1"/>
        <v>0</v>
      </c>
      <c r="P11" s="19">
        <f t="shared" si="1"/>
        <v>0</v>
      </c>
      <c r="Q11" s="19"/>
    </row>
    <row r="12" spans="1:17" x14ac:dyDescent="0.25">
      <c r="A12" s="8"/>
      <c r="C12" s="296"/>
      <c r="D12" s="296"/>
      <c r="E12" s="296"/>
      <c r="F12" s="296"/>
      <c r="G12" s="296"/>
      <c r="H12" s="296"/>
      <c r="I12" s="28"/>
      <c r="J12" s="28"/>
      <c r="K12" s="28"/>
      <c r="L12" s="28"/>
      <c r="M12" s="28"/>
      <c r="N12" s="28"/>
      <c r="O12" s="28"/>
      <c r="P12" s="28"/>
    </row>
    <row r="13" spans="1:17" x14ac:dyDescent="0.25">
      <c r="A13" s="1206" t="s">
        <v>514</v>
      </c>
      <c r="B13" s="1" t="s">
        <v>507</v>
      </c>
      <c r="C13" s="294">
        <f>D90</f>
        <v>0</v>
      </c>
      <c r="D13" s="294">
        <f>E13*'Conversion Tables'!C12</f>
        <v>0</v>
      </c>
      <c r="E13" s="294">
        <f>C13*'Prac. Rec. Assumptions'!B9</f>
        <v>0</v>
      </c>
      <c r="F13" s="294">
        <f>$E13</f>
        <v>0</v>
      </c>
      <c r="G13" s="294">
        <f>$E13</f>
        <v>0</v>
      </c>
      <c r="H13" s="294">
        <f>$E13</f>
        <v>0</v>
      </c>
      <c r="I13" s="16" t="str">
        <f>IF('Conversion Tables'!F12="NA","NA",(E13*'Conversion Tables'!$C12)/'Conversion Tables'!F12)</f>
        <v>NA</v>
      </c>
      <c r="J13" s="16" t="str">
        <f>IF('Conversion Tables'!G12="NA","NA",(F13*'Conversion Tables'!$C12)/'Conversion Tables'!G12)</f>
        <v>NA</v>
      </c>
      <c r="K13" s="16" t="str">
        <f>IF('Conversion Tables'!H12="NA","NA",(G13*'Conversion Tables'!$C12)/'Conversion Tables'!H12)</f>
        <v>NA</v>
      </c>
      <c r="L13" s="16" t="str">
        <f>IF('Conversion Tables'!I12="NA","NA",(H13*'Conversion Tables'!$C12)/'Conversion Tables'!I12)</f>
        <v>NA</v>
      </c>
      <c r="M13" s="16" t="str">
        <f>IF('Conversion Tables'!K12="NA","NA",E13*'Conversion Tables'!K12)</f>
        <v>NA</v>
      </c>
      <c r="N13" s="16" t="str">
        <f>IF('Conversion Tables'!L12="NA","NA",F13*'Conversion Tables'!L12)</f>
        <v>NA</v>
      </c>
      <c r="O13" s="16" t="str">
        <f>IF('Conversion Tables'!M12="NA","NA",G13*'Conversion Tables'!M12)</f>
        <v>NA</v>
      </c>
      <c r="P13" s="16" t="str">
        <f>IF('Conversion Tables'!N12="NA","NA",H13*'Conversion Tables'!N12)</f>
        <v>NA</v>
      </c>
      <c r="Q13" s="7"/>
    </row>
    <row r="14" spans="1:17" x14ac:dyDescent="0.25">
      <c r="A14" s="1207"/>
      <c r="B14" s="1" t="s">
        <v>504</v>
      </c>
      <c r="C14" s="294"/>
      <c r="D14" s="294"/>
      <c r="E14" s="294"/>
      <c r="F14" s="294"/>
      <c r="G14" s="294"/>
      <c r="H14" s="294"/>
      <c r="I14" s="16"/>
      <c r="J14" s="16"/>
      <c r="K14" s="16"/>
      <c r="L14" s="16"/>
      <c r="M14" s="16"/>
      <c r="N14" s="16"/>
      <c r="O14" s="16"/>
      <c r="P14" s="16"/>
      <c r="Q14" s="7"/>
    </row>
    <row r="15" spans="1:17" x14ac:dyDescent="0.25">
      <c r="A15" s="1207"/>
      <c r="B15" s="11" t="str">
        <f>IF('Prac. Rec. Assumptions'!$B$56='Prac. Rec. Assumptions'!$V$3,A81,IF('Prac. Rec. Assumptions'!B57="No",A81,"Sweet Corn- Converted to Energy Crop"))</f>
        <v>Sweet Corn</v>
      </c>
      <c r="C15" s="294">
        <f>IF('Prac. Rec. Assumptions'!$B$56='Prac. Rec. Assumptions'!$V$3,D81,IF('Prac. Rec. Assumptions'!B58="No",D81,0))</f>
        <v>250.75</v>
      </c>
      <c r="D15" s="294">
        <f>E15*'Conversion Tables'!C14</f>
        <v>3155.8392000000003</v>
      </c>
      <c r="E15" s="294">
        <f>C15*'Prac. Rec. Assumptions'!B11</f>
        <v>200.60000000000002</v>
      </c>
      <c r="F15" s="294">
        <f>$E15</f>
        <v>200.60000000000002</v>
      </c>
      <c r="G15" s="294">
        <f>$E15</f>
        <v>200.60000000000002</v>
      </c>
      <c r="H15" s="294">
        <f>$E15</f>
        <v>200.60000000000002</v>
      </c>
      <c r="I15" s="16" t="str">
        <f>IF('Conversion Tables'!F14="NA","NA",(E15*'Conversion Tables'!$C14)/'Conversion Tables'!F14)</f>
        <v>NA</v>
      </c>
      <c r="J15" s="16" t="str">
        <f>IF('Conversion Tables'!G14="NA","NA",(F15*'Conversion Tables'!$C14)/'Conversion Tables'!G14)</f>
        <v>NA</v>
      </c>
      <c r="K15" s="16" t="str">
        <f>IF('Conversion Tables'!H14="NA","NA",(G15*'Conversion Tables'!$C14)/'Conversion Tables'!H14)</f>
        <v>NA</v>
      </c>
      <c r="L15" s="16" t="str">
        <f>IF('Conversion Tables'!I14="NA","NA",(H15*'Conversion Tables'!$C14)/'Conversion Tables'!I14)</f>
        <v>NA</v>
      </c>
      <c r="M15" s="16" t="str">
        <f>IF('Conversion Tables'!K14="NA","NA",E15*'Conversion Tables'!K14)</f>
        <v>NA</v>
      </c>
      <c r="N15" s="16" t="str">
        <f>IF('Conversion Tables'!L14="NA","NA",F15*'Conversion Tables'!L14)</f>
        <v>NA</v>
      </c>
      <c r="O15" s="16" t="str">
        <f>IF('Conversion Tables'!M14="NA","NA",G15*'Conversion Tables'!M14)</f>
        <v>NA</v>
      </c>
      <c r="P15" s="16" t="str">
        <f>IF('Conversion Tables'!N14="NA","NA",H15*'Conversion Tables'!N14)</f>
        <v>NA</v>
      </c>
      <c r="Q15" s="15"/>
    </row>
    <row r="16" spans="1:17" x14ac:dyDescent="0.25">
      <c r="A16" s="1207"/>
      <c r="B16" s="11" t="str">
        <f>IF('Prac. Rec. Assumptions'!$B$56='Prac. Rec. Assumptions'!$V$3,A82,IF('Prac. Rec. Assumptions'!B58="No",A82,"Rye- Converted to Energy Crop"))</f>
        <v>Rye</v>
      </c>
      <c r="C16" s="294">
        <f>IF('Prac. Rec. Assumptions'!$B$56='Prac. Rec. Assumptions'!$V$3,D82,IF('Prac. Rec. Assumptions'!B59="No",D82,0))</f>
        <v>1340.6624999999999</v>
      </c>
      <c r="D16" s="294">
        <f>E16*'Conversion Tables'!C15</f>
        <v>0</v>
      </c>
      <c r="E16" s="294">
        <f>C16*'Prac. Rec. Assumptions'!B12</f>
        <v>0</v>
      </c>
      <c r="F16" s="294">
        <f t="shared" ref="F16:H23" si="2">$E16</f>
        <v>0</v>
      </c>
      <c r="G16" s="294">
        <f t="shared" si="2"/>
        <v>0</v>
      </c>
      <c r="H16" s="294">
        <f t="shared" si="2"/>
        <v>0</v>
      </c>
      <c r="I16" s="16" t="str">
        <f>IF('Conversion Tables'!F15="NA","NA",(E16*'Conversion Tables'!$C15)/'Conversion Tables'!F15)</f>
        <v>NA</v>
      </c>
      <c r="J16" s="16" t="str">
        <f>IF('Conversion Tables'!G15="NA","NA",(F16*'Conversion Tables'!$C15)/'Conversion Tables'!G15)</f>
        <v>NA</v>
      </c>
      <c r="K16" s="16" t="str">
        <f>IF('Conversion Tables'!H15="NA","NA",(G16*'Conversion Tables'!$C15)/'Conversion Tables'!H15)</f>
        <v>NA</v>
      </c>
      <c r="L16" s="16" t="str">
        <f>IF('Conversion Tables'!I15="NA","NA",(H16*'Conversion Tables'!$C15)/'Conversion Tables'!I15)</f>
        <v>NA</v>
      </c>
      <c r="M16" s="16" t="str">
        <f>IF('Conversion Tables'!K15="NA","NA",E16*'Conversion Tables'!K15)</f>
        <v>NA</v>
      </c>
      <c r="N16" s="16" t="str">
        <f>IF('Conversion Tables'!L15="NA","NA",F16*'Conversion Tables'!L15)</f>
        <v>NA</v>
      </c>
      <c r="O16" s="16" t="str">
        <f>IF('Conversion Tables'!M15="NA","NA",G16*'Conversion Tables'!M15)</f>
        <v>NA</v>
      </c>
      <c r="P16" s="16" t="str">
        <f>IF('Conversion Tables'!N15="NA","NA",H16*'Conversion Tables'!N15)</f>
        <v>NA</v>
      </c>
      <c r="Q16" s="15"/>
    </row>
    <row r="17" spans="1:17" x14ac:dyDescent="0.25">
      <c r="A17" s="1207"/>
      <c r="B17" s="11" t="str">
        <f>IF('Prac. Rec. Assumptions'!$B$56='Prac. Rec. Assumptions'!$V$3,A83,IF('Prac. Rec. Assumptions'!B59="No",A83,"Corn for Grain- Converted to Energy Crop"))</f>
        <v>Corn for Grain</v>
      </c>
      <c r="C17" s="294">
        <f>IF('Prac. Rec. Assumptions'!$B$56='Prac. Rec. Assumptions'!$V$3,D83,IF('Prac. Rec. Assumptions'!B60="No",D83,0))</f>
        <v>10701.5</v>
      </c>
      <c r="D17" s="294">
        <f>E17*'Conversion Tables'!C16</f>
        <v>143102.59829999998</v>
      </c>
      <c r="E17" s="294">
        <f>C17*'Prac. Rec. Assumptions'!B13</f>
        <v>9096.2749999999996</v>
      </c>
      <c r="F17" s="294">
        <f t="shared" si="2"/>
        <v>9096.2749999999996</v>
      </c>
      <c r="G17" s="294">
        <f t="shared" si="2"/>
        <v>9096.2749999999996</v>
      </c>
      <c r="H17" s="294">
        <f t="shared" si="2"/>
        <v>9096.2749999999996</v>
      </c>
      <c r="I17" s="16" t="str">
        <f>IF('Conversion Tables'!F16="NA","NA",(E17*'Conversion Tables'!$C16)/'Conversion Tables'!F16)</f>
        <v>NA</v>
      </c>
      <c r="J17" s="16" t="str">
        <f>IF('Conversion Tables'!G16="NA","NA",(F17*'Conversion Tables'!$C16)/'Conversion Tables'!G16)</f>
        <v>NA</v>
      </c>
      <c r="K17" s="16" t="str">
        <f>IF('Conversion Tables'!H16="NA","NA",(G17*'Conversion Tables'!$C16)/'Conversion Tables'!H16)</f>
        <v>NA</v>
      </c>
      <c r="L17" s="16" t="str">
        <f>IF('Conversion Tables'!I16="NA","NA",(H17*'Conversion Tables'!$C16)/'Conversion Tables'!I16)</f>
        <v>NA</v>
      </c>
      <c r="M17" s="16" t="str">
        <f>IF('Conversion Tables'!K16="NA","NA",E17*'Conversion Tables'!K16)</f>
        <v>NA</v>
      </c>
      <c r="N17" s="16" t="str">
        <f>IF('Conversion Tables'!L16="NA","NA",F17*'Conversion Tables'!L16)</f>
        <v>NA</v>
      </c>
      <c r="O17" s="16" t="str">
        <f>IF('Conversion Tables'!M16="NA","NA",G17*'Conversion Tables'!M16)</f>
        <v>NA</v>
      </c>
      <c r="P17" s="16" t="str">
        <f>IF('Conversion Tables'!N16="NA","NA",H17*'Conversion Tables'!N16)</f>
        <v>NA</v>
      </c>
      <c r="Q17" s="15"/>
    </row>
    <row r="18" spans="1:17" x14ac:dyDescent="0.25">
      <c r="A18" s="1207"/>
      <c r="B18" s="11" t="str">
        <f>IF('Prac. Rec. Assumptions'!$B$56='Prac. Rec. Assumptions'!$V$3,A84,IF('Prac. Rec. Assumptions'!B60="No",A84,"Corn for Silage- Converted to Energy Crop"))</f>
        <v>Corn for Silage</v>
      </c>
      <c r="C18" s="294">
        <f>IF('Prac. Rec. Assumptions'!$B$56='Prac. Rec. Assumptions'!$V$3,D84,IF('Prac. Rec. Assumptions'!B61="No",D84,0))</f>
        <v>4167.24</v>
      </c>
      <c r="D18" s="294">
        <f>E18*'Conversion Tables'!C17</f>
        <v>49169.264759999998</v>
      </c>
      <c r="E18" s="294">
        <f>C18*'Prac. Rec. Assumptions'!B14</f>
        <v>3125.43</v>
      </c>
      <c r="F18" s="294">
        <f t="shared" si="2"/>
        <v>3125.43</v>
      </c>
      <c r="G18" s="294">
        <f t="shared" si="2"/>
        <v>3125.43</v>
      </c>
      <c r="H18" s="294">
        <f t="shared" si="2"/>
        <v>3125.43</v>
      </c>
      <c r="I18" s="16" t="str">
        <f>IF('Conversion Tables'!F17="NA","NA",(E18*'Conversion Tables'!$C17)/'Conversion Tables'!F17)</f>
        <v>NA</v>
      </c>
      <c r="J18" s="16" t="str">
        <f>IF('Conversion Tables'!G17="NA","NA",(F18*'Conversion Tables'!$C17)/'Conversion Tables'!G17)</f>
        <v>NA</v>
      </c>
      <c r="K18" s="16" t="str">
        <f>IF('Conversion Tables'!H17="NA","NA",(G18*'Conversion Tables'!$C17)/'Conversion Tables'!H17)</f>
        <v>NA</v>
      </c>
      <c r="L18" s="16" t="str">
        <f>IF('Conversion Tables'!I17="NA","NA",(H18*'Conversion Tables'!$C17)/'Conversion Tables'!I17)</f>
        <v>NA</v>
      </c>
      <c r="M18" s="16" t="str">
        <f>IF('Conversion Tables'!K17="NA","NA",E18*'Conversion Tables'!K17)</f>
        <v>NA</v>
      </c>
      <c r="N18" s="16" t="str">
        <f>IF('Conversion Tables'!L17="NA","NA",F18*'Conversion Tables'!L17)</f>
        <v>NA</v>
      </c>
      <c r="O18" s="16" t="str">
        <f>IF('Conversion Tables'!M17="NA","NA",G18*'Conversion Tables'!M17)</f>
        <v>NA</v>
      </c>
      <c r="P18" s="16" t="str">
        <f>IF('Conversion Tables'!N17="NA","NA",H18*'Conversion Tables'!N17)</f>
        <v>NA</v>
      </c>
      <c r="Q18" s="15"/>
    </row>
    <row r="19" spans="1:17" x14ac:dyDescent="0.25">
      <c r="A19" s="1207"/>
      <c r="B19" s="11" t="str">
        <f>IF('Prac. Rec. Assumptions'!$B$56='Prac. Rec. Assumptions'!$V$3,A85,IF('Prac. Rec. Assumptions'!B61="No",A85,"Alfalfa Hay- Converted to Energy Crop"))</f>
        <v>Alfalfa Hay</v>
      </c>
      <c r="C19" s="294">
        <f>IF('Prac. Rec. Assumptions'!$B$56='Prac. Rec. Assumptions'!$V$3,D85,IF('Prac. Rec. Assumptions'!B62="No",D85,0))</f>
        <v>4471.68</v>
      </c>
      <c r="D19" s="294">
        <f>E19*'Conversion Tables'!C18</f>
        <v>0</v>
      </c>
      <c r="E19" s="294">
        <f>C19*'Prac. Rec. Assumptions'!B15</f>
        <v>0</v>
      </c>
      <c r="F19" s="294">
        <f t="shared" si="2"/>
        <v>0</v>
      </c>
      <c r="G19" s="294">
        <f t="shared" si="2"/>
        <v>0</v>
      </c>
      <c r="H19" s="294">
        <f t="shared" si="2"/>
        <v>0</v>
      </c>
      <c r="I19" s="16" t="str">
        <f>IF('Conversion Tables'!F18="NA","NA",(E19*'Conversion Tables'!$C18)/'Conversion Tables'!F18)</f>
        <v>NA</v>
      </c>
      <c r="J19" s="16" t="str">
        <f>IF('Conversion Tables'!G18="NA","NA",(F19*'Conversion Tables'!$C18)/'Conversion Tables'!G18)</f>
        <v>NA</v>
      </c>
      <c r="K19" s="16" t="str">
        <f>IF('Conversion Tables'!H18="NA","NA",(G19*'Conversion Tables'!$C18)/'Conversion Tables'!H18)</f>
        <v>NA</v>
      </c>
      <c r="L19" s="16" t="str">
        <f>IF('Conversion Tables'!I18="NA","NA",(H19*'Conversion Tables'!$C18)/'Conversion Tables'!I18)</f>
        <v>NA</v>
      </c>
      <c r="M19" s="16" t="str">
        <f>IF('Conversion Tables'!K18="NA","NA",E19*'Conversion Tables'!K18)</f>
        <v>NA</v>
      </c>
      <c r="N19" s="16" t="str">
        <f>IF('Conversion Tables'!L18="NA","NA",F19*'Conversion Tables'!L18)</f>
        <v>NA</v>
      </c>
      <c r="O19" s="16" t="str">
        <f>IF('Conversion Tables'!M18="NA","NA",G19*'Conversion Tables'!M18)</f>
        <v>NA</v>
      </c>
      <c r="P19" s="16" t="str">
        <f>IF('Conversion Tables'!N18="NA","NA",H19*'Conversion Tables'!N18)</f>
        <v>NA</v>
      </c>
      <c r="Q19" s="15"/>
    </row>
    <row r="20" spans="1:17" x14ac:dyDescent="0.25">
      <c r="A20" s="1207"/>
      <c r="B20" s="11" t="str">
        <f>IF('Prac. Rec. Assumptions'!$B$56='Prac. Rec. Assumptions'!$V$3,A86,IF('Prac. Rec. Assumptions'!B62="No",A86,"Other Hay- Converted to Energy Crop"))</f>
        <v>Other Hay</v>
      </c>
      <c r="C20" s="294">
        <f>IF('Prac. Rec. Assumptions'!$B$56='Prac. Rec. Assumptions'!$V$3,D86,IF('Prac. Rec. Assumptions'!B63="No",D86,0))</f>
        <v>6002.53</v>
      </c>
      <c r="D20" s="294">
        <f>E20*'Conversion Tables'!C19</f>
        <v>46819.733999999997</v>
      </c>
      <c r="E20" s="294">
        <f>C20*'Prac. Rec. Assumptions'!B16</f>
        <v>3001.2649999999999</v>
      </c>
      <c r="F20" s="294">
        <f t="shared" si="2"/>
        <v>3001.2649999999999</v>
      </c>
      <c r="G20" s="294">
        <f t="shared" si="2"/>
        <v>3001.2649999999999</v>
      </c>
      <c r="H20" s="294">
        <f t="shared" si="2"/>
        <v>3001.2649999999999</v>
      </c>
      <c r="I20" s="16" t="str">
        <f>IF('Conversion Tables'!F19="NA","NA",(E20*'Conversion Tables'!$C19)/'Conversion Tables'!F19)</f>
        <v>NA</v>
      </c>
      <c r="J20" s="16" t="str">
        <f>IF('Conversion Tables'!G19="NA","NA",(F20*'Conversion Tables'!$C19)/'Conversion Tables'!G19)</f>
        <v>NA</v>
      </c>
      <c r="K20" s="16" t="str">
        <f>IF('Conversion Tables'!H19="NA","NA",(G20*'Conversion Tables'!$C19)/'Conversion Tables'!H19)</f>
        <v>NA</v>
      </c>
      <c r="L20" s="16" t="str">
        <f>IF('Conversion Tables'!I19="NA","NA",(H20*'Conversion Tables'!$C19)/'Conversion Tables'!I19)</f>
        <v>NA</v>
      </c>
      <c r="M20" s="16" t="str">
        <f>IF('Conversion Tables'!K19="NA","NA",E20*'Conversion Tables'!K19)</f>
        <v>NA</v>
      </c>
      <c r="N20" s="16" t="str">
        <f>IF('Conversion Tables'!L19="NA","NA",F20*'Conversion Tables'!L19)</f>
        <v>NA</v>
      </c>
      <c r="O20" s="16" t="str">
        <f>IF('Conversion Tables'!M19="NA","NA",G20*'Conversion Tables'!M19)</f>
        <v>NA</v>
      </c>
      <c r="P20" s="16" t="str">
        <f>IF('Conversion Tables'!N19="NA","NA",H20*'Conversion Tables'!N19)</f>
        <v>NA</v>
      </c>
      <c r="Q20" s="15"/>
    </row>
    <row r="21" spans="1:17" x14ac:dyDescent="0.25">
      <c r="A21" s="1207"/>
      <c r="B21" s="11" t="str">
        <f>IF('Prac. Rec. Assumptions'!$B$56='Prac. Rec. Assumptions'!$V$3,A87,IF('Prac. Rec. Assumptions'!B63="No",A87,"Wheat- Converted to Energy Crop"))</f>
        <v>Wheat</v>
      </c>
      <c r="C21" s="294">
        <f>IF('Prac. Rec. Assumptions'!$B$56='Prac. Rec. Assumptions'!$V$3,D87,IF('Prac. Rec. Assumptions'!B64="No",D87,0))</f>
        <v>7754.3374999999996</v>
      </c>
      <c r="D21" s="294">
        <f>E21*'Conversion Tables'!C20</f>
        <v>0</v>
      </c>
      <c r="E21" s="294">
        <f>C21*'Prac. Rec. Assumptions'!B17</f>
        <v>0</v>
      </c>
      <c r="F21" s="294">
        <f t="shared" si="2"/>
        <v>0</v>
      </c>
      <c r="G21" s="294">
        <f t="shared" si="2"/>
        <v>0</v>
      </c>
      <c r="H21" s="294">
        <f t="shared" si="2"/>
        <v>0</v>
      </c>
      <c r="I21" s="16" t="str">
        <f>IF('Conversion Tables'!F20="NA","NA",(E21*'Conversion Tables'!$C20)/'Conversion Tables'!F20)</f>
        <v>NA</v>
      </c>
      <c r="J21" s="16" t="str">
        <f>IF('Conversion Tables'!G20="NA","NA",(F21*'Conversion Tables'!$C20)/'Conversion Tables'!G20)</f>
        <v>NA</v>
      </c>
      <c r="K21" s="16" t="str">
        <f>IF('Conversion Tables'!H20="NA","NA",(G21*'Conversion Tables'!$C20)/'Conversion Tables'!H20)</f>
        <v>NA</v>
      </c>
      <c r="L21" s="16" t="str">
        <f>IF('Conversion Tables'!I20="NA","NA",(H21*'Conversion Tables'!$C20)/'Conversion Tables'!I20)</f>
        <v>NA</v>
      </c>
      <c r="M21" s="16" t="str">
        <f>IF('Conversion Tables'!K20="NA","NA",E21*'Conversion Tables'!K20)</f>
        <v>NA</v>
      </c>
      <c r="N21" s="16" t="str">
        <f>IF('Conversion Tables'!L20="NA","NA",F21*'Conversion Tables'!L20)</f>
        <v>NA</v>
      </c>
      <c r="O21" s="16" t="str">
        <f>IF('Conversion Tables'!M20="NA","NA",G21*'Conversion Tables'!M20)</f>
        <v>NA</v>
      </c>
      <c r="P21" s="16" t="str">
        <f>IF('Conversion Tables'!N20="NA","NA",H21*'Conversion Tables'!N20)</f>
        <v>NA</v>
      </c>
      <c r="Q21" s="15"/>
    </row>
    <row r="22" spans="1:17" x14ac:dyDescent="0.25">
      <c r="A22" s="1207"/>
      <c r="B22" s="148" t="s">
        <v>205</v>
      </c>
      <c r="C22" s="294">
        <f>'Biomass Data Assumptions'!P12*1000*'Energy Content Assumptions'!C18</f>
        <v>73755.5</v>
      </c>
      <c r="D22" s="294">
        <f>E22*'Conversion Tables'!C21</f>
        <v>575292.9</v>
      </c>
      <c r="E22" s="294">
        <f>C22*'Prac. Rec. Assumptions'!B18</f>
        <v>36877.75</v>
      </c>
      <c r="F22" s="294">
        <f t="shared" si="2"/>
        <v>36877.75</v>
      </c>
      <c r="G22" s="294">
        <f t="shared" si="2"/>
        <v>36877.75</v>
      </c>
      <c r="H22" s="294">
        <f t="shared" si="2"/>
        <v>36877.75</v>
      </c>
      <c r="I22" s="16" t="str">
        <f>IF('Conversion Tables'!F21="NA","NA",(E22*'Conversion Tables'!$C21)/'Conversion Tables'!F21)</f>
        <v>NA</v>
      </c>
      <c r="J22" s="16" t="str">
        <f>IF('Conversion Tables'!G21="NA","NA",(F22*'Conversion Tables'!$C21)/'Conversion Tables'!G21)</f>
        <v>NA</v>
      </c>
      <c r="K22" s="16" t="str">
        <f>IF('Conversion Tables'!H21="NA","NA",(G22*'Conversion Tables'!$C21)/'Conversion Tables'!H21)</f>
        <v>NA</v>
      </c>
      <c r="L22" s="16" t="str">
        <f>IF('Conversion Tables'!I21="NA","NA",(H22*'Conversion Tables'!$C21)/'Conversion Tables'!I21)</f>
        <v>NA</v>
      </c>
      <c r="M22" s="16" t="str">
        <f>IF('Conversion Tables'!K21="NA","NA",E22*'Conversion Tables'!K21)</f>
        <v>NA</v>
      </c>
      <c r="N22" s="16" t="str">
        <f>IF('Conversion Tables'!L21="NA","NA",F22*'Conversion Tables'!L21)</f>
        <v>NA</v>
      </c>
      <c r="O22" s="16" t="str">
        <f>IF('Conversion Tables'!M21="NA","NA",G22*'Conversion Tables'!M21)</f>
        <v>NA</v>
      </c>
      <c r="P22" s="16" t="str">
        <f>IF('Conversion Tables'!N21="NA","NA",H22*'Conversion Tables'!N21)</f>
        <v>NA</v>
      </c>
      <c r="Q22" s="15"/>
    </row>
    <row r="23" spans="1:17" x14ac:dyDescent="0.25">
      <c r="A23" s="1207"/>
      <c r="B23" s="2" t="s">
        <v>302</v>
      </c>
      <c r="C23" s="294">
        <f>B133</f>
        <v>3756.86</v>
      </c>
      <c r="D23" s="294">
        <f>E23*'Conversion Tables'!C22</f>
        <v>61372.064959999996</v>
      </c>
      <c r="E23" s="294">
        <f>C23*'Prac. Rec. Assumptions'!B19</f>
        <v>3756.86</v>
      </c>
      <c r="F23" s="297">
        <f t="shared" si="2"/>
        <v>3756.86</v>
      </c>
      <c r="G23" s="297">
        <f t="shared" si="2"/>
        <v>3756.86</v>
      </c>
      <c r="H23" s="297">
        <f t="shared" si="2"/>
        <v>3756.86</v>
      </c>
      <c r="I23" s="16" t="str">
        <f>IF('Conversion Tables'!F22="NA","NA",(E23*'Conversion Tables'!$C22)/'Conversion Tables'!F22)</f>
        <v>NA</v>
      </c>
      <c r="J23" s="16" t="str">
        <f>IF('Conversion Tables'!G22="NA","NA",(F23*'Conversion Tables'!$C22)/'Conversion Tables'!G22)</f>
        <v>NA</v>
      </c>
      <c r="K23" s="16" t="str">
        <f>IF('Conversion Tables'!H22="NA","NA",(G23*'Conversion Tables'!$C22)/'Conversion Tables'!H22)</f>
        <v>NA</v>
      </c>
      <c r="L23" s="16" t="str">
        <f>IF('Conversion Tables'!I22="NA","NA",(H23*'Conversion Tables'!$C22)/'Conversion Tables'!I22)</f>
        <v>NA</v>
      </c>
      <c r="M23" s="16" t="str">
        <f>IF('Conversion Tables'!K22="NA","NA",E23*'Conversion Tables'!K22)</f>
        <v>NA</v>
      </c>
      <c r="N23" s="16" t="str">
        <f>IF('Conversion Tables'!L22="NA","NA",F23*'Conversion Tables'!L22)</f>
        <v>NA</v>
      </c>
      <c r="O23" s="16" t="str">
        <f>IF('Conversion Tables'!M22="NA","NA",G23*'Conversion Tables'!M22)</f>
        <v>NA</v>
      </c>
      <c r="P23" s="16" t="str">
        <f>IF('Conversion Tables'!N22="NA","NA",H23*'Conversion Tables'!N22)</f>
        <v>NA</v>
      </c>
      <c r="Q23" s="7"/>
    </row>
    <row r="24" spans="1:17" x14ac:dyDescent="0.25">
      <c r="A24" s="1207"/>
      <c r="B24" s="1" t="s">
        <v>518</v>
      </c>
      <c r="C24" s="294"/>
      <c r="D24" s="294"/>
      <c r="E24" s="294"/>
      <c r="F24" s="294"/>
      <c r="G24" s="294"/>
      <c r="H24" s="294"/>
      <c r="I24" s="16"/>
      <c r="J24" s="16"/>
      <c r="K24" s="16"/>
      <c r="L24" s="16"/>
      <c r="M24" s="16"/>
      <c r="N24" s="16"/>
      <c r="O24" s="16"/>
      <c r="P24" s="16"/>
      <c r="Q24" s="7"/>
    </row>
    <row r="25" spans="1:17" x14ac:dyDescent="0.25">
      <c r="A25" s="1207"/>
      <c r="B25" s="11" t="s">
        <v>559</v>
      </c>
      <c r="C25" s="294">
        <f>C128</f>
        <v>9257.86</v>
      </c>
      <c r="D25" s="294">
        <f>E25*'Conversion Tables'!C24</f>
        <v>163864.122</v>
      </c>
      <c r="E25" s="294">
        <f>C25*'Prac. Rec. Assumptions'!B21</f>
        <v>9257.86</v>
      </c>
      <c r="F25" s="294">
        <f>($C25*(1+'Biomass Data Assumptions'!G$97))*'Prac. Rec. Assumptions'!$B21</f>
        <v>9523.5511352040812</v>
      </c>
      <c r="G25" s="294">
        <f>($C25*(1+'Biomass Data Assumptions'!H$97))*'Prac. Rec. Assumptions'!$B21</f>
        <v>9812.8592602040808</v>
      </c>
      <c r="H25" s="294">
        <f>($C25*(1+'Biomass Data Assumptions'!I$97))*'Prac. Rec. Assumptions'!$B21</f>
        <v>10090.358890306123</v>
      </c>
      <c r="I25" s="16" t="str">
        <f>IF('Conversion Tables'!F24="NA","NA",(E25*'Conversion Tables'!$C24)/'Conversion Tables'!F24)</f>
        <v>NA</v>
      </c>
      <c r="J25" s="16" t="str">
        <f>IF('Conversion Tables'!G24="NA","NA",(F25*'Conversion Tables'!$C24)/'Conversion Tables'!G24)</f>
        <v>NA</v>
      </c>
      <c r="K25" s="16" t="str">
        <f>IF('Conversion Tables'!H24="NA","NA",(G25*'Conversion Tables'!$C24)/'Conversion Tables'!H24)</f>
        <v>NA</v>
      </c>
      <c r="L25" s="16" t="str">
        <f>IF('Conversion Tables'!I24="NA","NA",(H25*'Conversion Tables'!$C24)/'Conversion Tables'!I24)</f>
        <v>NA</v>
      </c>
      <c r="M25" s="16" t="str">
        <f>IF('Conversion Tables'!K24="NA","NA",E25*'Conversion Tables'!K24)</f>
        <v>NA</v>
      </c>
      <c r="N25" s="16" t="str">
        <f>IF('Conversion Tables'!L24="NA","NA",F25*'Conversion Tables'!L24)</f>
        <v>NA</v>
      </c>
      <c r="O25" s="16" t="str">
        <f>IF('Conversion Tables'!M24="NA","NA",G25*'Conversion Tables'!M24)</f>
        <v>NA</v>
      </c>
      <c r="P25" s="16" t="str">
        <f>IF('Conversion Tables'!N24="NA","NA",H25*'Conversion Tables'!N24)</f>
        <v>NA</v>
      </c>
      <c r="Q25" s="13"/>
    </row>
    <row r="26" spans="1:17" x14ac:dyDescent="0.25">
      <c r="A26" s="1207"/>
      <c r="B26" s="11" t="s">
        <v>560</v>
      </c>
      <c r="C26" s="294">
        <f>C129</f>
        <v>259.49333333333334</v>
      </c>
      <c r="D26" s="294">
        <f>E26*'Conversion Tables'!C25</f>
        <v>4048.096</v>
      </c>
      <c r="E26" s="294">
        <f>C26*'Prac. Rec. Assumptions'!B22</f>
        <v>259.49333333333334</v>
      </c>
      <c r="F26" s="294">
        <f>($C26*(1+'Biomass Data Assumptions'!G$97))*'Prac. Rec. Assumptions'!$B22</f>
        <v>266.94052721088434</v>
      </c>
      <c r="G26" s="294">
        <f>($C26*(1+'Biomass Data Assumptions'!H$97))*'Prac. Rec. Assumptions'!$B22</f>
        <v>275.04969387755102</v>
      </c>
      <c r="H26" s="294">
        <f>($C26*(1+'Biomass Data Assumptions'!I$97))*'Prac. Rec. Assumptions'!$B22</f>
        <v>282.82787414965986</v>
      </c>
      <c r="I26" s="16" t="str">
        <f>IF('Conversion Tables'!F25="NA","NA",(E26*'Conversion Tables'!$C25)/'Conversion Tables'!F25)</f>
        <v>NA</v>
      </c>
      <c r="J26" s="16" t="str">
        <f>IF('Conversion Tables'!G25="NA","NA",(F26*'Conversion Tables'!$C25)/'Conversion Tables'!G25)</f>
        <v>NA</v>
      </c>
      <c r="K26" s="16" t="str">
        <f>IF('Conversion Tables'!H25="NA","NA",(G26*'Conversion Tables'!$C25)/'Conversion Tables'!H25)</f>
        <v>NA</v>
      </c>
      <c r="L26" s="16" t="str">
        <f>IF('Conversion Tables'!I25="NA","NA",(H26*'Conversion Tables'!$C25)/'Conversion Tables'!I25)</f>
        <v>NA</v>
      </c>
      <c r="M26" s="16" t="str">
        <f>IF('Conversion Tables'!K25="NA","NA",E26*'Conversion Tables'!K25)</f>
        <v>NA</v>
      </c>
      <c r="N26" s="16" t="str">
        <f>IF('Conversion Tables'!L25="NA","NA",F26*'Conversion Tables'!L25)</f>
        <v>NA</v>
      </c>
      <c r="O26" s="16" t="str">
        <f>IF('Conversion Tables'!M25="NA","NA",G26*'Conversion Tables'!M25)</f>
        <v>NA</v>
      </c>
      <c r="P26" s="16" t="str">
        <f>IF('Conversion Tables'!N25="NA","NA",H26*'Conversion Tables'!N25)</f>
        <v>NA</v>
      </c>
      <c r="Q26" s="13"/>
    </row>
    <row r="27" spans="1:17" x14ac:dyDescent="0.25">
      <c r="A27" s="1207"/>
      <c r="B27" s="11" t="s">
        <v>561</v>
      </c>
      <c r="C27" s="294">
        <f>C130</f>
        <v>5903.3833333333332</v>
      </c>
      <c r="D27" s="294">
        <f>E27*'Conversion Tables'!C26</f>
        <v>92092.78</v>
      </c>
      <c r="E27" s="294">
        <f>C27*'Prac. Rec. Assumptions'!B23</f>
        <v>5903.3833333333332</v>
      </c>
      <c r="F27" s="294">
        <f>($C27*(1+'Biomass Data Assumptions'!G$97))*'Prac. Rec. Assumptions'!$B23</f>
        <v>6072.8044111394547</v>
      </c>
      <c r="G27" s="294">
        <f>($C27*(1+'Biomass Data Assumptions'!H$97))*'Prac. Rec. Assumptions'!$B23</f>
        <v>6257.2851403061222</v>
      </c>
      <c r="H27" s="294">
        <f>($C27*(1+'Biomass Data Assumptions'!I$97))*'Prac. Rec. Assumptions'!$B23</f>
        <v>6434.2360437925172</v>
      </c>
      <c r="I27" s="16" t="str">
        <f>IF('Conversion Tables'!F26="NA","NA",(E27*'Conversion Tables'!$C26)/'Conversion Tables'!F26)</f>
        <v>NA</v>
      </c>
      <c r="J27" s="16" t="str">
        <f>IF('Conversion Tables'!G26="NA","NA",(F27*'Conversion Tables'!$C26)/'Conversion Tables'!G26)</f>
        <v>NA</v>
      </c>
      <c r="K27" s="16" t="str">
        <f>IF('Conversion Tables'!H26="NA","NA",(G27*'Conversion Tables'!$C26)/'Conversion Tables'!H26)</f>
        <v>NA</v>
      </c>
      <c r="L27" s="16" t="str">
        <f>IF('Conversion Tables'!I26="NA","NA",(H27*'Conversion Tables'!$C26)/'Conversion Tables'!I26)</f>
        <v>NA</v>
      </c>
      <c r="M27" s="16" t="str">
        <f>IF('Conversion Tables'!K26="NA","NA",E27*'Conversion Tables'!K26)</f>
        <v>NA</v>
      </c>
      <c r="N27" s="16" t="str">
        <f>IF('Conversion Tables'!L26="NA","NA",F27*'Conversion Tables'!L26)</f>
        <v>NA</v>
      </c>
      <c r="O27" s="16" t="str">
        <f>IF('Conversion Tables'!M26="NA","NA",G27*'Conversion Tables'!M26)</f>
        <v>NA</v>
      </c>
      <c r="P27" s="16" t="str">
        <f>IF('Conversion Tables'!N26="NA","NA",H27*'Conversion Tables'!N26)</f>
        <v>NA</v>
      </c>
      <c r="Q27" s="13"/>
    </row>
    <row r="28" spans="1:17" x14ac:dyDescent="0.25">
      <c r="A28" s="1207"/>
      <c r="B28" s="11" t="s">
        <v>562</v>
      </c>
      <c r="C28" s="294">
        <f>C131</f>
        <v>865.59</v>
      </c>
      <c r="D28" s="294">
        <f>E28*'Conversion Tables'!C27</f>
        <v>15320.942999999999</v>
      </c>
      <c r="E28" s="294">
        <f>C28*'Prac. Rec. Assumptions'!B24</f>
        <v>865.59</v>
      </c>
      <c r="F28" s="294">
        <f>($C28*(1+'Biomass Data Assumptions'!G$97))*'Prac. Rec. Assumptions'!$B24</f>
        <v>890.43154974489789</v>
      </c>
      <c r="G28" s="294">
        <f>($C28*(1+'Biomass Data Assumptions'!H$97))*'Prac. Rec. Assumptions'!$B24</f>
        <v>917.4812372448979</v>
      </c>
      <c r="H28" s="294">
        <f>($C28*(1+'Biomass Data Assumptions'!I$97))*'Prac. Rec. Assumptions'!$B24</f>
        <v>943.42685586734694</v>
      </c>
      <c r="I28" s="16" t="str">
        <f>IF('Conversion Tables'!F27="NA","NA",(E28*'Conversion Tables'!$C27)/'Conversion Tables'!F27)</f>
        <v>NA</v>
      </c>
      <c r="J28" s="16" t="str">
        <f>IF('Conversion Tables'!G27="NA","NA",(F28*'Conversion Tables'!$C27)/'Conversion Tables'!G27)</f>
        <v>NA</v>
      </c>
      <c r="K28" s="16" t="str">
        <f>IF('Conversion Tables'!H27="NA","NA",(G28*'Conversion Tables'!$C27)/'Conversion Tables'!H27)</f>
        <v>NA</v>
      </c>
      <c r="L28" s="16" t="str">
        <f>IF('Conversion Tables'!I27="NA","NA",(H28*'Conversion Tables'!$C27)/'Conversion Tables'!I27)</f>
        <v>NA</v>
      </c>
      <c r="M28" s="16" t="str">
        <f>IF('Conversion Tables'!K27="NA","NA",E28*'Conversion Tables'!K27)</f>
        <v>NA</v>
      </c>
      <c r="N28" s="16" t="str">
        <f>IF('Conversion Tables'!L27="NA","NA",F28*'Conversion Tables'!L27)</f>
        <v>NA</v>
      </c>
      <c r="O28" s="16" t="str">
        <f>IF('Conversion Tables'!M27="NA","NA",G28*'Conversion Tables'!M27)</f>
        <v>NA</v>
      </c>
      <c r="P28" s="16" t="str">
        <f>IF('Conversion Tables'!N27="NA","NA",H28*'Conversion Tables'!N27)</f>
        <v>NA</v>
      </c>
      <c r="Q28" s="13"/>
    </row>
    <row r="29" spans="1:17" x14ac:dyDescent="0.25">
      <c r="A29" s="1208"/>
      <c r="B29" s="9" t="s">
        <v>524</v>
      </c>
      <c r="C29" s="295">
        <f t="shared" ref="C29:P29" si="3">SUM(C13:C28)</f>
        <v>128487.38666666666</v>
      </c>
      <c r="D29" s="295">
        <f>SUM(D13:D28)</f>
        <v>1154238.34222</v>
      </c>
      <c r="E29" s="295">
        <f t="shared" si="3"/>
        <v>72344.506666666668</v>
      </c>
      <c r="F29" s="295">
        <f>SUM(F13:F28)</f>
        <v>72811.907623299325</v>
      </c>
      <c r="G29" s="295">
        <f>SUM(G13:G28)</f>
        <v>73320.855331632643</v>
      </c>
      <c r="H29" s="295">
        <f>SUM(H13:H28)</f>
        <v>73809.02966411566</v>
      </c>
      <c r="I29" s="19">
        <f t="shared" si="3"/>
        <v>0</v>
      </c>
      <c r="J29" s="19">
        <f t="shared" si="3"/>
        <v>0</v>
      </c>
      <c r="K29" s="19">
        <f t="shared" si="3"/>
        <v>0</v>
      </c>
      <c r="L29" s="19">
        <f t="shared" si="3"/>
        <v>0</v>
      </c>
      <c r="M29" s="19">
        <f t="shared" si="3"/>
        <v>0</v>
      </c>
      <c r="N29" s="19">
        <f t="shared" si="3"/>
        <v>0</v>
      </c>
      <c r="O29" s="19">
        <f t="shared" si="3"/>
        <v>0</v>
      </c>
      <c r="P29" s="19">
        <f t="shared" si="3"/>
        <v>0</v>
      </c>
      <c r="Q29" s="19"/>
    </row>
    <row r="30" spans="1:17" x14ac:dyDescent="0.25">
      <c r="A30" s="8"/>
      <c r="C30" s="296"/>
      <c r="D30" s="296"/>
      <c r="E30" s="296"/>
      <c r="F30" s="296"/>
      <c r="G30" s="296"/>
      <c r="H30" s="296"/>
      <c r="I30" s="28"/>
      <c r="J30" s="28"/>
      <c r="K30" s="28"/>
      <c r="L30" s="28"/>
      <c r="M30" s="28"/>
      <c r="N30" s="28"/>
      <c r="O30" s="28"/>
      <c r="P30" s="28"/>
    </row>
    <row r="31" spans="1:17" x14ac:dyDescent="0.25">
      <c r="A31" s="1064" t="s">
        <v>516</v>
      </c>
      <c r="B31" s="130" t="str">
        <f>'Bioenergy Calculator'!B34</f>
        <v>Solid wastes - Landfilled</v>
      </c>
      <c r="C31" s="294"/>
      <c r="D31" s="294"/>
      <c r="E31" s="294"/>
      <c r="F31" s="294"/>
      <c r="G31" s="294"/>
      <c r="H31" s="294"/>
      <c r="I31" s="16"/>
      <c r="J31" s="16"/>
      <c r="K31" s="16"/>
      <c r="L31" s="16"/>
      <c r="M31" s="16"/>
      <c r="N31" s="16"/>
      <c r="O31" s="16"/>
      <c r="P31" s="16"/>
      <c r="Q31" s="7"/>
    </row>
    <row r="32" spans="1:17" x14ac:dyDescent="0.25">
      <c r="A32" s="1064"/>
      <c r="B32" s="11" t="str">
        <f>'Bioenergy Calculator'!B35</f>
        <v>Food waste, Landfilled</v>
      </c>
      <c r="C32" s="294">
        <f>C141</f>
        <v>5400.2379984000008</v>
      </c>
      <c r="D32" s="294">
        <f>E32*'Conversion Tables'!C29</f>
        <v>51842.284784640018</v>
      </c>
      <c r="E32" s="294">
        <f>C32*'Prac. Rec. Assumptions'!B26</f>
        <v>3240.1427990400011</v>
      </c>
      <c r="F32" s="294">
        <f>($C32*(1+'Biomass Data Assumptions'!G$97)*(1+'Biomass Data Assumptions'!C$82))*'Prac. Rec. Assumptions'!$B26</f>
        <v>3330.8684630619646</v>
      </c>
      <c r="G32" s="294">
        <f>($C32*(1+'Biomass Data Assumptions'!H$97)*(1+'Biomass Data Assumptions'!D$82))*'Prac. Rec. Assumptions'!$B26</f>
        <v>3429.7238813769582</v>
      </c>
      <c r="H32" s="294">
        <f>($C32*(1+'Biomass Data Assumptions'!I$97)*(1+'Biomass Data Assumptions'!E$82))*'Prac. Rec. Assumptions'!$B26</f>
        <v>3524.3190999252474</v>
      </c>
      <c r="I32" s="16" t="str">
        <f>IF('Conversion Tables'!F29="NA","NA",(E32*'Conversion Tables'!$C29)/'Conversion Tables'!F29)</f>
        <v>NA</v>
      </c>
      <c r="J32" s="16" t="str">
        <f>IF('Conversion Tables'!G29="NA","NA",(F32*'Conversion Tables'!$C29)/'Conversion Tables'!G29)</f>
        <v>NA</v>
      </c>
      <c r="K32" s="16" t="str">
        <f>IF('Conversion Tables'!H29="NA","NA",(G32*'Conversion Tables'!$C29)/'Conversion Tables'!H29)</f>
        <v>NA</v>
      </c>
      <c r="L32" s="16" t="str">
        <f>IF('Conversion Tables'!I29="NA","NA",(H32*'Conversion Tables'!$C29)/'Conversion Tables'!I29)</f>
        <v>NA</v>
      </c>
      <c r="M32" s="16" t="str">
        <f>IF('Conversion Tables'!K29="NA","NA",E32*'Conversion Tables'!K29)</f>
        <v>NA</v>
      </c>
      <c r="N32" s="16" t="str">
        <f>IF('Conversion Tables'!L29="NA","NA",F32*'Conversion Tables'!L29)</f>
        <v>NA</v>
      </c>
      <c r="O32" s="16" t="str">
        <f>IF('Conversion Tables'!M29="NA","NA",G32*'Conversion Tables'!M29)</f>
        <v>NA</v>
      </c>
      <c r="P32" s="16" t="str">
        <f>IF('Conversion Tables'!N29="NA","NA",H32*'Conversion Tables'!N29)</f>
        <v>NA</v>
      </c>
      <c r="Q32" s="7"/>
    </row>
    <row r="33" spans="1:17" x14ac:dyDescent="0.25">
      <c r="A33" s="1064"/>
      <c r="B33" s="11" t="str">
        <f>'Bioenergy Calculator'!B36</f>
        <v>Waste paper, Landfilled</v>
      </c>
      <c r="C33" s="294">
        <f>C142</f>
        <v>19918.071252000002</v>
      </c>
      <c r="D33" s="294">
        <f>E33*'Conversion Tables'!C30</f>
        <v>231400.18457723522</v>
      </c>
      <c r="E33" s="294">
        <f>C33*'Prac. Rec. Assumptions'!B27</f>
        <v>15934.457001600002</v>
      </c>
      <c r="F33" s="294">
        <f>($C33*(1+'Biomass Data Assumptions'!G$97)*(1+'Biomass Data Assumptions'!C$82))*'Prac. Rec. Assumptions'!$B27</f>
        <v>16380.629989015222</v>
      </c>
      <c r="G33" s="294">
        <f>($C33*(1+'Biomass Data Assumptions'!H$97)*(1+'Biomass Data Assumptions'!D$82))*'Prac. Rec. Assumptions'!$B27</f>
        <v>16866.783689704633</v>
      </c>
      <c r="H33" s="294">
        <f>($C33*(1+'Biomass Data Assumptions'!I$97)*(1+'Biomass Data Assumptions'!E$82))*'Prac. Rec. Assumptions'!$B27</f>
        <v>17331.986471187371</v>
      </c>
      <c r="I33" s="16" t="str">
        <f>IF('Conversion Tables'!F30="NA","NA",(E33*'Conversion Tables'!$C30)/'Conversion Tables'!F30)</f>
        <v>NA</v>
      </c>
      <c r="J33" s="16" t="str">
        <f>IF('Conversion Tables'!G30="NA","NA",(F33*'Conversion Tables'!$C30)/'Conversion Tables'!G30)</f>
        <v>NA</v>
      </c>
      <c r="K33" s="16" t="str">
        <f>IF('Conversion Tables'!H30="NA","NA",(G33*'Conversion Tables'!$C30)/'Conversion Tables'!H30)</f>
        <v>NA</v>
      </c>
      <c r="L33" s="16" t="str">
        <f>IF('Conversion Tables'!I30="NA","NA",(H33*'Conversion Tables'!$C30)/'Conversion Tables'!I30)</f>
        <v>NA</v>
      </c>
      <c r="M33" s="16" t="str">
        <f>IF('Conversion Tables'!K30="NA","NA",E33*'Conversion Tables'!K30)</f>
        <v>NA</v>
      </c>
      <c r="N33" s="16" t="str">
        <f>IF('Conversion Tables'!L30="NA","NA",F33*'Conversion Tables'!L30)</f>
        <v>NA</v>
      </c>
      <c r="O33" s="16" t="str">
        <f>IF('Conversion Tables'!M30="NA","NA",G33*'Conversion Tables'!M30)</f>
        <v>NA</v>
      </c>
      <c r="P33" s="16" t="str">
        <f>IF('Conversion Tables'!N30="NA","NA",H33*'Conversion Tables'!N30)</f>
        <v>NA</v>
      </c>
      <c r="Q33" s="7"/>
    </row>
    <row r="34" spans="1:17" x14ac:dyDescent="0.25">
      <c r="A34" s="1064"/>
      <c r="B34" s="11" t="str">
        <f>'Bioenergy Calculator'!B37</f>
        <v>Other Biomass, Landfilled</v>
      </c>
      <c r="C34" s="294">
        <f>C143</f>
        <v>15321.155636</v>
      </c>
      <c r="D34" s="294">
        <f>E34*'Conversion Tables'!C31</f>
        <v>160195.55194511425</v>
      </c>
      <c r="E34" s="294">
        <f>C34*'Prac. Rec. Assumptions'!B28</f>
        <v>11031.23205792</v>
      </c>
      <c r="F34" s="294">
        <f>($C34*(1+'Biomass Data Assumptions'!G$97)*(1+'Biomass Data Assumptions'!C$82))*'Prac. Rec. Assumptions'!$B28</f>
        <v>11340.112226328532</v>
      </c>
      <c r="G34" s="294">
        <f>($C34*(1+'Biomass Data Assumptions'!H$97)*(1+'Biomass Data Assumptions'!D$82))*'Prac. Rec. Assumptions'!$B28</f>
        <v>11676.670559479324</v>
      </c>
      <c r="H34" s="294">
        <f>($C34*(1+'Biomass Data Assumptions'!I$97)*(1+'Biomass Data Assumptions'!E$82))*'Prac. Rec. Assumptions'!$B28</f>
        <v>11998.724824397837</v>
      </c>
      <c r="I34" s="16" t="str">
        <f>IF('Conversion Tables'!F31="NA","NA",(E34*'Conversion Tables'!$C31)/'Conversion Tables'!F31)</f>
        <v>NA</v>
      </c>
      <c r="J34" s="16" t="str">
        <f>IF('Conversion Tables'!G31="NA","NA",(F34*'Conversion Tables'!$C31)/'Conversion Tables'!G31)</f>
        <v>NA</v>
      </c>
      <c r="K34" s="16" t="str">
        <f>IF('Conversion Tables'!H31="NA","NA",(G34*'Conversion Tables'!$C31)/'Conversion Tables'!H31)</f>
        <v>NA</v>
      </c>
      <c r="L34" s="16" t="str">
        <f>IF('Conversion Tables'!I31="NA","NA",(H34*'Conversion Tables'!$C31)/'Conversion Tables'!I31)</f>
        <v>NA</v>
      </c>
      <c r="M34" s="16" t="str">
        <f>IF('Conversion Tables'!K31="NA","NA",E34*'Conversion Tables'!K31)</f>
        <v>NA</v>
      </c>
      <c r="N34" s="16" t="str">
        <f>IF('Conversion Tables'!L31="NA","NA",F34*'Conversion Tables'!L31)</f>
        <v>NA</v>
      </c>
      <c r="O34" s="16" t="str">
        <f>IF('Conversion Tables'!M31="NA","NA",G34*'Conversion Tables'!M31)</f>
        <v>NA</v>
      </c>
      <c r="P34" s="16" t="str">
        <f>IF('Conversion Tables'!N31="NA","NA",H34*'Conversion Tables'!N31)</f>
        <v>NA</v>
      </c>
      <c r="Q34" s="7"/>
    </row>
    <row r="35" spans="1:17" x14ac:dyDescent="0.25">
      <c r="A35" s="1065"/>
      <c r="B35" s="11" t="str">
        <f>'Bioenergy Calculator'!B38</f>
        <v>C&amp;D (Non-recycled wood)</v>
      </c>
      <c r="C35" s="294">
        <f>C145</f>
        <v>6815.2128000000012</v>
      </c>
      <c r="D35" s="294">
        <f>E35*'Conversion Tables'!C32</f>
        <v>77202.730598400012</v>
      </c>
      <c r="E35" s="294">
        <f>C35*'Prac. Rec. Assumptions'!B29</f>
        <v>4361.7361920000012</v>
      </c>
      <c r="F35" s="294">
        <f>($C35*(1+'Biomass Data Assumptions'!G$97)*(1+'Biomass Data Assumptions'!C$83))*'Prac. Rec. Assumptions'!$B29</f>
        <v>4712.2064054138264</v>
      </c>
      <c r="G35" s="294">
        <f>($C35*(1+'Biomass Data Assumptions'!H$97)*(1+'Biomass Data Assumptions'!D$83))*'Prac. Rec. Assumptions'!$B29</f>
        <v>5099.1473118353306</v>
      </c>
      <c r="H35" s="294">
        <f>($C35*(1+'Biomass Data Assumptions'!I$97)*(1+'Biomass Data Assumptions'!E$83))*'Prac. Rec. Assumptions'!$B29</f>
        <v>5506.6212114054588</v>
      </c>
      <c r="I35" s="16" t="str">
        <f>IF('Conversion Tables'!F32="NA","NA",(E35*'Conversion Tables'!$C32)/'Conversion Tables'!F32)</f>
        <v>NA</v>
      </c>
      <c r="J35" s="16" t="str">
        <f>IF('Conversion Tables'!G32="NA","NA",(F35*'Conversion Tables'!$C32)/'Conversion Tables'!G32)</f>
        <v>NA</v>
      </c>
      <c r="K35" s="16" t="str">
        <f>IF('Conversion Tables'!H32="NA","NA",(G35*'Conversion Tables'!$C32)/'Conversion Tables'!H32)</f>
        <v>NA</v>
      </c>
      <c r="L35" s="16" t="str">
        <f>IF('Conversion Tables'!I32="NA","NA",(H35*'Conversion Tables'!$C32)/'Conversion Tables'!I32)</f>
        <v>NA</v>
      </c>
      <c r="M35" s="16" t="str">
        <f>IF('Conversion Tables'!K32="NA","NA",E35*'Conversion Tables'!K32)</f>
        <v>NA</v>
      </c>
      <c r="N35" s="16" t="str">
        <f>IF('Conversion Tables'!L32="NA","NA",F35*'Conversion Tables'!L32)</f>
        <v>NA</v>
      </c>
      <c r="O35" s="16" t="str">
        <f>IF('Conversion Tables'!M32="NA","NA",G35*'Conversion Tables'!M32)</f>
        <v>NA</v>
      </c>
      <c r="P35" s="16" t="str">
        <f>IF('Conversion Tables'!N32="NA","NA",H35*'Conversion Tables'!N32)</f>
        <v>NA</v>
      </c>
      <c r="Q35" s="7"/>
    </row>
    <row r="36" spans="1:17" x14ac:dyDescent="0.25">
      <c r="A36" s="1065"/>
      <c r="B36" s="4" t="s">
        <v>280</v>
      </c>
      <c r="C36" s="294"/>
      <c r="D36" s="294"/>
      <c r="E36" s="294"/>
      <c r="F36" s="294"/>
      <c r="G36" s="294"/>
      <c r="H36" s="294"/>
      <c r="I36" s="16"/>
      <c r="J36" s="16"/>
      <c r="K36" s="16"/>
      <c r="L36" s="16"/>
      <c r="M36" s="16"/>
      <c r="N36" s="16"/>
      <c r="O36" s="16"/>
      <c r="P36" s="16"/>
      <c r="Q36" s="7"/>
    </row>
    <row r="37" spans="1:17" x14ac:dyDescent="0.25">
      <c r="A37" s="1065"/>
      <c r="B37" s="677" t="s">
        <v>563</v>
      </c>
      <c r="C37" s="299">
        <f>C132</f>
        <v>5611.11</v>
      </c>
      <c r="D37" s="294">
        <f>E37*'Conversion Tables'!C34</f>
        <v>89777.76</v>
      </c>
      <c r="E37" s="294">
        <f>C37*'Prac. Rec. Assumptions'!B31</f>
        <v>5611.11</v>
      </c>
      <c r="F37" s="294">
        <f>($C37*(1+'Biomass Data Assumptions'!G$97)*(1+'Biomass Data Assumptions'!C$84))*'Prac. Rec. Assumptions'!$B31</f>
        <v>6311.7010516474547</v>
      </c>
      <c r="G37" s="294">
        <f>($C37*(1+'Biomass Data Assumptions'!H$97)*(1+'Biomass Data Assumptions'!D$84))*'Prac. Rec. Assumptions'!$B31</f>
        <v>7111.3556959958823</v>
      </c>
      <c r="H37" s="294">
        <f>($C37*(1+'Biomass Data Assumptions'!I$97)*(1+'Biomass Data Assumptions'!E$84))*'Prac. Rec. Assumptions'!$B31</f>
        <v>7995.9997890572731</v>
      </c>
      <c r="I37" s="16" t="str">
        <f>IF('Conversion Tables'!F34="NA","NA",(E37*'Conversion Tables'!$C34)/'Conversion Tables'!F34)</f>
        <v>NA</v>
      </c>
      <c r="J37" s="16" t="str">
        <f>IF('Conversion Tables'!G34="NA","NA",(F37*'Conversion Tables'!$C34)/'Conversion Tables'!G34)</f>
        <v>NA</v>
      </c>
      <c r="K37" s="16" t="str">
        <f>IF('Conversion Tables'!H34="NA","NA",(G37*'Conversion Tables'!$C34)/'Conversion Tables'!H34)</f>
        <v>NA</v>
      </c>
      <c r="L37" s="16" t="str">
        <f>IF('Conversion Tables'!I34="NA","NA",(H37*'Conversion Tables'!$C34)/'Conversion Tables'!I34)</f>
        <v>NA</v>
      </c>
      <c r="M37" s="16" t="str">
        <f>IF('Conversion Tables'!K34="NA","NA",E37*'Conversion Tables'!K34)</f>
        <v>NA</v>
      </c>
      <c r="N37" s="16" t="str">
        <f>IF('Conversion Tables'!L34="NA","NA",F37*'Conversion Tables'!L34)</f>
        <v>NA</v>
      </c>
      <c r="O37" s="16" t="str">
        <f>IF('Conversion Tables'!M34="NA","NA",G37*'Conversion Tables'!M34)</f>
        <v>NA</v>
      </c>
      <c r="P37" s="16" t="str">
        <f>IF('Conversion Tables'!N34="NA","NA",H37*'Conversion Tables'!N34)</f>
        <v>NA</v>
      </c>
      <c r="Q37" s="18"/>
    </row>
    <row r="38" spans="1:17" x14ac:dyDescent="0.25">
      <c r="A38" s="1065"/>
      <c r="B38" s="11" t="s">
        <v>565</v>
      </c>
      <c r="C38" s="294">
        <f>C134</f>
        <v>6328.9680000000008</v>
      </c>
      <c r="D38" s="294">
        <f>E38*'Conversion Tables'!C35</f>
        <v>56011.366800000003</v>
      </c>
      <c r="E38" s="294">
        <f>C38*'Prac. Rec. Assumptions'!B32</f>
        <v>3164.4840000000004</v>
      </c>
      <c r="F38" s="294">
        <f>($C38*(1+'Biomass Data Assumptions'!G$97)*(1+'Biomass Data Assumptions'!C$84))*'Prac. Rec. Assumptions'!$B32</f>
        <v>3559.594624008716</v>
      </c>
      <c r="G38" s="294">
        <f>($C38*(1+'Biomass Data Assumptions'!H$97)*(1+'Biomass Data Assumptions'!D$84))*'Prac. Rec. Assumptions'!$B32</f>
        <v>4010.5739004025645</v>
      </c>
      <c r="H38" s="294">
        <f>($C38*(1+'Biomass Data Assumptions'!I$97)*(1+'Biomass Data Assumptions'!E$84))*'Prac. Rec. Assumptions'!$B32</f>
        <v>4509.4844685766493</v>
      </c>
      <c r="I38" s="16" t="str">
        <f>IF('Conversion Tables'!F35="NA","NA",(E38*'Conversion Tables'!$C35)/'Conversion Tables'!F35)</f>
        <v>NA</v>
      </c>
      <c r="J38" s="16" t="str">
        <f>IF('Conversion Tables'!G35="NA","NA",(F38*'Conversion Tables'!$C35)/'Conversion Tables'!G35)</f>
        <v>NA</v>
      </c>
      <c r="K38" s="16" t="str">
        <f>IF('Conversion Tables'!H35="NA","NA",(G38*'Conversion Tables'!$C35)/'Conversion Tables'!H35)</f>
        <v>NA</v>
      </c>
      <c r="L38" s="16" t="str">
        <f>IF('Conversion Tables'!I35="NA","NA",(H38*'Conversion Tables'!$C35)/'Conversion Tables'!I35)</f>
        <v>NA</v>
      </c>
      <c r="M38" s="16" t="str">
        <f>IF('Conversion Tables'!K35="NA","NA",E38*'Conversion Tables'!K35)</f>
        <v>NA</v>
      </c>
      <c r="N38" s="16" t="str">
        <f>IF('Conversion Tables'!L35="NA","NA",F38*'Conversion Tables'!L35)</f>
        <v>NA</v>
      </c>
      <c r="O38" s="16" t="str">
        <f>IF('Conversion Tables'!M35="NA","NA",G38*'Conversion Tables'!M35)</f>
        <v>NA</v>
      </c>
      <c r="P38" s="16" t="str">
        <f>IF('Conversion Tables'!N35="NA","NA",H38*'Conversion Tables'!N35)</f>
        <v>NA</v>
      </c>
      <c r="Q38" s="13"/>
    </row>
    <row r="39" spans="1:17" x14ac:dyDescent="0.25">
      <c r="A39" s="1065"/>
      <c r="B39" s="17" t="s">
        <v>555</v>
      </c>
      <c r="C39" s="294">
        <f>C124</f>
        <v>15047.388000000001</v>
      </c>
      <c r="D39" s="299">
        <f>E39*'Conversion Tables'!C36</f>
        <v>0</v>
      </c>
      <c r="E39" s="299">
        <f>C39*'Prac. Rec. Assumptions'!B33</f>
        <v>0</v>
      </c>
      <c r="F39" s="294">
        <f>($C39*(1+'Biomass Data Assumptions'!G$97)*(1+'Biomass Data Assumptions'!C$84))*'Prac. Rec. Assumptions'!$B33</f>
        <v>0</v>
      </c>
      <c r="G39" s="294">
        <f>($C39*(1+'Biomass Data Assumptions'!H$97)*(1+'Biomass Data Assumptions'!D$84))*'Prac. Rec. Assumptions'!$B33</f>
        <v>0</v>
      </c>
      <c r="H39" s="294">
        <f>($C39*(1+'Biomass Data Assumptions'!I$97)*(1+'Biomass Data Assumptions'!E$84))*'Prac. Rec. Assumptions'!$B33</f>
        <v>0</v>
      </c>
      <c r="I39" s="16" t="str">
        <f>IF('Conversion Tables'!F36="NA","NA",(E39*'Conversion Tables'!$C36)/'Conversion Tables'!F36)</f>
        <v>NA</v>
      </c>
      <c r="J39" s="16" t="str">
        <f>IF('Conversion Tables'!G36="NA","NA",(F39*'Conversion Tables'!$C36)/'Conversion Tables'!G36)</f>
        <v>NA</v>
      </c>
      <c r="K39" s="16" t="str">
        <f>IF('Conversion Tables'!H36="NA","NA",(G39*'Conversion Tables'!$C36)/'Conversion Tables'!H36)</f>
        <v>NA</v>
      </c>
      <c r="L39" s="16" t="str">
        <f>IF('Conversion Tables'!I36="NA","NA",(H39*'Conversion Tables'!$C36)/'Conversion Tables'!I36)</f>
        <v>NA</v>
      </c>
      <c r="M39" s="16" t="str">
        <f>IF('Conversion Tables'!K36="NA","NA",E39*'Conversion Tables'!K36)</f>
        <v>NA</v>
      </c>
      <c r="N39" s="16" t="str">
        <f>IF('Conversion Tables'!L36="NA","NA",F39*'Conversion Tables'!L36)</f>
        <v>NA</v>
      </c>
      <c r="O39" s="16" t="str">
        <f>IF('Conversion Tables'!M36="NA","NA",G39*'Conversion Tables'!M36)</f>
        <v>NA</v>
      </c>
      <c r="P39" s="16" t="str">
        <f>IF('Conversion Tables'!N36="NA","NA",H39*'Conversion Tables'!N36)</f>
        <v>NA</v>
      </c>
      <c r="Q39" s="27"/>
    </row>
    <row r="40" spans="1:17" x14ac:dyDescent="0.25">
      <c r="A40" s="1065"/>
      <c r="B40" s="17" t="s">
        <v>556</v>
      </c>
      <c r="C40" s="294">
        <f>C125</f>
        <v>2523.7799999999997</v>
      </c>
      <c r="D40" s="299">
        <f>E40*'Conversion Tables'!C37</f>
        <v>0</v>
      </c>
      <c r="E40" s="299">
        <f>C40*'Prac. Rec. Assumptions'!B34</f>
        <v>0</v>
      </c>
      <c r="F40" s="294">
        <f>($C40*(1+'Biomass Data Assumptions'!G$97)*(1+'Biomass Data Assumptions'!C$84))*'Prac. Rec. Assumptions'!$B34</f>
        <v>0</v>
      </c>
      <c r="G40" s="294">
        <f>($C40*(1+'Biomass Data Assumptions'!H$97)*(1+'Biomass Data Assumptions'!D$84))*'Prac. Rec. Assumptions'!$B34</f>
        <v>0</v>
      </c>
      <c r="H40" s="294">
        <f>($C40*(1+'Biomass Data Assumptions'!I$97)*(1+'Biomass Data Assumptions'!E$84))*'Prac. Rec. Assumptions'!$B34</f>
        <v>0</v>
      </c>
      <c r="I40" s="16" t="str">
        <f>IF('Conversion Tables'!F37="NA","NA",(E40*'Conversion Tables'!$C37)/'Conversion Tables'!F37)</f>
        <v>NA</v>
      </c>
      <c r="J40" s="16" t="str">
        <f>IF('Conversion Tables'!G37="NA","NA",(F40*'Conversion Tables'!$C37)/'Conversion Tables'!G37)</f>
        <v>NA</v>
      </c>
      <c r="K40" s="16" t="str">
        <f>IF('Conversion Tables'!H37="NA","NA",(G40*'Conversion Tables'!$C37)/'Conversion Tables'!H37)</f>
        <v>NA</v>
      </c>
      <c r="L40" s="16" t="str">
        <f>IF('Conversion Tables'!I37="NA","NA",(H40*'Conversion Tables'!$C37)/'Conversion Tables'!I37)</f>
        <v>NA</v>
      </c>
      <c r="M40" s="16" t="str">
        <f>IF('Conversion Tables'!K37="NA","NA",E40*'Conversion Tables'!K37)</f>
        <v>NA</v>
      </c>
      <c r="N40" s="16" t="str">
        <f>IF('Conversion Tables'!L37="NA","NA",F40*'Conversion Tables'!L37)</f>
        <v>NA</v>
      </c>
      <c r="O40" s="16" t="str">
        <f>IF('Conversion Tables'!M37="NA","NA",G40*'Conversion Tables'!M37)</f>
        <v>NA</v>
      </c>
      <c r="P40" s="16" t="str">
        <f>IF('Conversion Tables'!N37="NA","NA",H40*'Conversion Tables'!N37)</f>
        <v>NA</v>
      </c>
      <c r="Q40" s="27"/>
    </row>
    <row r="41" spans="1:17" x14ac:dyDescent="0.25">
      <c r="A41" s="1065"/>
      <c r="B41" s="17" t="s">
        <v>557</v>
      </c>
      <c r="C41" s="294">
        <f>C126</f>
        <v>4099.05</v>
      </c>
      <c r="D41" s="299">
        <f>E41*'Conversion Tables'!C38</f>
        <v>0</v>
      </c>
      <c r="E41" s="299">
        <f>C41*'Prac. Rec. Assumptions'!B35</f>
        <v>0</v>
      </c>
      <c r="F41" s="294">
        <f>($C41*(1+'Biomass Data Assumptions'!G$97)*(1+'Biomass Data Assumptions'!C$84))*'Prac. Rec. Assumptions'!$B35</f>
        <v>0</v>
      </c>
      <c r="G41" s="294">
        <f>($C41*(1+'Biomass Data Assumptions'!H$97)*(1+'Biomass Data Assumptions'!D$84))*'Prac. Rec. Assumptions'!$B35</f>
        <v>0</v>
      </c>
      <c r="H41" s="294">
        <f>($C41*(1+'Biomass Data Assumptions'!I$97)*(1+'Biomass Data Assumptions'!E$84))*'Prac. Rec. Assumptions'!$B35</f>
        <v>0</v>
      </c>
      <c r="I41" s="16" t="str">
        <f>IF('Conversion Tables'!F38="NA","NA",(E41*'Conversion Tables'!$C38)/'Conversion Tables'!F38)</f>
        <v>NA</v>
      </c>
      <c r="J41" s="16" t="str">
        <f>IF('Conversion Tables'!G38="NA","NA",(F41*'Conversion Tables'!$C38)/'Conversion Tables'!G38)</f>
        <v>NA</v>
      </c>
      <c r="K41" s="16" t="str">
        <f>IF('Conversion Tables'!H38="NA","NA",(G41*'Conversion Tables'!$C38)/'Conversion Tables'!H38)</f>
        <v>NA</v>
      </c>
      <c r="L41" s="16" t="str">
        <f>IF('Conversion Tables'!I38="NA","NA",(H41*'Conversion Tables'!$C38)/'Conversion Tables'!I38)</f>
        <v>NA</v>
      </c>
      <c r="M41" s="16" t="str">
        <f>IF('Conversion Tables'!K38="NA","NA",E41*'Conversion Tables'!K38)</f>
        <v>NA</v>
      </c>
      <c r="N41" s="16" t="str">
        <f>IF('Conversion Tables'!L38="NA","NA",F41*'Conversion Tables'!L38)</f>
        <v>NA</v>
      </c>
      <c r="O41" s="16" t="str">
        <f>IF('Conversion Tables'!M38="NA","NA",G41*'Conversion Tables'!M38)</f>
        <v>NA</v>
      </c>
      <c r="P41" s="16" t="str">
        <f>IF('Conversion Tables'!N38="NA","NA",H41*'Conversion Tables'!N38)</f>
        <v>NA</v>
      </c>
      <c r="Q41" s="27"/>
    </row>
    <row r="42" spans="1:17" x14ac:dyDescent="0.25">
      <c r="A42" s="1065"/>
      <c r="B42" s="17" t="s">
        <v>558</v>
      </c>
      <c r="C42" s="294">
        <f>C127</f>
        <v>1161.8820000000001</v>
      </c>
      <c r="D42" s="299">
        <f>E42*'Conversion Tables'!C39</f>
        <v>16872.850404000001</v>
      </c>
      <c r="E42" s="299">
        <f>C42*'Prac. Rec. Assumptions'!B36</f>
        <v>1161.8820000000001</v>
      </c>
      <c r="F42" s="294">
        <f>($C42*(1+'Biomass Data Assumptions'!G$97)*(1+'Biomass Data Assumptions'!C$84))*'Prac. Rec. Assumptions'!$B36</f>
        <v>1306.9520721016427</v>
      </c>
      <c r="G42" s="294">
        <f>($C42*(1+'Biomass Data Assumptions'!H$97)*(1+'Biomass Data Assumptions'!D$84))*'Prac. Rec. Assumptions'!$B36</f>
        <v>1472.5350561252742</v>
      </c>
      <c r="H42" s="294">
        <f>($C42*(1+'Biomass Data Assumptions'!I$97)*(1+'Biomass Data Assumptions'!E$84))*'Prac. Rec. Assumptions'!$B36</f>
        <v>1655.7166455317119</v>
      </c>
      <c r="I42" s="16" t="str">
        <f>IF('Conversion Tables'!F39="NA","NA",(E42*'Conversion Tables'!$C39)/'Conversion Tables'!F39)</f>
        <v>NA</v>
      </c>
      <c r="J42" s="16" t="str">
        <f>IF('Conversion Tables'!G39="NA","NA",(F42*'Conversion Tables'!$C39)/'Conversion Tables'!G39)</f>
        <v>NA</v>
      </c>
      <c r="K42" s="16" t="str">
        <f>IF('Conversion Tables'!H39="NA","NA",(G42*'Conversion Tables'!$C39)/'Conversion Tables'!H39)</f>
        <v>NA</v>
      </c>
      <c r="L42" s="16" t="str">
        <f>IF('Conversion Tables'!I39="NA","NA",(H42*'Conversion Tables'!$C39)/'Conversion Tables'!I39)</f>
        <v>NA</v>
      </c>
      <c r="M42" s="16" t="str">
        <f>IF('Conversion Tables'!K39="NA","NA",E42*'Conversion Tables'!K39)</f>
        <v>NA</v>
      </c>
      <c r="N42" s="16" t="str">
        <f>IF('Conversion Tables'!L39="NA","NA",F42*'Conversion Tables'!L39)</f>
        <v>NA</v>
      </c>
      <c r="O42" s="16" t="str">
        <f>IF('Conversion Tables'!M39="NA","NA",G42*'Conversion Tables'!M39)</f>
        <v>NA</v>
      </c>
      <c r="P42" s="16" t="str">
        <f>IF('Conversion Tables'!N39="NA","NA",H42*'Conversion Tables'!N39)</f>
        <v>NA</v>
      </c>
      <c r="Q42" s="27"/>
    </row>
    <row r="43" spans="1:17" x14ac:dyDescent="0.25">
      <c r="A43" s="1065"/>
      <c r="B43" s="9" t="s">
        <v>524</v>
      </c>
      <c r="C43" s="295">
        <f t="shared" ref="C43:P43" si="4">SUM(C31:C42)</f>
        <v>82226.855686400013</v>
      </c>
      <c r="D43" s="295">
        <f t="shared" si="4"/>
        <v>683302.72910938947</v>
      </c>
      <c r="E43" s="295">
        <f t="shared" si="4"/>
        <v>44505.044050560013</v>
      </c>
      <c r="F43" s="295">
        <f t="shared" si="4"/>
        <v>46942.064831577358</v>
      </c>
      <c r="G43" s="295">
        <f t="shared" si="4"/>
        <v>49666.790094919961</v>
      </c>
      <c r="H43" s="295">
        <f t="shared" si="4"/>
        <v>52522.852510081546</v>
      </c>
      <c r="I43" s="19">
        <f t="shared" si="4"/>
        <v>0</v>
      </c>
      <c r="J43" s="19">
        <f t="shared" si="4"/>
        <v>0</v>
      </c>
      <c r="K43" s="19">
        <f t="shared" si="4"/>
        <v>0</v>
      </c>
      <c r="L43" s="19">
        <f t="shared" si="4"/>
        <v>0</v>
      </c>
      <c r="M43" s="19">
        <f t="shared" si="4"/>
        <v>0</v>
      </c>
      <c r="N43" s="19">
        <f t="shared" si="4"/>
        <v>0</v>
      </c>
      <c r="O43" s="19">
        <f t="shared" si="4"/>
        <v>0</v>
      </c>
      <c r="P43" s="19">
        <f t="shared" si="4"/>
        <v>0</v>
      </c>
      <c r="Q43" s="19"/>
    </row>
    <row r="44" spans="1:17" x14ac:dyDescent="0.25">
      <c r="A44" s="8"/>
      <c r="C44" s="296"/>
      <c r="D44" s="296"/>
      <c r="E44" s="296"/>
      <c r="F44" s="296"/>
      <c r="G44" s="296"/>
      <c r="H44" s="296"/>
      <c r="I44" s="28"/>
      <c r="J44" s="28"/>
      <c r="K44" s="28"/>
      <c r="L44" s="28"/>
      <c r="M44" s="28"/>
      <c r="N44" s="28"/>
      <c r="O44" s="28"/>
      <c r="P44" s="28"/>
    </row>
    <row r="45" spans="1:17" x14ac:dyDescent="0.25">
      <c r="A45" s="1064" t="s">
        <v>515</v>
      </c>
      <c r="B45" s="2" t="s">
        <v>510</v>
      </c>
      <c r="C45" s="294"/>
      <c r="D45" s="294"/>
      <c r="E45" s="294"/>
      <c r="F45" s="294"/>
      <c r="G45" s="294"/>
      <c r="H45" s="294"/>
      <c r="I45" s="16"/>
      <c r="J45" s="16"/>
      <c r="K45" s="16"/>
      <c r="L45" s="16"/>
      <c r="M45" s="16"/>
      <c r="N45" s="16"/>
      <c r="O45" s="16"/>
      <c r="P45" s="16"/>
      <c r="Q45" s="7"/>
    </row>
    <row r="46" spans="1:17" x14ac:dyDescent="0.25">
      <c r="A46" s="1064"/>
      <c r="B46" s="12" t="s">
        <v>525</v>
      </c>
      <c r="C46" s="294">
        <f>D77</f>
        <v>8219.52</v>
      </c>
      <c r="D46" s="294">
        <f>E46*'Conversion Tables'!C41</f>
        <v>0</v>
      </c>
      <c r="E46" s="294">
        <f>C46*'Prac. Rec. Assumptions'!B38</f>
        <v>8219.52</v>
      </c>
      <c r="F46" s="294">
        <f>$E46</f>
        <v>8219.52</v>
      </c>
      <c r="G46" s="294">
        <f>$E46</f>
        <v>8219.52</v>
      </c>
      <c r="H46" s="294">
        <f>$E46</f>
        <v>8219.52</v>
      </c>
      <c r="I46" s="16" t="str">
        <f>IF('Conversion Tables'!F41="NA","NA",(E46*'Conversion Tables'!$C41)/'Conversion Tables'!F41)</f>
        <v>NA</v>
      </c>
      <c r="J46" s="16" t="str">
        <f>IF('Conversion Tables'!G41="NA","NA",(F46*'Conversion Tables'!$C41)/'Conversion Tables'!G41)</f>
        <v>NA</v>
      </c>
      <c r="K46" s="16" t="str">
        <f>IF('Conversion Tables'!H41="NA","NA",(G46*'Conversion Tables'!$C41)/'Conversion Tables'!H41)</f>
        <v>NA</v>
      </c>
      <c r="L46" s="16" t="str">
        <f>IF('Conversion Tables'!I41="NA","NA",(H46*'Conversion Tables'!$C41)/'Conversion Tables'!I41)</f>
        <v>NA</v>
      </c>
      <c r="M46" s="16" t="str">
        <f>IF('Conversion Tables'!K41="NA","NA",E46*'Conversion Tables'!K41)</f>
        <v>NA</v>
      </c>
      <c r="N46" s="16" t="str">
        <f>IF('Conversion Tables'!L41="NA","NA",F46*'Conversion Tables'!L41)</f>
        <v>NA</v>
      </c>
      <c r="O46" s="16" t="str">
        <f>IF('Conversion Tables'!M41="NA","NA",G46*'Conversion Tables'!M41)</f>
        <v>NA</v>
      </c>
      <c r="P46" s="16" t="str">
        <f>IF('Conversion Tables'!N41="NA","NA",H46*'Conversion Tables'!N41)</f>
        <v>NA</v>
      </c>
      <c r="Q46" s="15"/>
    </row>
    <row r="47" spans="1:17" x14ac:dyDescent="0.25">
      <c r="A47" s="1065"/>
      <c r="B47" s="2" t="s">
        <v>508</v>
      </c>
      <c r="C47" s="294">
        <f t="shared" ref="C47:C48" si="5">C148</f>
        <v>586.79852000000005</v>
      </c>
      <c r="D47" s="294"/>
      <c r="E47" s="294">
        <f>C47*'Prac. Rec. Assumptions'!B39</f>
        <v>293.39926000000003</v>
      </c>
      <c r="F47" s="294">
        <f>($C47*(1+'Biomass Data Assumptions'!G$97))*'Prac. Rec. Assumptions'!$B39</f>
        <v>301.81951937500003</v>
      </c>
      <c r="G47" s="294">
        <f>($C47*(1+'Biomass Data Assumptions'!H$97))*'Prac. Rec. Assumptions'!$B39</f>
        <v>310.98824624999997</v>
      </c>
      <c r="H47" s="294">
        <f>($C47*(1+'Biomass Data Assumptions'!I$97))*'Prac. Rec. Assumptions'!$B39</f>
        <v>319.78273937500001</v>
      </c>
      <c r="I47" s="16" t="str">
        <f>IF('Conversion Tables'!F42="NA","NA",(E47*'Conversion Tables'!$C42)/'Conversion Tables'!F42)</f>
        <v>NA</v>
      </c>
      <c r="J47" s="16" t="str">
        <f>IF('Conversion Tables'!G42="NA","NA",(F47*'Conversion Tables'!$C42)/'Conversion Tables'!G42)</f>
        <v>NA</v>
      </c>
      <c r="K47" s="16" t="str">
        <f>IF('Conversion Tables'!H42="NA","NA",(G47*'Conversion Tables'!$C42)/'Conversion Tables'!H42)</f>
        <v>NA</v>
      </c>
      <c r="L47" s="16" t="str">
        <f>IF('Conversion Tables'!I42="NA","NA",(H47*'Conversion Tables'!$C42)/'Conversion Tables'!I42)</f>
        <v>NA</v>
      </c>
      <c r="M47" s="16" t="str">
        <f>IF('Conversion Tables'!K42="NA","NA",E47*'Conversion Tables'!K42)</f>
        <v>NA</v>
      </c>
      <c r="N47" s="16" t="str">
        <f>IF('Conversion Tables'!L42="NA","NA",F47*'Conversion Tables'!L42)</f>
        <v>NA</v>
      </c>
      <c r="O47" s="16" t="str">
        <f>IF('Conversion Tables'!M42="NA","NA",G47*'Conversion Tables'!M42)</f>
        <v>NA</v>
      </c>
      <c r="P47" s="16" t="str">
        <f>IF('Conversion Tables'!N42="NA","NA",H47*'Conversion Tables'!N42)</f>
        <v>NA</v>
      </c>
      <c r="Q47" s="7"/>
    </row>
    <row r="48" spans="1:17" x14ac:dyDescent="0.25">
      <c r="A48" s="1065"/>
      <c r="B48" s="1" t="s">
        <v>509</v>
      </c>
      <c r="C48" s="294">
        <f t="shared" si="5"/>
        <v>52.443156500000001</v>
      </c>
      <c r="D48" s="294"/>
      <c r="E48" s="294">
        <f>C48*'Prac. Rec. Assumptions'!B40</f>
        <v>52.443156500000001</v>
      </c>
      <c r="F48" s="294">
        <f>($C48*(1+'Biomass Data Assumptions'!G$97))*'Prac. Rec. Assumptions'!$B40</f>
        <v>53.948221578124993</v>
      </c>
      <c r="G48" s="294">
        <f>($C48*(1+'Biomass Data Assumptions'!H$97))*'Prac. Rec. Assumptions'!$B40</f>
        <v>55.587070218749993</v>
      </c>
      <c r="H48" s="294">
        <f>($C48*(1+'Biomass Data Assumptions'!I$97))*'Prac. Rec. Assumptions'!$B40</f>
        <v>57.159027078125</v>
      </c>
      <c r="I48" s="16" t="str">
        <f>IF('Conversion Tables'!F43="NA","NA",(E48*'Conversion Tables'!$C43)/'Conversion Tables'!F43)</f>
        <v>NA</v>
      </c>
      <c r="J48" s="16" t="str">
        <f>IF('Conversion Tables'!G43="NA","NA",(F48*'Conversion Tables'!$C43)/'Conversion Tables'!G43)</f>
        <v>NA</v>
      </c>
      <c r="K48" s="16" t="str">
        <f>IF('Conversion Tables'!H43="NA","NA",(G48*'Conversion Tables'!$C43)/'Conversion Tables'!H43)</f>
        <v>NA</v>
      </c>
      <c r="L48" s="16" t="str">
        <f>IF('Conversion Tables'!I43="NA","NA",(H48*'Conversion Tables'!$C43)/'Conversion Tables'!I43)</f>
        <v>NA</v>
      </c>
      <c r="M48" s="16" t="str">
        <f>IF('Conversion Tables'!K43="NA","NA",E48*'Conversion Tables'!K43)</f>
        <v>NA</v>
      </c>
      <c r="N48" s="16" t="str">
        <f>IF('Conversion Tables'!L43="NA","NA",F48*'Conversion Tables'!L43)</f>
        <v>NA</v>
      </c>
      <c r="O48" s="16" t="str">
        <f>IF('Conversion Tables'!M43="NA","NA",G48*'Conversion Tables'!M43)</f>
        <v>NA</v>
      </c>
      <c r="P48" s="16" t="str">
        <f>IF('Conversion Tables'!N43="NA","NA",H48*'Conversion Tables'!N43)</f>
        <v>NA</v>
      </c>
      <c r="Q48" s="7"/>
    </row>
    <row r="49" spans="1:17" x14ac:dyDescent="0.25">
      <c r="A49" s="1065"/>
      <c r="B49" s="9" t="s">
        <v>524</v>
      </c>
      <c r="C49" s="295">
        <f t="shared" ref="C49:P49" si="6">SUM(C45:C48)</f>
        <v>8858.7616765000002</v>
      </c>
      <c r="D49" s="295">
        <f>SUM(D45:D48)</f>
        <v>0</v>
      </c>
      <c r="E49" s="295">
        <f t="shared" si="6"/>
        <v>8565.3624165000001</v>
      </c>
      <c r="F49" s="295">
        <f>SUM(F45:F48)</f>
        <v>8575.2877409531247</v>
      </c>
      <c r="G49" s="295">
        <f>SUM(G45:G48)</f>
        <v>8586.0953164687489</v>
      </c>
      <c r="H49" s="295">
        <f>SUM(H45:H48)</f>
        <v>8596.4617664531252</v>
      </c>
      <c r="I49" s="19">
        <f t="shared" si="6"/>
        <v>0</v>
      </c>
      <c r="J49" s="19">
        <f t="shared" si="6"/>
        <v>0</v>
      </c>
      <c r="K49" s="19">
        <f t="shared" si="6"/>
        <v>0</v>
      </c>
      <c r="L49" s="19">
        <f t="shared" si="6"/>
        <v>0</v>
      </c>
      <c r="M49" s="19">
        <f t="shared" si="6"/>
        <v>0</v>
      </c>
      <c r="N49" s="19">
        <f t="shared" si="6"/>
        <v>0</v>
      </c>
      <c r="O49" s="19">
        <f t="shared" si="6"/>
        <v>0</v>
      </c>
      <c r="P49" s="19">
        <f t="shared" si="6"/>
        <v>0</v>
      </c>
      <c r="Q49" s="19"/>
    </row>
    <row r="50" spans="1:17" x14ac:dyDescent="0.25">
      <c r="A50" s="8"/>
      <c r="C50" s="296"/>
      <c r="D50" s="296"/>
      <c r="E50" s="296"/>
      <c r="F50" s="296"/>
      <c r="G50" s="296"/>
      <c r="H50" s="296"/>
      <c r="I50" s="28"/>
      <c r="J50" s="28"/>
      <c r="K50" s="28"/>
      <c r="L50" s="28"/>
      <c r="M50" s="28"/>
      <c r="N50" s="28"/>
      <c r="O50" s="28"/>
      <c r="P50" s="28"/>
    </row>
    <row r="51" spans="1:17" x14ac:dyDescent="0.25">
      <c r="A51" s="1200" t="s">
        <v>517</v>
      </c>
      <c r="B51" s="2" t="s">
        <v>505</v>
      </c>
      <c r="C51" s="294"/>
      <c r="D51" s="294"/>
      <c r="E51" s="294"/>
      <c r="F51" s="294"/>
      <c r="G51" s="294"/>
      <c r="H51" s="294"/>
      <c r="I51" s="16"/>
      <c r="J51" s="16"/>
      <c r="K51" s="16"/>
      <c r="L51" s="16"/>
      <c r="M51" s="16"/>
      <c r="N51" s="16"/>
      <c r="O51" s="16"/>
      <c r="P51" s="16"/>
      <c r="Q51" s="7"/>
    </row>
    <row r="52" spans="1:17" x14ac:dyDescent="0.25">
      <c r="A52" s="1201"/>
      <c r="B52" s="12" t="s">
        <v>535</v>
      </c>
      <c r="C52" s="294">
        <f>G97</f>
        <v>657.11680000000001</v>
      </c>
      <c r="D52" s="299">
        <f>E52*'Conversion Tables'!C45</f>
        <v>1940.3344870399999</v>
      </c>
      <c r="E52" s="299">
        <f>C52*'Prac. Rec. Assumptions'!B42</f>
        <v>131.42336</v>
      </c>
      <c r="F52" s="294">
        <f t="shared" ref="F52:H59" si="7">$E52</f>
        <v>131.42336</v>
      </c>
      <c r="G52" s="294">
        <f t="shared" si="7"/>
        <v>131.42336</v>
      </c>
      <c r="H52" s="294">
        <f t="shared" si="7"/>
        <v>131.42336</v>
      </c>
      <c r="I52" s="16" t="str">
        <f>IF('Conversion Tables'!F45="NA","NA",(E52*'Conversion Tables'!$C45)/'Conversion Tables'!F45)</f>
        <v>NA</v>
      </c>
      <c r="J52" s="16" t="str">
        <f>IF('Conversion Tables'!G45="NA","NA",(F52*'Conversion Tables'!$C45)/'Conversion Tables'!G45)</f>
        <v>NA</v>
      </c>
      <c r="K52" s="16" t="str">
        <f>IF('Conversion Tables'!H45="NA","NA",(G52*'Conversion Tables'!$C45)/'Conversion Tables'!H45)</f>
        <v>NA</v>
      </c>
      <c r="L52" s="16" t="str">
        <f>IF('Conversion Tables'!I45="NA","NA",(H52*'Conversion Tables'!$C45)/'Conversion Tables'!I45)</f>
        <v>NA</v>
      </c>
      <c r="M52" s="16" t="str">
        <f>IF('Conversion Tables'!K45="NA","NA",E52*'Conversion Tables'!K45)</f>
        <v>NA</v>
      </c>
      <c r="N52" s="16" t="str">
        <f>IF('Conversion Tables'!L45="NA","NA",F52*'Conversion Tables'!L45)</f>
        <v>NA</v>
      </c>
      <c r="O52" s="16" t="str">
        <f>IF('Conversion Tables'!M45="NA","NA",G52*'Conversion Tables'!M45)</f>
        <v>NA</v>
      </c>
      <c r="P52" s="16" t="str">
        <f>IF('Conversion Tables'!N45="NA","NA",H52*'Conversion Tables'!N45)</f>
        <v>NA</v>
      </c>
      <c r="Q52" s="27"/>
    </row>
    <row r="53" spans="1:17" x14ac:dyDescent="0.25">
      <c r="A53" s="1201"/>
      <c r="B53" s="12" t="s">
        <v>539</v>
      </c>
      <c r="C53" s="294">
        <f>G104</f>
        <v>1450.588475</v>
      </c>
      <c r="D53" s="299">
        <f>E53*'Conversion Tables'!C46</f>
        <v>12849.892946939999</v>
      </c>
      <c r="E53" s="299">
        <f>C53*'Prac. Rec. Assumptions'!B43</f>
        <v>870.35308499999996</v>
      </c>
      <c r="F53" s="294">
        <f t="shared" si="7"/>
        <v>870.35308499999996</v>
      </c>
      <c r="G53" s="294">
        <f t="shared" si="7"/>
        <v>870.35308499999996</v>
      </c>
      <c r="H53" s="294">
        <f t="shared" si="7"/>
        <v>870.35308499999996</v>
      </c>
      <c r="I53" s="16" t="str">
        <f>IF('Conversion Tables'!F46="NA","NA",(E53*'Conversion Tables'!$C46)/'Conversion Tables'!F46)</f>
        <v>NA</v>
      </c>
      <c r="J53" s="16" t="str">
        <f>IF('Conversion Tables'!G46="NA","NA",(F53*'Conversion Tables'!$C46)/'Conversion Tables'!G46)</f>
        <v>NA</v>
      </c>
      <c r="K53" s="16" t="str">
        <f>IF('Conversion Tables'!H46="NA","NA",(G53*'Conversion Tables'!$C46)/'Conversion Tables'!H46)</f>
        <v>NA</v>
      </c>
      <c r="L53" s="16" t="str">
        <f>IF('Conversion Tables'!I46="NA","NA",(H53*'Conversion Tables'!$C46)/'Conversion Tables'!I46)</f>
        <v>NA</v>
      </c>
      <c r="M53" s="16" t="str">
        <f>IF('Conversion Tables'!K46="NA","NA",E53*'Conversion Tables'!K46)</f>
        <v>NA</v>
      </c>
      <c r="N53" s="16" t="str">
        <f>IF('Conversion Tables'!L46="NA","NA",F53*'Conversion Tables'!L46)</f>
        <v>NA</v>
      </c>
      <c r="O53" s="16" t="str">
        <f>IF('Conversion Tables'!M46="NA","NA",G53*'Conversion Tables'!M46)</f>
        <v>NA</v>
      </c>
      <c r="P53" s="16" t="str">
        <f>IF('Conversion Tables'!N46="NA","NA",H53*'Conversion Tables'!N46)</f>
        <v>NA</v>
      </c>
      <c r="Q53" s="27"/>
    </row>
    <row r="54" spans="1:17" x14ac:dyDescent="0.25">
      <c r="A54" s="1201"/>
      <c r="B54" s="12" t="s">
        <v>545</v>
      </c>
      <c r="C54" s="294">
        <f>G106</f>
        <v>3032.931</v>
      </c>
      <c r="D54" s="299">
        <f>E54*'Conversion Tables'!C47</f>
        <v>26866.915970399998</v>
      </c>
      <c r="E54" s="299">
        <f>C54*'Prac. Rec. Assumptions'!B44</f>
        <v>1819.7585999999999</v>
      </c>
      <c r="F54" s="294">
        <f t="shared" si="7"/>
        <v>1819.7585999999999</v>
      </c>
      <c r="G54" s="294">
        <f t="shared" si="7"/>
        <v>1819.7585999999999</v>
      </c>
      <c r="H54" s="294">
        <f t="shared" si="7"/>
        <v>1819.7585999999999</v>
      </c>
      <c r="I54" s="16" t="str">
        <f>IF('Conversion Tables'!F47="NA","NA",(E54*'Conversion Tables'!$C47)/'Conversion Tables'!F47)</f>
        <v>NA</v>
      </c>
      <c r="J54" s="16" t="str">
        <f>IF('Conversion Tables'!G47="NA","NA",(F54*'Conversion Tables'!$C47)/'Conversion Tables'!G47)</f>
        <v>NA</v>
      </c>
      <c r="K54" s="16" t="str">
        <f>IF('Conversion Tables'!H47="NA","NA",(G54*'Conversion Tables'!$C47)/'Conversion Tables'!H47)</f>
        <v>NA</v>
      </c>
      <c r="L54" s="16" t="str">
        <f>IF('Conversion Tables'!I47="NA","NA",(H54*'Conversion Tables'!$C47)/'Conversion Tables'!I47)</f>
        <v>NA</v>
      </c>
      <c r="M54" s="16" t="str">
        <f>IF('Conversion Tables'!K47="NA","NA",E54*'Conversion Tables'!K47)</f>
        <v>NA</v>
      </c>
      <c r="N54" s="16" t="str">
        <f>IF('Conversion Tables'!L47="NA","NA",F54*'Conversion Tables'!L47)</f>
        <v>NA</v>
      </c>
      <c r="O54" s="16" t="str">
        <f>IF('Conversion Tables'!M47="NA","NA",G54*'Conversion Tables'!M47)</f>
        <v>NA</v>
      </c>
      <c r="P54" s="16" t="str">
        <f>IF('Conversion Tables'!N47="NA","NA",H54*'Conversion Tables'!N47)</f>
        <v>NA</v>
      </c>
      <c r="Q54" s="27"/>
    </row>
    <row r="55" spans="1:17" x14ac:dyDescent="0.25">
      <c r="A55" s="1201"/>
      <c r="B55" s="12" t="s">
        <v>546</v>
      </c>
      <c r="C55" s="294">
        <f>G108</f>
        <v>22.173750000000002</v>
      </c>
      <c r="D55" s="299">
        <f>E55*'Conversion Tables'!C48</f>
        <v>65.474648999999999</v>
      </c>
      <c r="E55" s="299">
        <f>C55*'Prac. Rec. Assumptions'!B45</f>
        <v>4.4347500000000002</v>
      </c>
      <c r="F55" s="294">
        <f t="shared" si="7"/>
        <v>4.4347500000000002</v>
      </c>
      <c r="G55" s="294">
        <f t="shared" si="7"/>
        <v>4.4347500000000002</v>
      </c>
      <c r="H55" s="294">
        <f t="shared" si="7"/>
        <v>4.4347500000000002</v>
      </c>
      <c r="I55" s="16" t="str">
        <f>IF('Conversion Tables'!F48="NA","NA",(E55*'Conversion Tables'!$C48)/'Conversion Tables'!F48)</f>
        <v>NA</v>
      </c>
      <c r="J55" s="16" t="str">
        <f>IF('Conversion Tables'!G48="NA","NA",(F55*'Conversion Tables'!$C48)/'Conversion Tables'!G48)</f>
        <v>NA</v>
      </c>
      <c r="K55" s="16" t="str">
        <f>IF('Conversion Tables'!H48="NA","NA",(G55*'Conversion Tables'!$C48)/'Conversion Tables'!H48)</f>
        <v>NA</v>
      </c>
      <c r="L55" s="16" t="str">
        <f>IF('Conversion Tables'!I48="NA","NA",(H55*'Conversion Tables'!$C48)/'Conversion Tables'!I48)</f>
        <v>NA</v>
      </c>
      <c r="M55" s="16" t="str">
        <f>IF('Conversion Tables'!K48="NA","NA",E55*'Conversion Tables'!K48)</f>
        <v>NA</v>
      </c>
      <c r="N55" s="16" t="str">
        <f>IF('Conversion Tables'!L48="NA","NA",F55*'Conversion Tables'!L48)</f>
        <v>NA</v>
      </c>
      <c r="O55" s="16" t="str">
        <f>IF('Conversion Tables'!M48="NA","NA",G55*'Conversion Tables'!M48)</f>
        <v>NA</v>
      </c>
      <c r="P55" s="16" t="str">
        <f>IF('Conversion Tables'!N48="NA","NA",H55*'Conversion Tables'!N48)</f>
        <v>NA</v>
      </c>
      <c r="Q55" s="27"/>
    </row>
    <row r="56" spans="1:17" x14ac:dyDescent="0.25">
      <c r="A56" s="1201"/>
      <c r="B56" s="12" t="s">
        <v>547</v>
      </c>
      <c r="C56" s="294">
        <f>G110</f>
        <v>100.24724999999999</v>
      </c>
      <c r="D56" s="299">
        <f>E56*'Conversion Tables'!C49</f>
        <v>296.01007979999997</v>
      </c>
      <c r="E56" s="299">
        <f>C56*'Prac. Rec. Assumptions'!B46</f>
        <v>20.04945</v>
      </c>
      <c r="F56" s="294">
        <f t="shared" si="7"/>
        <v>20.04945</v>
      </c>
      <c r="G56" s="294">
        <f t="shared" si="7"/>
        <v>20.04945</v>
      </c>
      <c r="H56" s="294">
        <f t="shared" si="7"/>
        <v>20.04945</v>
      </c>
      <c r="I56" s="16" t="str">
        <f>IF('Conversion Tables'!F49="NA","NA",(E56*'Conversion Tables'!$C49)/'Conversion Tables'!F49)</f>
        <v>NA</v>
      </c>
      <c r="J56" s="16" t="str">
        <f>IF('Conversion Tables'!G49="NA","NA",(F56*'Conversion Tables'!$C49)/'Conversion Tables'!G49)</f>
        <v>NA</v>
      </c>
      <c r="K56" s="16" t="str">
        <f>IF('Conversion Tables'!H49="NA","NA",(G56*'Conversion Tables'!$C49)/'Conversion Tables'!H49)</f>
        <v>NA</v>
      </c>
      <c r="L56" s="16" t="str">
        <f>IF('Conversion Tables'!I49="NA","NA",(H56*'Conversion Tables'!$C49)/'Conversion Tables'!I49)</f>
        <v>NA</v>
      </c>
      <c r="M56" s="16" t="str">
        <f>IF('Conversion Tables'!K49="NA","NA",E56*'Conversion Tables'!K49)</f>
        <v>NA</v>
      </c>
      <c r="N56" s="16" t="str">
        <f>IF('Conversion Tables'!L49="NA","NA",F56*'Conversion Tables'!L49)</f>
        <v>NA</v>
      </c>
      <c r="O56" s="16" t="str">
        <f>IF('Conversion Tables'!M49="NA","NA",G56*'Conversion Tables'!M49)</f>
        <v>NA</v>
      </c>
      <c r="P56" s="16" t="str">
        <f>IF('Conversion Tables'!N49="NA","NA",H56*'Conversion Tables'!N49)</f>
        <v>NA</v>
      </c>
      <c r="Q56" s="27"/>
    </row>
    <row r="57" spans="1:17" x14ac:dyDescent="0.25">
      <c r="A57" s="1201"/>
      <c r="B57" s="133" t="s">
        <v>605</v>
      </c>
      <c r="C57" s="294">
        <f>G115</f>
        <v>233.30799999999999</v>
      </c>
      <c r="D57" s="299">
        <f>E57*'Conversion Tables'!C50</f>
        <v>1722.2796559999999</v>
      </c>
      <c r="E57" s="299">
        <f>C57*'Prac. Rec. Assumptions'!B47</f>
        <v>116.654</v>
      </c>
      <c r="F57" s="294">
        <f t="shared" si="7"/>
        <v>116.654</v>
      </c>
      <c r="G57" s="294">
        <f t="shared" si="7"/>
        <v>116.654</v>
      </c>
      <c r="H57" s="294">
        <f t="shared" si="7"/>
        <v>116.654</v>
      </c>
      <c r="I57" s="16" t="str">
        <f>IF('Conversion Tables'!F50="NA","NA",(E57*'Conversion Tables'!$C50)/'Conversion Tables'!F50)</f>
        <v>NA</v>
      </c>
      <c r="J57" s="16" t="str">
        <f>IF('Conversion Tables'!G50="NA","NA",(F57*'Conversion Tables'!$C50)/'Conversion Tables'!G50)</f>
        <v>NA</v>
      </c>
      <c r="K57" s="16" t="str">
        <f>IF('Conversion Tables'!H50="NA","NA",(G57*'Conversion Tables'!$C50)/'Conversion Tables'!H50)</f>
        <v>NA</v>
      </c>
      <c r="L57" s="16" t="str">
        <f>IF('Conversion Tables'!I50="NA","NA",(H57*'Conversion Tables'!$C50)/'Conversion Tables'!I50)</f>
        <v>NA</v>
      </c>
      <c r="M57" s="16" t="str">
        <f>IF('Conversion Tables'!K50="NA","NA",E57*'Conversion Tables'!K50)</f>
        <v>NA</v>
      </c>
      <c r="N57" s="16" t="str">
        <f>IF('Conversion Tables'!L50="NA","NA",F57*'Conversion Tables'!L50)</f>
        <v>NA</v>
      </c>
      <c r="O57" s="16" t="str">
        <f>IF('Conversion Tables'!M50="NA","NA",G57*'Conversion Tables'!M50)</f>
        <v>NA</v>
      </c>
      <c r="P57" s="16" t="str">
        <f>IF('Conversion Tables'!N50="NA","NA",H57*'Conversion Tables'!N50)</f>
        <v>NA</v>
      </c>
      <c r="Q57" s="27"/>
    </row>
    <row r="58" spans="1:17" x14ac:dyDescent="0.25">
      <c r="A58" s="1201"/>
      <c r="B58" s="12" t="s">
        <v>551</v>
      </c>
      <c r="C58" s="294">
        <f>G117</f>
        <v>377.22750000000002</v>
      </c>
      <c r="D58" s="299">
        <f>E58*'Conversion Tables'!C51</f>
        <v>4526.7300000000005</v>
      </c>
      <c r="E58" s="299">
        <f>C58*'Prac. Rec. Assumptions'!B48</f>
        <v>377.22750000000002</v>
      </c>
      <c r="F58" s="294">
        <f t="shared" si="7"/>
        <v>377.22750000000002</v>
      </c>
      <c r="G58" s="294">
        <f t="shared" si="7"/>
        <v>377.22750000000002</v>
      </c>
      <c r="H58" s="294">
        <f t="shared" si="7"/>
        <v>377.22750000000002</v>
      </c>
      <c r="I58" s="16" t="str">
        <f>IF('Conversion Tables'!F51="NA","NA",(E58*'Conversion Tables'!$C51)/'Conversion Tables'!F51)</f>
        <v>NA</v>
      </c>
      <c r="J58" s="16" t="str">
        <f>IF('Conversion Tables'!G51="NA","NA",(F58*'Conversion Tables'!$C51)/'Conversion Tables'!G51)</f>
        <v>NA</v>
      </c>
      <c r="K58" s="16" t="str">
        <f>IF('Conversion Tables'!H51="NA","NA",(G58*'Conversion Tables'!$C51)/'Conversion Tables'!H51)</f>
        <v>NA</v>
      </c>
      <c r="L58" s="16" t="str">
        <f>IF('Conversion Tables'!I51="NA","NA",(H58*'Conversion Tables'!$C51)/'Conversion Tables'!I51)</f>
        <v>NA</v>
      </c>
      <c r="M58" s="16" t="str">
        <f>IF('Conversion Tables'!K51="NA","NA",E58*'Conversion Tables'!K51)</f>
        <v>NA</v>
      </c>
      <c r="N58" s="16" t="str">
        <f>IF('Conversion Tables'!L51="NA","NA",F58*'Conversion Tables'!L51)</f>
        <v>NA</v>
      </c>
      <c r="O58" s="16" t="str">
        <f>IF('Conversion Tables'!M51="NA","NA",G58*'Conversion Tables'!M51)</f>
        <v>NA</v>
      </c>
      <c r="P58" s="16" t="str">
        <f>IF('Conversion Tables'!N51="NA","NA",H58*'Conversion Tables'!N51)</f>
        <v>NA</v>
      </c>
      <c r="Q58" s="27"/>
    </row>
    <row r="59" spans="1:17" x14ac:dyDescent="0.25">
      <c r="A59" s="1201"/>
      <c r="B59" s="12" t="s">
        <v>552</v>
      </c>
      <c r="C59" s="294">
        <f>G119</f>
        <v>1.83184375</v>
      </c>
      <c r="D59" s="299">
        <f>E59*'Conversion Tables'!C52</f>
        <v>27.045341125</v>
      </c>
      <c r="E59" s="299">
        <f>C59*'Prac. Rec. Assumptions'!B49</f>
        <v>1.83184375</v>
      </c>
      <c r="F59" s="294">
        <f t="shared" si="7"/>
        <v>1.83184375</v>
      </c>
      <c r="G59" s="294">
        <f t="shared" si="7"/>
        <v>1.83184375</v>
      </c>
      <c r="H59" s="294">
        <f t="shared" si="7"/>
        <v>1.83184375</v>
      </c>
      <c r="I59" s="16" t="str">
        <f>IF('Conversion Tables'!F52="NA","NA",(E59*'Conversion Tables'!$C52)/'Conversion Tables'!F52)</f>
        <v>NA</v>
      </c>
      <c r="J59" s="16" t="str">
        <f>IF('Conversion Tables'!G52="NA","NA",(F59*'Conversion Tables'!$C52)/'Conversion Tables'!G52)</f>
        <v>NA</v>
      </c>
      <c r="K59" s="16" t="str">
        <f>IF('Conversion Tables'!H52="NA","NA",(G59*'Conversion Tables'!$C52)/'Conversion Tables'!H52)</f>
        <v>NA</v>
      </c>
      <c r="L59" s="16" t="str">
        <f>IF('Conversion Tables'!I52="NA","NA",(H59*'Conversion Tables'!$C52)/'Conversion Tables'!I52)</f>
        <v>NA</v>
      </c>
      <c r="M59" s="16" t="str">
        <f>IF('Conversion Tables'!K52="NA","NA",E59*'Conversion Tables'!K52)</f>
        <v>NA</v>
      </c>
      <c r="N59" s="16" t="str">
        <f>IF('Conversion Tables'!L52="NA","NA",F59*'Conversion Tables'!L52)</f>
        <v>NA</v>
      </c>
      <c r="O59" s="16" t="str">
        <f>IF('Conversion Tables'!M52="NA","NA",G59*'Conversion Tables'!M52)</f>
        <v>NA</v>
      </c>
      <c r="P59" s="16" t="str">
        <f>IF('Conversion Tables'!N52="NA","NA",H59*'Conversion Tables'!N52)</f>
        <v>NA</v>
      </c>
      <c r="Q59" s="27"/>
    </row>
    <row r="60" spans="1:17" x14ac:dyDescent="0.25">
      <c r="A60" s="1202"/>
      <c r="B60" s="129" t="s">
        <v>305</v>
      </c>
      <c r="C60" s="294">
        <f>'Biomass Data Assumptions'!AE12</f>
        <v>1018.0935159999997</v>
      </c>
      <c r="D60" s="299">
        <f>E60*'Conversion Tables'!C53</f>
        <v>12217.122191999995</v>
      </c>
      <c r="E60" s="299">
        <f>C60*'Prac. Rec. Assumptions'!B50</f>
        <v>1018.0935159999997</v>
      </c>
      <c r="F60" s="294">
        <f>($C60*(1+'Biomass Data Assumptions'!G$97*(4/5)))*'Prac. Rec. Assumptions'!$B50</f>
        <v>1041.468112030612</v>
      </c>
      <c r="G60" s="294">
        <f>($C60*(1+'Biomass Data Assumptions'!H$97*(9/10)))*'Prac. Rec. Assumptions'!$B50</f>
        <v>1073.0238166719384</v>
      </c>
      <c r="H60" s="294">
        <f>($C60*(1+'Biomass Data Assumptions'!I$97*(14/15)))*'Prac. Rec. Assumptions'!$B50</f>
        <v>1103.5406503785709</v>
      </c>
      <c r="I60" s="16" t="str">
        <f>IF('Conversion Tables'!F53="NA","NA",(E60*'Conversion Tables'!$C53)/'Conversion Tables'!F53)</f>
        <v>NA</v>
      </c>
      <c r="J60" s="16" t="str">
        <f>IF('Conversion Tables'!G53="NA","NA",(F60*'Conversion Tables'!$C53)/'Conversion Tables'!G53)</f>
        <v>NA</v>
      </c>
      <c r="K60" s="16" t="str">
        <f>IF('Conversion Tables'!H53="NA","NA",(G60*'Conversion Tables'!$C53)/'Conversion Tables'!H53)</f>
        <v>NA</v>
      </c>
      <c r="L60" s="16" t="str">
        <f>IF('Conversion Tables'!I53="NA","NA",(H60*'Conversion Tables'!$C53)/'Conversion Tables'!I53)</f>
        <v>NA</v>
      </c>
      <c r="M60" s="16" t="str">
        <f>IF('Conversion Tables'!K53="NA","NA",E60*'Conversion Tables'!K53)</f>
        <v>NA</v>
      </c>
      <c r="N60" s="16" t="str">
        <f>IF('Conversion Tables'!L53="NA","NA",F60*'Conversion Tables'!L53)</f>
        <v>NA</v>
      </c>
      <c r="O60" s="16" t="str">
        <f>IF('Conversion Tables'!M53="NA","NA",G60*'Conversion Tables'!M53)</f>
        <v>NA</v>
      </c>
      <c r="P60" s="16" t="str">
        <f>IF('Conversion Tables'!N53="NA","NA",H60*'Conversion Tables'!N53)</f>
        <v>NA</v>
      </c>
      <c r="Q60" s="7"/>
    </row>
    <row r="61" spans="1:17" x14ac:dyDescent="0.25">
      <c r="A61" s="1202"/>
      <c r="B61" s="9" t="s">
        <v>257</v>
      </c>
      <c r="C61" s="295">
        <f>SUM(C52:C60)</f>
        <v>6893.5181347500011</v>
      </c>
      <c r="D61" s="295">
        <f>SUM(D52:D60)</f>
        <v>60511.805322304994</v>
      </c>
      <c r="E61" s="295">
        <f t="shared" ref="E61:P61" si="8">SUM(E52:E60)</f>
        <v>4359.8261047499991</v>
      </c>
      <c r="F61" s="295">
        <f>SUM(F52:F60)</f>
        <v>4383.2007007806114</v>
      </c>
      <c r="G61" s="295">
        <f>SUM(G52:G60)</f>
        <v>4414.7564054219383</v>
      </c>
      <c r="H61" s="295">
        <f>SUM(H52:H60)</f>
        <v>4445.2732391285708</v>
      </c>
      <c r="I61" s="19">
        <f t="shared" si="8"/>
        <v>0</v>
      </c>
      <c r="J61" s="19">
        <f t="shared" si="8"/>
        <v>0</v>
      </c>
      <c r="K61" s="19">
        <f t="shared" si="8"/>
        <v>0</v>
      </c>
      <c r="L61" s="19">
        <f t="shared" si="8"/>
        <v>0</v>
      </c>
      <c r="M61" s="19">
        <f t="shared" si="8"/>
        <v>0</v>
      </c>
      <c r="N61" s="19">
        <f t="shared" si="8"/>
        <v>0</v>
      </c>
      <c r="O61" s="19">
        <f t="shared" si="8"/>
        <v>0</v>
      </c>
      <c r="P61" s="19">
        <f t="shared" si="8"/>
        <v>0</v>
      </c>
      <c r="Q61" s="7"/>
    </row>
    <row r="62" spans="1:17" x14ac:dyDescent="0.25">
      <c r="A62" s="1202"/>
      <c r="B62" s="7" t="s">
        <v>256</v>
      </c>
      <c r="C62" s="298" t="s">
        <v>251</v>
      </c>
      <c r="D62" s="13"/>
      <c r="E62" s="298" t="s">
        <v>251</v>
      </c>
      <c r="F62" s="298"/>
      <c r="G62" s="298"/>
      <c r="H62" s="298"/>
      <c r="I62" s="7"/>
      <c r="J62" s="7"/>
      <c r="K62" s="7"/>
      <c r="L62" s="7"/>
      <c r="M62" s="7"/>
      <c r="N62" s="7"/>
      <c r="O62" s="7"/>
      <c r="P62" s="7"/>
      <c r="Q62" s="7"/>
    </row>
    <row r="63" spans="1:17" x14ac:dyDescent="0.25">
      <c r="A63" s="1203"/>
      <c r="B63" s="133" t="s">
        <v>304</v>
      </c>
      <c r="C63" s="294">
        <f>'Biomass Data Assumptions'!AB12</f>
        <v>40.565632799999996</v>
      </c>
      <c r="D63" s="300">
        <f>E63*'Conversion Tables'!C55</f>
        <v>25110.126703199996</v>
      </c>
      <c r="E63" s="299">
        <f>C63*'Prac. Rec. Assumptions'!B51</f>
        <v>40.565632799999996</v>
      </c>
      <c r="F63" s="294">
        <f>($C63*(1+'Biomass Data Assumptions'!G$97*(4/5)))*'Prac. Rec. Assumptions'!$B51</f>
        <v>41.496986614285717</v>
      </c>
      <c r="G63" s="294">
        <f>($C63*(1+'Biomass Data Assumptions'!H$97*(9/10)))*'Prac. Rec. Assumptions'!$B51</f>
        <v>42.75431426357143</v>
      </c>
      <c r="H63" s="294">
        <f>($C63*(1+'Biomass Data Assumptions'!I$97*(14/15)))*'Prac. Rec. Assumptions'!$B51</f>
        <v>43.970248409999989</v>
      </c>
      <c r="I63" s="16" t="str">
        <f>IF('Conversion Tables'!F55="NA","NA",(E63*'Conversion Tables'!$C55)/'Conversion Tables'!F55)</f>
        <v>NA</v>
      </c>
      <c r="J63" s="16" t="str">
        <f>IF('Conversion Tables'!G55="NA","NA",(F63*'Conversion Tables'!$C55)/'Conversion Tables'!G55)</f>
        <v>NA</v>
      </c>
      <c r="K63" s="16" t="str">
        <f>IF('Conversion Tables'!H55="NA","NA",(G63*'Conversion Tables'!$C55)/'Conversion Tables'!H55)</f>
        <v>NA</v>
      </c>
      <c r="L63" s="16" t="str">
        <f>IF('Conversion Tables'!I55="NA","NA",(H63*'Conversion Tables'!$C55)/'Conversion Tables'!I55)</f>
        <v>NA</v>
      </c>
      <c r="M63" s="16" t="str">
        <f>IF('Conversion Tables'!K55="NA","NA",E63*'Conversion Tables'!K55)</f>
        <v>NA</v>
      </c>
      <c r="N63" s="16" t="str">
        <f>IF('Conversion Tables'!L55="NA","NA",F63*'Conversion Tables'!L55)</f>
        <v>NA</v>
      </c>
      <c r="O63" s="16" t="str">
        <f>IF('Conversion Tables'!M55="NA","NA",G63*'Conversion Tables'!M55)</f>
        <v>NA</v>
      </c>
      <c r="P63" s="16" t="str">
        <f>IF('Conversion Tables'!N55="NA","NA",H63*'Conversion Tables'!N55)</f>
        <v>NA</v>
      </c>
      <c r="Q63" s="7"/>
    </row>
    <row r="64" spans="1:17" x14ac:dyDescent="0.25">
      <c r="A64" s="1204"/>
      <c r="B64" s="17" t="s">
        <v>512</v>
      </c>
      <c r="C64" s="294">
        <f>'Biomass Data Assumptions'!X12</f>
        <v>190.20376209999995</v>
      </c>
      <c r="D64" s="300">
        <f>E64*'Conversion Tables'!C56</f>
        <v>96243.103622599971</v>
      </c>
      <c r="E64" s="299">
        <f>C64*'Prac. Rec. Assumptions'!B52</f>
        <v>190.20376209999995</v>
      </c>
      <c r="F64" s="545">
        <f>($C64*(1+'Biomass Data Assumptions'!G$97*(3/5))*(1+('Biomass Data Assumptions'!C$82-((1+'Biomass Data Assumptions'!$B$82)^2 - 1))))*'Prac. Rec. Assumptions'!$B52</f>
        <v>193.40014419253686</v>
      </c>
      <c r="G64" s="545">
        <f>($C64*(1+'Biomass Data Assumptions'!H$97*(4/5))*(1+('Biomass Data Assumptions'!D$82-((1+'Biomass Data Assumptions'!$B$82)^2 - 1))))*'Prac. Rec. Assumptions'!$B52</f>
        <v>199.10934119403092</v>
      </c>
      <c r="H64" s="545">
        <f>($C64*(1+'Biomass Data Assumptions'!I$97*(13/15))*(1+('Biomass Data Assumptions'!E$82-((1+'Biomass Data Assumptions'!$B$82)^2 - 1))))*'Prac. Rec. Assumptions'!$B52</f>
        <v>204.66539101916132</v>
      </c>
      <c r="I64" s="16" t="str">
        <f>IF('Conversion Tables'!F56="NA","NA",(E64*'Conversion Tables'!$C56)/'Conversion Tables'!F56)</f>
        <v>NA</v>
      </c>
      <c r="J64" s="16" t="str">
        <f>IF('Conversion Tables'!G56="NA","NA",(F64*'Conversion Tables'!$C56)/'Conversion Tables'!G56)</f>
        <v>NA</v>
      </c>
      <c r="K64" s="16" t="str">
        <f>IF('Conversion Tables'!H56="NA","NA",(G64*'Conversion Tables'!$C56)/'Conversion Tables'!H56)</f>
        <v>NA</v>
      </c>
      <c r="L64" s="16" t="str">
        <f>IF('Conversion Tables'!I56="NA","NA",(H64*'Conversion Tables'!$C56)/'Conversion Tables'!I56)</f>
        <v>NA</v>
      </c>
      <c r="M64" s="16" t="str">
        <f>IF('Conversion Tables'!K56="NA","NA",E64*'Conversion Tables'!K56)</f>
        <v>NA</v>
      </c>
      <c r="N64" s="16" t="str">
        <f>IF('Conversion Tables'!L56="NA","NA",F64*'Conversion Tables'!L56)</f>
        <v>NA</v>
      </c>
      <c r="O64" s="16" t="str">
        <f>IF('Conversion Tables'!M56="NA","NA",G64*'Conversion Tables'!M56)</f>
        <v>NA</v>
      </c>
      <c r="P64" s="16" t="str">
        <f>IF('Conversion Tables'!N56="NA","NA",H64*'Conversion Tables'!N56)</f>
        <v>NA</v>
      </c>
      <c r="Q64" s="7"/>
    </row>
    <row r="65" spans="1:19" x14ac:dyDescent="0.25">
      <c r="A65" s="1204"/>
      <c r="B65" s="9" t="s">
        <v>248</v>
      </c>
      <c r="C65" s="295">
        <f>SUM(C63:C64)</f>
        <v>230.76939489999995</v>
      </c>
      <c r="D65" s="295">
        <f>SUM(D63:D64)</f>
        <v>121353.23032579996</v>
      </c>
      <c r="E65" s="295">
        <f t="shared" ref="E65:P65" si="9">SUM(E63:E64)</f>
        <v>230.76939489999995</v>
      </c>
      <c r="F65" s="295">
        <f>SUM(F63:F64)</f>
        <v>234.89713080682259</v>
      </c>
      <c r="G65" s="295">
        <f>SUM(G63:G64)</f>
        <v>241.86365545760236</v>
      </c>
      <c r="H65" s="295">
        <f>SUM(H63:H64)</f>
        <v>248.6356394291613</v>
      </c>
      <c r="I65" s="19">
        <f t="shared" si="9"/>
        <v>0</v>
      </c>
      <c r="J65" s="19">
        <f t="shared" si="9"/>
        <v>0</v>
      </c>
      <c r="K65" s="19">
        <f t="shared" si="9"/>
        <v>0</v>
      </c>
      <c r="L65" s="19">
        <f t="shared" si="9"/>
        <v>0</v>
      </c>
      <c r="M65" s="19">
        <f t="shared" si="9"/>
        <v>0</v>
      </c>
      <c r="N65" s="19">
        <f t="shared" si="9"/>
        <v>0</v>
      </c>
      <c r="O65" s="19">
        <f t="shared" si="9"/>
        <v>0</v>
      </c>
      <c r="P65" s="19">
        <f t="shared" si="9"/>
        <v>0</v>
      </c>
      <c r="Q65" s="19">
        <f>SUM(Q51:Q64)</f>
        <v>0</v>
      </c>
    </row>
    <row r="66" spans="1:19" x14ac:dyDescent="0.25">
      <c r="A66" s="1204"/>
      <c r="B66" s="9"/>
      <c r="C66" s="295"/>
      <c r="D66" s="295"/>
      <c r="E66" s="295"/>
      <c r="F66" s="295"/>
      <c r="G66" s="295"/>
      <c r="H66" s="295"/>
      <c r="I66" s="19"/>
      <c r="J66" s="19"/>
      <c r="K66" s="19"/>
      <c r="L66" s="19"/>
      <c r="M66" s="19"/>
      <c r="N66" s="19"/>
      <c r="O66" s="19"/>
      <c r="P66" s="19"/>
      <c r="Q66" s="19"/>
    </row>
    <row r="67" spans="1:19" x14ac:dyDescent="0.25">
      <c r="A67" s="1205"/>
      <c r="B67" s="9" t="s">
        <v>258</v>
      </c>
      <c r="C67" s="295">
        <f>C61+(C63*1000000/29487.1582406855)+(C64*1000000/25364.5039539246)</f>
        <v>15768.03974753267</v>
      </c>
      <c r="D67" s="295">
        <f t="shared" ref="D67" si="10">D61+D65</f>
        <v>181865.03564810497</v>
      </c>
      <c r="E67" s="295">
        <f>E61+(E63*1000000/29487.1582406855)+(E64*1000000/25364.5039539246)</f>
        <v>13234.34771753267</v>
      </c>
      <c r="F67" s="295">
        <f t="shared" ref="F67:H67" si="11">F61+(F63*1000000/29487.1582406855)+(F64*1000000/25364.5039539246)</f>
        <v>13415.325301180263</v>
      </c>
      <c r="G67" s="295">
        <f t="shared" si="11"/>
        <v>13714.606933060793</v>
      </c>
      <c r="H67" s="295">
        <f t="shared" si="11"/>
        <v>14005.408059147454</v>
      </c>
      <c r="I67" s="19">
        <f t="shared" ref="I67:P67" si="12">I61+I65</f>
        <v>0</v>
      </c>
      <c r="J67" s="19">
        <f t="shared" si="12"/>
        <v>0</v>
      </c>
      <c r="K67" s="19">
        <f t="shared" si="12"/>
        <v>0</v>
      </c>
      <c r="L67" s="19">
        <f t="shared" si="12"/>
        <v>0</v>
      </c>
      <c r="M67" s="19">
        <f t="shared" si="12"/>
        <v>0</v>
      </c>
      <c r="N67" s="19">
        <f t="shared" si="12"/>
        <v>0</v>
      </c>
      <c r="O67" s="19">
        <f t="shared" si="12"/>
        <v>0</v>
      </c>
      <c r="P67" s="19">
        <f t="shared" si="12"/>
        <v>0</v>
      </c>
      <c r="Q67" s="19"/>
    </row>
    <row r="68" spans="1:19" customFormat="1" x14ac:dyDescent="0.25">
      <c r="B68" s="270" t="s">
        <v>162</v>
      </c>
      <c r="C68" s="132">
        <f>C11+C29+C43+C49+C67</f>
        <v>262623.08417709934</v>
      </c>
      <c r="D68" s="132"/>
      <c r="E68" s="132">
        <f>E11+E29+E43+E49+E67</f>
        <v>138649.26085125934</v>
      </c>
      <c r="F68" s="132">
        <f>F11+F29+F43+F49+F67</f>
        <v>141744.58549701006</v>
      </c>
      <c r="G68" s="132">
        <f>G11+G29+G43+G49+G67</f>
        <v>145288.34767608214</v>
      </c>
      <c r="H68" s="132">
        <f>H11+H29+H43+H49+H67</f>
        <v>148933.75199979779</v>
      </c>
      <c r="I68" s="264"/>
    </row>
    <row r="69" spans="1:19" ht="13.8" thickBot="1" x14ac:dyDescent="0.3">
      <c r="A69" s="10"/>
      <c r="B69" s="10"/>
      <c r="C69" s="10"/>
      <c r="D69" s="10"/>
      <c r="E69" s="10"/>
      <c r="F69" s="10"/>
      <c r="G69" s="10"/>
      <c r="H69" s="10"/>
      <c r="I69" s="1003">
        <f>SUM(I8:I66)/2</f>
        <v>0</v>
      </c>
      <c r="J69" s="1003">
        <f>SUM(J8:J66)/2</f>
        <v>0</v>
      </c>
      <c r="K69" s="1003">
        <f>SUM(K8:K66)/2</f>
        <v>0</v>
      </c>
      <c r="L69" s="1003">
        <f>SUM(L8:L66)/2</f>
        <v>0</v>
      </c>
      <c r="M69" s="1003">
        <f>SUM(M8:M66)/2</f>
        <v>0</v>
      </c>
      <c r="N69" s="1003">
        <f t="shared" ref="N69:P69" si="13">SUM(N8:N66)/2</f>
        <v>0</v>
      </c>
      <c r="O69" s="1003">
        <f t="shared" si="13"/>
        <v>0</v>
      </c>
      <c r="P69" s="1003">
        <f t="shared" si="13"/>
        <v>0</v>
      </c>
      <c r="Q69" s="10"/>
      <c r="R69" s="10"/>
      <c r="S69" s="10"/>
    </row>
    <row r="70" spans="1:19" x14ac:dyDescent="0.25">
      <c r="A70" s="35" t="s">
        <v>23</v>
      </c>
      <c r="B70" s="36"/>
      <c r="C70" s="36"/>
      <c r="D70" s="36"/>
      <c r="E70" s="36"/>
      <c r="F70" s="36"/>
      <c r="G70" s="36"/>
      <c r="H70" s="36"/>
      <c r="I70" s="36"/>
      <c r="J70" s="36"/>
      <c r="K70" s="36"/>
      <c r="L70" s="36"/>
      <c r="M70" s="36"/>
      <c r="N70" s="36"/>
      <c r="O70" s="36"/>
      <c r="P70" s="36"/>
      <c r="Q70" s="36"/>
      <c r="R70" s="36"/>
    </row>
    <row r="71" spans="1:19" x14ac:dyDescent="0.25">
      <c r="A71" s="36"/>
      <c r="B71" s="36"/>
      <c r="C71" s="36"/>
      <c r="D71" s="36"/>
      <c r="E71" s="36"/>
      <c r="F71" s="36"/>
      <c r="G71" s="36"/>
      <c r="H71" s="36"/>
      <c r="I71" s="36"/>
      <c r="J71" s="36"/>
      <c r="K71" s="36"/>
      <c r="L71" s="36"/>
      <c r="M71" s="36"/>
      <c r="N71" s="36"/>
      <c r="O71" s="36"/>
      <c r="P71" s="36"/>
      <c r="Q71" s="36"/>
      <c r="R71" s="36"/>
    </row>
    <row r="72" spans="1:19" x14ac:dyDescent="0.25">
      <c r="A72" s="36"/>
      <c r="B72" s="36"/>
      <c r="C72" s="36"/>
      <c r="D72" s="36"/>
      <c r="E72" s="36"/>
      <c r="F72" s="36"/>
      <c r="G72" s="36"/>
      <c r="H72" s="36"/>
      <c r="I72" s="36"/>
      <c r="J72" s="36"/>
      <c r="K72" s="36"/>
      <c r="L72" s="36"/>
      <c r="M72" s="36"/>
      <c r="N72" s="36"/>
      <c r="O72" s="36"/>
      <c r="P72" s="36"/>
      <c r="Q72" s="36"/>
      <c r="R72" s="36"/>
    </row>
    <row r="73" spans="1:19" ht="26.4" x14ac:dyDescent="0.25">
      <c r="A73" s="37" t="s">
        <v>1037</v>
      </c>
      <c r="B73" s="454" t="s">
        <v>297</v>
      </c>
      <c r="C73" s="37" t="s">
        <v>1042</v>
      </c>
      <c r="D73" s="37" t="s">
        <v>1041</v>
      </c>
      <c r="E73" s="36" t="s">
        <v>598</v>
      </c>
      <c r="F73" s="38"/>
      <c r="G73" s="38"/>
      <c r="H73" s="36"/>
      <c r="I73" s="36"/>
      <c r="J73" s="36"/>
      <c r="K73" s="36"/>
      <c r="L73" s="36"/>
      <c r="M73" s="36"/>
      <c r="N73" s="36"/>
      <c r="O73" s="36"/>
      <c r="P73" s="36"/>
      <c r="Q73" s="36"/>
      <c r="R73" s="36"/>
    </row>
    <row r="74" spans="1:19" x14ac:dyDescent="0.25">
      <c r="A74" s="39" t="s">
        <v>519</v>
      </c>
      <c r="B74" s="21">
        <v>419</v>
      </c>
      <c r="C74" s="40">
        <f>'Biomass Data Assumptions'!B38*B74</f>
        <v>27360.699999999997</v>
      </c>
      <c r="D74" s="40">
        <f>(C74*'Biomass Data Assumptions'!C38)/2000</f>
        <v>766.0995999999999</v>
      </c>
      <c r="E74" s="41"/>
      <c r="F74" s="41"/>
      <c r="G74" s="41"/>
      <c r="H74" s="36"/>
      <c r="I74" s="36"/>
      <c r="J74" s="36"/>
      <c r="K74" s="36"/>
      <c r="L74" s="36"/>
      <c r="M74" s="36"/>
      <c r="N74" s="36"/>
      <c r="O74" s="36"/>
      <c r="P74" s="36"/>
      <c r="Q74" s="36"/>
      <c r="R74" s="36"/>
    </row>
    <row r="75" spans="1:19" x14ac:dyDescent="0.25">
      <c r="A75" s="39" t="s">
        <v>520</v>
      </c>
      <c r="B75" s="21">
        <v>582</v>
      </c>
      <c r="C75" s="40">
        <f>'Biomass Data Assumptions'!B39*B75</f>
        <v>15888.6</v>
      </c>
      <c r="D75" s="40">
        <f>(C75*'Biomass Data Assumptions'!C39)/2000</f>
        <v>444.88079999999997</v>
      </c>
      <c r="E75" s="41"/>
      <c r="F75" s="41"/>
      <c r="G75" s="41"/>
      <c r="H75" s="36"/>
      <c r="I75" s="36"/>
      <c r="J75" s="36"/>
      <c r="K75" s="36"/>
      <c r="L75" s="36"/>
      <c r="M75" s="36"/>
      <c r="N75" s="36"/>
      <c r="O75" s="36"/>
      <c r="P75" s="36"/>
      <c r="Q75" s="36"/>
      <c r="R75" s="36"/>
    </row>
    <row r="76" spans="1:19" x14ac:dyDescent="0.25">
      <c r="A76" s="39" t="s">
        <v>521</v>
      </c>
      <c r="B76" s="21">
        <v>5036</v>
      </c>
      <c r="C76" s="40">
        <f>'Biomass Data Assumptions'!B40*B76</f>
        <v>629500</v>
      </c>
      <c r="D76" s="40">
        <f>(C76*'Biomass Data Assumptions'!C40)/2000</f>
        <v>17626</v>
      </c>
      <c r="E76" s="41"/>
      <c r="F76" s="41"/>
      <c r="G76" s="41"/>
      <c r="H76" s="36"/>
      <c r="I76" s="36"/>
      <c r="J76" s="36"/>
      <c r="K76" s="36"/>
      <c r="L76" s="36"/>
      <c r="M76" s="36"/>
      <c r="N76" s="36"/>
      <c r="O76" s="36"/>
      <c r="P76" s="36"/>
      <c r="Q76" s="36"/>
      <c r="R76" s="36"/>
    </row>
    <row r="77" spans="1:19" x14ac:dyDescent="0.25">
      <c r="A77" s="39" t="s">
        <v>525</v>
      </c>
      <c r="B77" s="21">
        <v>8562</v>
      </c>
      <c r="C77" s="40">
        <f>'Biomass Data Assumptions'!B41*B77</f>
        <v>273984</v>
      </c>
      <c r="D77" s="40">
        <f>(C77*'Biomass Data Assumptions'!C41)/2000</f>
        <v>8219.52</v>
      </c>
      <c r="E77" s="41"/>
      <c r="F77" s="41"/>
      <c r="G77" s="41"/>
      <c r="H77" s="36"/>
      <c r="I77" s="36"/>
      <c r="J77" s="36"/>
      <c r="K77" s="36"/>
      <c r="L77" s="36"/>
      <c r="M77" s="36"/>
      <c r="N77" s="36"/>
      <c r="O77" s="36"/>
      <c r="P77" s="36"/>
      <c r="Q77" s="36"/>
      <c r="R77" s="36"/>
    </row>
    <row r="78" spans="1:19" x14ac:dyDescent="0.25">
      <c r="A78" s="39" t="s">
        <v>522</v>
      </c>
      <c r="B78" s="21">
        <f>5148+65</f>
        <v>5213</v>
      </c>
      <c r="C78" s="40">
        <f>'Biomass Data Assumptions'!B42*B78</f>
        <v>281502</v>
      </c>
      <c r="D78" s="40">
        <f>(C78*'Biomass Data Assumptions'!C42)/2000</f>
        <v>8445.06</v>
      </c>
      <c r="E78" s="41"/>
      <c r="F78" s="41"/>
      <c r="G78" s="41"/>
      <c r="H78" s="36"/>
      <c r="I78" s="36"/>
      <c r="J78" s="36"/>
      <c r="K78" s="36"/>
      <c r="L78" s="36"/>
      <c r="M78" s="36"/>
      <c r="N78" s="36"/>
      <c r="O78" s="36"/>
      <c r="P78" s="36"/>
      <c r="Q78" s="36"/>
      <c r="R78" s="36"/>
    </row>
    <row r="79" spans="1:19" x14ac:dyDescent="0.25">
      <c r="A79" s="36"/>
      <c r="B79" s="36"/>
      <c r="C79" s="36"/>
      <c r="D79" s="36"/>
      <c r="E79" s="36"/>
      <c r="F79" s="36"/>
      <c r="G79" s="36"/>
      <c r="H79" s="36"/>
      <c r="I79" s="36"/>
      <c r="J79" s="36"/>
      <c r="K79" s="36"/>
      <c r="L79" s="36"/>
      <c r="M79" s="36"/>
      <c r="N79" s="36"/>
      <c r="O79" s="36"/>
      <c r="P79" s="36"/>
      <c r="Q79" s="36"/>
      <c r="R79" s="36"/>
    </row>
    <row r="80" spans="1:19" ht="39.6" x14ac:dyDescent="0.25">
      <c r="A80" s="37" t="s">
        <v>1038</v>
      </c>
      <c r="B80" s="454" t="s">
        <v>297</v>
      </c>
      <c r="C80" s="37" t="s">
        <v>1041</v>
      </c>
      <c r="D80" s="37" t="s">
        <v>1036</v>
      </c>
      <c r="E80" s="36" t="s">
        <v>598</v>
      </c>
      <c r="F80" s="38"/>
      <c r="G80" s="38"/>
      <c r="H80" s="36"/>
      <c r="I80" s="36"/>
      <c r="J80" s="36"/>
      <c r="K80" s="36"/>
      <c r="L80" s="36"/>
      <c r="M80" s="36"/>
      <c r="N80" s="36"/>
      <c r="O80" s="36"/>
      <c r="P80" s="36"/>
      <c r="Q80" s="36"/>
      <c r="R80" s="36"/>
    </row>
    <row r="81" spans="1:18" x14ac:dyDescent="0.25">
      <c r="A81" s="39" t="s">
        <v>527</v>
      </c>
      <c r="B81" s="21">
        <v>295</v>
      </c>
      <c r="C81" s="40">
        <f>'Biomass Data Assumptions'!B49*B81</f>
        <v>295</v>
      </c>
      <c r="D81" s="40">
        <f>C81*'Energy Content Assumptions'!C11</f>
        <v>250.75</v>
      </c>
      <c r="E81" s="41"/>
      <c r="F81" s="41"/>
      <c r="G81" s="41"/>
      <c r="H81" s="36"/>
      <c r="I81" s="36"/>
      <c r="J81" s="36"/>
      <c r="K81" s="36"/>
      <c r="L81" s="36"/>
      <c r="M81" s="36"/>
      <c r="N81" s="36"/>
      <c r="O81" s="36"/>
      <c r="P81" s="36"/>
      <c r="Q81" s="36"/>
      <c r="R81" s="36"/>
    </row>
    <row r="82" spans="1:18" x14ac:dyDescent="0.25">
      <c r="A82" s="39" t="s">
        <v>520</v>
      </c>
      <c r="B82" s="21">
        <f>582+119</f>
        <v>701</v>
      </c>
      <c r="C82" s="40">
        <f>'Biomass Data Assumptions'!B50*B82</f>
        <v>1577.25</v>
      </c>
      <c r="D82" s="40">
        <f>C82*'Energy Content Assumptions'!C12</f>
        <v>1340.6624999999999</v>
      </c>
      <c r="E82" s="41"/>
      <c r="F82" s="41"/>
      <c r="G82" s="41"/>
      <c r="H82" s="36"/>
      <c r="I82" s="36"/>
      <c r="J82" s="36"/>
      <c r="K82" s="36"/>
      <c r="L82" s="36"/>
      <c r="M82" s="36"/>
      <c r="N82" s="36"/>
      <c r="O82" s="36"/>
      <c r="P82" s="36"/>
      <c r="Q82" s="36"/>
      <c r="R82" s="36"/>
    </row>
    <row r="83" spans="1:18" x14ac:dyDescent="0.25">
      <c r="A83" s="39" t="s">
        <v>521</v>
      </c>
      <c r="B83" s="21">
        <v>5036</v>
      </c>
      <c r="C83" s="40">
        <f>'Biomass Data Assumptions'!B51*B83</f>
        <v>12590</v>
      </c>
      <c r="D83" s="40">
        <f>C83*'Energy Content Assumptions'!C13</f>
        <v>10701.5</v>
      </c>
      <c r="E83" s="41"/>
      <c r="F83" s="41"/>
      <c r="G83" s="41"/>
      <c r="H83" s="36"/>
      <c r="I83" s="36"/>
      <c r="J83" s="36"/>
      <c r="K83" s="36"/>
      <c r="L83" s="36"/>
      <c r="M83" s="36"/>
      <c r="N83" s="36"/>
      <c r="O83" s="36"/>
      <c r="P83" s="36"/>
      <c r="Q83" s="36"/>
      <c r="R83" s="36"/>
    </row>
    <row r="84" spans="1:18" x14ac:dyDescent="0.25">
      <c r="A84" s="39" t="s">
        <v>528</v>
      </c>
      <c r="B84" s="21">
        <v>726</v>
      </c>
      <c r="C84" s="40">
        <f>'Biomass Data Assumptions'!B52*B84</f>
        <v>11906.4</v>
      </c>
      <c r="D84" s="40">
        <f>C84*'Energy Content Assumptions'!C14</f>
        <v>4167.24</v>
      </c>
      <c r="E84" s="41"/>
      <c r="F84" s="41"/>
      <c r="G84" s="41"/>
      <c r="H84" s="36"/>
      <c r="I84" s="36"/>
      <c r="J84" s="36"/>
      <c r="K84" s="36"/>
      <c r="L84" s="36"/>
      <c r="M84" s="36"/>
      <c r="N84" s="36"/>
      <c r="O84" s="36"/>
      <c r="P84" s="36"/>
      <c r="Q84" s="36"/>
      <c r="R84" s="36"/>
    </row>
    <row r="85" spans="1:18" x14ac:dyDescent="0.25">
      <c r="A85" s="39" t="s">
        <v>529</v>
      </c>
      <c r="B85" s="21">
        <v>1644</v>
      </c>
      <c r="C85" s="40">
        <f>'Biomass Data Assumptions'!B53*B85</f>
        <v>5260.8</v>
      </c>
      <c r="D85" s="40">
        <f>C85*'Energy Content Assumptions'!C15</f>
        <v>4471.68</v>
      </c>
      <c r="E85" s="41"/>
      <c r="F85" s="41"/>
      <c r="G85" s="41"/>
      <c r="H85" s="36"/>
      <c r="I85" s="36"/>
      <c r="J85" s="36"/>
      <c r="K85" s="36"/>
      <c r="L85" s="36"/>
      <c r="M85" s="36"/>
      <c r="N85" s="36"/>
      <c r="O85" s="36"/>
      <c r="P85" s="36"/>
      <c r="Q85" s="36"/>
      <c r="R85" s="36"/>
    </row>
    <row r="86" spans="1:18" x14ac:dyDescent="0.25">
      <c r="A86" s="39" t="s">
        <v>530</v>
      </c>
      <c r="B86" s="21">
        <v>4154</v>
      </c>
      <c r="C86" s="40">
        <f>'Biomass Data Assumptions'!B54*B86</f>
        <v>7061.8</v>
      </c>
      <c r="D86" s="40">
        <f>C86*'Energy Content Assumptions'!C16</f>
        <v>6002.53</v>
      </c>
      <c r="E86" s="41"/>
      <c r="F86" s="41"/>
      <c r="G86" s="41"/>
      <c r="H86" s="36"/>
      <c r="I86" s="36"/>
      <c r="J86" s="36"/>
      <c r="K86" s="36"/>
      <c r="L86" s="36"/>
      <c r="M86" s="36"/>
      <c r="N86" s="36"/>
      <c r="O86" s="36"/>
      <c r="P86" s="36"/>
      <c r="Q86" s="36"/>
      <c r="R86" s="36"/>
    </row>
    <row r="87" spans="1:18" x14ac:dyDescent="0.25">
      <c r="A87" s="39" t="s">
        <v>522</v>
      </c>
      <c r="B87" s="21">
        <v>5213</v>
      </c>
      <c r="C87" s="40">
        <f>'Biomass Data Assumptions'!B55*B87</f>
        <v>9122.75</v>
      </c>
      <c r="D87" s="40">
        <f>C87*'Energy Content Assumptions'!C17</f>
        <v>7754.3374999999996</v>
      </c>
      <c r="E87" s="41"/>
      <c r="F87" s="41"/>
      <c r="G87" s="41"/>
      <c r="H87" s="36"/>
      <c r="I87" s="36"/>
      <c r="J87" s="36"/>
      <c r="K87" s="36"/>
      <c r="L87" s="36"/>
      <c r="M87" s="36"/>
      <c r="N87" s="36"/>
      <c r="O87" s="36"/>
      <c r="P87" s="36"/>
      <c r="Q87" s="36"/>
      <c r="R87" s="36"/>
    </row>
    <row r="88" spans="1:18" x14ac:dyDescent="0.25">
      <c r="A88" s="43"/>
      <c r="B88" s="41"/>
      <c r="C88" s="41"/>
      <c r="D88" s="41"/>
      <c r="E88" s="41"/>
      <c r="F88" s="41"/>
      <c r="G88" s="41"/>
      <c r="H88" s="36"/>
      <c r="I88" s="36"/>
      <c r="J88" s="36"/>
      <c r="K88" s="36"/>
      <c r="L88" s="36"/>
      <c r="M88" s="36"/>
      <c r="N88" s="36"/>
      <c r="O88" s="36"/>
      <c r="P88" s="36"/>
      <c r="Q88" s="36"/>
      <c r="R88" s="36"/>
    </row>
    <row r="89" spans="1:18" x14ac:dyDescent="0.25">
      <c r="A89" s="43"/>
      <c r="B89" s="640" t="s">
        <v>297</v>
      </c>
      <c r="C89" s="122" t="s">
        <v>299</v>
      </c>
      <c r="D89" s="122" t="s">
        <v>300</v>
      </c>
      <c r="E89" s="41"/>
      <c r="F89" s="41"/>
      <c r="G89" s="41"/>
      <c r="H89" s="36"/>
      <c r="I89" s="36"/>
      <c r="J89" s="36"/>
      <c r="K89" s="36"/>
      <c r="L89" s="36"/>
      <c r="M89" s="36"/>
      <c r="N89" s="36"/>
      <c r="O89" s="36"/>
      <c r="P89" s="36"/>
      <c r="Q89" s="36"/>
      <c r="R89" s="36"/>
    </row>
    <row r="90" spans="1:18" x14ac:dyDescent="0.25">
      <c r="A90" s="43" t="s">
        <v>296</v>
      </c>
      <c r="B90" s="85">
        <f>IF('Prac. Rec. Assumptions'!B56='Prac. Rec. Assumptions'!V3,0,SUM(IF('Prac. Rec. Assumptions'!B57="Yes",B74,0),IF('Prac. Rec. Assumptions'!B58="Yes",B81,0),IF('Prac. Rec. Assumptions'!B59="Yes",B82,0),IF('Prac. Rec. Assumptions'!B60="Yes",B83,0),IF('Prac. Rec. Assumptions'!B61="Yes",B84,0),IF('Prac. Rec. Assumptions'!B62="Yes",B85,0),IF('Prac. Rec. Assumptions'!B63="Yes",B86,0),IF('Prac. Rec. Assumptions'!B64="Yes",B87,0)))</f>
        <v>0</v>
      </c>
      <c r="C90" s="41">
        <f>IF('Prac. Rec. Assumptions'!B56='Prac. Rec. Assumptions'!V1,'Biomass Data Assumptions'!C46,IF('Prac. Rec. Assumptions'!B56='Prac. Rec. Assumptions'!V2,'Biomass Data Assumptions'!C45,0))</f>
        <v>0</v>
      </c>
      <c r="D90" s="41">
        <f>(C90*'Energy Content Assumptions'!C9)*B90</f>
        <v>0</v>
      </c>
      <c r="E90" s="41"/>
      <c r="F90" s="41"/>
      <c r="G90" s="41"/>
      <c r="H90" s="36"/>
      <c r="I90" s="36"/>
      <c r="J90" s="36"/>
      <c r="K90" s="36"/>
      <c r="L90" s="36"/>
      <c r="M90" s="36"/>
      <c r="N90" s="36"/>
      <c r="O90" s="36"/>
      <c r="P90" s="36"/>
      <c r="Q90" s="36"/>
      <c r="R90" s="36"/>
    </row>
    <row r="91" spans="1:18" x14ac:dyDescent="0.25">
      <c r="A91" s="36"/>
      <c r="B91" s="36"/>
      <c r="C91" s="36"/>
      <c r="D91" s="36"/>
      <c r="E91" s="36"/>
      <c r="F91" s="36"/>
      <c r="G91" s="36"/>
      <c r="H91" s="36"/>
      <c r="I91" s="36"/>
      <c r="J91" s="36"/>
      <c r="K91" s="36"/>
      <c r="L91" s="36"/>
      <c r="M91" s="36"/>
      <c r="N91" s="36"/>
      <c r="O91" s="36"/>
      <c r="P91" s="36"/>
      <c r="Q91" s="36"/>
      <c r="R91" s="36"/>
    </row>
    <row r="92" spans="1:18" ht="39.6" x14ac:dyDescent="0.25">
      <c r="A92" s="42" t="s">
        <v>531</v>
      </c>
      <c r="B92" s="455" t="s">
        <v>298</v>
      </c>
      <c r="C92" s="38" t="s">
        <v>1050</v>
      </c>
      <c r="D92" s="38" t="s">
        <v>1045</v>
      </c>
      <c r="E92" s="38" t="s">
        <v>1048</v>
      </c>
      <c r="F92" s="38" t="s">
        <v>1047</v>
      </c>
      <c r="G92" s="38" t="s">
        <v>1046</v>
      </c>
      <c r="H92" s="36" t="s">
        <v>599</v>
      </c>
      <c r="I92" s="36"/>
      <c r="J92" s="38"/>
      <c r="K92" s="38"/>
      <c r="L92" s="38"/>
      <c r="M92" s="38"/>
      <c r="N92" s="36"/>
      <c r="O92" s="36"/>
      <c r="P92" s="36"/>
      <c r="Q92" s="36"/>
      <c r="R92" s="36"/>
    </row>
    <row r="93" spans="1:18" ht="14.25" customHeight="1" x14ac:dyDescent="0.25">
      <c r="A93" s="42"/>
      <c r="B93" s="38"/>
      <c r="C93" s="38"/>
      <c r="D93" s="38"/>
      <c r="E93" s="38"/>
      <c r="F93" s="36"/>
      <c r="G93" s="36"/>
      <c r="H93" s="36"/>
      <c r="I93" s="36"/>
      <c r="J93" s="38"/>
      <c r="K93" s="38"/>
      <c r="L93" s="38"/>
      <c r="M93" s="38"/>
      <c r="N93" s="36"/>
      <c r="O93" s="36"/>
      <c r="P93" s="36"/>
      <c r="Q93" s="36"/>
      <c r="R93" s="36"/>
    </row>
    <row r="94" spans="1:18" hidden="1" x14ac:dyDescent="0.25">
      <c r="A94" s="459"/>
      <c r="B94" s="457"/>
      <c r="C94" s="458"/>
      <c r="D94" s="458"/>
      <c r="E94" s="463"/>
      <c r="F94" s="457"/>
      <c r="G94" s="457"/>
      <c r="H94" s="36"/>
      <c r="I94" s="36"/>
      <c r="J94" s="44"/>
      <c r="K94" s="44"/>
      <c r="L94" s="44"/>
      <c r="M94" s="44"/>
      <c r="N94" s="36"/>
      <c r="O94" s="36"/>
      <c r="P94" s="36"/>
      <c r="Q94" s="36"/>
      <c r="R94" s="36"/>
    </row>
    <row r="95" spans="1:18" hidden="1" x14ac:dyDescent="0.25">
      <c r="A95" s="456"/>
      <c r="B95" s="458"/>
      <c r="C95" s="458"/>
      <c r="D95" s="458"/>
      <c r="E95" s="458"/>
      <c r="F95" s="458"/>
      <c r="G95" s="458"/>
      <c r="H95" s="36"/>
      <c r="I95" s="36"/>
      <c r="J95" s="41"/>
      <c r="K95" s="41"/>
      <c r="L95" s="41"/>
      <c r="M95" s="41"/>
      <c r="N95" s="36"/>
      <c r="O95" s="36"/>
      <c r="P95" s="36"/>
      <c r="Q95" s="36"/>
      <c r="R95" s="36"/>
    </row>
    <row r="96" spans="1:18" hidden="1" x14ac:dyDescent="0.25">
      <c r="A96" s="456"/>
      <c r="B96" s="458"/>
      <c r="C96" s="458"/>
      <c r="D96" s="458"/>
      <c r="E96" s="458"/>
      <c r="F96" s="458"/>
      <c r="G96" s="458"/>
      <c r="H96" s="36"/>
      <c r="I96" s="36"/>
      <c r="J96" s="41"/>
      <c r="K96" s="41"/>
      <c r="L96" s="41"/>
      <c r="M96" s="41"/>
      <c r="N96" s="36"/>
      <c r="O96" s="36"/>
      <c r="P96" s="36"/>
      <c r="Q96" s="36"/>
      <c r="R96" s="36"/>
    </row>
    <row r="97" spans="1:18" x14ac:dyDescent="0.25">
      <c r="A97" s="46" t="s">
        <v>538</v>
      </c>
      <c r="B97" s="85">
        <v>580</v>
      </c>
      <c r="C97" s="41">
        <f>ROUND('Biomass Data Assumptions'!$B$60/1000*B97,0)</f>
        <v>580</v>
      </c>
      <c r="D97" s="41">
        <f>'Biomass Data Assumptions'!$C$60*C97</f>
        <v>19476400</v>
      </c>
      <c r="E97" s="41">
        <f>('Biomass Data Assumptions'!$D$60*'Energy Content Assumptions'!$C$44*D97)/2000</f>
        <v>233.71680000000001</v>
      </c>
      <c r="F97" s="41">
        <f>('Biomass Data Assumptions'!$E$60*B97*365)/2000</f>
        <v>423.4</v>
      </c>
      <c r="G97" s="41">
        <f>F97+E97</f>
        <v>657.11680000000001</v>
      </c>
      <c r="H97" s="36"/>
      <c r="I97" s="36"/>
      <c r="J97" s="41"/>
      <c r="K97" s="41"/>
      <c r="L97" s="41"/>
      <c r="M97" s="41"/>
      <c r="N97" s="36"/>
      <c r="O97" s="36"/>
      <c r="P97" s="36"/>
      <c r="Q97" s="36"/>
      <c r="R97" s="36"/>
    </row>
    <row r="98" spans="1:18" x14ac:dyDescent="0.25">
      <c r="A98" s="46"/>
      <c r="B98" s="41"/>
      <c r="C98" s="41"/>
      <c r="D98" s="41"/>
      <c r="E98" s="41"/>
      <c r="F98" s="41"/>
      <c r="G98" s="41"/>
      <c r="H98" s="36"/>
      <c r="I98" s="36"/>
      <c r="J98" s="41"/>
      <c r="K98" s="41"/>
      <c r="L98" s="41"/>
      <c r="M98" s="41"/>
      <c r="N98" s="36"/>
      <c r="O98" s="36"/>
      <c r="P98" s="36"/>
      <c r="Q98" s="36"/>
      <c r="R98" s="36"/>
    </row>
    <row r="99" spans="1:18" x14ac:dyDescent="0.25">
      <c r="A99" s="43" t="s">
        <v>539</v>
      </c>
      <c r="B99" s="47"/>
      <c r="C99" s="41"/>
      <c r="D99" s="41"/>
      <c r="E99" s="41"/>
      <c r="F99" s="41"/>
      <c r="G99" s="41"/>
      <c r="H99" s="36"/>
      <c r="I99" s="36"/>
      <c r="J99" s="41"/>
      <c r="K99" s="41"/>
      <c r="L99" s="41"/>
      <c r="M99" s="41"/>
      <c r="N99" s="36"/>
      <c r="O99" s="36"/>
      <c r="P99" s="36"/>
      <c r="Q99" s="36"/>
      <c r="R99" s="36"/>
    </row>
    <row r="100" spans="1:18" x14ac:dyDescent="0.25">
      <c r="A100" s="460" t="s">
        <v>603</v>
      </c>
      <c r="B100" s="85">
        <v>244</v>
      </c>
      <c r="C100" s="41">
        <f>ROUND('Biomass Data Assumptions'!B62/1000*B100,0)</f>
        <v>85</v>
      </c>
      <c r="D100" s="41">
        <f>'Biomass Data Assumptions'!C62*C100</f>
        <v>2482000</v>
      </c>
      <c r="E100" s="41">
        <f>('Biomass Data Assumptions'!D62*'Energy Content Assumptions'!C46*D100)/2000</f>
        <v>111.69</v>
      </c>
      <c r="F100" s="41">
        <f>('Biomass Data Assumptions'!E62*B100*365)/2000</f>
        <v>222.65</v>
      </c>
      <c r="G100" s="41">
        <f>F100+E100</f>
        <v>334.34000000000003</v>
      </c>
      <c r="H100" s="36"/>
      <c r="I100" s="36"/>
      <c r="J100" s="41"/>
      <c r="K100" s="41"/>
      <c r="L100" s="41"/>
      <c r="M100" s="41"/>
      <c r="N100" s="36"/>
      <c r="O100" s="36"/>
      <c r="P100" s="36"/>
      <c r="Q100" s="36"/>
      <c r="R100" s="36"/>
    </row>
    <row r="101" spans="1:18" ht="0.75" customHeight="1" x14ac:dyDescent="0.25">
      <c r="A101" s="45"/>
      <c r="B101" s="85"/>
      <c r="C101" s="41"/>
      <c r="D101" s="41"/>
      <c r="E101" s="41"/>
      <c r="F101" s="41"/>
      <c r="G101" s="41"/>
      <c r="H101" s="36"/>
      <c r="I101" s="36"/>
      <c r="J101" s="41"/>
      <c r="K101" s="41"/>
      <c r="L101" s="41"/>
      <c r="M101" s="41"/>
      <c r="N101" s="36"/>
      <c r="O101" s="36"/>
      <c r="P101" s="36"/>
      <c r="Q101" s="36"/>
      <c r="R101" s="36"/>
    </row>
    <row r="102" spans="1:18" x14ac:dyDescent="0.25">
      <c r="A102" s="460" t="s">
        <v>604</v>
      </c>
      <c r="B102" s="85">
        <v>255</v>
      </c>
      <c r="C102" s="41">
        <f>ROUND('Biomass Data Assumptions'!B64/1000*B102,0)</f>
        <v>357</v>
      </c>
      <c r="D102" s="41">
        <f>'Biomass Data Assumptions'!C64*C102</f>
        <v>14463855</v>
      </c>
      <c r="E102" s="41">
        <f>('Biomass Data Assumptions'!D64*'Energy Content Assumptions'!C48*D102)/2000</f>
        <v>650.87347499999998</v>
      </c>
      <c r="F102" s="41">
        <f>'Biomass Data Assumptions'!E64*B102*365/2000</f>
        <v>465.375</v>
      </c>
      <c r="G102" s="41">
        <f>F102+E102</f>
        <v>1116.2484749999999</v>
      </c>
      <c r="H102" s="36"/>
      <c r="I102" s="36"/>
      <c r="J102" s="41"/>
      <c r="K102" s="41"/>
      <c r="L102" s="41"/>
      <c r="M102" s="41"/>
      <c r="N102" s="36"/>
      <c r="O102" s="36"/>
      <c r="P102" s="36"/>
      <c r="Q102" s="36"/>
      <c r="R102" s="36"/>
    </row>
    <row r="103" spans="1:18" hidden="1" x14ac:dyDescent="0.25">
      <c r="A103" s="45"/>
      <c r="B103" s="85"/>
      <c r="C103" s="41"/>
      <c r="D103" s="41"/>
      <c r="E103" s="41"/>
      <c r="F103" s="41"/>
      <c r="G103" s="41"/>
      <c r="H103" s="36"/>
      <c r="I103" s="36"/>
      <c r="J103" s="41"/>
      <c r="K103" s="41"/>
      <c r="L103" s="41"/>
      <c r="M103" s="41"/>
      <c r="N103" s="36"/>
      <c r="O103" s="36"/>
      <c r="P103" s="36"/>
      <c r="Q103" s="36"/>
      <c r="R103" s="36"/>
    </row>
    <row r="104" spans="1:18" x14ac:dyDescent="0.25">
      <c r="A104" s="46" t="s">
        <v>544</v>
      </c>
      <c r="B104" s="85">
        <f t="shared" ref="B104:G104" si="14">SUM(B100:B103)</f>
        <v>499</v>
      </c>
      <c r="C104" s="41">
        <f t="shared" si="14"/>
        <v>442</v>
      </c>
      <c r="D104" s="41">
        <f t="shared" si="14"/>
        <v>16945855</v>
      </c>
      <c r="E104" s="41">
        <f t="shared" si="14"/>
        <v>762.56347499999993</v>
      </c>
      <c r="F104" s="41">
        <f t="shared" si="14"/>
        <v>688.02499999999998</v>
      </c>
      <c r="G104" s="41">
        <f t="shared" si="14"/>
        <v>1450.588475</v>
      </c>
      <c r="H104" s="36"/>
      <c r="I104" s="36"/>
      <c r="J104" s="41"/>
      <c r="K104" s="41"/>
      <c r="L104" s="41"/>
      <c r="M104" s="41"/>
      <c r="N104" s="36"/>
      <c r="O104" s="36"/>
      <c r="P104" s="36"/>
      <c r="Q104" s="36"/>
      <c r="R104" s="36"/>
    </row>
    <row r="105" spans="1:18" x14ac:dyDescent="0.25">
      <c r="A105" s="46"/>
      <c r="B105" s="41"/>
      <c r="C105" s="41"/>
      <c r="D105" s="41"/>
      <c r="E105" s="41"/>
      <c r="F105" s="41"/>
      <c r="G105" s="41"/>
      <c r="H105" s="36"/>
      <c r="I105" s="36"/>
      <c r="J105" s="41"/>
      <c r="K105" s="41"/>
      <c r="L105" s="41"/>
      <c r="M105" s="41"/>
      <c r="N105" s="36"/>
      <c r="O105" s="36"/>
      <c r="P105" s="36"/>
      <c r="Q105" s="36"/>
      <c r="R105" s="36"/>
    </row>
    <row r="106" spans="1:18" x14ac:dyDescent="0.25">
      <c r="A106" s="43" t="s">
        <v>545</v>
      </c>
      <c r="B106" s="85">
        <v>880</v>
      </c>
      <c r="C106" s="41">
        <f>ROUND('Biomass Data Assumptions'!B66/1000*B106,0)</f>
        <v>880</v>
      </c>
      <c r="D106" s="41">
        <f>'Biomass Data Assumptions'!C66*C106</f>
        <v>17826600</v>
      </c>
      <c r="E106" s="41">
        <f>('Biomass Data Assumptions'!D66*'Energy Content Assumptions'!C50*D106)/2000</f>
        <v>623.93100000000015</v>
      </c>
      <c r="F106" s="41">
        <f>'Biomass Data Assumptions'!E66*B106*365/2000</f>
        <v>2409</v>
      </c>
      <c r="G106" s="41">
        <f>F106+E106</f>
        <v>3032.931</v>
      </c>
      <c r="H106" s="36"/>
      <c r="I106" s="36"/>
      <c r="J106" s="41"/>
      <c r="K106" s="41"/>
      <c r="L106" s="41"/>
      <c r="M106" s="41"/>
      <c r="N106" s="36"/>
      <c r="O106" s="36"/>
      <c r="P106" s="36"/>
      <c r="Q106" s="36"/>
      <c r="R106" s="36"/>
    </row>
    <row r="107" spans="1:18" x14ac:dyDescent="0.25">
      <c r="A107" s="43"/>
      <c r="B107" s="41"/>
      <c r="C107" s="41"/>
      <c r="D107" s="41"/>
      <c r="E107" s="41"/>
      <c r="F107" s="41"/>
      <c r="G107" s="41"/>
      <c r="H107" s="36"/>
      <c r="I107" s="36"/>
      <c r="J107" s="41"/>
      <c r="K107" s="41"/>
      <c r="L107" s="41"/>
      <c r="M107" s="41"/>
      <c r="N107" s="36"/>
      <c r="O107" s="36"/>
      <c r="P107" s="36"/>
      <c r="Q107" s="36"/>
      <c r="R107" s="36"/>
    </row>
    <row r="108" spans="1:18" x14ac:dyDescent="0.25">
      <c r="A108" s="43" t="s">
        <v>546</v>
      </c>
      <c r="B108" s="85">
        <v>101</v>
      </c>
      <c r="C108" s="41">
        <f>ROUND('Biomass Data Assumptions'!B67/1000*B108,0)</f>
        <v>10</v>
      </c>
      <c r="D108" s="41">
        <f>'Biomass Data Assumptions'!C67*C108</f>
        <v>149650</v>
      </c>
      <c r="E108" s="41">
        <f>('Biomass Data Assumptions'!D67*'Energy Content Assumptions'!C51*D108)/2000</f>
        <v>3.74125</v>
      </c>
      <c r="F108" s="41">
        <f>'Biomass Data Assumptions'!E67*B108*365/2000</f>
        <v>18.432500000000001</v>
      </c>
      <c r="G108" s="41">
        <f>F108+E108</f>
        <v>22.173750000000002</v>
      </c>
      <c r="H108" s="36"/>
      <c r="I108" s="36"/>
      <c r="J108" s="41"/>
      <c r="K108" s="41"/>
      <c r="L108" s="41"/>
      <c r="M108" s="41"/>
      <c r="N108" s="36"/>
      <c r="O108" s="36"/>
      <c r="P108" s="36"/>
      <c r="Q108" s="36"/>
      <c r="R108" s="36"/>
    </row>
    <row r="109" spans="1:18" x14ac:dyDescent="0.25">
      <c r="A109" s="43"/>
      <c r="B109" s="41"/>
      <c r="C109" s="41"/>
      <c r="D109" s="41"/>
      <c r="E109" s="41"/>
      <c r="F109" s="41"/>
      <c r="G109" s="41"/>
      <c r="H109" s="36"/>
      <c r="I109" s="36"/>
      <c r="J109" s="41"/>
      <c r="K109" s="41"/>
      <c r="L109" s="41"/>
      <c r="M109" s="41"/>
      <c r="N109" s="36"/>
      <c r="O109" s="36"/>
      <c r="P109" s="36"/>
      <c r="Q109" s="36"/>
      <c r="R109" s="36"/>
    </row>
    <row r="110" spans="1:18" x14ac:dyDescent="0.25">
      <c r="A110" s="43" t="s">
        <v>547</v>
      </c>
      <c r="B110" s="85">
        <v>455</v>
      </c>
      <c r="C110" s="41">
        <f>ROUND('Biomass Data Assumptions'!B68/1000*B110,0)</f>
        <v>46</v>
      </c>
      <c r="D110" s="41">
        <f>'Biomass Data Assumptions'!C68*C110</f>
        <v>688390</v>
      </c>
      <c r="E110" s="41">
        <f>('Biomass Data Assumptions'!D68*'Energy Content Assumptions'!C52*D110)/2000</f>
        <v>17.20975</v>
      </c>
      <c r="F110" s="41">
        <f>'Biomass Data Assumptions'!E68*B110*365/2000</f>
        <v>83.037499999999994</v>
      </c>
      <c r="G110" s="41">
        <f>F110+E110</f>
        <v>100.24724999999999</v>
      </c>
      <c r="H110" s="36"/>
      <c r="I110" s="36"/>
      <c r="J110" s="41"/>
      <c r="K110" s="41"/>
      <c r="L110" s="41"/>
      <c r="M110" s="41"/>
      <c r="N110" s="36"/>
      <c r="O110" s="36"/>
      <c r="P110" s="36"/>
      <c r="Q110" s="36"/>
      <c r="R110" s="36"/>
    </row>
    <row r="111" spans="1:18" x14ac:dyDescent="0.25">
      <c r="A111" s="43"/>
      <c r="B111" s="41"/>
      <c r="C111" s="41"/>
      <c r="D111" s="41"/>
      <c r="E111" s="41"/>
      <c r="F111" s="41"/>
      <c r="G111" s="41"/>
      <c r="H111" s="36"/>
      <c r="I111" s="36"/>
      <c r="J111" s="41"/>
      <c r="K111" s="41"/>
      <c r="L111" s="41"/>
      <c r="M111" s="41"/>
      <c r="N111" s="36"/>
      <c r="O111" s="36"/>
      <c r="P111" s="36"/>
      <c r="Q111" s="36"/>
      <c r="R111" s="36"/>
    </row>
    <row r="112" spans="1:18" hidden="1" x14ac:dyDescent="0.25">
      <c r="A112" s="43"/>
      <c r="B112" s="36"/>
      <c r="C112" s="41"/>
      <c r="D112" s="41"/>
      <c r="E112" s="41"/>
      <c r="F112" s="41"/>
      <c r="G112" s="41"/>
      <c r="H112" s="36"/>
      <c r="I112" s="36"/>
      <c r="J112" s="41"/>
      <c r="K112" s="41"/>
      <c r="L112" s="41"/>
      <c r="M112" s="41"/>
      <c r="N112" s="36"/>
      <c r="O112" s="36"/>
      <c r="P112" s="36"/>
      <c r="Q112" s="36"/>
      <c r="R112" s="36"/>
    </row>
    <row r="113" spans="1:18" hidden="1" x14ac:dyDescent="0.25">
      <c r="A113" s="456"/>
      <c r="B113" s="458"/>
      <c r="C113" s="458"/>
      <c r="D113" s="458"/>
      <c r="E113" s="458"/>
      <c r="F113" s="458"/>
      <c r="G113" s="458"/>
      <c r="H113" s="36"/>
      <c r="I113" s="36"/>
      <c r="J113" s="41"/>
      <c r="K113" s="41"/>
      <c r="L113" s="41"/>
      <c r="M113" s="41"/>
      <c r="N113" s="36"/>
      <c r="O113" s="36"/>
      <c r="P113" s="36"/>
      <c r="Q113" s="36"/>
      <c r="R113" s="36"/>
    </row>
    <row r="114" spans="1:18" hidden="1" x14ac:dyDescent="0.25">
      <c r="A114" s="456"/>
      <c r="B114" s="458"/>
      <c r="C114" s="458"/>
      <c r="D114" s="458"/>
      <c r="E114" s="458"/>
      <c r="F114" s="458"/>
      <c r="G114" s="458"/>
      <c r="H114" s="36"/>
      <c r="I114" s="36"/>
      <c r="J114" s="41"/>
      <c r="K114" s="41"/>
      <c r="L114" s="41"/>
      <c r="M114" s="41"/>
      <c r="N114" s="36"/>
      <c r="O114" s="36"/>
      <c r="P114" s="36"/>
      <c r="Q114" s="36"/>
      <c r="R114" s="36"/>
    </row>
    <row r="115" spans="1:18" x14ac:dyDescent="0.25">
      <c r="A115" s="467" t="s">
        <v>605</v>
      </c>
      <c r="B115" s="85">
        <v>1360</v>
      </c>
      <c r="C115" s="41">
        <f>ROUND('Biomass Data Assumptions'!$B$71/1000*B115,0)</f>
        <v>544</v>
      </c>
      <c r="D115" s="41">
        <f>'Biomass Data Assumptions'!$C$71*C115</f>
        <v>9332320</v>
      </c>
      <c r="E115" s="41">
        <f>('Biomass Data Assumptions'!$D$71*'Energy Content Assumptions'!$C$55*D115)/2000</f>
        <v>233.30799999999999</v>
      </c>
      <c r="F115" s="41">
        <f>'Biomass Data Assumptions'!$E$71*B115*365/2000</f>
        <v>0</v>
      </c>
      <c r="G115" s="41">
        <f>F115+E115</f>
        <v>233.30799999999999</v>
      </c>
      <c r="H115" s="36"/>
      <c r="I115" s="36"/>
      <c r="J115" s="41"/>
      <c r="K115" s="41"/>
      <c r="L115" s="41"/>
      <c r="M115" s="41"/>
      <c r="N115" s="36"/>
      <c r="O115" s="36"/>
      <c r="P115" s="36"/>
      <c r="Q115" s="36"/>
      <c r="R115" s="36"/>
    </row>
    <row r="116" spans="1:18" x14ac:dyDescent="0.25">
      <c r="A116" s="46"/>
      <c r="B116" s="41"/>
      <c r="C116" s="41"/>
      <c r="D116" s="41"/>
      <c r="E116" s="41"/>
      <c r="F116" s="41"/>
      <c r="G116" s="41"/>
      <c r="H116" s="36"/>
      <c r="I116" s="36"/>
      <c r="J116" s="41"/>
      <c r="K116" s="41"/>
      <c r="L116" s="41"/>
      <c r="M116" s="41"/>
      <c r="N116" s="36"/>
      <c r="O116" s="36"/>
      <c r="P116" s="36"/>
      <c r="Q116" s="36"/>
      <c r="R116" s="36"/>
    </row>
    <row r="117" spans="1:18" x14ac:dyDescent="0.25">
      <c r="A117" s="43" t="s">
        <v>551</v>
      </c>
      <c r="B117" s="85">
        <f>337+587+41437</f>
        <v>42361</v>
      </c>
      <c r="C117" s="41">
        <f>ROUND('Biomass Data Assumptions'!B72/1000*B117,0)</f>
        <v>212</v>
      </c>
      <c r="D117" s="41">
        <f>'Biomass Data Assumptions'!C72*C117</f>
        <v>3869000</v>
      </c>
      <c r="E117" s="41">
        <f>('Biomass Data Assumptions'!D72*'Energy Content Assumptions'!C56*D117)/2000</f>
        <v>377.22750000000002</v>
      </c>
      <c r="F117" s="41">
        <f>'Biomass Data Assumptions'!E72*B117*365/2000</f>
        <v>0</v>
      </c>
      <c r="G117" s="41">
        <f>F117+E117</f>
        <v>377.22750000000002</v>
      </c>
      <c r="H117" s="150" t="s">
        <v>609</v>
      </c>
      <c r="I117" s="36"/>
      <c r="J117" s="41"/>
      <c r="K117" s="41"/>
      <c r="L117" s="41"/>
      <c r="M117" s="41"/>
      <c r="N117" s="36"/>
      <c r="O117" s="36"/>
      <c r="P117" s="36"/>
      <c r="Q117" s="36"/>
      <c r="R117" s="36"/>
    </row>
    <row r="118" spans="1:18" x14ac:dyDescent="0.25">
      <c r="A118" s="43"/>
      <c r="B118" s="41"/>
      <c r="C118" s="41"/>
      <c r="D118" s="41"/>
      <c r="E118" s="41"/>
      <c r="F118" s="41"/>
      <c r="G118" s="41"/>
      <c r="H118" s="36"/>
      <c r="I118" s="36"/>
      <c r="J118" s="41"/>
      <c r="K118" s="41"/>
      <c r="L118" s="41"/>
      <c r="M118" s="41"/>
      <c r="N118" s="36"/>
      <c r="O118" s="36"/>
      <c r="P118" s="36"/>
      <c r="Q118" s="36"/>
      <c r="R118" s="36"/>
    </row>
    <row r="119" spans="1:18" x14ac:dyDescent="0.25">
      <c r="A119" s="43" t="s">
        <v>552</v>
      </c>
      <c r="B119" s="85">
        <v>31</v>
      </c>
      <c r="C119" s="41">
        <f>ROUND('Biomass Data Assumptions'!B73/1000*B119,0)</f>
        <v>1</v>
      </c>
      <c r="D119" s="41">
        <f>'Biomass Data Assumptions'!C73*C119</f>
        <v>13505</v>
      </c>
      <c r="E119" s="41">
        <f>('Biomass Data Assumptions'!D73*'Energy Content Assumptions'!C57*D119)/2000</f>
        <v>1.26609375</v>
      </c>
      <c r="F119" s="41">
        <f>'Biomass Data Assumptions'!E73*B119*365/2000</f>
        <v>0.56574999999999998</v>
      </c>
      <c r="G119" s="41">
        <f>F119+E119</f>
        <v>1.83184375</v>
      </c>
      <c r="H119" s="36"/>
      <c r="I119" s="36"/>
      <c r="J119" s="41"/>
      <c r="K119" s="41"/>
      <c r="L119" s="41"/>
      <c r="M119" s="41"/>
      <c r="N119" s="36"/>
      <c r="O119" s="36"/>
      <c r="P119" s="36"/>
      <c r="Q119" s="36"/>
      <c r="R119" s="36"/>
    </row>
    <row r="120" spans="1:18" x14ac:dyDescent="0.25">
      <c r="A120" s="43"/>
      <c r="B120" s="41"/>
      <c r="C120" s="41"/>
      <c r="D120" s="41"/>
      <c r="E120" s="41"/>
      <c r="F120" s="41"/>
      <c r="G120" s="41"/>
      <c r="H120" s="36"/>
      <c r="I120" s="36"/>
      <c r="J120" s="41"/>
      <c r="K120" s="41"/>
      <c r="L120" s="41"/>
      <c r="M120" s="41"/>
      <c r="N120" s="36"/>
      <c r="O120" s="36"/>
      <c r="P120" s="36"/>
      <c r="Q120" s="36"/>
      <c r="R120" s="36"/>
    </row>
    <row r="121" spans="1:18" x14ac:dyDescent="0.25">
      <c r="A121" s="43" t="s">
        <v>553</v>
      </c>
      <c r="B121" s="86">
        <f t="shared" ref="B121:G121" si="15">B97+B104+B106+B108+B110+B115+B117+B119</f>
        <v>46267</v>
      </c>
      <c r="C121" s="48">
        <f t="shared" si="15"/>
        <v>2715</v>
      </c>
      <c r="D121" s="48">
        <f t="shared" si="15"/>
        <v>68301720</v>
      </c>
      <c r="E121" s="48">
        <f t="shared" si="15"/>
        <v>2252.9638687500001</v>
      </c>
      <c r="F121" s="48">
        <f t="shared" si="15"/>
        <v>3622.4607500000002</v>
      </c>
      <c r="G121" s="48">
        <f t="shared" si="15"/>
        <v>5875.4246187500012</v>
      </c>
      <c r="H121" s="36"/>
      <c r="I121" s="36"/>
      <c r="J121" s="48"/>
      <c r="K121" s="48"/>
      <c r="L121" s="48"/>
      <c r="M121" s="48"/>
      <c r="N121" s="36"/>
      <c r="O121" s="36"/>
      <c r="P121" s="36"/>
      <c r="Q121" s="36"/>
      <c r="R121" s="36"/>
    </row>
    <row r="122" spans="1:18" x14ac:dyDescent="0.25">
      <c r="A122" s="36"/>
      <c r="B122" s="36"/>
      <c r="C122" s="36"/>
      <c r="D122" s="36"/>
      <c r="E122" s="36"/>
      <c r="F122" s="36"/>
      <c r="G122" s="36"/>
      <c r="H122" s="36"/>
      <c r="I122" s="36"/>
      <c r="J122" s="36"/>
      <c r="K122" s="36"/>
      <c r="L122" s="36"/>
      <c r="M122" s="36"/>
      <c r="N122" s="36"/>
      <c r="O122" s="36"/>
      <c r="P122" s="36"/>
      <c r="Q122" s="36"/>
      <c r="R122" s="36"/>
    </row>
    <row r="123" spans="1:18" x14ac:dyDescent="0.25">
      <c r="A123" s="49" t="s">
        <v>1014</v>
      </c>
      <c r="B123" s="49" t="s">
        <v>1043</v>
      </c>
      <c r="C123" s="49" t="s">
        <v>1044</v>
      </c>
      <c r="D123" s="547" t="s">
        <v>1013</v>
      </c>
      <c r="E123" s="36"/>
      <c r="F123" s="36"/>
      <c r="G123" s="36"/>
      <c r="H123" s="36"/>
      <c r="I123" s="36"/>
      <c r="J123" s="36"/>
      <c r="K123" s="36"/>
      <c r="L123" s="36"/>
      <c r="M123" s="36"/>
      <c r="N123" s="36"/>
      <c r="O123" s="36"/>
      <c r="P123" s="36"/>
      <c r="Q123" s="36"/>
      <c r="R123" s="36"/>
    </row>
    <row r="124" spans="1:18" x14ac:dyDescent="0.25">
      <c r="A124" s="50" t="s">
        <v>555</v>
      </c>
      <c r="B124" s="87">
        <v>16719.32</v>
      </c>
      <c r="C124" s="543">
        <f>B124*'Energy Content Assumptions'!C33</f>
        <v>15047.388000000001</v>
      </c>
      <c r="D124" s="36"/>
      <c r="E124" s="36"/>
      <c r="F124" s="36"/>
      <c r="G124" s="36"/>
      <c r="H124" s="36"/>
      <c r="I124" s="36"/>
      <c r="J124" s="36"/>
      <c r="K124" s="36"/>
      <c r="L124" s="36"/>
      <c r="M124" s="36"/>
      <c r="N124" s="36"/>
      <c r="O124" s="36"/>
      <c r="P124" s="36"/>
      <c r="Q124" s="36"/>
      <c r="R124" s="36"/>
    </row>
    <row r="125" spans="1:18" x14ac:dyDescent="0.25">
      <c r="A125" s="50" t="s">
        <v>556</v>
      </c>
      <c r="B125" s="87">
        <v>2804.2</v>
      </c>
      <c r="C125" s="543">
        <f>B125*'Energy Content Assumptions'!C34</f>
        <v>2523.7799999999997</v>
      </c>
      <c r="D125" s="36"/>
      <c r="E125" s="36"/>
      <c r="F125" s="36"/>
      <c r="G125" s="36"/>
      <c r="H125" s="36"/>
      <c r="I125" s="36"/>
      <c r="J125" s="36"/>
      <c r="K125" s="36"/>
      <c r="L125" s="36"/>
      <c r="M125" s="36"/>
      <c r="N125" s="36"/>
      <c r="O125" s="36"/>
      <c r="P125" s="36"/>
      <c r="Q125" s="36"/>
      <c r="R125" s="36"/>
    </row>
    <row r="126" spans="1:18" x14ac:dyDescent="0.25">
      <c r="A126" s="50" t="s">
        <v>557</v>
      </c>
      <c r="B126" s="87">
        <v>4554.5</v>
      </c>
      <c r="C126" s="543">
        <f>B126*'Energy Content Assumptions'!C35</f>
        <v>4099.05</v>
      </c>
      <c r="D126" s="36"/>
      <c r="E126" s="36"/>
      <c r="F126" s="36"/>
      <c r="G126" s="36"/>
      <c r="H126" s="36"/>
      <c r="I126" s="36"/>
      <c r="J126" s="36"/>
      <c r="K126" s="36"/>
      <c r="L126" s="36"/>
      <c r="M126" s="36"/>
      <c r="N126" s="36"/>
      <c r="O126" s="36"/>
      <c r="P126" s="36"/>
      <c r="Q126" s="36"/>
      <c r="R126" s="36"/>
    </row>
    <row r="127" spans="1:18" x14ac:dyDescent="0.25">
      <c r="A127" s="50" t="s">
        <v>558</v>
      </c>
      <c r="B127" s="87">
        <v>1290.98</v>
      </c>
      <c r="C127" s="543">
        <f>B127*'Energy Content Assumptions'!C36</f>
        <v>1161.8820000000001</v>
      </c>
      <c r="D127" s="36"/>
      <c r="E127" s="36"/>
      <c r="F127" s="36"/>
      <c r="G127" s="36"/>
      <c r="H127" s="36"/>
      <c r="I127" s="36"/>
      <c r="J127" s="36"/>
      <c r="K127" s="36"/>
      <c r="L127" s="36"/>
      <c r="M127" s="36"/>
      <c r="N127" s="36"/>
      <c r="O127" s="36"/>
      <c r="P127" s="36"/>
      <c r="Q127" s="36"/>
      <c r="R127" s="36"/>
    </row>
    <row r="128" spans="1:18" x14ac:dyDescent="0.25">
      <c r="A128" s="50" t="s">
        <v>559</v>
      </c>
      <c r="B128" s="87">
        <v>18515.72</v>
      </c>
      <c r="C128" s="543">
        <f>B128*'Energy Content Assumptions'!C21</f>
        <v>9257.86</v>
      </c>
      <c r="D128" s="36"/>
      <c r="E128" s="36"/>
      <c r="F128" s="36"/>
      <c r="G128" s="36"/>
      <c r="H128" s="36"/>
      <c r="I128" s="36"/>
      <c r="J128" s="36"/>
      <c r="K128" s="36"/>
      <c r="L128" s="36"/>
      <c r="M128" s="36"/>
      <c r="N128" s="36"/>
      <c r="O128" s="36"/>
      <c r="P128" s="36"/>
      <c r="Q128" s="36"/>
      <c r="R128" s="36"/>
    </row>
    <row r="129" spans="1:18" x14ac:dyDescent="0.25">
      <c r="A129" s="50" t="s">
        <v>560</v>
      </c>
      <c r="B129" s="87">
        <v>778.48</v>
      </c>
      <c r="C129" s="543">
        <f>B129*'Energy Content Assumptions'!C22</f>
        <v>259.49333333333334</v>
      </c>
      <c r="D129" s="36"/>
      <c r="E129" s="36"/>
      <c r="F129" s="36"/>
      <c r="G129" s="36"/>
      <c r="H129" s="36"/>
      <c r="I129" s="36"/>
      <c r="J129" s="36"/>
      <c r="K129" s="36"/>
      <c r="L129" s="36"/>
      <c r="M129" s="36"/>
      <c r="N129" s="36"/>
      <c r="O129" s="36"/>
      <c r="P129" s="36"/>
      <c r="Q129" s="36"/>
      <c r="R129" s="36"/>
    </row>
    <row r="130" spans="1:18" x14ac:dyDescent="0.25">
      <c r="A130" s="50" t="s">
        <v>561</v>
      </c>
      <c r="B130" s="87">
        <v>17710.150000000001</v>
      </c>
      <c r="C130" s="543">
        <f>B130*'Energy Content Assumptions'!C23</f>
        <v>5903.3833333333332</v>
      </c>
      <c r="D130" s="36"/>
      <c r="E130" s="36"/>
      <c r="F130" s="36"/>
      <c r="G130" s="36"/>
      <c r="H130" s="36"/>
      <c r="I130" s="36"/>
      <c r="J130" s="36"/>
      <c r="K130" s="36"/>
      <c r="L130" s="36"/>
      <c r="M130" s="36"/>
      <c r="N130" s="36"/>
      <c r="O130" s="36"/>
      <c r="P130" s="36"/>
      <c r="Q130" s="36"/>
      <c r="R130" s="36"/>
    </row>
    <row r="131" spans="1:18" x14ac:dyDescent="0.25">
      <c r="A131" s="50" t="s">
        <v>562</v>
      </c>
      <c r="B131" s="87">
        <v>1731.18</v>
      </c>
      <c r="C131" s="543">
        <f>B131*'Energy Content Assumptions'!C24</f>
        <v>865.59</v>
      </c>
      <c r="D131" s="36"/>
      <c r="E131" s="36"/>
      <c r="F131" s="36"/>
      <c r="G131" s="36"/>
      <c r="H131" s="36"/>
      <c r="I131" s="36"/>
      <c r="J131" s="36"/>
      <c r="K131" s="36"/>
      <c r="L131" s="36"/>
      <c r="M131" s="36"/>
      <c r="N131" s="36"/>
      <c r="O131" s="36"/>
      <c r="P131" s="36"/>
      <c r="Q131" s="36"/>
      <c r="R131" s="36"/>
    </row>
    <row r="132" spans="1:18" x14ac:dyDescent="0.25">
      <c r="A132" s="50" t="s">
        <v>563</v>
      </c>
      <c r="B132" s="87">
        <v>22444.44</v>
      </c>
      <c r="C132" s="543">
        <f>B132*'Energy Content Assumptions'!C31</f>
        <v>5611.11</v>
      </c>
      <c r="D132" s="36"/>
      <c r="E132" s="36"/>
      <c r="F132" s="36"/>
      <c r="G132" s="36"/>
      <c r="H132" s="36"/>
      <c r="I132" s="36"/>
      <c r="J132" s="36"/>
      <c r="K132" s="36"/>
      <c r="L132" s="36"/>
      <c r="M132" s="36"/>
      <c r="N132" s="36"/>
      <c r="O132" s="36"/>
      <c r="P132" s="36"/>
      <c r="Q132" s="36"/>
      <c r="R132" s="36"/>
    </row>
    <row r="133" spans="1:18" x14ac:dyDescent="0.25">
      <c r="A133" s="50" t="s">
        <v>564</v>
      </c>
      <c r="B133" s="87">
        <v>3756.86</v>
      </c>
      <c r="C133" s="543">
        <f>B133*'Energy Content Assumptions'!C19</f>
        <v>3381.174</v>
      </c>
      <c r="D133" s="36"/>
      <c r="E133" s="36"/>
      <c r="F133" s="36"/>
      <c r="G133" s="36"/>
      <c r="H133" s="36"/>
      <c r="I133" s="36"/>
      <c r="J133" s="36"/>
      <c r="K133" s="36"/>
      <c r="L133" s="36"/>
      <c r="M133" s="36"/>
      <c r="N133" s="36"/>
      <c r="O133" s="36"/>
      <c r="P133" s="36"/>
      <c r="Q133" s="36"/>
      <c r="R133" s="36"/>
    </row>
    <row r="134" spans="1:18" x14ac:dyDescent="0.25">
      <c r="A134" s="50" t="s">
        <v>565</v>
      </c>
      <c r="B134" s="87">
        <v>7911.21</v>
      </c>
      <c r="C134" s="543">
        <f>B134*'Energy Content Assumptions'!C32</f>
        <v>6328.9680000000008</v>
      </c>
      <c r="D134" s="36"/>
      <c r="E134" s="36"/>
      <c r="F134" s="36"/>
      <c r="G134" s="36"/>
      <c r="H134" s="36"/>
      <c r="I134" s="36"/>
      <c r="J134" s="36"/>
      <c r="K134" s="36"/>
      <c r="L134" s="36"/>
      <c r="M134" s="36"/>
      <c r="N134" s="36"/>
      <c r="O134" s="36"/>
      <c r="P134" s="36"/>
      <c r="Q134" s="36"/>
      <c r="R134" s="36"/>
    </row>
    <row r="135" spans="1:18" x14ac:dyDescent="0.25">
      <c r="A135" s="36"/>
      <c r="B135" s="36"/>
      <c r="C135" s="36"/>
      <c r="D135" s="36"/>
      <c r="E135" s="36"/>
      <c r="F135" s="36"/>
      <c r="G135" s="36"/>
      <c r="H135" s="36"/>
      <c r="I135" s="36"/>
      <c r="J135" s="36"/>
      <c r="K135" s="36"/>
      <c r="L135" s="36"/>
      <c r="M135" s="36"/>
      <c r="N135" s="36"/>
      <c r="O135" s="36"/>
      <c r="P135" s="36"/>
      <c r="Q135" s="36"/>
      <c r="R135" s="36"/>
    </row>
    <row r="136" spans="1:18" x14ac:dyDescent="0.25">
      <c r="A136" s="49" t="s">
        <v>462</v>
      </c>
      <c r="B136" s="49" t="s">
        <v>1039</v>
      </c>
      <c r="C136" s="49" t="s">
        <v>1040</v>
      </c>
      <c r="D136" s="36"/>
      <c r="E136" s="36"/>
      <c r="F136" s="36"/>
      <c r="G136" s="36"/>
      <c r="H136" s="36"/>
      <c r="I136" s="36"/>
      <c r="J136" s="36"/>
      <c r="K136" s="36"/>
      <c r="L136" s="36"/>
      <c r="M136" s="36"/>
      <c r="N136" s="36"/>
      <c r="O136" s="36"/>
      <c r="P136" s="36"/>
      <c r="Q136" s="36"/>
      <c r="R136" s="36"/>
    </row>
    <row r="137" spans="1:18" x14ac:dyDescent="0.25">
      <c r="A137" s="50" t="s">
        <v>211</v>
      </c>
      <c r="B137" s="87">
        <f>'Biomass Data Assumptions'!$M$12</f>
        <v>216818.95</v>
      </c>
      <c r="C137" s="544"/>
      <c r="D137" s="546" t="s">
        <v>1016</v>
      </c>
      <c r="E137" s="36"/>
      <c r="F137" s="36"/>
      <c r="G137" s="36"/>
      <c r="H137" s="36"/>
      <c r="I137" s="36"/>
      <c r="J137" s="36"/>
      <c r="K137" s="36"/>
      <c r="L137" s="36"/>
      <c r="M137" s="36"/>
      <c r="N137" s="36"/>
      <c r="O137" s="36"/>
      <c r="P137" s="36"/>
      <c r="Q137" s="36"/>
      <c r="R137" s="36"/>
    </row>
    <row r="138" spans="1:18" x14ac:dyDescent="0.25">
      <c r="A138" s="50" t="s">
        <v>208</v>
      </c>
      <c r="B138" s="87">
        <f>'Biomass Data Assumptions'!$F$12</f>
        <v>113950.24</v>
      </c>
      <c r="C138" s="543">
        <f>B138*'Energy Content Assumptions'!$C$28</f>
        <v>56975.12</v>
      </c>
      <c r="D138" s="546" t="s">
        <v>1016</v>
      </c>
      <c r="E138" s="36"/>
      <c r="F138" s="36"/>
      <c r="G138" s="36"/>
      <c r="H138" s="36"/>
      <c r="I138" s="36"/>
      <c r="J138" s="36"/>
      <c r="K138" s="36"/>
      <c r="L138" s="36"/>
      <c r="M138" s="36"/>
      <c r="N138" s="36"/>
      <c r="O138" s="36"/>
      <c r="P138" s="36"/>
      <c r="Q138" s="36"/>
      <c r="R138" s="36"/>
    </row>
    <row r="139" spans="1:18" x14ac:dyDescent="0.25">
      <c r="A139" s="50" t="s">
        <v>209</v>
      </c>
      <c r="B139" s="87">
        <f>'Biomass Data Assumptions'!$H$12</f>
        <v>165.2</v>
      </c>
      <c r="C139" s="543"/>
      <c r="D139" s="36" t="s">
        <v>1020</v>
      </c>
      <c r="E139" s="36"/>
      <c r="F139" s="36"/>
      <c r="G139" s="36"/>
      <c r="H139" s="36"/>
      <c r="I139" s="36"/>
      <c r="J139" s="36"/>
      <c r="K139" s="36"/>
      <c r="L139" s="36"/>
      <c r="M139" s="36"/>
      <c r="N139" s="36"/>
      <c r="O139" s="36"/>
      <c r="P139" s="36"/>
      <c r="Q139" s="36"/>
      <c r="R139" s="36"/>
    </row>
    <row r="140" spans="1:18" x14ac:dyDescent="0.25">
      <c r="A140" s="50" t="s">
        <v>210</v>
      </c>
      <c r="B140" s="87">
        <f>'Biomass Data Assumptions'!$I$12</f>
        <v>113785.04000000001</v>
      </c>
      <c r="C140" s="543">
        <f>B140*'Energy Content Assumptions'!$C$28</f>
        <v>56892.520000000004</v>
      </c>
      <c r="D140" s="36" t="s">
        <v>1021</v>
      </c>
      <c r="E140" s="36"/>
      <c r="F140" s="36"/>
      <c r="G140" s="36"/>
      <c r="H140" s="36"/>
      <c r="I140" s="36"/>
      <c r="J140" s="36"/>
      <c r="K140" s="36"/>
      <c r="L140" s="36"/>
      <c r="M140" s="36"/>
      <c r="N140" s="36"/>
      <c r="O140" s="36"/>
      <c r="P140" s="36"/>
      <c r="Q140" s="36"/>
      <c r="R140" s="36"/>
    </row>
    <row r="141" spans="1:18" x14ac:dyDescent="0.25">
      <c r="A141" s="50" t="str">
        <f>'Bioenergy Calculator'!B35</f>
        <v>Food waste, Landfilled</v>
      </c>
      <c r="B141" s="87">
        <f>IF('Bioenergy Calculator'!H75="No",'Biomass Data Assumptions'!J12,'Biomass Data Assumptions'!F12*'Biomass Data Assumptions'!I41)</f>
        <v>18000.793328000003</v>
      </c>
      <c r="C141" s="543">
        <f>B141*'Energy Content Assumptions'!C26</f>
        <v>5400.2379984000008</v>
      </c>
      <c r="D141" s="150" t="s">
        <v>1063</v>
      </c>
      <c r="E141" s="36"/>
      <c r="F141" s="36"/>
      <c r="G141" s="36"/>
      <c r="H141" s="36"/>
      <c r="I141" s="36"/>
      <c r="J141" s="36"/>
      <c r="K141" s="36"/>
      <c r="L141" s="36"/>
      <c r="M141" s="36"/>
      <c r="N141" s="36"/>
      <c r="O141" s="36"/>
      <c r="P141" s="36"/>
      <c r="Q141" s="36"/>
      <c r="R141" s="36"/>
    </row>
    <row r="142" spans="1:18" x14ac:dyDescent="0.25">
      <c r="A142" s="50" t="str">
        <f>'Bioenergy Calculator'!B36</f>
        <v>Waste paper, Landfilled</v>
      </c>
      <c r="B142" s="87">
        <f>IF('Bioenergy Calculator'!H75="No",'Biomass Data Assumptions'!K12,'Biomass Data Assumptions'!F12*'Biomass Data Assumptions'!I42)</f>
        <v>22131.190280000003</v>
      </c>
      <c r="C142" s="543">
        <f>B142*'Energy Content Assumptions'!C27</f>
        <v>19918.071252000002</v>
      </c>
      <c r="D142" s="150" t="s">
        <v>1063</v>
      </c>
      <c r="E142" s="36"/>
      <c r="F142" s="36"/>
      <c r="G142" s="36"/>
      <c r="H142" s="36"/>
      <c r="I142" s="36"/>
      <c r="J142" s="36"/>
      <c r="K142" s="36"/>
      <c r="L142" s="36"/>
      <c r="M142" s="36"/>
      <c r="N142" s="36"/>
      <c r="O142" s="36"/>
      <c r="P142" s="36"/>
      <c r="Q142" s="36"/>
      <c r="R142" s="36"/>
    </row>
    <row r="143" spans="1:18" x14ac:dyDescent="0.25">
      <c r="A143" s="50" t="str">
        <f>'Bioenergy Calculator'!B37</f>
        <v>Other Biomass, Landfilled</v>
      </c>
      <c r="B143" s="87">
        <f>IF('Bioenergy Calculator'!H75="No",'Biomass Data Assumptions'!L12,'Biomass Data Assumptions'!F12*'Biomass Data Assumptions'!I43)</f>
        <v>30642.311271999999</v>
      </c>
      <c r="C143" s="543">
        <f>B143*'Energy Content Assumptions'!$C$28</f>
        <v>15321.155636</v>
      </c>
      <c r="D143" s="547" t="s">
        <v>1064</v>
      </c>
      <c r="E143" s="36"/>
      <c r="F143" s="36"/>
      <c r="G143" s="36"/>
      <c r="H143" s="36"/>
      <c r="I143" s="36"/>
      <c r="J143" s="36"/>
      <c r="K143" s="36"/>
      <c r="L143" s="36"/>
      <c r="M143" s="36"/>
      <c r="N143" s="36"/>
      <c r="O143" s="36"/>
      <c r="P143" s="36"/>
      <c r="Q143" s="36"/>
      <c r="R143" s="36"/>
    </row>
    <row r="144" spans="1:18" x14ac:dyDescent="0.25">
      <c r="A144" s="50" t="s">
        <v>463</v>
      </c>
      <c r="B144" s="87">
        <v>21297.54</v>
      </c>
      <c r="C144" s="543">
        <f>B144*'Energy Content Assumptions'!C29</f>
        <v>17038.032000000003</v>
      </c>
      <c r="D144" s="151" t="s">
        <v>206</v>
      </c>
      <c r="E144" s="36"/>
      <c r="F144" s="36"/>
      <c r="G144" s="36"/>
      <c r="H144" s="36"/>
      <c r="I144" s="36"/>
      <c r="J144" s="36"/>
      <c r="K144" s="36"/>
      <c r="L144" s="36"/>
      <c r="M144" s="36"/>
      <c r="N144" s="36"/>
      <c r="O144" s="36"/>
      <c r="P144" s="36"/>
      <c r="Q144" s="36"/>
      <c r="R144" s="36"/>
    </row>
    <row r="145" spans="1:18" x14ac:dyDescent="0.25">
      <c r="A145" s="709" t="s">
        <v>179</v>
      </c>
      <c r="B145" s="710">
        <v>0.4</v>
      </c>
      <c r="C145" s="543">
        <f>C144*B145</f>
        <v>6815.2128000000012</v>
      </c>
      <c r="D145" s="36" t="s">
        <v>1202</v>
      </c>
      <c r="E145" s="36"/>
      <c r="F145" s="36"/>
      <c r="G145" s="36"/>
      <c r="H145" s="36"/>
      <c r="I145" s="36"/>
      <c r="J145" s="36"/>
      <c r="K145" s="36"/>
      <c r="L145" s="36"/>
      <c r="M145" s="36"/>
      <c r="N145" s="36"/>
      <c r="O145" s="36"/>
      <c r="P145" s="36"/>
      <c r="Q145" s="36"/>
      <c r="R145" s="36"/>
    </row>
    <row r="146" spans="1:18" x14ac:dyDescent="0.25">
      <c r="A146" s="712"/>
      <c r="B146" s="713"/>
      <c r="C146" s="714"/>
      <c r="D146" s="150" t="s">
        <v>1553</v>
      </c>
      <c r="E146" s="36"/>
      <c r="F146" s="36"/>
      <c r="G146" s="36"/>
      <c r="H146" s="36"/>
      <c r="I146" s="36"/>
      <c r="J146" s="36"/>
      <c r="K146" s="36"/>
      <c r="L146" s="36"/>
      <c r="M146" s="36"/>
      <c r="N146" s="36"/>
      <c r="O146" s="36"/>
      <c r="P146" s="36"/>
      <c r="Q146" s="36"/>
      <c r="R146" s="36"/>
    </row>
    <row r="147" spans="1:18" x14ac:dyDescent="0.25">
      <c r="A147" s="1238" t="s">
        <v>1568</v>
      </c>
      <c r="B147" s="49" t="s">
        <v>1039</v>
      </c>
      <c r="C147" s="49" t="s">
        <v>1571</v>
      </c>
      <c r="D147" s="150"/>
      <c r="E147" s="36"/>
      <c r="F147" s="36"/>
      <c r="G147" s="36"/>
      <c r="H147" s="36"/>
      <c r="I147" s="36"/>
      <c r="J147" s="36"/>
      <c r="K147" s="36"/>
      <c r="L147" s="36"/>
      <c r="M147" s="36"/>
      <c r="N147" s="36"/>
      <c r="O147" s="36"/>
      <c r="P147" s="36"/>
      <c r="Q147" s="36"/>
      <c r="R147" s="36"/>
    </row>
    <row r="148" spans="1:18" x14ac:dyDescent="0.25">
      <c r="A148" s="1236" t="s">
        <v>508</v>
      </c>
      <c r="B148" s="549">
        <f>'Biomass Data Assumptions'!R12/2000</f>
        <v>690.35120000000006</v>
      </c>
      <c r="C148" s="1239">
        <f>B148*'Energy Content Assumptions'!C39</f>
        <v>586.79852000000005</v>
      </c>
      <c r="D148" s="150" t="s">
        <v>1569</v>
      </c>
      <c r="E148" s="36"/>
      <c r="F148" s="36"/>
      <c r="G148" s="36"/>
      <c r="H148" s="36"/>
      <c r="I148" s="36"/>
      <c r="J148" s="36"/>
      <c r="K148" s="36"/>
      <c r="L148" s="36"/>
      <c r="M148" s="36"/>
      <c r="N148" s="36"/>
      <c r="O148" s="36"/>
      <c r="P148" s="36"/>
      <c r="Q148" s="36"/>
      <c r="R148" s="36"/>
    </row>
    <row r="149" spans="1:18" x14ac:dyDescent="0.25">
      <c r="A149" s="1236" t="s">
        <v>509</v>
      </c>
      <c r="B149" s="549">
        <f>'Biomass Data Assumptions'!S12/2000</f>
        <v>1048.86313</v>
      </c>
      <c r="C149" s="1239">
        <f>B149*'Energy Content Assumptions'!C40</f>
        <v>52.443156500000001</v>
      </c>
      <c r="D149" s="150" t="s">
        <v>1570</v>
      </c>
      <c r="E149" s="36"/>
      <c r="F149" s="36"/>
      <c r="G149" s="36"/>
      <c r="H149" s="36"/>
      <c r="I149" s="36"/>
      <c r="J149" s="36"/>
      <c r="K149" s="36"/>
      <c r="L149" s="36"/>
      <c r="M149" s="36"/>
      <c r="N149" s="36"/>
      <c r="O149" s="36"/>
      <c r="P149" s="36"/>
      <c r="Q149" s="36"/>
      <c r="R149" s="36"/>
    </row>
    <row r="150" spans="1:18" x14ac:dyDescent="0.25">
      <c r="A150" s="36"/>
      <c r="B150" s="36"/>
      <c r="C150" s="36"/>
      <c r="D150" s="36"/>
      <c r="E150" s="36"/>
      <c r="F150" s="36"/>
      <c r="G150" s="36"/>
      <c r="H150" s="36"/>
      <c r="I150" s="36"/>
      <c r="J150" s="36"/>
      <c r="K150" s="36"/>
      <c r="L150" s="36"/>
      <c r="M150" s="36"/>
      <c r="N150" s="36"/>
      <c r="O150" s="36"/>
      <c r="P150" s="36"/>
      <c r="Q150" s="36"/>
      <c r="R150" s="36"/>
    </row>
    <row r="151" spans="1:18" x14ac:dyDescent="0.25">
      <c r="A151" s="36"/>
      <c r="B151" s="36"/>
      <c r="C151" s="36"/>
      <c r="D151" s="36"/>
      <c r="E151" s="36"/>
      <c r="F151" s="36"/>
      <c r="G151" s="36"/>
      <c r="H151" s="36"/>
      <c r="I151" s="36"/>
      <c r="J151" s="36"/>
      <c r="K151" s="36"/>
      <c r="L151" s="36"/>
      <c r="M151" s="36"/>
      <c r="N151" s="36"/>
      <c r="O151" s="36"/>
      <c r="P151" s="36"/>
      <c r="Q151" s="36"/>
      <c r="R151" s="36"/>
    </row>
    <row r="152" spans="1:18" x14ac:dyDescent="0.25">
      <c r="A152" s="36"/>
      <c r="B152" s="36"/>
      <c r="C152" s="36"/>
      <c r="D152" s="36"/>
      <c r="E152" s="36"/>
      <c r="F152" s="36"/>
      <c r="G152" s="36"/>
      <c r="H152" s="36"/>
      <c r="I152" s="36"/>
      <c r="J152" s="36"/>
      <c r="K152" s="36"/>
      <c r="L152" s="36"/>
      <c r="M152" s="36"/>
      <c r="N152" s="36"/>
      <c r="O152" s="36"/>
      <c r="P152" s="36"/>
      <c r="Q152" s="36"/>
      <c r="R152" s="36"/>
    </row>
    <row r="153" spans="1:18" x14ac:dyDescent="0.25">
      <c r="A153" s="36"/>
      <c r="B153" s="36"/>
      <c r="C153" s="36"/>
      <c r="D153" s="36"/>
      <c r="E153" s="36"/>
      <c r="F153" s="36"/>
      <c r="G153" s="36"/>
      <c r="H153" s="36"/>
      <c r="I153" s="36"/>
      <c r="J153" s="36"/>
      <c r="K153" s="36"/>
      <c r="L153" s="36"/>
      <c r="M153" s="36"/>
      <c r="N153" s="36"/>
      <c r="O153" s="36"/>
      <c r="P153" s="36"/>
      <c r="Q153" s="36"/>
      <c r="R153" s="36"/>
    </row>
    <row r="154" spans="1:18" x14ac:dyDescent="0.25">
      <c r="A154" s="36"/>
      <c r="B154" s="36"/>
      <c r="C154" s="36"/>
      <c r="D154" s="36"/>
      <c r="E154" s="36"/>
      <c r="F154" s="36"/>
      <c r="G154" s="36"/>
      <c r="H154" s="36"/>
      <c r="I154" s="36"/>
      <c r="J154" s="36"/>
      <c r="K154" s="36"/>
      <c r="L154" s="36"/>
      <c r="M154" s="36"/>
      <c r="N154" s="36"/>
      <c r="O154" s="36"/>
      <c r="P154" s="36"/>
      <c r="Q154" s="36"/>
      <c r="R154" s="36"/>
    </row>
    <row r="155" spans="1:18" x14ac:dyDescent="0.25">
      <c r="A155" s="36"/>
      <c r="B155" s="36"/>
      <c r="C155" s="36"/>
      <c r="D155" s="36"/>
      <c r="E155" s="36"/>
      <c r="F155" s="36"/>
      <c r="G155" s="36"/>
      <c r="H155" s="36"/>
      <c r="I155" s="36"/>
      <c r="J155" s="36"/>
      <c r="K155" s="36"/>
      <c r="L155" s="36"/>
      <c r="M155" s="36"/>
      <c r="N155" s="36"/>
      <c r="O155" s="36"/>
      <c r="P155" s="36"/>
      <c r="Q155" s="36"/>
      <c r="R155" s="36"/>
    </row>
    <row r="156" spans="1:18" x14ac:dyDescent="0.25">
      <c r="A156" s="36"/>
      <c r="B156" s="36"/>
      <c r="C156" s="36"/>
      <c r="D156" s="36"/>
      <c r="E156" s="36"/>
      <c r="F156" s="36"/>
      <c r="G156" s="36"/>
      <c r="H156" s="36"/>
      <c r="I156" s="36"/>
      <c r="J156" s="36"/>
      <c r="K156" s="36"/>
      <c r="L156" s="36"/>
      <c r="M156" s="36"/>
      <c r="N156" s="36"/>
      <c r="O156" s="36"/>
      <c r="P156" s="36"/>
      <c r="Q156" s="36"/>
      <c r="R156" s="36"/>
    </row>
    <row r="157" spans="1:18" x14ac:dyDescent="0.25">
      <c r="A157" s="36"/>
      <c r="B157" s="36"/>
      <c r="C157" s="36"/>
      <c r="D157" s="36"/>
      <c r="E157" s="36"/>
      <c r="F157" s="36"/>
      <c r="G157" s="36"/>
      <c r="H157" s="36"/>
      <c r="I157" s="36"/>
      <c r="J157" s="36"/>
      <c r="K157" s="36"/>
      <c r="L157" s="36"/>
      <c r="M157" s="36"/>
      <c r="N157" s="36"/>
      <c r="O157" s="36"/>
      <c r="P157" s="36"/>
      <c r="Q157" s="36"/>
      <c r="R157" s="36"/>
    </row>
    <row r="158" spans="1:18" x14ac:dyDescent="0.25">
      <c r="A158" s="36"/>
      <c r="B158" s="36"/>
      <c r="C158" s="36"/>
      <c r="D158" s="36"/>
      <c r="E158" s="36"/>
      <c r="F158" s="36"/>
      <c r="G158" s="36"/>
      <c r="H158" s="36"/>
      <c r="I158" s="36"/>
      <c r="J158" s="36"/>
      <c r="K158" s="36"/>
      <c r="L158" s="36"/>
      <c r="M158" s="36"/>
      <c r="N158" s="36"/>
      <c r="O158" s="36"/>
      <c r="P158" s="36"/>
      <c r="Q158" s="36"/>
      <c r="R158" s="36"/>
    </row>
    <row r="159" spans="1:18" x14ac:dyDescent="0.25">
      <c r="A159" s="36"/>
      <c r="B159" s="36"/>
      <c r="C159" s="36"/>
      <c r="D159" s="36"/>
      <c r="E159" s="36"/>
      <c r="F159" s="36"/>
      <c r="G159" s="36"/>
      <c r="H159" s="36"/>
      <c r="I159" s="36"/>
      <c r="J159" s="36"/>
      <c r="K159" s="36"/>
      <c r="L159" s="36"/>
      <c r="M159" s="36"/>
      <c r="N159" s="36"/>
      <c r="O159" s="36"/>
      <c r="P159" s="36"/>
      <c r="Q159" s="36"/>
      <c r="R159" s="36"/>
    </row>
    <row r="160" spans="1:18" x14ac:dyDescent="0.25">
      <c r="A160" s="36"/>
      <c r="B160" s="36"/>
      <c r="C160" s="36"/>
      <c r="D160" s="36"/>
      <c r="E160" s="36"/>
      <c r="F160" s="36"/>
      <c r="G160" s="36"/>
      <c r="H160" s="36"/>
      <c r="I160" s="36"/>
      <c r="J160" s="36"/>
      <c r="K160" s="36"/>
      <c r="L160" s="36"/>
      <c r="M160" s="36"/>
      <c r="N160" s="36"/>
      <c r="O160" s="36"/>
      <c r="P160" s="36"/>
      <c r="Q160" s="36"/>
      <c r="R160" s="36"/>
    </row>
    <row r="161" spans="1:18" x14ac:dyDescent="0.25">
      <c r="A161" s="36"/>
      <c r="B161" s="36"/>
      <c r="C161" s="36"/>
      <c r="D161" s="36"/>
      <c r="E161" s="36"/>
      <c r="F161" s="36"/>
      <c r="G161" s="36"/>
      <c r="H161" s="36"/>
      <c r="I161" s="36"/>
      <c r="J161" s="36"/>
      <c r="K161" s="36"/>
      <c r="L161" s="36"/>
      <c r="M161" s="36"/>
      <c r="N161" s="36"/>
      <c r="O161" s="36"/>
      <c r="P161" s="36"/>
      <c r="Q161" s="36"/>
      <c r="R161" s="36"/>
    </row>
    <row r="162" spans="1:18" x14ac:dyDescent="0.25">
      <c r="A162" s="36"/>
      <c r="B162" s="36"/>
      <c r="C162" s="36"/>
      <c r="D162" s="36"/>
      <c r="E162" s="36"/>
      <c r="F162" s="36"/>
      <c r="G162" s="36"/>
      <c r="H162" s="36"/>
      <c r="I162" s="36"/>
      <c r="J162" s="36"/>
      <c r="K162" s="36"/>
      <c r="L162" s="36"/>
      <c r="M162" s="36"/>
      <c r="N162" s="36"/>
      <c r="O162" s="36"/>
      <c r="P162" s="36"/>
      <c r="Q162" s="36"/>
      <c r="R162" s="36"/>
    </row>
    <row r="163" spans="1:18" x14ac:dyDescent="0.25">
      <c r="A163" s="36"/>
      <c r="B163" s="36"/>
      <c r="C163" s="36"/>
      <c r="D163" s="36"/>
      <c r="E163" s="36"/>
      <c r="F163" s="36"/>
      <c r="G163" s="36"/>
      <c r="H163" s="36"/>
      <c r="I163" s="36"/>
      <c r="J163" s="36"/>
      <c r="K163" s="36"/>
      <c r="L163" s="36"/>
      <c r="M163" s="36"/>
      <c r="N163" s="36"/>
      <c r="O163" s="36"/>
      <c r="P163" s="36"/>
      <c r="Q163" s="36"/>
      <c r="R163" s="36"/>
    </row>
    <row r="164" spans="1:18" x14ac:dyDescent="0.25">
      <c r="A164" s="36"/>
      <c r="B164" s="36"/>
      <c r="C164" s="36"/>
      <c r="D164" s="36"/>
      <c r="E164" s="36"/>
      <c r="F164" s="36"/>
      <c r="G164" s="36"/>
      <c r="H164" s="36"/>
      <c r="I164" s="36"/>
      <c r="J164" s="36"/>
      <c r="K164" s="36"/>
      <c r="L164" s="36"/>
      <c r="M164" s="36"/>
      <c r="N164" s="36"/>
      <c r="O164" s="36"/>
      <c r="P164" s="36"/>
      <c r="Q164" s="36"/>
      <c r="R164" s="36"/>
    </row>
    <row r="165" spans="1:18" x14ac:dyDescent="0.25">
      <c r="A165" s="36"/>
      <c r="B165" s="36"/>
      <c r="C165" s="36"/>
      <c r="D165" s="36"/>
      <c r="E165" s="36"/>
      <c r="F165" s="36"/>
      <c r="G165" s="36"/>
      <c r="H165" s="36"/>
      <c r="I165" s="36"/>
      <c r="J165" s="36"/>
      <c r="K165" s="36"/>
      <c r="L165" s="36"/>
      <c r="M165" s="36"/>
      <c r="N165" s="36"/>
      <c r="O165" s="36"/>
      <c r="P165" s="36"/>
      <c r="Q165" s="36"/>
      <c r="R165" s="36"/>
    </row>
    <row r="166" spans="1:18" x14ac:dyDescent="0.25">
      <c r="A166" s="36"/>
      <c r="B166" s="36"/>
      <c r="C166" s="36"/>
      <c r="D166" s="36"/>
      <c r="E166" s="36"/>
      <c r="F166" s="36"/>
      <c r="G166" s="36"/>
      <c r="H166" s="36"/>
      <c r="I166" s="36"/>
      <c r="J166" s="36"/>
      <c r="K166" s="36"/>
      <c r="L166" s="36"/>
      <c r="M166" s="36"/>
      <c r="N166" s="36"/>
      <c r="O166" s="36"/>
      <c r="P166" s="36"/>
      <c r="Q166" s="36"/>
      <c r="R166" s="36"/>
    </row>
    <row r="167" spans="1:18" x14ac:dyDescent="0.25">
      <c r="A167" s="36"/>
      <c r="B167" s="36"/>
      <c r="C167" s="36"/>
      <c r="D167" s="36"/>
      <c r="E167" s="36"/>
      <c r="F167" s="36"/>
      <c r="G167" s="36"/>
      <c r="H167" s="36"/>
      <c r="I167" s="36"/>
      <c r="J167" s="36"/>
      <c r="K167" s="36"/>
      <c r="L167" s="36"/>
      <c r="M167" s="36"/>
      <c r="N167" s="36"/>
      <c r="O167" s="36"/>
      <c r="P167" s="36"/>
      <c r="Q167" s="36"/>
      <c r="R167" s="36"/>
    </row>
    <row r="168" spans="1:18" x14ac:dyDescent="0.25">
      <c r="A168" s="36"/>
      <c r="B168" s="36"/>
      <c r="C168" s="36"/>
      <c r="D168" s="36"/>
      <c r="E168" s="36"/>
      <c r="F168" s="36"/>
      <c r="G168" s="36"/>
      <c r="H168" s="36"/>
      <c r="I168" s="36"/>
      <c r="J168" s="36"/>
      <c r="K168" s="36"/>
      <c r="L168" s="36"/>
      <c r="M168" s="36"/>
      <c r="N168" s="36"/>
      <c r="O168" s="36"/>
      <c r="P168" s="36"/>
      <c r="Q168" s="36"/>
      <c r="R168" s="36"/>
    </row>
    <row r="169" spans="1:18" x14ac:dyDescent="0.25">
      <c r="A169" s="36"/>
      <c r="B169" s="36"/>
      <c r="C169" s="36"/>
      <c r="D169" s="36"/>
      <c r="E169" s="36"/>
      <c r="F169" s="36"/>
      <c r="G169" s="36"/>
      <c r="H169" s="36"/>
      <c r="I169" s="36"/>
      <c r="J169" s="36"/>
      <c r="K169" s="36"/>
      <c r="L169" s="36"/>
      <c r="M169" s="36"/>
      <c r="N169" s="36"/>
      <c r="O169" s="36"/>
      <c r="P169" s="36"/>
      <c r="Q169" s="36"/>
      <c r="R169" s="36"/>
    </row>
    <row r="170" spans="1:18" x14ac:dyDescent="0.25">
      <c r="A170" s="36"/>
      <c r="B170" s="36"/>
      <c r="C170" s="36"/>
      <c r="D170" s="36"/>
      <c r="E170" s="36"/>
      <c r="F170" s="36"/>
      <c r="G170" s="36"/>
      <c r="H170" s="36"/>
      <c r="I170" s="36"/>
      <c r="J170" s="36"/>
      <c r="K170" s="36"/>
      <c r="L170" s="36"/>
      <c r="M170" s="36"/>
      <c r="N170" s="36"/>
      <c r="O170" s="36"/>
      <c r="P170" s="36"/>
      <c r="Q170" s="36"/>
      <c r="R170" s="36"/>
    </row>
    <row r="171" spans="1:18" x14ac:dyDescent="0.25">
      <c r="P171" s="36"/>
      <c r="Q171" s="36"/>
      <c r="R171" s="36"/>
    </row>
    <row r="172" spans="1:18" x14ac:dyDescent="0.25">
      <c r="P172" s="36"/>
      <c r="Q172" s="36"/>
      <c r="R172" s="36"/>
    </row>
    <row r="173" spans="1:18" x14ac:dyDescent="0.25">
      <c r="P173" s="36"/>
      <c r="Q173" s="36"/>
      <c r="R173" s="36"/>
    </row>
    <row r="174" spans="1:18" x14ac:dyDescent="0.25">
      <c r="P174" s="36"/>
      <c r="Q174" s="36"/>
      <c r="R174" s="36"/>
    </row>
    <row r="175" spans="1:18" x14ac:dyDescent="0.25">
      <c r="P175" s="36"/>
      <c r="Q175" s="36"/>
      <c r="R175" s="36"/>
    </row>
    <row r="176" spans="1:18" x14ac:dyDescent="0.25">
      <c r="P176" s="36"/>
      <c r="Q176" s="36"/>
      <c r="R176" s="36"/>
    </row>
    <row r="177" spans="16:18" x14ac:dyDescent="0.25">
      <c r="P177" s="36"/>
      <c r="Q177" s="36"/>
      <c r="R177" s="36"/>
    </row>
    <row r="178" spans="16:18" x14ac:dyDescent="0.25">
      <c r="P178" s="36"/>
      <c r="Q178" s="36"/>
      <c r="R178" s="36"/>
    </row>
    <row r="179" spans="16:18" x14ac:dyDescent="0.25">
      <c r="P179" s="36"/>
      <c r="Q179" s="36"/>
      <c r="R179" s="36"/>
    </row>
    <row r="180" spans="16:18" x14ac:dyDescent="0.25">
      <c r="P180" s="36"/>
      <c r="Q180" s="36"/>
      <c r="R180" s="36"/>
    </row>
    <row r="181" spans="16:18" x14ac:dyDescent="0.25">
      <c r="P181" s="36"/>
      <c r="Q181" s="36"/>
      <c r="R181" s="36"/>
    </row>
    <row r="182" spans="16:18" x14ac:dyDescent="0.25">
      <c r="P182" s="36"/>
      <c r="Q182" s="36"/>
      <c r="R182" s="36"/>
    </row>
    <row r="183" spans="16:18" x14ac:dyDescent="0.25">
      <c r="P183" s="36"/>
      <c r="Q183" s="36"/>
      <c r="R183" s="36"/>
    </row>
    <row r="184" spans="16:18" x14ac:dyDescent="0.25">
      <c r="P184" s="36"/>
      <c r="Q184" s="36"/>
      <c r="R184" s="36"/>
    </row>
    <row r="185" spans="16:18" x14ac:dyDescent="0.25">
      <c r="P185" s="36"/>
      <c r="Q185" s="36"/>
      <c r="R185" s="36"/>
    </row>
    <row r="186" spans="16:18" x14ac:dyDescent="0.25">
      <c r="P186" s="36"/>
      <c r="Q186" s="36"/>
      <c r="R186" s="36"/>
    </row>
    <row r="187" spans="16:18" x14ac:dyDescent="0.25">
      <c r="P187" s="36"/>
      <c r="Q187" s="36"/>
      <c r="R187" s="36"/>
    </row>
    <row r="188" spans="16:18" x14ac:dyDescent="0.25">
      <c r="P188" s="36"/>
      <c r="Q188" s="36"/>
      <c r="R188" s="36"/>
    </row>
    <row r="189" spans="16:18" x14ac:dyDescent="0.25">
      <c r="P189" s="36"/>
      <c r="Q189" s="36"/>
      <c r="R189" s="36"/>
    </row>
    <row r="190" spans="16:18" x14ac:dyDescent="0.25">
      <c r="P190" s="36"/>
      <c r="Q190" s="36"/>
      <c r="R190" s="36"/>
    </row>
    <row r="191" spans="16:18" x14ac:dyDescent="0.25">
      <c r="P191" s="36"/>
      <c r="Q191" s="36"/>
      <c r="R191" s="36"/>
    </row>
    <row r="192" spans="16:18" x14ac:dyDescent="0.25">
      <c r="P192" s="36"/>
      <c r="Q192" s="36"/>
      <c r="R192" s="36"/>
    </row>
    <row r="193" spans="16:18" x14ac:dyDescent="0.25">
      <c r="P193" s="36"/>
      <c r="Q193" s="36"/>
      <c r="R193" s="36"/>
    </row>
    <row r="194" spans="16:18" x14ac:dyDescent="0.25">
      <c r="P194" s="36"/>
      <c r="Q194" s="36"/>
      <c r="R194" s="36"/>
    </row>
    <row r="195" spans="16:18" x14ac:dyDescent="0.25">
      <c r="P195" s="36"/>
      <c r="Q195" s="36"/>
      <c r="R195" s="36"/>
    </row>
    <row r="196" spans="16:18" x14ac:dyDescent="0.25">
      <c r="P196" s="36"/>
      <c r="Q196" s="36"/>
      <c r="R196" s="36"/>
    </row>
    <row r="197" spans="16:18" x14ac:dyDescent="0.25">
      <c r="P197" s="36"/>
      <c r="Q197" s="36"/>
      <c r="R197" s="36"/>
    </row>
    <row r="198" spans="16:18" x14ac:dyDescent="0.25">
      <c r="P198" s="36"/>
      <c r="Q198" s="36"/>
      <c r="R198" s="36"/>
    </row>
    <row r="199" spans="16:18" x14ac:dyDescent="0.25">
      <c r="P199" s="36"/>
      <c r="Q199" s="36"/>
      <c r="R199" s="36"/>
    </row>
  </sheetData>
  <mergeCells count="15">
    <mergeCell ref="A3:A4"/>
    <mergeCell ref="B3:B4"/>
    <mergeCell ref="C3:C4"/>
    <mergeCell ref="A51:A67"/>
    <mergeCell ref="A5:A11"/>
    <mergeCell ref="A13:A29"/>
    <mergeCell ref="A31:A43"/>
    <mergeCell ref="A45:A49"/>
    <mergeCell ref="I1:L1"/>
    <mergeCell ref="M1:P1"/>
    <mergeCell ref="Q3:Q4"/>
    <mergeCell ref="D3:D4"/>
    <mergeCell ref="I3:L3"/>
    <mergeCell ref="M3:P3"/>
    <mergeCell ref="E3:H3"/>
  </mergeCells>
  <phoneticPr fontId="0" type="noConversion"/>
  <pageMargins left="0.75" right="0.75" top="1" bottom="1" header="0.5" footer="0.5"/>
  <pageSetup paperSize="5" scale="50" orientation="landscape" r:id="rId1"/>
  <headerFooter alignWithMargins="0">
    <oddFooter>&amp;L&amp;"Arial,Italic" 7/02/07&amp;C&amp;"Arial,Italic"&amp;A&amp;R&amp;"Arial,Italic"NJAES Report 2007-1 ©2007
New Jersey Agricultural Experiment Station</oddFooter>
  </headerFooter>
  <ignoredErrors>
    <ignoredError sqref="D67" formula="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S199"/>
  <sheetViews>
    <sheetView topLeftCell="A110" zoomScale="70" zoomScaleNormal="75" workbookViewId="0">
      <selection activeCell="C147" sqref="C147"/>
    </sheetView>
  </sheetViews>
  <sheetFormatPr defaultColWidth="9.109375" defaultRowHeight="13.2" x14ac:dyDescent="0.25"/>
  <cols>
    <col min="1" max="1" width="28.6640625" style="5" customWidth="1"/>
    <col min="2" max="2" width="42.6640625" style="5" customWidth="1"/>
    <col min="3" max="3" width="23.6640625" style="5" customWidth="1"/>
    <col min="4" max="4" width="18.6640625" style="5" customWidth="1"/>
    <col min="5" max="16" width="14.6640625" style="5" customWidth="1"/>
    <col min="17" max="17" width="45.6640625" style="5" customWidth="1"/>
    <col min="18" max="18" width="34.44140625" style="5" customWidth="1"/>
    <col min="19" max="19" width="19.33203125" style="5" customWidth="1"/>
    <col min="20" max="20" width="14" style="5" customWidth="1"/>
    <col min="21" max="16384" width="9.109375" style="5"/>
  </cols>
  <sheetData>
    <row r="1" spans="1:17" ht="15.6" x14ac:dyDescent="0.3">
      <c r="A1" s="407" t="s">
        <v>445</v>
      </c>
      <c r="E1" s="412" t="s">
        <v>433</v>
      </c>
      <c r="I1" s="1195" t="str">
        <f>'Bioenergy Calculator'!B3</f>
        <v>None</v>
      </c>
      <c r="J1" s="1195"/>
      <c r="K1" s="1195"/>
      <c r="L1" s="1196"/>
      <c r="M1" s="1195" t="str">
        <f>'Bioenergy Calculator'!B4</f>
        <v>None</v>
      </c>
      <c r="N1" s="1195"/>
      <c r="O1" s="1195"/>
      <c r="P1" s="1196"/>
    </row>
    <row r="3" spans="1:17" s="6" customFormat="1" ht="24.75" customHeight="1" x14ac:dyDescent="0.25">
      <c r="A3" s="1062" t="s">
        <v>567</v>
      </c>
      <c r="B3" s="1062" t="s">
        <v>506</v>
      </c>
      <c r="C3" s="1062" t="s">
        <v>1035</v>
      </c>
      <c r="D3" s="1062" t="s">
        <v>1051</v>
      </c>
      <c r="E3" s="1083" t="s">
        <v>523</v>
      </c>
      <c r="F3" s="1209"/>
      <c r="G3" s="1209"/>
      <c r="H3" s="1198"/>
      <c r="I3" s="1072" t="s">
        <v>275</v>
      </c>
      <c r="J3" s="1073"/>
      <c r="K3" s="1074"/>
      <c r="L3" s="1075"/>
      <c r="M3" s="1083" t="s">
        <v>274</v>
      </c>
      <c r="N3" s="1084"/>
      <c r="O3" s="1197"/>
      <c r="P3" s="1198"/>
      <c r="Q3" s="1060" t="s">
        <v>570</v>
      </c>
    </row>
    <row r="4" spans="1:17" s="6" customFormat="1" x14ac:dyDescent="0.25">
      <c r="A4" s="1063"/>
      <c r="B4" s="1063"/>
      <c r="C4" s="1063"/>
      <c r="D4" s="1071"/>
      <c r="E4" s="22">
        <v>2010</v>
      </c>
      <c r="F4" s="22">
        <v>2015</v>
      </c>
      <c r="G4" s="22">
        <v>2020</v>
      </c>
      <c r="H4" s="22">
        <v>2025</v>
      </c>
      <c r="I4" s="22">
        <v>2010</v>
      </c>
      <c r="J4" s="22">
        <v>2015</v>
      </c>
      <c r="K4" s="22">
        <v>2020</v>
      </c>
      <c r="L4" s="22">
        <v>2025</v>
      </c>
      <c r="M4" s="22">
        <v>2010</v>
      </c>
      <c r="N4" s="22">
        <v>2015</v>
      </c>
      <c r="O4" s="22">
        <v>2020</v>
      </c>
      <c r="P4" s="22">
        <v>2025</v>
      </c>
      <c r="Q4" s="1061"/>
    </row>
    <row r="5" spans="1:17" x14ac:dyDescent="0.25">
      <c r="A5" s="1064" t="s">
        <v>513</v>
      </c>
      <c r="B5" s="1" t="s">
        <v>511</v>
      </c>
      <c r="C5" s="13"/>
      <c r="D5" s="13"/>
      <c r="E5" s="13"/>
      <c r="F5" s="13"/>
      <c r="G5" s="13"/>
      <c r="H5" s="13"/>
      <c r="I5" s="7"/>
      <c r="J5" s="7"/>
      <c r="K5" s="7"/>
      <c r="L5" s="7"/>
      <c r="M5" s="7"/>
      <c r="N5" s="7"/>
      <c r="O5" s="7"/>
      <c r="P5" s="7"/>
      <c r="Q5" s="7"/>
    </row>
    <row r="6" spans="1:17" x14ac:dyDescent="0.25">
      <c r="A6" s="1064"/>
      <c r="B6" s="11" t="str">
        <f>IF('Prac. Rec. Assumptions'!$B$56='Prac. Rec. Assumptions'!$V$3,A74,IF('Prac. Rec. Assumptions'!B57="No",A74,"Sorghum- Converted to Energy Crop"))</f>
        <v>Sorghum</v>
      </c>
      <c r="C6" s="294">
        <f>IF('Prac. Rec. Assumptions'!$B$56='Prac. Rec. Assumptions'!$V$3,D74,IF('Prac. Rec. Assumptions'!B57="No",D74,0))</f>
        <v>0</v>
      </c>
      <c r="D6" s="294" t="s">
        <v>431</v>
      </c>
      <c r="E6" s="294">
        <f>C6*'Prac. Rec. Assumptions'!B4</f>
        <v>0</v>
      </c>
      <c r="F6" s="294">
        <f>$E6</f>
        <v>0</v>
      </c>
      <c r="G6" s="294">
        <f>$E6</f>
        <v>0</v>
      </c>
      <c r="H6" s="294">
        <f>$E6</f>
        <v>0</v>
      </c>
      <c r="I6" s="16" t="str">
        <f>IF('Conversion Tables'!F7="NA","NA",$D6/'Conversion Tables'!F7)</f>
        <v>NA</v>
      </c>
      <c r="J6" s="16" t="str">
        <f>IF('Conversion Tables'!G7="NA","NA",$D6/'Conversion Tables'!G7)</f>
        <v>NA</v>
      </c>
      <c r="K6" s="16" t="str">
        <f>IF('Conversion Tables'!H7="NA","NA",$D6/'Conversion Tables'!H7)</f>
        <v>NA</v>
      </c>
      <c r="L6" s="16" t="str">
        <f>IF('Conversion Tables'!H7="NA","NA",$D6/'Conversion Tables'!H7)</f>
        <v>NA</v>
      </c>
      <c r="M6" s="16" t="str">
        <f>IF('Conversion Tables'!K7="NA","NA",$C74*'Conversion Tables'!K7)</f>
        <v>NA</v>
      </c>
      <c r="N6" s="16" t="str">
        <f>IF('Conversion Tables'!L7="NA","NA",$C74*'Conversion Tables'!L7)</f>
        <v>NA</v>
      </c>
      <c r="O6" s="16" t="str">
        <f>IF('Conversion Tables'!M7="NA","NA",$C74*'Conversion Tables'!M7)</f>
        <v>NA</v>
      </c>
      <c r="P6" s="16" t="str">
        <f>IF('Conversion Tables'!N7="NA","NA",$C74*'Conversion Tables'!N7)</f>
        <v>NA</v>
      </c>
      <c r="Q6" s="15"/>
    </row>
    <row r="7" spans="1:17" x14ac:dyDescent="0.25">
      <c r="A7" s="1064"/>
      <c r="B7" s="11" t="str">
        <f>IF('Prac. Rec. Assumptions'!$B$56='Prac. Rec. Assumptions'!$V$3,A75,IF('Prac. Rec. Assumptions'!B59="No",A75,"Rye- Converted to Energy Crop"))</f>
        <v>Rye</v>
      </c>
      <c r="C7" s="294">
        <f>IF('Prac. Rec. Assumptions'!$B$56='Prac. Rec. Assumptions'!$V$3,D75,IF('Prac. Rec. Assumptions'!B59="No",D75,0))</f>
        <v>0</v>
      </c>
      <c r="D7" s="294" t="s">
        <v>431</v>
      </c>
      <c r="E7" s="294">
        <f>C7*'Prac. Rec. Assumptions'!B5</f>
        <v>0</v>
      </c>
      <c r="F7" s="294">
        <f t="shared" ref="F7:H10" si="0">$E7</f>
        <v>0</v>
      </c>
      <c r="G7" s="294">
        <f t="shared" si="0"/>
        <v>0</v>
      </c>
      <c r="H7" s="294">
        <f t="shared" si="0"/>
        <v>0</v>
      </c>
      <c r="I7" s="16" t="str">
        <f>IF('Conversion Tables'!F8="NA","NA",$D7/'Conversion Tables'!F8)</f>
        <v>NA</v>
      </c>
      <c r="J7" s="16" t="str">
        <f>IF('Conversion Tables'!G8="NA","NA",$D7/'Conversion Tables'!G8)</f>
        <v>NA</v>
      </c>
      <c r="K7" s="16" t="str">
        <f>IF('Conversion Tables'!H8="NA","NA",$D7/'Conversion Tables'!H8)</f>
        <v>NA</v>
      </c>
      <c r="L7" s="16" t="str">
        <f>IF('Conversion Tables'!H8="NA","NA",$D7/'Conversion Tables'!H8)</f>
        <v>NA</v>
      </c>
      <c r="M7" s="16" t="str">
        <f>IF('Conversion Tables'!K8="NA","NA",$C75*'Conversion Tables'!K8)</f>
        <v>NA</v>
      </c>
      <c r="N7" s="16" t="str">
        <f>IF('Conversion Tables'!L8="NA","NA",$C75*'Conversion Tables'!L8)</f>
        <v>NA</v>
      </c>
      <c r="O7" s="16" t="str">
        <f>IF('Conversion Tables'!M8="NA","NA",$C75*'Conversion Tables'!M8)</f>
        <v>NA</v>
      </c>
      <c r="P7" s="16" t="str">
        <f>IF('Conversion Tables'!N8="NA","NA",$C75*'Conversion Tables'!N8)</f>
        <v>NA</v>
      </c>
      <c r="Q7" s="15"/>
    </row>
    <row r="8" spans="1:17" x14ac:dyDescent="0.25">
      <c r="A8" s="1064"/>
      <c r="B8" s="11" t="str">
        <f>IF('Prac. Rec. Assumptions'!$B$56='Prac. Rec. Assumptions'!$V$3,A76,IF('Prac. Rec. Assumptions'!B60="No",A76,"Corn for Grain- Converted to Energy Crop"))</f>
        <v>Corn for Grain</v>
      </c>
      <c r="C8" s="294">
        <f>IF('Prac. Rec. Assumptions'!$B$56='Prac. Rec. Assumptions'!$V$3,D76,IF('Prac. Rec. Assumptions'!B60="No",D76,0))</f>
        <v>0</v>
      </c>
      <c r="D8" s="294" t="s">
        <v>431</v>
      </c>
      <c r="E8" s="294">
        <f>C8*'Prac. Rec. Assumptions'!B6</f>
        <v>0</v>
      </c>
      <c r="F8" s="294">
        <f t="shared" si="0"/>
        <v>0</v>
      </c>
      <c r="G8" s="294">
        <f t="shared" si="0"/>
        <v>0</v>
      </c>
      <c r="H8" s="294">
        <f t="shared" si="0"/>
        <v>0</v>
      </c>
      <c r="I8" s="16" t="str">
        <f>IF('Conversion Tables'!F9="NA","NA",$D8/'Conversion Tables'!F9)</f>
        <v>NA</v>
      </c>
      <c r="J8" s="16" t="str">
        <f>IF('Conversion Tables'!G9="NA","NA",$D8/'Conversion Tables'!G9)</f>
        <v>NA</v>
      </c>
      <c r="K8" s="16" t="str">
        <f>IF('Conversion Tables'!H9="NA","NA",$D8/'Conversion Tables'!H9)</f>
        <v>NA</v>
      </c>
      <c r="L8" s="16" t="str">
        <f>IF('Conversion Tables'!H9="NA","NA",$D8/'Conversion Tables'!H9)</f>
        <v>NA</v>
      </c>
      <c r="M8" s="16" t="str">
        <f>IF('Conversion Tables'!K9="NA","NA",$C76*'Conversion Tables'!K9)</f>
        <v>NA</v>
      </c>
      <c r="N8" s="16" t="str">
        <f>IF('Conversion Tables'!L9="NA","NA",$C76*'Conversion Tables'!L9)</f>
        <v>NA</v>
      </c>
      <c r="O8" s="16" t="str">
        <f>IF('Conversion Tables'!M9="NA","NA",$C76*'Conversion Tables'!M9)</f>
        <v>NA</v>
      </c>
      <c r="P8" s="16" t="str">
        <f>IF('Conversion Tables'!N9="NA","NA",$C76*'Conversion Tables'!N9)</f>
        <v>NA</v>
      </c>
      <c r="Q8" s="15"/>
    </row>
    <row r="9" spans="1:17" x14ac:dyDescent="0.25">
      <c r="A9" s="1064"/>
      <c r="B9" s="11" t="str">
        <f>IF('Prac. Rec. Assumptions'!$B$56='Prac. Rec. Assumptions'!$V$3,A78,IF('Prac. Rec. Assumptions'!B64="No",A78,"Wheat- Converted to Energy Crop"))</f>
        <v>Wheat</v>
      </c>
      <c r="C9" s="294">
        <f>IF('Prac. Rec. Assumptions'!$B$56='Prac. Rec. Assumptions'!$V$3,D78,IF('Prac. Rec. Assumptions'!B64="No",D78,0))</f>
        <v>0</v>
      </c>
      <c r="D9" s="294" t="s">
        <v>431</v>
      </c>
      <c r="E9" s="294">
        <f>C9*'Prac. Rec. Assumptions'!B7</f>
        <v>0</v>
      </c>
      <c r="F9" s="294">
        <f t="shared" si="0"/>
        <v>0</v>
      </c>
      <c r="G9" s="294">
        <f t="shared" si="0"/>
        <v>0</v>
      </c>
      <c r="H9" s="294">
        <f t="shared" si="0"/>
        <v>0</v>
      </c>
      <c r="I9" s="16" t="str">
        <f>IF('Conversion Tables'!F10="NA","NA",$D9/'Conversion Tables'!F10)</f>
        <v>NA</v>
      </c>
      <c r="J9" s="16" t="str">
        <f>IF('Conversion Tables'!G10="NA","NA",$D9/'Conversion Tables'!G10)</f>
        <v>NA</v>
      </c>
      <c r="K9" s="16" t="str">
        <f>IF('Conversion Tables'!H10="NA","NA",$D9/'Conversion Tables'!H10)</f>
        <v>NA</v>
      </c>
      <c r="L9" s="16" t="str">
        <f>IF('Conversion Tables'!H10="NA","NA",$D9/'Conversion Tables'!H10)</f>
        <v>NA</v>
      </c>
      <c r="M9" s="16" t="str">
        <f>IF('Conversion Tables'!K10="NA","NA",$C78*'Conversion Tables'!K10)</f>
        <v>NA</v>
      </c>
      <c r="N9" s="16" t="str">
        <f>IF('Conversion Tables'!L10="NA","NA",$C78*'Conversion Tables'!L10)</f>
        <v>NA</v>
      </c>
      <c r="O9" s="16" t="str">
        <f>IF('Conversion Tables'!M10="NA","NA",$C78*'Conversion Tables'!M10)</f>
        <v>NA</v>
      </c>
      <c r="P9" s="16" t="str">
        <f>IF('Conversion Tables'!N10="NA","NA",$C78*'Conversion Tables'!N10)</f>
        <v>NA</v>
      </c>
      <c r="Q9" s="15"/>
    </row>
    <row r="10" spans="1:17" x14ac:dyDescent="0.25">
      <c r="A10" s="1064"/>
      <c r="B10" s="129" t="s">
        <v>301</v>
      </c>
      <c r="C10" s="294"/>
      <c r="D10" s="294" t="s">
        <v>431</v>
      </c>
      <c r="E10" s="294">
        <f>C10*'Prac. Rec. Assumptions'!B8</f>
        <v>0</v>
      </c>
      <c r="F10" s="294">
        <f t="shared" si="0"/>
        <v>0</v>
      </c>
      <c r="G10" s="294">
        <f t="shared" si="0"/>
        <v>0</v>
      </c>
      <c r="H10" s="294">
        <f t="shared" si="0"/>
        <v>0</v>
      </c>
      <c r="I10" s="16" t="str">
        <f>IF('Conversion Tables'!F11="NA","NA",$D10/'Conversion Tables'!F11)</f>
        <v>NA</v>
      </c>
      <c r="J10" s="16" t="str">
        <f>IF('Conversion Tables'!G11="NA","NA",$D10/'Conversion Tables'!G11)</f>
        <v>NA</v>
      </c>
      <c r="K10" s="16" t="str">
        <f>IF('Conversion Tables'!H11="NA","NA",$D10/'Conversion Tables'!H11)</f>
        <v>NA</v>
      </c>
      <c r="L10" s="16" t="str">
        <f>IF('Conversion Tables'!H11="NA","NA",$D10/'Conversion Tables'!H11)</f>
        <v>NA</v>
      </c>
      <c r="M10" s="16" t="str">
        <f>IF('Conversion Tables'!K11="NA","NA",E10*'Conversion Tables'!K11)</f>
        <v>NA</v>
      </c>
      <c r="N10" s="16" t="str">
        <f>IF('Conversion Tables'!L11="NA","NA",F10*'Conversion Tables'!L11)</f>
        <v>NA</v>
      </c>
      <c r="O10" s="16" t="str">
        <f>IF('Conversion Tables'!M11="NA","NA",G10*'Conversion Tables'!M11)</f>
        <v>NA</v>
      </c>
      <c r="P10" s="16" t="str">
        <f>IF('Conversion Tables'!N11="NA","NA",H10*'Conversion Tables'!N11)</f>
        <v>NA</v>
      </c>
      <c r="Q10" s="7"/>
    </row>
    <row r="11" spans="1:17" x14ac:dyDescent="0.25">
      <c r="A11" s="1065"/>
      <c r="B11" s="9" t="s">
        <v>524</v>
      </c>
      <c r="C11" s="295">
        <f t="shared" ref="C11:P11" si="1">SUM(C5:C10)</f>
        <v>0</v>
      </c>
      <c r="D11" s="295">
        <f t="shared" si="1"/>
        <v>0</v>
      </c>
      <c r="E11" s="295">
        <f t="shared" si="1"/>
        <v>0</v>
      </c>
      <c r="F11" s="295">
        <f t="shared" si="1"/>
        <v>0</v>
      </c>
      <c r="G11" s="295">
        <f t="shared" si="1"/>
        <v>0</v>
      </c>
      <c r="H11" s="295">
        <f t="shared" si="1"/>
        <v>0</v>
      </c>
      <c r="I11" s="19">
        <f t="shared" si="1"/>
        <v>0</v>
      </c>
      <c r="J11" s="19">
        <f t="shared" si="1"/>
        <v>0</v>
      </c>
      <c r="K11" s="19">
        <f t="shared" si="1"/>
        <v>0</v>
      </c>
      <c r="L11" s="19">
        <f t="shared" si="1"/>
        <v>0</v>
      </c>
      <c r="M11" s="19">
        <f t="shared" si="1"/>
        <v>0</v>
      </c>
      <c r="N11" s="19">
        <f t="shared" si="1"/>
        <v>0</v>
      </c>
      <c r="O11" s="19">
        <f t="shared" si="1"/>
        <v>0</v>
      </c>
      <c r="P11" s="19">
        <f t="shared" si="1"/>
        <v>0</v>
      </c>
      <c r="Q11" s="19"/>
    </row>
    <row r="12" spans="1:17" x14ac:dyDescent="0.25">
      <c r="A12" s="8"/>
      <c r="C12" s="296"/>
      <c r="D12" s="296"/>
      <c r="E12" s="296"/>
      <c r="F12" s="296"/>
      <c r="G12" s="296"/>
      <c r="H12" s="296"/>
      <c r="I12" s="28"/>
      <c r="J12" s="28"/>
      <c r="K12" s="28"/>
      <c r="L12" s="28"/>
      <c r="M12" s="28"/>
      <c r="N12" s="28"/>
      <c r="O12" s="28"/>
      <c r="P12" s="28"/>
    </row>
    <row r="13" spans="1:17" x14ac:dyDescent="0.25">
      <c r="A13" s="1206" t="s">
        <v>514</v>
      </c>
      <c r="B13" s="1" t="s">
        <v>507</v>
      </c>
      <c r="C13" s="294">
        <f>D90</f>
        <v>0</v>
      </c>
      <c r="D13" s="294">
        <f>E13*'Conversion Tables'!C12</f>
        <v>0</v>
      </c>
      <c r="E13" s="294">
        <f>C13*'Prac. Rec. Assumptions'!B9</f>
        <v>0</v>
      </c>
      <c r="F13" s="294">
        <f>$E13</f>
        <v>0</v>
      </c>
      <c r="G13" s="294">
        <f>$E13</f>
        <v>0</v>
      </c>
      <c r="H13" s="294">
        <f>$E13</f>
        <v>0</v>
      </c>
      <c r="I13" s="16" t="str">
        <f>IF('Conversion Tables'!F12="NA","NA",(E13*'Conversion Tables'!$C12)/'Conversion Tables'!F12)</f>
        <v>NA</v>
      </c>
      <c r="J13" s="16" t="str">
        <f>IF('Conversion Tables'!G12="NA","NA",(F13*'Conversion Tables'!$C12)/'Conversion Tables'!G12)</f>
        <v>NA</v>
      </c>
      <c r="K13" s="16" t="str">
        <f>IF('Conversion Tables'!H12="NA","NA",(G13*'Conversion Tables'!$C12)/'Conversion Tables'!H12)</f>
        <v>NA</v>
      </c>
      <c r="L13" s="16" t="str">
        <f>IF('Conversion Tables'!I12="NA","NA",(H13*'Conversion Tables'!$C12)/'Conversion Tables'!I12)</f>
        <v>NA</v>
      </c>
      <c r="M13" s="16" t="str">
        <f>IF('Conversion Tables'!K12="NA","NA",E13*'Conversion Tables'!K12)</f>
        <v>NA</v>
      </c>
      <c r="N13" s="16" t="str">
        <f>IF('Conversion Tables'!L12="NA","NA",F13*'Conversion Tables'!L12)</f>
        <v>NA</v>
      </c>
      <c r="O13" s="16" t="str">
        <f>IF('Conversion Tables'!M12="NA","NA",G13*'Conversion Tables'!M12)</f>
        <v>NA</v>
      </c>
      <c r="P13" s="16" t="str">
        <f>IF('Conversion Tables'!N12="NA","NA",H13*'Conversion Tables'!N12)</f>
        <v>NA</v>
      </c>
      <c r="Q13" s="7"/>
    </row>
    <row r="14" spans="1:17" x14ac:dyDescent="0.25">
      <c r="A14" s="1207"/>
      <c r="B14" s="1" t="s">
        <v>504</v>
      </c>
      <c r="C14" s="294"/>
      <c r="D14" s="294"/>
      <c r="E14" s="294"/>
      <c r="F14" s="294"/>
      <c r="G14" s="294"/>
      <c r="H14" s="294"/>
      <c r="I14" s="16"/>
      <c r="J14" s="16"/>
      <c r="K14" s="16"/>
      <c r="L14" s="16"/>
      <c r="M14" s="16"/>
      <c r="N14" s="16"/>
      <c r="O14" s="16"/>
      <c r="P14" s="16"/>
      <c r="Q14" s="7"/>
    </row>
    <row r="15" spans="1:17" x14ac:dyDescent="0.25">
      <c r="A15" s="1207"/>
      <c r="B15" s="11" t="str">
        <f>IF('Prac. Rec. Assumptions'!$B$56='Prac. Rec. Assumptions'!$V$3,A81,IF('Prac. Rec. Assumptions'!B57="No",A81,"Sweet Corn- Converted to Energy Crop"))</f>
        <v>Sweet Corn</v>
      </c>
      <c r="C15" s="294">
        <f>IF('Prac. Rec. Assumptions'!$B$56='Prac. Rec. Assumptions'!$V$3,D81,IF('Prac. Rec. Assumptions'!B58="No",D81,0))</f>
        <v>8.5</v>
      </c>
      <c r="D15" s="294">
        <f>E15*'Conversion Tables'!C14</f>
        <v>106.97760000000001</v>
      </c>
      <c r="E15" s="294">
        <f>C15*'Prac. Rec. Assumptions'!B11</f>
        <v>6.8000000000000007</v>
      </c>
      <c r="F15" s="294">
        <f>$E15</f>
        <v>6.8000000000000007</v>
      </c>
      <c r="G15" s="294">
        <f>$E15</f>
        <v>6.8000000000000007</v>
      </c>
      <c r="H15" s="294">
        <f>$E15</f>
        <v>6.8000000000000007</v>
      </c>
      <c r="I15" s="16" t="str">
        <f>IF('Conversion Tables'!F14="NA","NA",(E15*'Conversion Tables'!$C14)/'Conversion Tables'!F14)</f>
        <v>NA</v>
      </c>
      <c r="J15" s="16" t="str">
        <f>IF('Conversion Tables'!G14="NA","NA",(F15*'Conversion Tables'!$C14)/'Conversion Tables'!G14)</f>
        <v>NA</v>
      </c>
      <c r="K15" s="16" t="str">
        <f>IF('Conversion Tables'!H14="NA","NA",(G15*'Conversion Tables'!$C14)/'Conversion Tables'!H14)</f>
        <v>NA</v>
      </c>
      <c r="L15" s="16" t="str">
        <f>IF('Conversion Tables'!I14="NA","NA",(H15*'Conversion Tables'!$C14)/'Conversion Tables'!I14)</f>
        <v>NA</v>
      </c>
      <c r="M15" s="16" t="str">
        <f>IF('Conversion Tables'!K14="NA","NA",E15*'Conversion Tables'!K14)</f>
        <v>NA</v>
      </c>
      <c r="N15" s="16" t="str">
        <f>IF('Conversion Tables'!L14="NA","NA",F15*'Conversion Tables'!L14)</f>
        <v>NA</v>
      </c>
      <c r="O15" s="16" t="str">
        <f>IF('Conversion Tables'!M14="NA","NA",G15*'Conversion Tables'!M14)</f>
        <v>NA</v>
      </c>
      <c r="P15" s="16" t="str">
        <f>IF('Conversion Tables'!N14="NA","NA",H15*'Conversion Tables'!N14)</f>
        <v>NA</v>
      </c>
      <c r="Q15" s="15"/>
    </row>
    <row r="16" spans="1:17" x14ac:dyDescent="0.25">
      <c r="A16" s="1207"/>
      <c r="B16" s="11" t="str">
        <f>IF('Prac. Rec. Assumptions'!$B$56='Prac. Rec. Assumptions'!$V$3,A82,IF('Prac. Rec. Assumptions'!B58="No",A82,"Rye- Converted to Energy Crop"))</f>
        <v>Rye</v>
      </c>
      <c r="C16" s="294">
        <f>IF('Prac. Rec. Assumptions'!$B$56='Prac. Rec. Assumptions'!$V$3,D82,IF('Prac. Rec. Assumptions'!B59="No",D82,0))</f>
        <v>0</v>
      </c>
      <c r="D16" s="294">
        <f>E16*'Conversion Tables'!C15</f>
        <v>0</v>
      </c>
      <c r="E16" s="294">
        <f>C16*'Prac. Rec. Assumptions'!B12</f>
        <v>0</v>
      </c>
      <c r="F16" s="294">
        <f t="shared" ref="F16:H23" si="2">$E16</f>
        <v>0</v>
      </c>
      <c r="G16" s="294">
        <f t="shared" si="2"/>
        <v>0</v>
      </c>
      <c r="H16" s="294">
        <f t="shared" si="2"/>
        <v>0</v>
      </c>
      <c r="I16" s="16" t="str">
        <f>IF('Conversion Tables'!F15="NA","NA",(E16*'Conversion Tables'!$C15)/'Conversion Tables'!F15)</f>
        <v>NA</v>
      </c>
      <c r="J16" s="16" t="str">
        <f>IF('Conversion Tables'!G15="NA","NA",(F16*'Conversion Tables'!$C15)/'Conversion Tables'!G15)</f>
        <v>NA</v>
      </c>
      <c r="K16" s="16" t="str">
        <f>IF('Conversion Tables'!H15="NA","NA",(G16*'Conversion Tables'!$C15)/'Conversion Tables'!H15)</f>
        <v>NA</v>
      </c>
      <c r="L16" s="16" t="str">
        <f>IF('Conversion Tables'!I15="NA","NA",(H16*'Conversion Tables'!$C15)/'Conversion Tables'!I15)</f>
        <v>NA</v>
      </c>
      <c r="M16" s="16" t="str">
        <f>IF('Conversion Tables'!K15="NA","NA",E16*'Conversion Tables'!K15)</f>
        <v>NA</v>
      </c>
      <c r="N16" s="16" t="str">
        <f>IF('Conversion Tables'!L15="NA","NA",F16*'Conversion Tables'!L15)</f>
        <v>NA</v>
      </c>
      <c r="O16" s="16" t="str">
        <f>IF('Conversion Tables'!M15="NA","NA",G16*'Conversion Tables'!M15)</f>
        <v>NA</v>
      </c>
      <c r="P16" s="16" t="str">
        <f>IF('Conversion Tables'!N15="NA","NA",H16*'Conversion Tables'!N15)</f>
        <v>NA</v>
      </c>
      <c r="Q16" s="15"/>
    </row>
    <row r="17" spans="1:17" x14ac:dyDescent="0.25">
      <c r="A17" s="1207"/>
      <c r="B17" s="11" t="str">
        <f>IF('Prac. Rec. Assumptions'!$B$56='Prac. Rec. Assumptions'!$V$3,A83,IF('Prac. Rec. Assumptions'!B59="No",A83,"Corn for Grain- Converted to Energy Crop"))</f>
        <v>Corn for Grain</v>
      </c>
      <c r="C17" s="294">
        <f>IF('Prac. Rec. Assumptions'!$B$56='Prac. Rec. Assumptions'!$V$3,D83,IF('Prac. Rec. Assumptions'!B60="No",D83,0))</f>
        <v>0</v>
      </c>
      <c r="D17" s="294">
        <f>E17*'Conversion Tables'!C16</f>
        <v>0</v>
      </c>
      <c r="E17" s="294">
        <f>C17*'Prac. Rec. Assumptions'!B13</f>
        <v>0</v>
      </c>
      <c r="F17" s="294">
        <f t="shared" si="2"/>
        <v>0</v>
      </c>
      <c r="G17" s="294">
        <f t="shared" si="2"/>
        <v>0</v>
      </c>
      <c r="H17" s="294">
        <f t="shared" si="2"/>
        <v>0</v>
      </c>
      <c r="I17" s="16" t="str">
        <f>IF('Conversion Tables'!F16="NA","NA",(E17*'Conversion Tables'!$C16)/'Conversion Tables'!F16)</f>
        <v>NA</v>
      </c>
      <c r="J17" s="16" t="str">
        <f>IF('Conversion Tables'!G16="NA","NA",(F17*'Conversion Tables'!$C16)/'Conversion Tables'!G16)</f>
        <v>NA</v>
      </c>
      <c r="K17" s="16" t="str">
        <f>IF('Conversion Tables'!H16="NA","NA",(G17*'Conversion Tables'!$C16)/'Conversion Tables'!H16)</f>
        <v>NA</v>
      </c>
      <c r="L17" s="16" t="str">
        <f>IF('Conversion Tables'!I16="NA","NA",(H17*'Conversion Tables'!$C16)/'Conversion Tables'!I16)</f>
        <v>NA</v>
      </c>
      <c r="M17" s="16" t="str">
        <f>IF('Conversion Tables'!K16="NA","NA",E17*'Conversion Tables'!K16)</f>
        <v>NA</v>
      </c>
      <c r="N17" s="16" t="str">
        <f>IF('Conversion Tables'!L16="NA","NA",F17*'Conversion Tables'!L16)</f>
        <v>NA</v>
      </c>
      <c r="O17" s="16" t="str">
        <f>IF('Conversion Tables'!M16="NA","NA",G17*'Conversion Tables'!M16)</f>
        <v>NA</v>
      </c>
      <c r="P17" s="16" t="str">
        <f>IF('Conversion Tables'!N16="NA","NA",H17*'Conversion Tables'!N16)</f>
        <v>NA</v>
      </c>
      <c r="Q17" s="15"/>
    </row>
    <row r="18" spans="1:17" x14ac:dyDescent="0.25">
      <c r="A18" s="1207"/>
      <c r="B18" s="11" t="str">
        <f>IF('Prac. Rec. Assumptions'!$B$56='Prac. Rec. Assumptions'!$V$3,A84,IF('Prac. Rec. Assumptions'!B60="No",A84,"Corn for Silage- Converted to Energy Crop"))</f>
        <v>Corn for Silage</v>
      </c>
      <c r="C18" s="294">
        <f>IF('Prac. Rec. Assumptions'!$B$56='Prac. Rec. Assumptions'!$V$3,D84,IF('Prac. Rec. Assumptions'!B61="No",D84,0))</f>
        <v>0</v>
      </c>
      <c r="D18" s="294">
        <f>E18*'Conversion Tables'!C17</f>
        <v>0</v>
      </c>
      <c r="E18" s="294">
        <f>C18*'Prac. Rec. Assumptions'!B14</f>
        <v>0</v>
      </c>
      <c r="F18" s="294">
        <f t="shared" si="2"/>
        <v>0</v>
      </c>
      <c r="G18" s="294">
        <f t="shared" si="2"/>
        <v>0</v>
      </c>
      <c r="H18" s="294">
        <f t="shared" si="2"/>
        <v>0</v>
      </c>
      <c r="I18" s="16" t="str">
        <f>IF('Conversion Tables'!F17="NA","NA",(E18*'Conversion Tables'!$C17)/'Conversion Tables'!F17)</f>
        <v>NA</v>
      </c>
      <c r="J18" s="16" t="str">
        <f>IF('Conversion Tables'!G17="NA","NA",(F18*'Conversion Tables'!$C17)/'Conversion Tables'!G17)</f>
        <v>NA</v>
      </c>
      <c r="K18" s="16" t="str">
        <f>IF('Conversion Tables'!H17="NA","NA",(G18*'Conversion Tables'!$C17)/'Conversion Tables'!H17)</f>
        <v>NA</v>
      </c>
      <c r="L18" s="16" t="str">
        <f>IF('Conversion Tables'!I17="NA","NA",(H18*'Conversion Tables'!$C17)/'Conversion Tables'!I17)</f>
        <v>NA</v>
      </c>
      <c r="M18" s="16" t="str">
        <f>IF('Conversion Tables'!K17="NA","NA",E18*'Conversion Tables'!K17)</f>
        <v>NA</v>
      </c>
      <c r="N18" s="16" t="str">
        <f>IF('Conversion Tables'!L17="NA","NA",F18*'Conversion Tables'!L17)</f>
        <v>NA</v>
      </c>
      <c r="O18" s="16" t="str">
        <f>IF('Conversion Tables'!M17="NA","NA",G18*'Conversion Tables'!M17)</f>
        <v>NA</v>
      </c>
      <c r="P18" s="16" t="str">
        <f>IF('Conversion Tables'!N17="NA","NA",H18*'Conversion Tables'!N17)</f>
        <v>NA</v>
      </c>
      <c r="Q18" s="15"/>
    </row>
    <row r="19" spans="1:17" x14ac:dyDescent="0.25">
      <c r="A19" s="1207"/>
      <c r="B19" s="11" t="str">
        <f>IF('Prac. Rec. Assumptions'!$B$56='Prac. Rec. Assumptions'!$V$3,A85,IF('Prac. Rec. Assumptions'!B61="No",A85,"Alfalfa Hay- Converted to Energy Crop"))</f>
        <v>Alfalfa Hay</v>
      </c>
      <c r="C19" s="294">
        <f>IF('Prac. Rec. Assumptions'!$B$56='Prac. Rec. Assumptions'!$V$3,D85,IF('Prac. Rec. Assumptions'!B62="No",D85,0))</f>
        <v>0</v>
      </c>
      <c r="D19" s="294">
        <f>E19*'Conversion Tables'!C18</f>
        <v>0</v>
      </c>
      <c r="E19" s="294">
        <f>C19*'Prac. Rec. Assumptions'!B15</f>
        <v>0</v>
      </c>
      <c r="F19" s="294">
        <f t="shared" si="2"/>
        <v>0</v>
      </c>
      <c r="G19" s="294">
        <f t="shared" si="2"/>
        <v>0</v>
      </c>
      <c r="H19" s="294">
        <f t="shared" si="2"/>
        <v>0</v>
      </c>
      <c r="I19" s="16" t="str">
        <f>IF('Conversion Tables'!F18="NA","NA",(E19*'Conversion Tables'!$C18)/'Conversion Tables'!F18)</f>
        <v>NA</v>
      </c>
      <c r="J19" s="16" t="str">
        <f>IF('Conversion Tables'!G18="NA","NA",(F19*'Conversion Tables'!$C18)/'Conversion Tables'!G18)</f>
        <v>NA</v>
      </c>
      <c r="K19" s="16" t="str">
        <f>IF('Conversion Tables'!H18="NA","NA",(G19*'Conversion Tables'!$C18)/'Conversion Tables'!H18)</f>
        <v>NA</v>
      </c>
      <c r="L19" s="16" t="str">
        <f>IF('Conversion Tables'!I18="NA","NA",(H19*'Conversion Tables'!$C18)/'Conversion Tables'!I18)</f>
        <v>NA</v>
      </c>
      <c r="M19" s="16" t="str">
        <f>IF('Conversion Tables'!K18="NA","NA",E19*'Conversion Tables'!K18)</f>
        <v>NA</v>
      </c>
      <c r="N19" s="16" t="str">
        <f>IF('Conversion Tables'!L18="NA","NA",F19*'Conversion Tables'!L18)</f>
        <v>NA</v>
      </c>
      <c r="O19" s="16" t="str">
        <f>IF('Conversion Tables'!M18="NA","NA",G19*'Conversion Tables'!M18)</f>
        <v>NA</v>
      </c>
      <c r="P19" s="16" t="str">
        <f>IF('Conversion Tables'!N18="NA","NA",H19*'Conversion Tables'!N18)</f>
        <v>NA</v>
      </c>
      <c r="Q19" s="15"/>
    </row>
    <row r="20" spans="1:17" x14ac:dyDescent="0.25">
      <c r="A20" s="1207"/>
      <c r="B20" s="11" t="str">
        <f>IF('Prac. Rec. Assumptions'!$B$56='Prac. Rec. Assumptions'!$V$3,A86,IF('Prac. Rec. Assumptions'!B62="No",A86,"Other Hay- Converted to Energy Crop"))</f>
        <v>Other Hay</v>
      </c>
      <c r="C20" s="294">
        <f>IF('Prac. Rec. Assumptions'!$B$56='Prac. Rec. Assumptions'!$V$3,D86,IF('Prac. Rec. Assumptions'!B63="No",D86,0))</f>
        <v>0</v>
      </c>
      <c r="D20" s="294">
        <f>E20*'Conversion Tables'!C19</f>
        <v>0</v>
      </c>
      <c r="E20" s="294">
        <f>C20*'Prac. Rec. Assumptions'!B16</f>
        <v>0</v>
      </c>
      <c r="F20" s="294">
        <f t="shared" si="2"/>
        <v>0</v>
      </c>
      <c r="G20" s="294">
        <f t="shared" si="2"/>
        <v>0</v>
      </c>
      <c r="H20" s="294">
        <f t="shared" si="2"/>
        <v>0</v>
      </c>
      <c r="I20" s="16" t="str">
        <f>IF('Conversion Tables'!F19="NA","NA",(E20*'Conversion Tables'!$C19)/'Conversion Tables'!F19)</f>
        <v>NA</v>
      </c>
      <c r="J20" s="16" t="str">
        <f>IF('Conversion Tables'!G19="NA","NA",(F20*'Conversion Tables'!$C19)/'Conversion Tables'!G19)</f>
        <v>NA</v>
      </c>
      <c r="K20" s="16" t="str">
        <f>IF('Conversion Tables'!H19="NA","NA",(G20*'Conversion Tables'!$C19)/'Conversion Tables'!H19)</f>
        <v>NA</v>
      </c>
      <c r="L20" s="16" t="str">
        <f>IF('Conversion Tables'!I19="NA","NA",(H20*'Conversion Tables'!$C19)/'Conversion Tables'!I19)</f>
        <v>NA</v>
      </c>
      <c r="M20" s="16" t="str">
        <f>IF('Conversion Tables'!K19="NA","NA",E20*'Conversion Tables'!K19)</f>
        <v>NA</v>
      </c>
      <c r="N20" s="16" t="str">
        <f>IF('Conversion Tables'!L19="NA","NA",F20*'Conversion Tables'!L19)</f>
        <v>NA</v>
      </c>
      <c r="O20" s="16" t="str">
        <f>IF('Conversion Tables'!M19="NA","NA",G20*'Conversion Tables'!M19)</f>
        <v>NA</v>
      </c>
      <c r="P20" s="16" t="str">
        <f>IF('Conversion Tables'!N19="NA","NA",H20*'Conversion Tables'!N19)</f>
        <v>NA</v>
      </c>
      <c r="Q20" s="15"/>
    </row>
    <row r="21" spans="1:17" x14ac:dyDescent="0.25">
      <c r="A21" s="1207"/>
      <c r="B21" s="11" t="str">
        <f>IF('Prac. Rec. Assumptions'!$B$56='Prac. Rec. Assumptions'!$V$3,A87,IF('Prac. Rec. Assumptions'!B63="No",A87,"Wheat- Converted to Energy Crop"))</f>
        <v>Wheat</v>
      </c>
      <c r="C21" s="294">
        <f>IF('Prac. Rec. Assumptions'!$B$56='Prac. Rec. Assumptions'!$V$3,D87,IF('Prac. Rec. Assumptions'!B64="No",D87,0))</f>
        <v>0</v>
      </c>
      <c r="D21" s="294">
        <f>E21*'Conversion Tables'!C20</f>
        <v>0</v>
      </c>
      <c r="E21" s="294">
        <f>C21*'Prac. Rec. Assumptions'!B17</f>
        <v>0</v>
      </c>
      <c r="F21" s="294">
        <f t="shared" si="2"/>
        <v>0</v>
      </c>
      <c r="G21" s="294">
        <f t="shared" si="2"/>
        <v>0</v>
      </c>
      <c r="H21" s="294">
        <f t="shared" si="2"/>
        <v>0</v>
      </c>
      <c r="I21" s="16" t="str">
        <f>IF('Conversion Tables'!F20="NA","NA",(E21*'Conversion Tables'!$C20)/'Conversion Tables'!F20)</f>
        <v>NA</v>
      </c>
      <c r="J21" s="16" t="str">
        <f>IF('Conversion Tables'!G20="NA","NA",(F21*'Conversion Tables'!$C20)/'Conversion Tables'!G20)</f>
        <v>NA</v>
      </c>
      <c r="K21" s="16" t="str">
        <f>IF('Conversion Tables'!H20="NA","NA",(G21*'Conversion Tables'!$C20)/'Conversion Tables'!H20)</f>
        <v>NA</v>
      </c>
      <c r="L21" s="16" t="str">
        <f>IF('Conversion Tables'!I20="NA","NA",(H21*'Conversion Tables'!$C20)/'Conversion Tables'!I20)</f>
        <v>NA</v>
      </c>
      <c r="M21" s="16" t="str">
        <f>IF('Conversion Tables'!K20="NA","NA",E21*'Conversion Tables'!K20)</f>
        <v>NA</v>
      </c>
      <c r="N21" s="16" t="str">
        <f>IF('Conversion Tables'!L20="NA","NA",F21*'Conversion Tables'!L20)</f>
        <v>NA</v>
      </c>
      <c r="O21" s="16" t="str">
        <f>IF('Conversion Tables'!M20="NA","NA",G21*'Conversion Tables'!M20)</f>
        <v>NA</v>
      </c>
      <c r="P21" s="16" t="str">
        <f>IF('Conversion Tables'!N20="NA","NA",H21*'Conversion Tables'!N20)</f>
        <v>NA</v>
      </c>
      <c r="Q21" s="15"/>
    </row>
    <row r="22" spans="1:17" x14ac:dyDescent="0.25">
      <c r="A22" s="1207"/>
      <c r="B22" s="148" t="s">
        <v>205</v>
      </c>
      <c r="C22" s="294">
        <f>'Biomass Data Assumptions'!P13*1000*'Energy Content Assumptions'!C18</f>
        <v>0</v>
      </c>
      <c r="D22" s="294">
        <f>E22*'Conversion Tables'!C21</f>
        <v>0</v>
      </c>
      <c r="E22" s="294">
        <f>C22*'Prac. Rec. Assumptions'!B18</f>
        <v>0</v>
      </c>
      <c r="F22" s="294">
        <f t="shared" si="2"/>
        <v>0</v>
      </c>
      <c r="G22" s="294">
        <f t="shared" si="2"/>
        <v>0</v>
      </c>
      <c r="H22" s="294">
        <f t="shared" si="2"/>
        <v>0</v>
      </c>
      <c r="I22" s="16" t="str">
        <f>IF('Conversion Tables'!F21="NA","NA",(E22*'Conversion Tables'!$C21)/'Conversion Tables'!F21)</f>
        <v>NA</v>
      </c>
      <c r="J22" s="16" t="str">
        <f>IF('Conversion Tables'!G21="NA","NA",(F22*'Conversion Tables'!$C21)/'Conversion Tables'!G21)</f>
        <v>NA</v>
      </c>
      <c r="K22" s="16" t="str">
        <f>IF('Conversion Tables'!H21="NA","NA",(G22*'Conversion Tables'!$C21)/'Conversion Tables'!H21)</f>
        <v>NA</v>
      </c>
      <c r="L22" s="16" t="str">
        <f>IF('Conversion Tables'!I21="NA","NA",(H22*'Conversion Tables'!$C21)/'Conversion Tables'!I21)</f>
        <v>NA</v>
      </c>
      <c r="M22" s="16" t="str">
        <f>IF('Conversion Tables'!K21="NA","NA",E22*'Conversion Tables'!K21)</f>
        <v>NA</v>
      </c>
      <c r="N22" s="16" t="str">
        <f>IF('Conversion Tables'!L21="NA","NA",F22*'Conversion Tables'!L21)</f>
        <v>NA</v>
      </c>
      <c r="O22" s="16" t="str">
        <f>IF('Conversion Tables'!M21="NA","NA",G22*'Conversion Tables'!M21)</f>
        <v>NA</v>
      </c>
      <c r="P22" s="16" t="str">
        <f>IF('Conversion Tables'!N21="NA","NA",H22*'Conversion Tables'!N21)</f>
        <v>NA</v>
      </c>
      <c r="Q22" s="15"/>
    </row>
    <row r="23" spans="1:17" x14ac:dyDescent="0.25">
      <c r="A23" s="1207"/>
      <c r="B23" s="2" t="s">
        <v>302</v>
      </c>
      <c r="C23" s="294">
        <f>B133</f>
        <v>586.22</v>
      </c>
      <c r="D23" s="294">
        <f>E23*'Conversion Tables'!C22</f>
        <v>9576.48992</v>
      </c>
      <c r="E23" s="294">
        <f>C23*'Prac. Rec. Assumptions'!B19</f>
        <v>586.22</v>
      </c>
      <c r="F23" s="297">
        <f t="shared" si="2"/>
        <v>586.22</v>
      </c>
      <c r="G23" s="297">
        <f t="shared" si="2"/>
        <v>586.22</v>
      </c>
      <c r="H23" s="297">
        <f t="shared" si="2"/>
        <v>586.22</v>
      </c>
      <c r="I23" s="16" t="str">
        <f>IF('Conversion Tables'!F22="NA","NA",(E23*'Conversion Tables'!$C22)/'Conversion Tables'!F22)</f>
        <v>NA</v>
      </c>
      <c r="J23" s="16" t="str">
        <f>IF('Conversion Tables'!G22="NA","NA",(F23*'Conversion Tables'!$C22)/'Conversion Tables'!G22)</f>
        <v>NA</v>
      </c>
      <c r="K23" s="16" t="str">
        <f>IF('Conversion Tables'!H22="NA","NA",(G23*'Conversion Tables'!$C22)/'Conversion Tables'!H22)</f>
        <v>NA</v>
      </c>
      <c r="L23" s="16" t="str">
        <f>IF('Conversion Tables'!I22="NA","NA",(H23*'Conversion Tables'!$C22)/'Conversion Tables'!I22)</f>
        <v>NA</v>
      </c>
      <c r="M23" s="16" t="str">
        <f>IF('Conversion Tables'!K22="NA","NA",E23*'Conversion Tables'!K22)</f>
        <v>NA</v>
      </c>
      <c r="N23" s="16" t="str">
        <f>IF('Conversion Tables'!L22="NA","NA",F23*'Conversion Tables'!L22)</f>
        <v>NA</v>
      </c>
      <c r="O23" s="16" t="str">
        <f>IF('Conversion Tables'!M22="NA","NA",G23*'Conversion Tables'!M22)</f>
        <v>NA</v>
      </c>
      <c r="P23" s="16" t="str">
        <f>IF('Conversion Tables'!N22="NA","NA",H23*'Conversion Tables'!N22)</f>
        <v>NA</v>
      </c>
      <c r="Q23" s="7"/>
    </row>
    <row r="24" spans="1:17" x14ac:dyDescent="0.25">
      <c r="A24" s="1207"/>
      <c r="B24" s="1" t="s">
        <v>518</v>
      </c>
      <c r="C24" s="294"/>
      <c r="D24" s="294"/>
      <c r="E24" s="294"/>
      <c r="F24" s="294"/>
      <c r="G24" s="294"/>
      <c r="H24" s="294"/>
      <c r="I24" s="16"/>
      <c r="J24" s="16"/>
      <c r="K24" s="16"/>
      <c r="L24" s="16"/>
      <c r="M24" s="16"/>
      <c r="N24" s="16"/>
      <c r="O24" s="16"/>
      <c r="P24" s="16"/>
      <c r="Q24" s="7"/>
    </row>
    <row r="25" spans="1:17" x14ac:dyDescent="0.25">
      <c r="A25" s="1207"/>
      <c r="B25" s="11" t="s">
        <v>559</v>
      </c>
      <c r="C25" s="294">
        <f>C128</f>
        <v>14730.815000000001</v>
      </c>
      <c r="D25" s="294">
        <f>E25*'Conversion Tables'!C24</f>
        <v>260735.42550000001</v>
      </c>
      <c r="E25" s="294">
        <f>C25*'Prac. Rec. Assumptions'!B21</f>
        <v>14730.815000000001</v>
      </c>
      <c r="F25" s="294">
        <f>($C25*(1+'Biomass Data Assumptions'!G$98))*'Prac. Rec. Assumptions'!$B21</f>
        <v>14717.372723243385</v>
      </c>
      <c r="G25" s="294">
        <f>($C25*(1+'Biomass Data Assumptions'!H$98))*'Prac. Rec. Assumptions'!$B21</f>
        <v>14730.815000000001</v>
      </c>
      <c r="H25" s="294">
        <f>($C25*(1+'Biomass Data Assumptions'!I$98))*'Prac. Rec. Assumptions'!$B21</f>
        <v>14742.336951505673</v>
      </c>
      <c r="I25" s="16" t="str">
        <f>IF('Conversion Tables'!F24="NA","NA",(E25*'Conversion Tables'!$C24)/'Conversion Tables'!F24)</f>
        <v>NA</v>
      </c>
      <c r="J25" s="16" t="str">
        <f>IF('Conversion Tables'!G24="NA","NA",(F25*'Conversion Tables'!$C24)/'Conversion Tables'!G24)</f>
        <v>NA</v>
      </c>
      <c r="K25" s="16" t="str">
        <f>IF('Conversion Tables'!H24="NA","NA",(G25*'Conversion Tables'!$C24)/'Conversion Tables'!H24)</f>
        <v>NA</v>
      </c>
      <c r="L25" s="16" t="str">
        <f>IF('Conversion Tables'!I24="NA","NA",(H25*'Conversion Tables'!$C24)/'Conversion Tables'!I24)</f>
        <v>NA</v>
      </c>
      <c r="M25" s="16" t="str">
        <f>IF('Conversion Tables'!K24="NA","NA",E25*'Conversion Tables'!K24)</f>
        <v>NA</v>
      </c>
      <c r="N25" s="16" t="str">
        <f>IF('Conversion Tables'!L24="NA","NA",F25*'Conversion Tables'!L24)</f>
        <v>NA</v>
      </c>
      <c r="O25" s="16" t="str">
        <f>IF('Conversion Tables'!M24="NA","NA",G25*'Conversion Tables'!M24)</f>
        <v>NA</v>
      </c>
      <c r="P25" s="16" t="str">
        <f>IF('Conversion Tables'!N24="NA","NA",H25*'Conversion Tables'!N24)</f>
        <v>NA</v>
      </c>
      <c r="Q25" s="13"/>
    </row>
    <row r="26" spans="1:17" x14ac:dyDescent="0.25">
      <c r="A26" s="1207"/>
      <c r="B26" s="11" t="s">
        <v>560</v>
      </c>
      <c r="C26" s="294">
        <f>C129</f>
        <v>1135.5266666666666</v>
      </c>
      <c r="D26" s="294">
        <f>E26*'Conversion Tables'!C25</f>
        <v>17714.216</v>
      </c>
      <c r="E26" s="294">
        <f>C26*'Prac. Rec. Assumptions'!B22</f>
        <v>1135.5266666666666</v>
      </c>
      <c r="F26" s="294">
        <f>($C26*(1+'Biomass Data Assumptions'!G$98))*'Prac. Rec. Assumptions'!$B22</f>
        <v>1134.4904671272759</v>
      </c>
      <c r="G26" s="294">
        <f>($C26*(1+'Biomass Data Assumptions'!H$98))*'Prac. Rec. Assumptions'!$B22</f>
        <v>1135.5266666666666</v>
      </c>
      <c r="H26" s="294">
        <f>($C26*(1+'Biomass Data Assumptions'!I$98))*'Prac. Rec. Assumptions'!$B22</f>
        <v>1136.4148377004303</v>
      </c>
      <c r="I26" s="16" t="str">
        <f>IF('Conversion Tables'!F25="NA","NA",(E26*'Conversion Tables'!$C25)/'Conversion Tables'!F25)</f>
        <v>NA</v>
      </c>
      <c r="J26" s="16" t="str">
        <f>IF('Conversion Tables'!G25="NA","NA",(F26*'Conversion Tables'!$C25)/'Conversion Tables'!G25)</f>
        <v>NA</v>
      </c>
      <c r="K26" s="16" t="str">
        <f>IF('Conversion Tables'!H25="NA","NA",(G26*'Conversion Tables'!$C25)/'Conversion Tables'!H25)</f>
        <v>NA</v>
      </c>
      <c r="L26" s="16" t="str">
        <f>IF('Conversion Tables'!I25="NA","NA",(H26*'Conversion Tables'!$C25)/'Conversion Tables'!I25)</f>
        <v>NA</v>
      </c>
      <c r="M26" s="16" t="str">
        <f>IF('Conversion Tables'!K25="NA","NA",E26*'Conversion Tables'!K25)</f>
        <v>NA</v>
      </c>
      <c r="N26" s="16" t="str">
        <f>IF('Conversion Tables'!L25="NA","NA",F26*'Conversion Tables'!L25)</f>
        <v>NA</v>
      </c>
      <c r="O26" s="16" t="str">
        <f>IF('Conversion Tables'!M25="NA","NA",G26*'Conversion Tables'!M25)</f>
        <v>NA</v>
      </c>
      <c r="P26" s="16" t="str">
        <f>IF('Conversion Tables'!N25="NA","NA",H26*'Conversion Tables'!N25)</f>
        <v>NA</v>
      </c>
      <c r="Q26" s="13"/>
    </row>
    <row r="27" spans="1:17" x14ac:dyDescent="0.25">
      <c r="A27" s="1207"/>
      <c r="B27" s="11" t="s">
        <v>561</v>
      </c>
      <c r="C27" s="294">
        <f>C130</f>
        <v>23644.173333333332</v>
      </c>
      <c r="D27" s="294">
        <f>E27*'Conversion Tables'!C26</f>
        <v>368849.10399999999</v>
      </c>
      <c r="E27" s="294">
        <f>C27*'Prac. Rec. Assumptions'!B23</f>
        <v>23644.173333333332</v>
      </c>
      <c r="F27" s="294">
        <f>($C27*(1+'Biomass Data Assumptions'!G$98))*'Prac. Rec. Assumptions'!$B23</f>
        <v>23622.597370182069</v>
      </c>
      <c r="G27" s="294">
        <f>($C27*(1+'Biomass Data Assumptions'!H$98))*'Prac. Rec. Assumptions'!$B23</f>
        <v>23644.173333333332</v>
      </c>
      <c r="H27" s="294">
        <f>($C27*(1+'Biomass Data Assumptions'!I$98))*'Prac. Rec. Assumptions'!$B23</f>
        <v>23662.667016034418</v>
      </c>
      <c r="I27" s="16" t="str">
        <f>IF('Conversion Tables'!F26="NA","NA",(E27*'Conversion Tables'!$C26)/'Conversion Tables'!F26)</f>
        <v>NA</v>
      </c>
      <c r="J27" s="16" t="str">
        <f>IF('Conversion Tables'!G26="NA","NA",(F27*'Conversion Tables'!$C26)/'Conversion Tables'!G26)</f>
        <v>NA</v>
      </c>
      <c r="K27" s="16" t="str">
        <f>IF('Conversion Tables'!H26="NA","NA",(G27*'Conversion Tables'!$C26)/'Conversion Tables'!H26)</f>
        <v>NA</v>
      </c>
      <c r="L27" s="16" t="str">
        <f>IF('Conversion Tables'!I26="NA","NA",(H27*'Conversion Tables'!$C26)/'Conversion Tables'!I26)</f>
        <v>NA</v>
      </c>
      <c r="M27" s="16" t="str">
        <f>IF('Conversion Tables'!K26="NA","NA",E27*'Conversion Tables'!K26)</f>
        <v>NA</v>
      </c>
      <c r="N27" s="16" t="str">
        <f>IF('Conversion Tables'!L26="NA","NA",F27*'Conversion Tables'!L26)</f>
        <v>NA</v>
      </c>
      <c r="O27" s="16" t="str">
        <f>IF('Conversion Tables'!M26="NA","NA",G27*'Conversion Tables'!M26)</f>
        <v>NA</v>
      </c>
      <c r="P27" s="16" t="str">
        <f>IF('Conversion Tables'!N26="NA","NA",H27*'Conversion Tables'!N26)</f>
        <v>NA</v>
      </c>
      <c r="Q27" s="13"/>
    </row>
    <row r="28" spans="1:17" x14ac:dyDescent="0.25">
      <c r="A28" s="1207"/>
      <c r="B28" s="11" t="s">
        <v>562</v>
      </c>
      <c r="C28" s="294">
        <f>C131</f>
        <v>554.16</v>
      </c>
      <c r="D28" s="294">
        <f>E28*'Conversion Tables'!C27</f>
        <v>9808.6319999999996</v>
      </c>
      <c r="E28" s="294">
        <f>C28*'Prac. Rec. Assumptions'!B24</f>
        <v>554.16</v>
      </c>
      <c r="F28" s="294">
        <f>($C28*(1+'Biomass Data Assumptions'!G$98))*'Prac. Rec. Assumptions'!$B24</f>
        <v>553.65431364880715</v>
      </c>
      <c r="G28" s="294">
        <f>($C28*(1+'Biomass Data Assumptions'!H$98))*'Prac. Rec. Assumptions'!$B24</f>
        <v>554.16</v>
      </c>
      <c r="H28" s="294">
        <f>($C28*(1+'Biomass Data Assumptions'!I$98))*'Prac. Rec. Assumptions'!$B24</f>
        <v>554.59344544387955</v>
      </c>
      <c r="I28" s="16" t="str">
        <f>IF('Conversion Tables'!F27="NA","NA",(E28*'Conversion Tables'!$C27)/'Conversion Tables'!F27)</f>
        <v>NA</v>
      </c>
      <c r="J28" s="16" t="str">
        <f>IF('Conversion Tables'!G27="NA","NA",(F28*'Conversion Tables'!$C27)/'Conversion Tables'!G27)</f>
        <v>NA</v>
      </c>
      <c r="K28" s="16" t="str">
        <f>IF('Conversion Tables'!H27="NA","NA",(G28*'Conversion Tables'!$C27)/'Conversion Tables'!H27)</f>
        <v>NA</v>
      </c>
      <c r="L28" s="16" t="str">
        <f>IF('Conversion Tables'!I27="NA","NA",(H28*'Conversion Tables'!$C27)/'Conversion Tables'!I27)</f>
        <v>NA</v>
      </c>
      <c r="M28" s="16" t="str">
        <f>IF('Conversion Tables'!K27="NA","NA",E28*'Conversion Tables'!K27)</f>
        <v>NA</v>
      </c>
      <c r="N28" s="16" t="str">
        <f>IF('Conversion Tables'!L27="NA","NA",F28*'Conversion Tables'!L27)</f>
        <v>NA</v>
      </c>
      <c r="O28" s="16" t="str">
        <f>IF('Conversion Tables'!M27="NA","NA",G28*'Conversion Tables'!M27)</f>
        <v>NA</v>
      </c>
      <c r="P28" s="16" t="str">
        <f>IF('Conversion Tables'!N27="NA","NA",H28*'Conversion Tables'!N27)</f>
        <v>NA</v>
      </c>
      <c r="Q28" s="13"/>
    </row>
    <row r="29" spans="1:17" x14ac:dyDescent="0.25">
      <c r="A29" s="1208"/>
      <c r="B29" s="9" t="s">
        <v>524</v>
      </c>
      <c r="C29" s="295">
        <f t="shared" ref="C29:P29" si="3">SUM(C13:C28)</f>
        <v>40659.395000000004</v>
      </c>
      <c r="D29" s="295">
        <f>SUM(D13:D28)</f>
        <v>666790.84502000001</v>
      </c>
      <c r="E29" s="295">
        <f t="shared" si="3"/>
        <v>40657.695000000007</v>
      </c>
      <c r="F29" s="295">
        <f>SUM(F13:F28)</f>
        <v>40621.13487420154</v>
      </c>
      <c r="G29" s="295">
        <f>SUM(G13:G28)</f>
        <v>40657.695000000007</v>
      </c>
      <c r="H29" s="295">
        <f>SUM(H13:H28)</f>
        <v>40689.03225068441</v>
      </c>
      <c r="I29" s="19">
        <f t="shared" si="3"/>
        <v>0</v>
      </c>
      <c r="J29" s="19">
        <f t="shared" si="3"/>
        <v>0</v>
      </c>
      <c r="K29" s="19">
        <f t="shared" si="3"/>
        <v>0</v>
      </c>
      <c r="L29" s="19">
        <f t="shared" si="3"/>
        <v>0</v>
      </c>
      <c r="M29" s="19">
        <f t="shared" si="3"/>
        <v>0</v>
      </c>
      <c r="N29" s="19">
        <f t="shared" si="3"/>
        <v>0</v>
      </c>
      <c r="O29" s="19">
        <f t="shared" si="3"/>
        <v>0</v>
      </c>
      <c r="P29" s="19">
        <f t="shared" si="3"/>
        <v>0</v>
      </c>
      <c r="Q29" s="19"/>
    </row>
    <row r="30" spans="1:17" x14ac:dyDescent="0.25">
      <c r="A30" s="8"/>
      <c r="C30" s="296"/>
      <c r="D30" s="296"/>
      <c r="E30" s="296"/>
      <c r="F30" s="296"/>
      <c r="G30" s="296"/>
      <c r="H30" s="296"/>
      <c r="I30" s="28"/>
      <c r="J30" s="28"/>
      <c r="K30" s="28"/>
      <c r="L30" s="28"/>
      <c r="M30" s="28"/>
      <c r="N30" s="28"/>
      <c r="O30" s="28"/>
      <c r="P30" s="28"/>
    </row>
    <row r="31" spans="1:17" x14ac:dyDescent="0.25">
      <c r="A31" s="1064" t="s">
        <v>516</v>
      </c>
      <c r="B31" s="130" t="str">
        <f>'Bioenergy Calculator'!B34</f>
        <v>Solid wastes - Landfilled</v>
      </c>
      <c r="C31" s="294"/>
      <c r="D31" s="294"/>
      <c r="E31" s="294"/>
      <c r="F31" s="294"/>
      <c r="G31" s="294"/>
      <c r="H31" s="294"/>
      <c r="I31" s="16"/>
      <c r="J31" s="16"/>
      <c r="K31" s="16"/>
      <c r="L31" s="16"/>
      <c r="M31" s="16"/>
      <c r="N31" s="16"/>
      <c r="O31" s="16"/>
      <c r="P31" s="16"/>
      <c r="Q31" s="7"/>
    </row>
    <row r="32" spans="1:17" x14ac:dyDescent="0.25">
      <c r="A32" s="1064"/>
      <c r="B32" s="11" t="str">
        <f>'Bioenergy Calculator'!B35</f>
        <v>Food waste, Landfilled</v>
      </c>
      <c r="C32" s="294">
        <f>C141</f>
        <v>4806.4123085999991</v>
      </c>
      <c r="D32" s="294">
        <f>E32*'Conversion Tables'!C29</f>
        <v>46141.558162559995</v>
      </c>
      <c r="E32" s="294">
        <f>C32*'Prac. Rec. Assumptions'!B26</f>
        <v>2883.8473851599997</v>
      </c>
      <c r="F32" s="294">
        <f>($C32*(1+'Biomass Data Assumptions'!G$98)*(1+'Biomass Data Assumptions'!C$82))*'Prac. Rec. Assumptions'!$B26</f>
        <v>2879.2595080556139</v>
      </c>
      <c r="G32" s="294">
        <f>($C32*(1+'Biomass Data Assumptions'!H$98)*(1+'Biomass Data Assumptions'!D$82))*'Prac. Rec. Assumptions'!$B26</f>
        <v>2879.9325681037058</v>
      </c>
      <c r="H32" s="294">
        <f>($C32*(1+'Biomass Data Assumptions'!I$98)*(1+'Biomass Data Assumptions'!E$82))*'Prac. Rec. Assumptions'!$B26</f>
        <v>2880.2282105191457</v>
      </c>
      <c r="I32" s="16" t="str">
        <f>IF('Conversion Tables'!F29="NA","NA",(E32*'Conversion Tables'!$C29)/'Conversion Tables'!F29)</f>
        <v>NA</v>
      </c>
      <c r="J32" s="16" t="str">
        <f>IF('Conversion Tables'!G29="NA","NA",(F32*'Conversion Tables'!$C29)/'Conversion Tables'!G29)</f>
        <v>NA</v>
      </c>
      <c r="K32" s="16" t="str">
        <f>IF('Conversion Tables'!H29="NA","NA",(G32*'Conversion Tables'!$C29)/'Conversion Tables'!H29)</f>
        <v>NA</v>
      </c>
      <c r="L32" s="16" t="str">
        <f>IF('Conversion Tables'!I29="NA","NA",(H32*'Conversion Tables'!$C29)/'Conversion Tables'!I29)</f>
        <v>NA</v>
      </c>
      <c r="M32" s="16" t="str">
        <f>IF('Conversion Tables'!K29="NA","NA",E32*'Conversion Tables'!K29)</f>
        <v>NA</v>
      </c>
      <c r="N32" s="16" t="str">
        <f>IF('Conversion Tables'!L29="NA","NA",F32*'Conversion Tables'!L29)</f>
        <v>NA</v>
      </c>
      <c r="O32" s="16" t="str">
        <f>IF('Conversion Tables'!M29="NA","NA",G32*'Conversion Tables'!M29)</f>
        <v>NA</v>
      </c>
      <c r="P32" s="16" t="str">
        <f>IF('Conversion Tables'!N29="NA","NA",H32*'Conversion Tables'!N29)</f>
        <v>NA</v>
      </c>
      <c r="Q32" s="7"/>
    </row>
    <row r="33" spans="1:17" x14ac:dyDescent="0.25">
      <c r="A33" s="1064"/>
      <c r="B33" s="11" t="str">
        <f>'Bioenergy Calculator'!B36</f>
        <v>Waste paper, Landfilled</v>
      </c>
      <c r="C33" s="294">
        <f>C142</f>
        <v>17727.822895499998</v>
      </c>
      <c r="D33" s="294">
        <f>E33*'Conversion Tables'!C30</f>
        <v>205954.7552707608</v>
      </c>
      <c r="E33" s="294">
        <f>C33*'Prac. Rec. Assumptions'!B27</f>
        <v>14182.258316399999</v>
      </c>
      <c r="F33" s="294">
        <f>($C33*(1+'Biomass Data Assumptions'!G$98)*(1+'Biomass Data Assumptions'!C$82))*'Prac. Rec. Assumptions'!$B27</f>
        <v>14159.695937214079</v>
      </c>
      <c r="G33" s="294">
        <f>($C33*(1+'Biomass Data Assumptions'!H$98)*(1+'Biomass Data Assumptions'!D$82))*'Prac. Rec. Assumptions'!$B27</f>
        <v>14163.005929106719</v>
      </c>
      <c r="H33" s="294">
        <f>($C33*(1+'Biomass Data Assumptions'!I$98)*(1+'Biomass Data Assumptions'!E$82))*'Prac. Rec. Assumptions'!$B27</f>
        <v>14164.459846927275</v>
      </c>
      <c r="I33" s="16" t="str">
        <f>IF('Conversion Tables'!F30="NA","NA",(E33*'Conversion Tables'!$C30)/'Conversion Tables'!F30)</f>
        <v>NA</v>
      </c>
      <c r="J33" s="16" t="str">
        <f>IF('Conversion Tables'!G30="NA","NA",(F33*'Conversion Tables'!$C30)/'Conversion Tables'!G30)</f>
        <v>NA</v>
      </c>
      <c r="K33" s="16" t="str">
        <f>IF('Conversion Tables'!H30="NA","NA",(G33*'Conversion Tables'!$C30)/'Conversion Tables'!H30)</f>
        <v>NA</v>
      </c>
      <c r="L33" s="16" t="str">
        <f>IF('Conversion Tables'!I30="NA","NA",(H33*'Conversion Tables'!$C30)/'Conversion Tables'!I30)</f>
        <v>NA</v>
      </c>
      <c r="M33" s="16" t="str">
        <f>IF('Conversion Tables'!K30="NA","NA",E33*'Conversion Tables'!K30)</f>
        <v>NA</v>
      </c>
      <c r="N33" s="16" t="str">
        <f>IF('Conversion Tables'!L30="NA","NA",F33*'Conversion Tables'!L30)</f>
        <v>NA</v>
      </c>
      <c r="O33" s="16" t="str">
        <f>IF('Conversion Tables'!M30="NA","NA",G33*'Conversion Tables'!M30)</f>
        <v>NA</v>
      </c>
      <c r="P33" s="16" t="str">
        <f>IF('Conversion Tables'!N30="NA","NA",H33*'Conversion Tables'!N30)</f>
        <v>NA</v>
      </c>
      <c r="Q33" s="7"/>
    </row>
    <row r="34" spans="1:17" x14ac:dyDescent="0.25">
      <c r="A34" s="1064"/>
      <c r="B34" s="11" t="str">
        <f>'Bioenergy Calculator'!B37</f>
        <v>Other Biomass, Landfilled</v>
      </c>
      <c r="C34" s="294">
        <f>C143</f>
        <v>13636.397331499995</v>
      </c>
      <c r="D34" s="294">
        <f>E34*'Conversion Tables'!C31</f>
        <v>142579.98867459092</v>
      </c>
      <c r="E34" s="294">
        <f>C34*'Prac. Rec. Assumptions'!B28</f>
        <v>9818.2060786799975</v>
      </c>
      <c r="F34" s="294">
        <f>($C34*(1+'Biomass Data Assumptions'!G$98)*(1+'Biomass Data Assumptions'!C$82))*'Prac. Rec. Assumptions'!$B28</f>
        <v>9802.5864161741683</v>
      </c>
      <c r="G34" s="294">
        <f>($C34*(1+'Biomass Data Assumptions'!H$98)*(1+'Biomass Data Assumptions'!D$82))*'Prac. Rec. Assumptions'!$B28</f>
        <v>9804.8778835692519</v>
      </c>
      <c r="H34" s="294">
        <f>($C34*(1+'Biomass Data Assumptions'!I$98)*(1+'Biomass Data Assumptions'!E$82))*'Prac. Rec. Assumptions'!$B28</f>
        <v>9805.8844133098082</v>
      </c>
      <c r="I34" s="16" t="str">
        <f>IF('Conversion Tables'!F31="NA","NA",(E34*'Conversion Tables'!$C31)/'Conversion Tables'!F31)</f>
        <v>NA</v>
      </c>
      <c r="J34" s="16" t="str">
        <f>IF('Conversion Tables'!G31="NA","NA",(F34*'Conversion Tables'!$C31)/'Conversion Tables'!G31)</f>
        <v>NA</v>
      </c>
      <c r="K34" s="16" t="str">
        <f>IF('Conversion Tables'!H31="NA","NA",(G34*'Conversion Tables'!$C31)/'Conversion Tables'!H31)</f>
        <v>NA</v>
      </c>
      <c r="L34" s="16" t="str">
        <f>IF('Conversion Tables'!I31="NA","NA",(H34*'Conversion Tables'!$C31)/'Conversion Tables'!I31)</f>
        <v>NA</v>
      </c>
      <c r="M34" s="16" t="str">
        <f>IF('Conversion Tables'!K31="NA","NA",E34*'Conversion Tables'!K31)</f>
        <v>NA</v>
      </c>
      <c r="N34" s="16" t="str">
        <f>IF('Conversion Tables'!L31="NA","NA",F34*'Conversion Tables'!L31)</f>
        <v>NA</v>
      </c>
      <c r="O34" s="16" t="str">
        <f>IF('Conversion Tables'!M31="NA","NA",G34*'Conversion Tables'!M31)</f>
        <v>NA</v>
      </c>
      <c r="P34" s="16" t="str">
        <f>IF('Conversion Tables'!N31="NA","NA",H34*'Conversion Tables'!N31)</f>
        <v>NA</v>
      </c>
      <c r="Q34" s="7"/>
    </row>
    <row r="35" spans="1:17" x14ac:dyDescent="0.25">
      <c r="A35" s="1065"/>
      <c r="B35" s="11" t="str">
        <f>'Bioenergy Calculator'!B38</f>
        <v>C&amp;D (Non-recycled wood)</v>
      </c>
      <c r="C35" s="294">
        <f>C145</f>
        <v>19283.440000000002</v>
      </c>
      <c r="D35" s="294">
        <f>E35*'Conversion Tables'!C32</f>
        <v>218442.80832000007</v>
      </c>
      <c r="E35" s="294">
        <f>C35*'Prac. Rec. Assumptions'!B29</f>
        <v>12341.401600000005</v>
      </c>
      <c r="F35" s="294">
        <f>($C35*(1+'Biomass Data Assumptions'!G$98)*(1+'Biomass Data Assumptions'!C$83))*'Prac. Rec. Assumptions'!$B29</f>
        <v>12949.249524307679</v>
      </c>
      <c r="G35" s="294">
        <f>($C35*(1+'Biomass Data Assumptions'!H$98)*(1+'Biomass Data Assumptions'!D$83))*'Prac. Rec. Assumptions'!$B29</f>
        <v>13611.866704520669</v>
      </c>
      <c r="H35" s="294">
        <f>($C35*(1+'Biomass Data Assumptions'!I$98)*(1+'Biomass Data Assumptions'!E$83))*'Prac. Rec. Assumptions'!$B29</f>
        <v>14306.514744639206</v>
      </c>
      <c r="I35" s="16" t="str">
        <f>IF('Conversion Tables'!F32="NA","NA",(E35*'Conversion Tables'!$C32)/'Conversion Tables'!F32)</f>
        <v>NA</v>
      </c>
      <c r="J35" s="16" t="str">
        <f>IF('Conversion Tables'!G32="NA","NA",(F35*'Conversion Tables'!$C32)/'Conversion Tables'!G32)</f>
        <v>NA</v>
      </c>
      <c r="K35" s="16" t="str">
        <f>IF('Conversion Tables'!H32="NA","NA",(G35*'Conversion Tables'!$C32)/'Conversion Tables'!H32)</f>
        <v>NA</v>
      </c>
      <c r="L35" s="16" t="str">
        <f>IF('Conversion Tables'!I32="NA","NA",(H35*'Conversion Tables'!$C32)/'Conversion Tables'!I32)</f>
        <v>NA</v>
      </c>
      <c r="M35" s="16" t="str">
        <f>IF('Conversion Tables'!K32="NA","NA",E35*'Conversion Tables'!K32)</f>
        <v>NA</v>
      </c>
      <c r="N35" s="16" t="str">
        <f>IF('Conversion Tables'!L32="NA","NA",F35*'Conversion Tables'!L32)</f>
        <v>NA</v>
      </c>
      <c r="O35" s="16" t="str">
        <f>IF('Conversion Tables'!M32="NA","NA",G35*'Conversion Tables'!M32)</f>
        <v>NA</v>
      </c>
      <c r="P35" s="16" t="str">
        <f>IF('Conversion Tables'!N32="NA","NA",H35*'Conversion Tables'!N32)</f>
        <v>NA</v>
      </c>
      <c r="Q35" s="7"/>
    </row>
    <row r="36" spans="1:17" x14ac:dyDescent="0.25">
      <c r="A36" s="1065"/>
      <c r="B36" s="4" t="s">
        <v>280</v>
      </c>
      <c r="C36" s="294"/>
      <c r="D36" s="294"/>
      <c r="E36" s="294"/>
      <c r="F36" s="294"/>
      <c r="G36" s="294"/>
      <c r="H36" s="294"/>
      <c r="I36" s="16"/>
      <c r="J36" s="16"/>
      <c r="K36" s="16"/>
      <c r="L36" s="16"/>
      <c r="M36" s="16"/>
      <c r="N36" s="16"/>
      <c r="O36" s="16"/>
      <c r="P36" s="16"/>
      <c r="Q36" s="7"/>
    </row>
    <row r="37" spans="1:17" x14ac:dyDescent="0.25">
      <c r="A37" s="1065"/>
      <c r="B37" s="677" t="s">
        <v>563</v>
      </c>
      <c r="C37" s="299">
        <f>C132</f>
        <v>32922.422500000001</v>
      </c>
      <c r="D37" s="294">
        <f>E37*'Conversion Tables'!C34</f>
        <v>526758.76</v>
      </c>
      <c r="E37" s="294">
        <f>C37*'Prac. Rec. Assumptions'!B31</f>
        <v>32922.422500000001</v>
      </c>
      <c r="F37" s="294">
        <f>($C37*(1+'Biomass Data Assumptions'!G$98)*(1+'Biomass Data Assumptions'!C$84))*'Prac. Rec. Assumptions'!$B31</f>
        <v>35967.034070100934</v>
      </c>
      <c r="G37" s="294">
        <f>($C37*(1+'Biomass Data Assumptions'!H$98)*(1+'Biomass Data Assumptions'!D$84))*'Prac. Rec. Assumptions'!$B31</f>
        <v>39365.016875814479</v>
      </c>
      <c r="H37" s="294">
        <f>($C37*(1+'Biomass Data Assumptions'!I$98)*(1+'Biomass Data Assumptions'!E$84))*'Prac. Rec. Assumptions'!$B31</f>
        <v>43078.376616502253</v>
      </c>
      <c r="I37" s="16" t="str">
        <f>IF('Conversion Tables'!F34="NA","NA",(E37*'Conversion Tables'!$C34)/'Conversion Tables'!F34)</f>
        <v>NA</v>
      </c>
      <c r="J37" s="16" t="str">
        <f>IF('Conversion Tables'!G34="NA","NA",(F37*'Conversion Tables'!$C34)/'Conversion Tables'!G34)</f>
        <v>NA</v>
      </c>
      <c r="K37" s="16" t="str">
        <f>IF('Conversion Tables'!H34="NA","NA",(G37*'Conversion Tables'!$C34)/'Conversion Tables'!H34)</f>
        <v>NA</v>
      </c>
      <c r="L37" s="16" t="str">
        <f>IF('Conversion Tables'!I34="NA","NA",(H37*'Conversion Tables'!$C34)/'Conversion Tables'!I34)</f>
        <v>NA</v>
      </c>
      <c r="M37" s="16" t="str">
        <f>IF('Conversion Tables'!K34="NA","NA",E37*'Conversion Tables'!K34)</f>
        <v>NA</v>
      </c>
      <c r="N37" s="16" t="str">
        <f>IF('Conversion Tables'!L34="NA","NA",F37*'Conversion Tables'!L34)</f>
        <v>NA</v>
      </c>
      <c r="O37" s="16" t="str">
        <f>IF('Conversion Tables'!M34="NA","NA",G37*'Conversion Tables'!M34)</f>
        <v>NA</v>
      </c>
      <c r="P37" s="16" t="str">
        <f>IF('Conversion Tables'!N34="NA","NA",H37*'Conversion Tables'!N34)</f>
        <v>NA</v>
      </c>
      <c r="Q37" s="18"/>
    </row>
    <row r="38" spans="1:17" x14ac:dyDescent="0.25">
      <c r="A38" s="1065"/>
      <c r="B38" s="11" t="s">
        <v>565</v>
      </c>
      <c r="C38" s="294">
        <f>C134</f>
        <v>4557.3680000000004</v>
      </c>
      <c r="D38" s="294">
        <f>E38*'Conversion Tables'!C35</f>
        <v>40332.7068</v>
      </c>
      <c r="E38" s="294">
        <f>C38*'Prac. Rec. Assumptions'!B32</f>
        <v>2278.6840000000002</v>
      </c>
      <c r="F38" s="294">
        <f>($C38*(1+'Biomass Data Assumptions'!G$98)*(1+'Biomass Data Assumptions'!C$84))*'Prac. Rec. Assumptions'!$B32</f>
        <v>2489.4129544383882</v>
      </c>
      <c r="G38" s="294">
        <f>($C38*(1+'Biomass Data Assumptions'!H$98)*(1+'Biomass Data Assumptions'!D$84))*'Prac. Rec. Assumptions'!$B32</f>
        <v>2724.6000537976342</v>
      </c>
      <c r="H38" s="294">
        <f>($C38*(1+'Biomass Data Assumptions'!I$98)*(1+'Biomass Data Assumptions'!E$84))*'Prac. Rec. Assumptions'!$B32</f>
        <v>2981.6155704215821</v>
      </c>
      <c r="I38" s="16" t="str">
        <f>IF('Conversion Tables'!F35="NA","NA",(E38*'Conversion Tables'!$C35)/'Conversion Tables'!F35)</f>
        <v>NA</v>
      </c>
      <c r="J38" s="16" t="str">
        <f>IF('Conversion Tables'!G35="NA","NA",(F38*'Conversion Tables'!$C35)/'Conversion Tables'!G35)</f>
        <v>NA</v>
      </c>
      <c r="K38" s="16" t="str">
        <f>IF('Conversion Tables'!H35="NA","NA",(G38*'Conversion Tables'!$C35)/'Conversion Tables'!H35)</f>
        <v>NA</v>
      </c>
      <c r="L38" s="16" t="str">
        <f>IF('Conversion Tables'!I35="NA","NA",(H38*'Conversion Tables'!$C35)/'Conversion Tables'!I35)</f>
        <v>NA</v>
      </c>
      <c r="M38" s="16" t="str">
        <f>IF('Conversion Tables'!K35="NA","NA",E38*'Conversion Tables'!K35)</f>
        <v>NA</v>
      </c>
      <c r="N38" s="16" t="str">
        <f>IF('Conversion Tables'!L35="NA","NA",F38*'Conversion Tables'!L35)</f>
        <v>NA</v>
      </c>
      <c r="O38" s="16" t="str">
        <f>IF('Conversion Tables'!M35="NA","NA",G38*'Conversion Tables'!M35)</f>
        <v>NA</v>
      </c>
      <c r="P38" s="16" t="str">
        <f>IF('Conversion Tables'!N35="NA","NA",H38*'Conversion Tables'!N35)</f>
        <v>NA</v>
      </c>
      <c r="Q38" s="13"/>
    </row>
    <row r="39" spans="1:17" x14ac:dyDescent="0.25">
      <c r="A39" s="1065"/>
      <c r="B39" s="17" t="s">
        <v>555</v>
      </c>
      <c r="C39" s="294">
        <f>C124</f>
        <v>43114.688999999998</v>
      </c>
      <c r="D39" s="299">
        <f>E39*'Conversion Tables'!C36</f>
        <v>0</v>
      </c>
      <c r="E39" s="299">
        <f>C39*'Prac. Rec. Assumptions'!B33</f>
        <v>0</v>
      </c>
      <c r="F39" s="294">
        <f>($C39*(1+'Biomass Data Assumptions'!G$98)*(1+'Biomass Data Assumptions'!C$84))*'Prac. Rec. Assumptions'!$B33</f>
        <v>0</v>
      </c>
      <c r="G39" s="294">
        <f>($C39*(1+'Biomass Data Assumptions'!H$98)*(1+'Biomass Data Assumptions'!D$84))*'Prac. Rec. Assumptions'!$B33</f>
        <v>0</v>
      </c>
      <c r="H39" s="294">
        <f>($C39*(1+'Biomass Data Assumptions'!I$98)*(1+'Biomass Data Assumptions'!E$84))*'Prac. Rec. Assumptions'!$B33</f>
        <v>0</v>
      </c>
      <c r="I39" s="16" t="str">
        <f>IF('Conversion Tables'!F36="NA","NA",(E39*'Conversion Tables'!$C36)/'Conversion Tables'!F36)</f>
        <v>NA</v>
      </c>
      <c r="J39" s="16" t="str">
        <f>IF('Conversion Tables'!G36="NA","NA",(F39*'Conversion Tables'!$C36)/'Conversion Tables'!G36)</f>
        <v>NA</v>
      </c>
      <c r="K39" s="16" t="str">
        <f>IF('Conversion Tables'!H36="NA","NA",(G39*'Conversion Tables'!$C36)/'Conversion Tables'!H36)</f>
        <v>NA</v>
      </c>
      <c r="L39" s="16" t="str">
        <f>IF('Conversion Tables'!I36="NA","NA",(H39*'Conversion Tables'!$C36)/'Conversion Tables'!I36)</f>
        <v>NA</v>
      </c>
      <c r="M39" s="16" t="str">
        <f>IF('Conversion Tables'!K36="NA","NA",E39*'Conversion Tables'!K36)</f>
        <v>NA</v>
      </c>
      <c r="N39" s="16" t="str">
        <f>IF('Conversion Tables'!L36="NA","NA",F39*'Conversion Tables'!L36)</f>
        <v>NA</v>
      </c>
      <c r="O39" s="16" t="str">
        <f>IF('Conversion Tables'!M36="NA","NA",G39*'Conversion Tables'!M36)</f>
        <v>NA</v>
      </c>
      <c r="P39" s="16" t="str">
        <f>IF('Conversion Tables'!N36="NA","NA",H39*'Conversion Tables'!N36)</f>
        <v>NA</v>
      </c>
      <c r="Q39" s="27"/>
    </row>
    <row r="40" spans="1:17" x14ac:dyDescent="0.25">
      <c r="A40" s="1065"/>
      <c r="B40" s="17" t="s">
        <v>556</v>
      </c>
      <c r="C40" s="294">
        <f>C125</f>
        <v>14268.465</v>
      </c>
      <c r="D40" s="299">
        <f>E40*'Conversion Tables'!C37</f>
        <v>0</v>
      </c>
      <c r="E40" s="299">
        <f>C40*'Prac. Rec. Assumptions'!B34</f>
        <v>0</v>
      </c>
      <c r="F40" s="294">
        <f>($C40*(1+'Biomass Data Assumptions'!G$98)*(1+'Biomass Data Assumptions'!C$84))*'Prac. Rec. Assumptions'!$B34</f>
        <v>0</v>
      </c>
      <c r="G40" s="294">
        <f>($C40*(1+'Biomass Data Assumptions'!H$98)*(1+'Biomass Data Assumptions'!D$84))*'Prac. Rec. Assumptions'!$B34</f>
        <v>0</v>
      </c>
      <c r="H40" s="294">
        <f>($C40*(1+'Biomass Data Assumptions'!I$98)*(1+'Biomass Data Assumptions'!E$84))*'Prac. Rec. Assumptions'!$B34</f>
        <v>0</v>
      </c>
      <c r="I40" s="16" t="str">
        <f>IF('Conversion Tables'!F37="NA","NA",(E40*'Conversion Tables'!$C37)/'Conversion Tables'!F37)</f>
        <v>NA</v>
      </c>
      <c r="J40" s="16" t="str">
        <f>IF('Conversion Tables'!G37="NA","NA",(F40*'Conversion Tables'!$C37)/'Conversion Tables'!G37)</f>
        <v>NA</v>
      </c>
      <c r="K40" s="16" t="str">
        <f>IF('Conversion Tables'!H37="NA","NA",(G40*'Conversion Tables'!$C37)/'Conversion Tables'!H37)</f>
        <v>NA</v>
      </c>
      <c r="L40" s="16" t="str">
        <f>IF('Conversion Tables'!I37="NA","NA",(H40*'Conversion Tables'!$C37)/'Conversion Tables'!I37)</f>
        <v>NA</v>
      </c>
      <c r="M40" s="16" t="str">
        <f>IF('Conversion Tables'!K37="NA","NA",E40*'Conversion Tables'!K37)</f>
        <v>NA</v>
      </c>
      <c r="N40" s="16" t="str">
        <f>IF('Conversion Tables'!L37="NA","NA",F40*'Conversion Tables'!L37)</f>
        <v>NA</v>
      </c>
      <c r="O40" s="16" t="str">
        <f>IF('Conversion Tables'!M37="NA","NA",G40*'Conversion Tables'!M37)</f>
        <v>NA</v>
      </c>
      <c r="P40" s="16" t="str">
        <f>IF('Conversion Tables'!N37="NA","NA",H40*'Conversion Tables'!N37)</f>
        <v>NA</v>
      </c>
      <c r="Q40" s="27"/>
    </row>
    <row r="41" spans="1:17" x14ac:dyDescent="0.25">
      <c r="A41" s="1065"/>
      <c r="B41" s="17" t="s">
        <v>557</v>
      </c>
      <c r="C41" s="294">
        <f>C126</f>
        <v>12152.915999999999</v>
      </c>
      <c r="D41" s="299">
        <f>E41*'Conversion Tables'!C38</f>
        <v>0</v>
      </c>
      <c r="E41" s="299">
        <f>C41*'Prac. Rec. Assumptions'!B35</f>
        <v>0</v>
      </c>
      <c r="F41" s="294">
        <f>($C41*(1+'Biomass Data Assumptions'!G$98)*(1+'Biomass Data Assumptions'!C$84))*'Prac. Rec. Assumptions'!$B35</f>
        <v>0</v>
      </c>
      <c r="G41" s="294">
        <f>($C41*(1+'Biomass Data Assumptions'!H$98)*(1+'Biomass Data Assumptions'!D$84))*'Prac. Rec. Assumptions'!$B35</f>
        <v>0</v>
      </c>
      <c r="H41" s="294">
        <f>($C41*(1+'Biomass Data Assumptions'!I$98)*(1+'Biomass Data Assumptions'!E$84))*'Prac. Rec. Assumptions'!$B35</f>
        <v>0</v>
      </c>
      <c r="I41" s="16" t="str">
        <f>IF('Conversion Tables'!F38="NA","NA",(E41*'Conversion Tables'!$C38)/'Conversion Tables'!F38)</f>
        <v>NA</v>
      </c>
      <c r="J41" s="16" t="str">
        <f>IF('Conversion Tables'!G38="NA","NA",(F41*'Conversion Tables'!$C38)/'Conversion Tables'!G38)</f>
        <v>NA</v>
      </c>
      <c r="K41" s="16" t="str">
        <f>IF('Conversion Tables'!H38="NA","NA",(G41*'Conversion Tables'!$C38)/'Conversion Tables'!H38)</f>
        <v>NA</v>
      </c>
      <c r="L41" s="16" t="str">
        <f>IF('Conversion Tables'!I38="NA","NA",(H41*'Conversion Tables'!$C38)/'Conversion Tables'!I38)</f>
        <v>NA</v>
      </c>
      <c r="M41" s="16" t="str">
        <f>IF('Conversion Tables'!K38="NA","NA",E41*'Conversion Tables'!K38)</f>
        <v>NA</v>
      </c>
      <c r="N41" s="16" t="str">
        <f>IF('Conversion Tables'!L38="NA","NA",F41*'Conversion Tables'!L38)</f>
        <v>NA</v>
      </c>
      <c r="O41" s="16" t="str">
        <f>IF('Conversion Tables'!M38="NA","NA",G41*'Conversion Tables'!M38)</f>
        <v>NA</v>
      </c>
      <c r="P41" s="16" t="str">
        <f>IF('Conversion Tables'!N38="NA","NA",H41*'Conversion Tables'!N38)</f>
        <v>NA</v>
      </c>
      <c r="Q41" s="27"/>
    </row>
    <row r="42" spans="1:17" x14ac:dyDescent="0.25">
      <c r="A42" s="1065"/>
      <c r="B42" s="17" t="s">
        <v>558</v>
      </c>
      <c r="C42" s="294">
        <f>C127</f>
        <v>5213.5019999999995</v>
      </c>
      <c r="D42" s="299">
        <f>E42*'Conversion Tables'!C39</f>
        <v>75710.476043999995</v>
      </c>
      <c r="E42" s="299">
        <f>C42*'Prac. Rec. Assumptions'!B36</f>
        <v>5213.5019999999995</v>
      </c>
      <c r="F42" s="294">
        <f>($C42*(1+'Biomass Data Assumptions'!G$98)*(1+'Biomass Data Assumptions'!C$84))*'Prac. Rec. Assumptions'!$B36</f>
        <v>5695.6381037434085</v>
      </c>
      <c r="G42" s="294">
        <f>($C42*(1+'Biomass Data Assumptions'!H$98)*(1+'Biomass Data Assumptions'!D$84))*'Prac. Rec. Assumptions'!$B36</f>
        <v>6233.733080003226</v>
      </c>
      <c r="H42" s="294">
        <f>($C42*(1+'Biomass Data Assumptions'!I$98)*(1+'Biomass Data Assumptions'!E$84))*'Prac. Rec. Assumptions'!$B36</f>
        <v>6821.7702584579774</v>
      </c>
      <c r="I42" s="16" t="str">
        <f>IF('Conversion Tables'!F39="NA","NA",(E42*'Conversion Tables'!$C39)/'Conversion Tables'!F39)</f>
        <v>NA</v>
      </c>
      <c r="J42" s="16" t="str">
        <f>IF('Conversion Tables'!G39="NA","NA",(F42*'Conversion Tables'!$C39)/'Conversion Tables'!G39)</f>
        <v>NA</v>
      </c>
      <c r="K42" s="16" t="str">
        <f>IF('Conversion Tables'!H39="NA","NA",(G42*'Conversion Tables'!$C39)/'Conversion Tables'!H39)</f>
        <v>NA</v>
      </c>
      <c r="L42" s="16" t="str">
        <f>IF('Conversion Tables'!I39="NA","NA",(H42*'Conversion Tables'!$C39)/'Conversion Tables'!I39)</f>
        <v>NA</v>
      </c>
      <c r="M42" s="16" t="str">
        <f>IF('Conversion Tables'!K39="NA","NA",E42*'Conversion Tables'!K39)</f>
        <v>NA</v>
      </c>
      <c r="N42" s="16" t="str">
        <f>IF('Conversion Tables'!L39="NA","NA",F42*'Conversion Tables'!L39)</f>
        <v>NA</v>
      </c>
      <c r="O42" s="16" t="str">
        <f>IF('Conversion Tables'!M39="NA","NA",G42*'Conversion Tables'!M39)</f>
        <v>NA</v>
      </c>
      <c r="P42" s="16" t="str">
        <f>IF('Conversion Tables'!N39="NA","NA",H42*'Conversion Tables'!N39)</f>
        <v>NA</v>
      </c>
      <c r="Q42" s="27"/>
    </row>
    <row r="43" spans="1:17" x14ac:dyDescent="0.25">
      <c r="A43" s="1065"/>
      <c r="B43" s="9" t="s">
        <v>524</v>
      </c>
      <c r="C43" s="295">
        <f t="shared" ref="C43:P43" si="4">SUM(C31:C42)</f>
        <v>167683.43503560001</v>
      </c>
      <c r="D43" s="295">
        <f t="shared" si="4"/>
        <v>1255921.0532719116</v>
      </c>
      <c r="E43" s="295">
        <f t="shared" si="4"/>
        <v>79640.321880239993</v>
      </c>
      <c r="F43" s="295">
        <f t="shared" si="4"/>
        <v>83942.876514034258</v>
      </c>
      <c r="G43" s="295">
        <f t="shared" si="4"/>
        <v>88783.033094915678</v>
      </c>
      <c r="H43" s="295">
        <f t="shared" si="4"/>
        <v>94038.849660777239</v>
      </c>
      <c r="I43" s="19">
        <f t="shared" si="4"/>
        <v>0</v>
      </c>
      <c r="J43" s="19">
        <f t="shared" si="4"/>
        <v>0</v>
      </c>
      <c r="K43" s="19">
        <f t="shared" si="4"/>
        <v>0</v>
      </c>
      <c r="L43" s="19">
        <f t="shared" si="4"/>
        <v>0</v>
      </c>
      <c r="M43" s="19">
        <f t="shared" si="4"/>
        <v>0</v>
      </c>
      <c r="N43" s="19">
        <f t="shared" si="4"/>
        <v>0</v>
      </c>
      <c r="O43" s="19">
        <f t="shared" si="4"/>
        <v>0</v>
      </c>
      <c r="P43" s="19">
        <f t="shared" si="4"/>
        <v>0</v>
      </c>
      <c r="Q43" s="19"/>
    </row>
    <row r="44" spans="1:17" x14ac:dyDescent="0.25">
      <c r="A44" s="8"/>
      <c r="C44" s="296"/>
      <c r="D44" s="296"/>
      <c r="E44" s="296"/>
      <c r="F44" s="296"/>
      <c r="G44" s="296"/>
      <c r="H44" s="296"/>
      <c r="I44" s="28"/>
      <c r="J44" s="28"/>
      <c r="K44" s="28"/>
      <c r="L44" s="28"/>
      <c r="M44" s="28"/>
      <c r="N44" s="28"/>
      <c r="O44" s="28"/>
      <c r="P44" s="28"/>
    </row>
    <row r="45" spans="1:17" x14ac:dyDescent="0.25">
      <c r="A45" s="1064" t="s">
        <v>515</v>
      </c>
      <c r="B45" s="2" t="s">
        <v>510</v>
      </c>
      <c r="C45" s="294"/>
      <c r="D45" s="294"/>
      <c r="E45" s="294"/>
      <c r="F45" s="294"/>
      <c r="G45" s="294"/>
      <c r="H45" s="294"/>
      <c r="I45" s="16"/>
      <c r="J45" s="16"/>
      <c r="K45" s="16"/>
      <c r="L45" s="16"/>
      <c r="M45" s="16"/>
      <c r="N45" s="16"/>
      <c r="O45" s="16"/>
      <c r="P45" s="16"/>
      <c r="Q45" s="7"/>
    </row>
    <row r="46" spans="1:17" x14ac:dyDescent="0.25">
      <c r="A46" s="1064"/>
      <c r="B46" s="12" t="s">
        <v>525</v>
      </c>
      <c r="C46" s="294">
        <f>D77</f>
        <v>0</v>
      </c>
      <c r="D46" s="294">
        <f>E46*'Conversion Tables'!C41</f>
        <v>0</v>
      </c>
      <c r="E46" s="294">
        <f>C46*'Prac. Rec. Assumptions'!B38</f>
        <v>0</v>
      </c>
      <c r="F46" s="294">
        <f>$E46</f>
        <v>0</v>
      </c>
      <c r="G46" s="294">
        <f>$E46</f>
        <v>0</v>
      </c>
      <c r="H46" s="294">
        <f>$E46</f>
        <v>0</v>
      </c>
      <c r="I46" s="16" t="str">
        <f>IF('Conversion Tables'!F41="NA","NA",(E46*'Conversion Tables'!$C41)/'Conversion Tables'!F41)</f>
        <v>NA</v>
      </c>
      <c r="J46" s="16" t="str">
        <f>IF('Conversion Tables'!G41="NA","NA",(F46*'Conversion Tables'!$C41)/'Conversion Tables'!G41)</f>
        <v>NA</v>
      </c>
      <c r="K46" s="16" t="str">
        <f>IF('Conversion Tables'!H41="NA","NA",(G46*'Conversion Tables'!$C41)/'Conversion Tables'!H41)</f>
        <v>NA</v>
      </c>
      <c r="L46" s="16" t="str">
        <f>IF('Conversion Tables'!I41="NA","NA",(H46*'Conversion Tables'!$C41)/'Conversion Tables'!I41)</f>
        <v>NA</v>
      </c>
      <c r="M46" s="16" t="str">
        <f>IF('Conversion Tables'!K41="NA","NA",E46*'Conversion Tables'!K41)</f>
        <v>NA</v>
      </c>
      <c r="N46" s="16" t="str">
        <f>IF('Conversion Tables'!L41="NA","NA",F46*'Conversion Tables'!L41)</f>
        <v>NA</v>
      </c>
      <c r="O46" s="16" t="str">
        <f>IF('Conversion Tables'!M41="NA","NA",G46*'Conversion Tables'!M41)</f>
        <v>NA</v>
      </c>
      <c r="P46" s="16" t="str">
        <f>IF('Conversion Tables'!N41="NA","NA",H46*'Conversion Tables'!N41)</f>
        <v>NA</v>
      </c>
      <c r="Q46" s="15"/>
    </row>
    <row r="47" spans="1:17" x14ac:dyDescent="0.25">
      <c r="A47" s="1065"/>
      <c r="B47" s="2" t="s">
        <v>508</v>
      </c>
      <c r="C47" s="294">
        <f t="shared" ref="C47:C48" si="5">C148</f>
        <v>2932.0440600000002</v>
      </c>
      <c r="D47" s="294"/>
      <c r="E47" s="294">
        <f>C47*'Prac. Rec. Assumptions'!B39</f>
        <v>1466.0220300000001</v>
      </c>
      <c r="F47" s="294">
        <f>($C47*(1+'Biomass Data Assumptions'!G$98))*'Prac. Rec. Assumptions'!$B39</f>
        <v>1464.684244286273</v>
      </c>
      <c r="G47" s="294">
        <f>($C47*(1+'Biomass Data Assumptions'!H$98))*'Prac. Rec. Assumptions'!$B39</f>
        <v>1466.0220300000001</v>
      </c>
      <c r="H47" s="294">
        <f>($C47*(1+'Biomass Data Assumptions'!I$98))*'Prac. Rec. Assumptions'!$B39</f>
        <v>1467.1687034689091</v>
      </c>
      <c r="I47" s="16" t="str">
        <f>IF('Conversion Tables'!F42="NA","NA",(E47*'Conversion Tables'!$C42)/'Conversion Tables'!F42)</f>
        <v>NA</v>
      </c>
      <c r="J47" s="16" t="str">
        <f>IF('Conversion Tables'!G42="NA","NA",(F47*'Conversion Tables'!$C42)/'Conversion Tables'!G42)</f>
        <v>NA</v>
      </c>
      <c r="K47" s="16" t="str">
        <f>IF('Conversion Tables'!H42="NA","NA",(G47*'Conversion Tables'!$C42)/'Conversion Tables'!H42)</f>
        <v>NA</v>
      </c>
      <c r="L47" s="16" t="str">
        <f>IF('Conversion Tables'!I42="NA","NA",(H47*'Conversion Tables'!$C42)/'Conversion Tables'!I42)</f>
        <v>NA</v>
      </c>
      <c r="M47" s="16" t="str">
        <f>IF('Conversion Tables'!K42="NA","NA",E47*'Conversion Tables'!K42)</f>
        <v>NA</v>
      </c>
      <c r="N47" s="16" t="str">
        <f>IF('Conversion Tables'!L42="NA","NA",F47*'Conversion Tables'!L42)</f>
        <v>NA</v>
      </c>
      <c r="O47" s="16" t="str">
        <f>IF('Conversion Tables'!M42="NA","NA",G47*'Conversion Tables'!M42)</f>
        <v>NA</v>
      </c>
      <c r="P47" s="16" t="str">
        <f>IF('Conversion Tables'!N42="NA","NA",H47*'Conversion Tables'!N42)</f>
        <v>NA</v>
      </c>
      <c r="Q47" s="7"/>
    </row>
    <row r="48" spans="1:17" x14ac:dyDescent="0.25">
      <c r="A48" s="1065"/>
      <c r="B48" s="1" t="s">
        <v>509</v>
      </c>
      <c r="C48" s="294">
        <f t="shared" si="5"/>
        <v>262.04163825000001</v>
      </c>
      <c r="D48" s="294"/>
      <c r="E48" s="294">
        <f>C48*'Prac. Rec. Assumptions'!B40</f>
        <v>262.04163825000001</v>
      </c>
      <c r="F48" s="294">
        <f>($C48*(1+'Biomass Data Assumptions'!G$98))*'Prac. Rec. Assumptions'!$B40</f>
        <v>261.80251799608919</v>
      </c>
      <c r="G48" s="294">
        <f>($C48*(1+'Biomass Data Assumptions'!H$98))*'Prac. Rec. Assumptions'!$B40</f>
        <v>262.04163825000001</v>
      </c>
      <c r="H48" s="294">
        <f>($C48*(1+'Biomass Data Assumptions'!I$98))*'Prac. Rec. Assumptions'!$B40</f>
        <v>262.24659846763791</v>
      </c>
      <c r="I48" s="16" t="str">
        <f>IF('Conversion Tables'!F43="NA","NA",(E48*'Conversion Tables'!$C43)/'Conversion Tables'!F43)</f>
        <v>NA</v>
      </c>
      <c r="J48" s="16" t="str">
        <f>IF('Conversion Tables'!G43="NA","NA",(F48*'Conversion Tables'!$C43)/'Conversion Tables'!G43)</f>
        <v>NA</v>
      </c>
      <c r="K48" s="16" t="str">
        <f>IF('Conversion Tables'!H43="NA","NA",(G48*'Conversion Tables'!$C43)/'Conversion Tables'!H43)</f>
        <v>NA</v>
      </c>
      <c r="L48" s="16" t="str">
        <f>IF('Conversion Tables'!I43="NA","NA",(H48*'Conversion Tables'!$C43)/'Conversion Tables'!I43)</f>
        <v>NA</v>
      </c>
      <c r="M48" s="16" t="str">
        <f>IF('Conversion Tables'!K43="NA","NA",E48*'Conversion Tables'!K43)</f>
        <v>NA</v>
      </c>
      <c r="N48" s="16" t="str">
        <f>IF('Conversion Tables'!L43="NA","NA",F48*'Conversion Tables'!L43)</f>
        <v>NA</v>
      </c>
      <c r="O48" s="16" t="str">
        <f>IF('Conversion Tables'!M43="NA","NA",G48*'Conversion Tables'!M43)</f>
        <v>NA</v>
      </c>
      <c r="P48" s="16" t="str">
        <f>IF('Conversion Tables'!N43="NA","NA",H48*'Conversion Tables'!N43)</f>
        <v>NA</v>
      </c>
      <c r="Q48" s="7"/>
    </row>
    <row r="49" spans="1:17" x14ac:dyDescent="0.25">
      <c r="A49" s="1065"/>
      <c r="B49" s="9" t="s">
        <v>524</v>
      </c>
      <c r="C49" s="295">
        <f t="shared" ref="C49:P49" si="6">SUM(C45:C48)</f>
        <v>3194.08569825</v>
      </c>
      <c r="D49" s="295">
        <f>SUM(D45:D48)</f>
        <v>0</v>
      </c>
      <c r="E49" s="295">
        <f t="shared" si="6"/>
        <v>1728.0636682500001</v>
      </c>
      <c r="F49" s="295">
        <f>SUM(F45:F48)</f>
        <v>1726.4867622823622</v>
      </c>
      <c r="G49" s="295">
        <f>SUM(G45:G48)</f>
        <v>1728.0636682500001</v>
      </c>
      <c r="H49" s="295">
        <f>SUM(H45:H48)</f>
        <v>1729.4153019365472</v>
      </c>
      <c r="I49" s="19">
        <f t="shared" si="6"/>
        <v>0</v>
      </c>
      <c r="J49" s="19">
        <f t="shared" si="6"/>
        <v>0</v>
      </c>
      <c r="K49" s="19">
        <f t="shared" si="6"/>
        <v>0</v>
      </c>
      <c r="L49" s="19">
        <f t="shared" si="6"/>
        <v>0</v>
      </c>
      <c r="M49" s="19">
        <f t="shared" si="6"/>
        <v>0</v>
      </c>
      <c r="N49" s="19">
        <f t="shared" si="6"/>
        <v>0</v>
      </c>
      <c r="O49" s="19">
        <f t="shared" si="6"/>
        <v>0</v>
      </c>
      <c r="P49" s="19">
        <f t="shared" si="6"/>
        <v>0</v>
      </c>
      <c r="Q49" s="19"/>
    </row>
    <row r="50" spans="1:17" x14ac:dyDescent="0.25">
      <c r="A50" s="8"/>
      <c r="C50" s="296"/>
      <c r="D50" s="296"/>
      <c r="E50" s="296"/>
      <c r="F50" s="296"/>
      <c r="G50" s="296"/>
      <c r="H50" s="296"/>
      <c r="I50" s="28"/>
      <c r="J50" s="28"/>
      <c r="K50" s="28"/>
      <c r="L50" s="28"/>
      <c r="M50" s="28"/>
      <c r="N50" s="28"/>
      <c r="O50" s="28"/>
      <c r="P50" s="28"/>
    </row>
    <row r="51" spans="1:17" x14ac:dyDescent="0.25">
      <c r="A51" s="1200" t="s">
        <v>517</v>
      </c>
      <c r="B51" s="2" t="s">
        <v>505</v>
      </c>
      <c r="C51" s="294"/>
      <c r="D51" s="294"/>
      <c r="E51" s="294"/>
      <c r="F51" s="294"/>
      <c r="G51" s="294"/>
      <c r="H51" s="294"/>
      <c r="I51" s="16"/>
      <c r="J51" s="16"/>
      <c r="K51" s="16"/>
      <c r="L51" s="16"/>
      <c r="M51" s="16"/>
      <c r="N51" s="16"/>
      <c r="O51" s="16"/>
      <c r="P51" s="16"/>
      <c r="Q51" s="7"/>
    </row>
    <row r="52" spans="1:17" x14ac:dyDescent="0.25">
      <c r="A52" s="1201"/>
      <c r="B52" s="12" t="s">
        <v>535</v>
      </c>
      <c r="C52" s="294">
        <f>G97</f>
        <v>0</v>
      </c>
      <c r="D52" s="299">
        <f>E52*'Conversion Tables'!C45</f>
        <v>0</v>
      </c>
      <c r="E52" s="299">
        <f>C52*'Prac. Rec. Assumptions'!B42</f>
        <v>0</v>
      </c>
      <c r="F52" s="294">
        <f t="shared" ref="F52:H59" si="7">$E52</f>
        <v>0</v>
      </c>
      <c r="G52" s="294">
        <f t="shared" si="7"/>
        <v>0</v>
      </c>
      <c r="H52" s="294">
        <f t="shared" si="7"/>
        <v>0</v>
      </c>
      <c r="I52" s="16" t="str">
        <f>IF('Conversion Tables'!F45="NA","NA",(E52*'Conversion Tables'!$C45)/'Conversion Tables'!F45)</f>
        <v>NA</v>
      </c>
      <c r="J52" s="16" t="str">
        <f>IF('Conversion Tables'!G45="NA","NA",(F52*'Conversion Tables'!$C45)/'Conversion Tables'!G45)</f>
        <v>NA</v>
      </c>
      <c r="K52" s="16" t="str">
        <f>IF('Conversion Tables'!H45="NA","NA",(G52*'Conversion Tables'!$C45)/'Conversion Tables'!H45)</f>
        <v>NA</v>
      </c>
      <c r="L52" s="16" t="str">
        <f>IF('Conversion Tables'!I45="NA","NA",(H52*'Conversion Tables'!$C45)/'Conversion Tables'!I45)</f>
        <v>NA</v>
      </c>
      <c r="M52" s="16" t="str">
        <f>IF('Conversion Tables'!K45="NA","NA",E52*'Conversion Tables'!K45)</f>
        <v>NA</v>
      </c>
      <c r="N52" s="16" t="str">
        <f>IF('Conversion Tables'!L45="NA","NA",F52*'Conversion Tables'!L45)</f>
        <v>NA</v>
      </c>
      <c r="O52" s="16" t="str">
        <f>IF('Conversion Tables'!M45="NA","NA",G52*'Conversion Tables'!M45)</f>
        <v>NA</v>
      </c>
      <c r="P52" s="16" t="str">
        <f>IF('Conversion Tables'!N45="NA","NA",H52*'Conversion Tables'!N45)</f>
        <v>NA</v>
      </c>
      <c r="Q52" s="27"/>
    </row>
    <row r="53" spans="1:17" x14ac:dyDescent="0.25">
      <c r="A53" s="1201"/>
      <c r="B53" s="12" t="s">
        <v>539</v>
      </c>
      <c r="C53" s="294">
        <f>G104</f>
        <v>0</v>
      </c>
      <c r="D53" s="299">
        <f>E53*'Conversion Tables'!C46</f>
        <v>0</v>
      </c>
      <c r="E53" s="299">
        <f>C53*'Prac. Rec. Assumptions'!B43</f>
        <v>0</v>
      </c>
      <c r="F53" s="294">
        <f t="shared" si="7"/>
        <v>0</v>
      </c>
      <c r="G53" s="294">
        <f t="shared" si="7"/>
        <v>0</v>
      </c>
      <c r="H53" s="294">
        <f t="shared" si="7"/>
        <v>0</v>
      </c>
      <c r="I53" s="16" t="str">
        <f>IF('Conversion Tables'!F46="NA","NA",(E53*'Conversion Tables'!$C46)/'Conversion Tables'!F46)</f>
        <v>NA</v>
      </c>
      <c r="J53" s="16" t="str">
        <f>IF('Conversion Tables'!G46="NA","NA",(F53*'Conversion Tables'!$C46)/'Conversion Tables'!G46)</f>
        <v>NA</v>
      </c>
      <c r="K53" s="16" t="str">
        <f>IF('Conversion Tables'!H46="NA","NA",(G53*'Conversion Tables'!$C46)/'Conversion Tables'!H46)</f>
        <v>NA</v>
      </c>
      <c r="L53" s="16" t="str">
        <f>IF('Conversion Tables'!I46="NA","NA",(H53*'Conversion Tables'!$C46)/'Conversion Tables'!I46)</f>
        <v>NA</v>
      </c>
      <c r="M53" s="16" t="str">
        <f>IF('Conversion Tables'!K46="NA","NA",E53*'Conversion Tables'!K46)</f>
        <v>NA</v>
      </c>
      <c r="N53" s="16" t="str">
        <f>IF('Conversion Tables'!L46="NA","NA",F53*'Conversion Tables'!L46)</f>
        <v>NA</v>
      </c>
      <c r="O53" s="16" t="str">
        <f>IF('Conversion Tables'!M46="NA","NA",G53*'Conversion Tables'!M46)</f>
        <v>NA</v>
      </c>
      <c r="P53" s="16" t="str">
        <f>IF('Conversion Tables'!N46="NA","NA",H53*'Conversion Tables'!N46)</f>
        <v>NA</v>
      </c>
      <c r="Q53" s="27"/>
    </row>
    <row r="54" spans="1:17" x14ac:dyDescent="0.25">
      <c r="A54" s="1201"/>
      <c r="B54" s="12" t="s">
        <v>545</v>
      </c>
      <c r="C54" s="294">
        <f>G106</f>
        <v>110.2884</v>
      </c>
      <c r="D54" s="299">
        <f>E54*'Conversion Tables'!C47</f>
        <v>976.97876255999995</v>
      </c>
      <c r="E54" s="299">
        <f>C54*'Prac. Rec. Assumptions'!B44</f>
        <v>66.17304</v>
      </c>
      <c r="F54" s="294">
        <f t="shared" si="7"/>
        <v>66.17304</v>
      </c>
      <c r="G54" s="294">
        <f t="shared" si="7"/>
        <v>66.17304</v>
      </c>
      <c r="H54" s="294">
        <f t="shared" si="7"/>
        <v>66.17304</v>
      </c>
      <c r="I54" s="16" t="str">
        <f>IF('Conversion Tables'!F47="NA","NA",(E54*'Conversion Tables'!$C47)/'Conversion Tables'!F47)</f>
        <v>NA</v>
      </c>
      <c r="J54" s="16" t="str">
        <f>IF('Conversion Tables'!G47="NA","NA",(F54*'Conversion Tables'!$C47)/'Conversion Tables'!G47)</f>
        <v>NA</v>
      </c>
      <c r="K54" s="16" t="str">
        <f>IF('Conversion Tables'!H47="NA","NA",(G54*'Conversion Tables'!$C47)/'Conversion Tables'!H47)</f>
        <v>NA</v>
      </c>
      <c r="L54" s="16" t="str">
        <f>IF('Conversion Tables'!I47="NA","NA",(H54*'Conversion Tables'!$C47)/'Conversion Tables'!I47)</f>
        <v>NA</v>
      </c>
      <c r="M54" s="16" t="str">
        <f>IF('Conversion Tables'!K47="NA","NA",E54*'Conversion Tables'!K47)</f>
        <v>NA</v>
      </c>
      <c r="N54" s="16" t="str">
        <f>IF('Conversion Tables'!L47="NA","NA",F54*'Conversion Tables'!L47)</f>
        <v>NA</v>
      </c>
      <c r="O54" s="16" t="str">
        <f>IF('Conversion Tables'!M47="NA","NA",G54*'Conversion Tables'!M47)</f>
        <v>NA</v>
      </c>
      <c r="P54" s="16" t="str">
        <f>IF('Conversion Tables'!N47="NA","NA",H54*'Conversion Tables'!N47)</f>
        <v>NA</v>
      </c>
      <c r="Q54" s="27"/>
    </row>
    <row r="55" spans="1:17" x14ac:dyDescent="0.25">
      <c r="A55" s="1201"/>
      <c r="B55" s="12" t="s">
        <v>546</v>
      </c>
      <c r="C55" s="294">
        <f>G108</f>
        <v>0</v>
      </c>
      <c r="D55" s="299">
        <f>E55*'Conversion Tables'!C48</f>
        <v>0</v>
      </c>
      <c r="E55" s="299">
        <f>C55*'Prac. Rec. Assumptions'!B45</f>
        <v>0</v>
      </c>
      <c r="F55" s="294">
        <f t="shared" si="7"/>
        <v>0</v>
      </c>
      <c r="G55" s="294">
        <f t="shared" si="7"/>
        <v>0</v>
      </c>
      <c r="H55" s="294">
        <f t="shared" si="7"/>
        <v>0</v>
      </c>
      <c r="I55" s="16" t="str">
        <f>IF('Conversion Tables'!F48="NA","NA",(E55*'Conversion Tables'!$C48)/'Conversion Tables'!F48)</f>
        <v>NA</v>
      </c>
      <c r="J55" s="16" t="str">
        <f>IF('Conversion Tables'!G48="NA","NA",(F55*'Conversion Tables'!$C48)/'Conversion Tables'!G48)</f>
        <v>NA</v>
      </c>
      <c r="K55" s="16" t="str">
        <f>IF('Conversion Tables'!H48="NA","NA",(G55*'Conversion Tables'!$C48)/'Conversion Tables'!H48)</f>
        <v>NA</v>
      </c>
      <c r="L55" s="16" t="str">
        <f>IF('Conversion Tables'!I48="NA","NA",(H55*'Conversion Tables'!$C48)/'Conversion Tables'!I48)</f>
        <v>NA</v>
      </c>
      <c r="M55" s="16" t="str">
        <f>IF('Conversion Tables'!K48="NA","NA",E55*'Conversion Tables'!K48)</f>
        <v>NA</v>
      </c>
      <c r="N55" s="16" t="str">
        <f>IF('Conversion Tables'!L48="NA","NA",F55*'Conversion Tables'!L48)</f>
        <v>NA</v>
      </c>
      <c r="O55" s="16" t="str">
        <f>IF('Conversion Tables'!M48="NA","NA",G55*'Conversion Tables'!M48)</f>
        <v>NA</v>
      </c>
      <c r="P55" s="16" t="str">
        <f>IF('Conversion Tables'!N48="NA","NA",H55*'Conversion Tables'!N48)</f>
        <v>NA</v>
      </c>
      <c r="Q55" s="27"/>
    </row>
    <row r="56" spans="1:17" x14ac:dyDescent="0.25">
      <c r="A56" s="1201"/>
      <c r="B56" s="12" t="s">
        <v>547</v>
      </c>
      <c r="C56" s="294">
        <f>G110</f>
        <v>0.54749999999999999</v>
      </c>
      <c r="D56" s="299">
        <f>E56*'Conversion Tables'!C49</f>
        <v>1.6166579999999999</v>
      </c>
      <c r="E56" s="299">
        <f>C56*'Prac. Rec. Assumptions'!B46</f>
        <v>0.1095</v>
      </c>
      <c r="F56" s="294">
        <f t="shared" si="7"/>
        <v>0.1095</v>
      </c>
      <c r="G56" s="294">
        <f t="shared" si="7"/>
        <v>0.1095</v>
      </c>
      <c r="H56" s="294">
        <f t="shared" si="7"/>
        <v>0.1095</v>
      </c>
      <c r="I56" s="16" t="str">
        <f>IF('Conversion Tables'!F49="NA","NA",(E56*'Conversion Tables'!$C49)/'Conversion Tables'!F49)</f>
        <v>NA</v>
      </c>
      <c r="J56" s="16" t="str">
        <f>IF('Conversion Tables'!G49="NA","NA",(F56*'Conversion Tables'!$C49)/'Conversion Tables'!G49)</f>
        <v>NA</v>
      </c>
      <c r="K56" s="16" t="str">
        <f>IF('Conversion Tables'!H49="NA","NA",(G56*'Conversion Tables'!$C49)/'Conversion Tables'!H49)</f>
        <v>NA</v>
      </c>
      <c r="L56" s="16" t="str">
        <f>IF('Conversion Tables'!I49="NA","NA",(H56*'Conversion Tables'!$C49)/'Conversion Tables'!I49)</f>
        <v>NA</v>
      </c>
      <c r="M56" s="16" t="str">
        <f>IF('Conversion Tables'!K49="NA","NA",E56*'Conversion Tables'!K49)</f>
        <v>NA</v>
      </c>
      <c r="N56" s="16" t="str">
        <f>IF('Conversion Tables'!L49="NA","NA",F56*'Conversion Tables'!L49)</f>
        <v>NA</v>
      </c>
      <c r="O56" s="16" t="str">
        <f>IF('Conversion Tables'!M49="NA","NA",G56*'Conversion Tables'!M49)</f>
        <v>NA</v>
      </c>
      <c r="P56" s="16" t="str">
        <f>IF('Conversion Tables'!N49="NA","NA",H56*'Conversion Tables'!N49)</f>
        <v>NA</v>
      </c>
      <c r="Q56" s="27"/>
    </row>
    <row r="57" spans="1:17" x14ac:dyDescent="0.25">
      <c r="A57" s="1201"/>
      <c r="B57" s="133" t="s">
        <v>605</v>
      </c>
      <c r="C57" s="294">
        <f>G115</f>
        <v>0</v>
      </c>
      <c r="D57" s="299">
        <f>E57*'Conversion Tables'!C50</f>
        <v>0</v>
      </c>
      <c r="E57" s="299">
        <f>C57*'Prac. Rec. Assumptions'!B47</f>
        <v>0</v>
      </c>
      <c r="F57" s="294">
        <f t="shared" si="7"/>
        <v>0</v>
      </c>
      <c r="G57" s="294">
        <f t="shared" si="7"/>
        <v>0</v>
      </c>
      <c r="H57" s="294">
        <f t="shared" si="7"/>
        <v>0</v>
      </c>
      <c r="I57" s="16" t="str">
        <f>IF('Conversion Tables'!F50="NA","NA",(E57*'Conversion Tables'!$C50)/'Conversion Tables'!F50)</f>
        <v>NA</v>
      </c>
      <c r="J57" s="16" t="str">
        <f>IF('Conversion Tables'!G50="NA","NA",(F57*'Conversion Tables'!$C50)/'Conversion Tables'!G50)</f>
        <v>NA</v>
      </c>
      <c r="K57" s="16" t="str">
        <f>IF('Conversion Tables'!H50="NA","NA",(G57*'Conversion Tables'!$C50)/'Conversion Tables'!H50)</f>
        <v>NA</v>
      </c>
      <c r="L57" s="16" t="str">
        <f>IF('Conversion Tables'!I50="NA","NA",(H57*'Conversion Tables'!$C50)/'Conversion Tables'!I50)</f>
        <v>NA</v>
      </c>
      <c r="M57" s="16" t="str">
        <f>IF('Conversion Tables'!K50="NA","NA",E57*'Conversion Tables'!K50)</f>
        <v>NA</v>
      </c>
      <c r="N57" s="16" t="str">
        <f>IF('Conversion Tables'!L50="NA","NA",F57*'Conversion Tables'!L50)</f>
        <v>NA</v>
      </c>
      <c r="O57" s="16" t="str">
        <f>IF('Conversion Tables'!M50="NA","NA",G57*'Conversion Tables'!M50)</f>
        <v>NA</v>
      </c>
      <c r="P57" s="16" t="str">
        <f>IF('Conversion Tables'!N50="NA","NA",H57*'Conversion Tables'!N50)</f>
        <v>NA</v>
      </c>
      <c r="Q57" s="27"/>
    </row>
    <row r="58" spans="1:17" x14ac:dyDescent="0.25">
      <c r="A58" s="1201"/>
      <c r="B58" s="12" t="s">
        <v>551</v>
      </c>
      <c r="C58" s="294">
        <f>G117</f>
        <v>1.7793749999999999</v>
      </c>
      <c r="D58" s="299">
        <f>E58*'Conversion Tables'!C51</f>
        <v>21.352499999999999</v>
      </c>
      <c r="E58" s="299">
        <f>C58*'Prac. Rec. Assumptions'!B48</f>
        <v>1.7793749999999999</v>
      </c>
      <c r="F58" s="294">
        <f t="shared" si="7"/>
        <v>1.7793749999999999</v>
      </c>
      <c r="G58" s="294">
        <f t="shared" si="7"/>
        <v>1.7793749999999999</v>
      </c>
      <c r="H58" s="294">
        <f t="shared" si="7"/>
        <v>1.7793749999999999</v>
      </c>
      <c r="I58" s="16" t="str">
        <f>IF('Conversion Tables'!F51="NA","NA",(E58*'Conversion Tables'!$C51)/'Conversion Tables'!F51)</f>
        <v>NA</v>
      </c>
      <c r="J58" s="16" t="str">
        <f>IF('Conversion Tables'!G51="NA","NA",(F58*'Conversion Tables'!$C51)/'Conversion Tables'!G51)</f>
        <v>NA</v>
      </c>
      <c r="K58" s="16" t="str">
        <f>IF('Conversion Tables'!H51="NA","NA",(G58*'Conversion Tables'!$C51)/'Conversion Tables'!H51)</f>
        <v>NA</v>
      </c>
      <c r="L58" s="16" t="str">
        <f>IF('Conversion Tables'!I51="NA","NA",(H58*'Conversion Tables'!$C51)/'Conversion Tables'!I51)</f>
        <v>NA</v>
      </c>
      <c r="M58" s="16" t="str">
        <f>IF('Conversion Tables'!K51="NA","NA",E58*'Conversion Tables'!K51)</f>
        <v>NA</v>
      </c>
      <c r="N58" s="16" t="str">
        <f>IF('Conversion Tables'!L51="NA","NA",F58*'Conversion Tables'!L51)</f>
        <v>NA</v>
      </c>
      <c r="O58" s="16" t="str">
        <f>IF('Conversion Tables'!M51="NA","NA",G58*'Conversion Tables'!M51)</f>
        <v>NA</v>
      </c>
      <c r="P58" s="16" t="str">
        <f>IF('Conversion Tables'!N51="NA","NA",H58*'Conversion Tables'!N51)</f>
        <v>NA</v>
      </c>
      <c r="Q58" s="27"/>
    </row>
    <row r="59" spans="1:17" x14ac:dyDescent="0.25">
      <c r="A59" s="1201"/>
      <c r="B59" s="12" t="s">
        <v>552</v>
      </c>
      <c r="C59" s="294">
        <f>G119</f>
        <v>0</v>
      </c>
      <c r="D59" s="299">
        <f>E59*'Conversion Tables'!C52</f>
        <v>0</v>
      </c>
      <c r="E59" s="299">
        <f>C59*'Prac. Rec. Assumptions'!B49</f>
        <v>0</v>
      </c>
      <c r="F59" s="294">
        <f t="shared" si="7"/>
        <v>0</v>
      </c>
      <c r="G59" s="294">
        <f t="shared" si="7"/>
        <v>0</v>
      </c>
      <c r="H59" s="294">
        <f t="shared" si="7"/>
        <v>0</v>
      </c>
      <c r="I59" s="16" t="str">
        <f>IF('Conversion Tables'!F52="NA","NA",(E59*'Conversion Tables'!$C52)/'Conversion Tables'!F52)</f>
        <v>NA</v>
      </c>
      <c r="J59" s="16" t="str">
        <f>IF('Conversion Tables'!G52="NA","NA",(F59*'Conversion Tables'!$C52)/'Conversion Tables'!G52)</f>
        <v>NA</v>
      </c>
      <c r="K59" s="16" t="str">
        <f>IF('Conversion Tables'!H52="NA","NA",(G59*'Conversion Tables'!$C52)/'Conversion Tables'!H52)</f>
        <v>NA</v>
      </c>
      <c r="L59" s="16" t="str">
        <f>IF('Conversion Tables'!I52="NA","NA",(H59*'Conversion Tables'!$C52)/'Conversion Tables'!I52)</f>
        <v>NA</v>
      </c>
      <c r="M59" s="16" t="str">
        <f>IF('Conversion Tables'!K52="NA","NA",E59*'Conversion Tables'!K52)</f>
        <v>NA</v>
      </c>
      <c r="N59" s="16" t="str">
        <f>IF('Conversion Tables'!L52="NA","NA",F59*'Conversion Tables'!L52)</f>
        <v>NA</v>
      </c>
      <c r="O59" s="16" t="str">
        <f>IF('Conversion Tables'!M52="NA","NA",G59*'Conversion Tables'!M52)</f>
        <v>NA</v>
      </c>
      <c r="P59" s="16" t="str">
        <f>IF('Conversion Tables'!N52="NA","NA",H59*'Conversion Tables'!N52)</f>
        <v>NA</v>
      </c>
      <c r="Q59" s="27"/>
    </row>
    <row r="60" spans="1:17" x14ac:dyDescent="0.25">
      <c r="A60" s="1202"/>
      <c r="B60" s="129" t="s">
        <v>305</v>
      </c>
      <c r="C60" s="294">
        <f>'Biomass Data Assumptions'!AE13</f>
        <v>8770.639746000008</v>
      </c>
      <c r="D60" s="299">
        <f>E60*'Conversion Tables'!C53</f>
        <v>105247.6769520001</v>
      </c>
      <c r="E60" s="299">
        <f>C60*'Prac. Rec. Assumptions'!B50</f>
        <v>8770.639746000008</v>
      </c>
      <c r="F60" s="294">
        <f>($C60*(1+'Biomass Data Assumptions'!G$98*(4/5)))*'Prac. Rec. Assumptions'!$B50</f>
        <v>8764.2369846158854</v>
      </c>
      <c r="G60" s="294">
        <f>($C60*(1+'Biomass Data Assumptions'!H$98*(9/10)))*'Prac. Rec. Assumptions'!$B50</f>
        <v>8770.639746000008</v>
      </c>
      <c r="H60" s="294">
        <f>($C60*(1+'Biomass Data Assumptions'!I$98*(14/15)))*'Prac. Rec. Assumptions'!$B50</f>
        <v>8777.0425073841307</v>
      </c>
      <c r="I60" s="16" t="str">
        <f>IF('Conversion Tables'!F53="NA","NA",(E60*'Conversion Tables'!$C53)/'Conversion Tables'!F53)</f>
        <v>NA</v>
      </c>
      <c r="J60" s="16" t="str">
        <f>IF('Conversion Tables'!G53="NA","NA",(F60*'Conversion Tables'!$C53)/'Conversion Tables'!G53)</f>
        <v>NA</v>
      </c>
      <c r="K60" s="16" t="str">
        <f>IF('Conversion Tables'!H53="NA","NA",(G60*'Conversion Tables'!$C53)/'Conversion Tables'!H53)</f>
        <v>NA</v>
      </c>
      <c r="L60" s="16" t="str">
        <f>IF('Conversion Tables'!I53="NA","NA",(H60*'Conversion Tables'!$C53)/'Conversion Tables'!I53)</f>
        <v>NA</v>
      </c>
      <c r="M60" s="16" t="str">
        <f>IF('Conversion Tables'!K53="NA","NA",E60*'Conversion Tables'!K53)</f>
        <v>NA</v>
      </c>
      <c r="N60" s="16" t="str">
        <f>IF('Conversion Tables'!L53="NA","NA",F60*'Conversion Tables'!L53)</f>
        <v>NA</v>
      </c>
      <c r="O60" s="16" t="str">
        <f>IF('Conversion Tables'!M53="NA","NA",G60*'Conversion Tables'!M53)</f>
        <v>NA</v>
      </c>
      <c r="P60" s="16" t="str">
        <f>IF('Conversion Tables'!N53="NA","NA",H60*'Conversion Tables'!N53)</f>
        <v>NA</v>
      </c>
      <c r="Q60" s="7"/>
    </row>
    <row r="61" spans="1:17" x14ac:dyDescent="0.25">
      <c r="A61" s="1202"/>
      <c r="B61" s="9" t="s">
        <v>257</v>
      </c>
      <c r="C61" s="295">
        <f>SUM(C52:C60)</f>
        <v>8883.2550210000081</v>
      </c>
      <c r="D61" s="295">
        <f>SUM(D52:D60)</f>
        <v>106247.62487256009</v>
      </c>
      <c r="E61" s="295">
        <f t="shared" ref="E61:P61" si="8">SUM(E52:E60)</f>
        <v>8838.7016610000082</v>
      </c>
      <c r="F61" s="295">
        <f>SUM(F52:F60)</f>
        <v>8832.2988996158856</v>
      </c>
      <c r="G61" s="295">
        <f>SUM(G52:G60)</f>
        <v>8838.7016610000082</v>
      </c>
      <c r="H61" s="295">
        <f>SUM(H52:H60)</f>
        <v>8845.1044223841309</v>
      </c>
      <c r="I61" s="19">
        <f t="shared" si="8"/>
        <v>0</v>
      </c>
      <c r="J61" s="19">
        <f t="shared" si="8"/>
        <v>0</v>
      </c>
      <c r="K61" s="19">
        <f t="shared" si="8"/>
        <v>0</v>
      </c>
      <c r="L61" s="19">
        <f t="shared" si="8"/>
        <v>0</v>
      </c>
      <c r="M61" s="19">
        <f t="shared" si="8"/>
        <v>0</v>
      </c>
      <c r="N61" s="19">
        <f t="shared" si="8"/>
        <v>0</v>
      </c>
      <c r="O61" s="19">
        <f t="shared" si="8"/>
        <v>0</v>
      </c>
      <c r="P61" s="19">
        <f t="shared" si="8"/>
        <v>0</v>
      </c>
      <c r="Q61" s="7"/>
    </row>
    <row r="62" spans="1:17" x14ac:dyDescent="0.25">
      <c r="A62" s="1202"/>
      <c r="B62" s="7" t="s">
        <v>256</v>
      </c>
      <c r="C62" s="298" t="s">
        <v>251</v>
      </c>
      <c r="D62" s="13"/>
      <c r="E62" s="298" t="s">
        <v>251</v>
      </c>
      <c r="F62" s="298"/>
      <c r="G62" s="298"/>
      <c r="H62" s="298"/>
      <c r="I62" s="7"/>
      <c r="J62" s="7"/>
      <c r="K62" s="7"/>
      <c r="L62" s="7"/>
      <c r="M62" s="7"/>
      <c r="N62" s="7"/>
      <c r="O62" s="7"/>
      <c r="P62" s="7"/>
      <c r="Q62" s="7"/>
    </row>
    <row r="63" spans="1:17" x14ac:dyDescent="0.25">
      <c r="A63" s="1203"/>
      <c r="B63" s="133" t="s">
        <v>304</v>
      </c>
      <c r="C63" s="294">
        <f>'Biomass Data Assumptions'!AB13</f>
        <v>881.33241639999994</v>
      </c>
      <c r="D63" s="300">
        <f>E63*'Conversion Tables'!C55</f>
        <v>545544.76575159992</v>
      </c>
      <c r="E63" s="299">
        <f>C63*'Prac. Rec. Assumptions'!B51</f>
        <v>881.33241639999994</v>
      </c>
      <c r="F63" s="294">
        <f>($C63*(1+'Biomass Data Assumptions'!G$98*(4/5)))*'Prac. Rec. Assumptions'!$B51</f>
        <v>880.6890242044791</v>
      </c>
      <c r="G63" s="294">
        <f>($C63*(1+'Biomass Data Assumptions'!H$98*(9/10)))*'Prac. Rec. Assumptions'!$B51</f>
        <v>881.33241639999994</v>
      </c>
      <c r="H63" s="294">
        <f>($C63*(1+'Biomass Data Assumptions'!I$98*(14/15)))*'Prac. Rec. Assumptions'!$B51</f>
        <v>881.97580859552079</v>
      </c>
      <c r="I63" s="16" t="str">
        <f>IF('Conversion Tables'!F55="NA","NA",(E63*'Conversion Tables'!$C55)/'Conversion Tables'!F55)</f>
        <v>NA</v>
      </c>
      <c r="J63" s="16" t="str">
        <f>IF('Conversion Tables'!G55="NA","NA",(F63*'Conversion Tables'!$C55)/'Conversion Tables'!G55)</f>
        <v>NA</v>
      </c>
      <c r="K63" s="16" t="str">
        <f>IF('Conversion Tables'!H55="NA","NA",(G63*'Conversion Tables'!$C55)/'Conversion Tables'!H55)</f>
        <v>NA</v>
      </c>
      <c r="L63" s="16" t="str">
        <f>IF('Conversion Tables'!I55="NA","NA",(H63*'Conversion Tables'!$C55)/'Conversion Tables'!I55)</f>
        <v>NA</v>
      </c>
      <c r="M63" s="16" t="str">
        <f>IF('Conversion Tables'!K55="NA","NA",E63*'Conversion Tables'!K55)</f>
        <v>NA</v>
      </c>
      <c r="N63" s="16" t="str">
        <f>IF('Conversion Tables'!L55="NA","NA",F63*'Conversion Tables'!L55)</f>
        <v>NA</v>
      </c>
      <c r="O63" s="16" t="str">
        <f>IF('Conversion Tables'!M55="NA","NA",G63*'Conversion Tables'!M55)</f>
        <v>NA</v>
      </c>
      <c r="P63" s="16" t="str">
        <f>IF('Conversion Tables'!N55="NA","NA",H63*'Conversion Tables'!N55)</f>
        <v>NA</v>
      </c>
      <c r="Q63" s="7"/>
    </row>
    <row r="64" spans="1:17" x14ac:dyDescent="0.25">
      <c r="A64" s="1204"/>
      <c r="B64" s="17" t="s">
        <v>512</v>
      </c>
      <c r="C64" s="542">
        <f>'Biomass Data Assumptions'!X13</f>
        <v>0</v>
      </c>
      <c r="D64" s="300">
        <f>E64*'Conversion Tables'!C56</f>
        <v>0</v>
      </c>
      <c r="E64" s="299">
        <f>C64*'Prac. Rec. Assumptions'!B52</f>
        <v>0</v>
      </c>
      <c r="F64" s="545">
        <f>($C64*(1+'Biomass Data Assumptions'!G$98*(3/5))*(1+('Biomass Data Assumptions'!C$82-((1+'Biomass Data Assumptions'!$B$82)^2 - 1))))*'Prac. Rec. Assumptions'!$B52</f>
        <v>0</v>
      </c>
      <c r="G64" s="545">
        <f>($C64*(1+'Biomass Data Assumptions'!H$98*(4/5))*(1+('Biomass Data Assumptions'!D$82-((1+'Biomass Data Assumptions'!$B$82)^2 - 1))))*'Prac. Rec. Assumptions'!$B52</f>
        <v>0</v>
      </c>
      <c r="H64" s="545">
        <f>($C64*(1+'Biomass Data Assumptions'!I$98*(13/15))*(1+('Biomass Data Assumptions'!E$82-((1+'Biomass Data Assumptions'!$B$82)^2 - 1))))*'Prac. Rec. Assumptions'!$B52</f>
        <v>0</v>
      </c>
      <c r="I64" s="16" t="str">
        <f>IF('Conversion Tables'!F56="NA","NA",(E64*'Conversion Tables'!$C56)/'Conversion Tables'!F56)</f>
        <v>NA</v>
      </c>
      <c r="J64" s="16" t="str">
        <f>IF('Conversion Tables'!G56="NA","NA",(F64*'Conversion Tables'!$C56)/'Conversion Tables'!G56)</f>
        <v>NA</v>
      </c>
      <c r="K64" s="16" t="str">
        <f>IF('Conversion Tables'!H56="NA","NA",(G64*'Conversion Tables'!$C56)/'Conversion Tables'!H56)</f>
        <v>NA</v>
      </c>
      <c r="L64" s="16" t="str">
        <f>IF('Conversion Tables'!I56="NA","NA",(H64*'Conversion Tables'!$C56)/'Conversion Tables'!I56)</f>
        <v>NA</v>
      </c>
      <c r="M64" s="16" t="str">
        <f>IF('Conversion Tables'!K56="NA","NA",E64*'Conversion Tables'!K56)</f>
        <v>NA</v>
      </c>
      <c r="N64" s="16" t="str">
        <f>IF('Conversion Tables'!L56="NA","NA",F64*'Conversion Tables'!L56)</f>
        <v>NA</v>
      </c>
      <c r="O64" s="16" t="str">
        <f>IF('Conversion Tables'!M56="NA","NA",G64*'Conversion Tables'!M56)</f>
        <v>NA</v>
      </c>
      <c r="P64" s="16" t="str">
        <f>IF('Conversion Tables'!N56="NA","NA",H64*'Conversion Tables'!N56)</f>
        <v>NA</v>
      </c>
      <c r="Q64" s="7"/>
    </row>
    <row r="65" spans="1:19" x14ac:dyDescent="0.25">
      <c r="A65" s="1204"/>
      <c r="B65" s="9" t="s">
        <v>248</v>
      </c>
      <c r="C65" s="295">
        <f>SUM(C63:C64)</f>
        <v>881.33241639999994</v>
      </c>
      <c r="D65" s="295">
        <f>SUM(D63:D64)</f>
        <v>545544.76575159992</v>
      </c>
      <c r="E65" s="295">
        <f t="shared" ref="E65:P65" si="9">SUM(E63:E64)</f>
        <v>881.33241639999994</v>
      </c>
      <c r="F65" s="295">
        <f>SUM(F63:F64)</f>
        <v>880.6890242044791</v>
      </c>
      <c r="G65" s="295">
        <f>SUM(G63:G64)</f>
        <v>881.33241639999994</v>
      </c>
      <c r="H65" s="295">
        <f>SUM(H63:H64)</f>
        <v>881.97580859552079</v>
      </c>
      <c r="I65" s="19">
        <f t="shared" si="9"/>
        <v>0</v>
      </c>
      <c r="J65" s="19">
        <f t="shared" si="9"/>
        <v>0</v>
      </c>
      <c r="K65" s="19">
        <f t="shared" si="9"/>
        <v>0</v>
      </c>
      <c r="L65" s="19">
        <f t="shared" si="9"/>
        <v>0</v>
      </c>
      <c r="M65" s="19">
        <f t="shared" si="9"/>
        <v>0</v>
      </c>
      <c r="N65" s="19">
        <f t="shared" si="9"/>
        <v>0</v>
      </c>
      <c r="O65" s="19">
        <f t="shared" si="9"/>
        <v>0</v>
      </c>
      <c r="P65" s="19">
        <f t="shared" si="9"/>
        <v>0</v>
      </c>
      <c r="Q65" s="19">
        <f>SUM(Q51:Q64)</f>
        <v>0</v>
      </c>
    </row>
    <row r="66" spans="1:19" x14ac:dyDescent="0.25">
      <c r="A66" s="1204"/>
      <c r="B66" s="9"/>
      <c r="C66" s="295"/>
      <c r="D66" s="295"/>
      <c r="E66" s="295"/>
      <c r="F66" s="295"/>
      <c r="G66" s="295"/>
      <c r="H66" s="295"/>
      <c r="I66" s="19"/>
      <c r="J66" s="19"/>
      <c r="K66" s="19"/>
      <c r="L66" s="19"/>
      <c r="M66" s="19"/>
      <c r="N66" s="19"/>
      <c r="O66" s="19"/>
      <c r="P66" s="19"/>
      <c r="Q66" s="19"/>
    </row>
    <row r="67" spans="1:19" x14ac:dyDescent="0.25">
      <c r="A67" s="1205"/>
      <c r="B67" s="9" t="s">
        <v>258</v>
      </c>
      <c r="C67" s="295">
        <f>C61+(C63*1000000/29487.1582406855)+(C64*1000000/25364.5039539246)</f>
        <v>38771.941112966771</v>
      </c>
      <c r="D67" s="295">
        <f t="shared" ref="D67" si="10">D61+D65</f>
        <v>651792.39062415995</v>
      </c>
      <c r="E67" s="295">
        <f>E61+(E63*1000000/29487.1582406855)+(E64*1000000/25364.5039539246)</f>
        <v>38727.387752966773</v>
      </c>
      <c r="F67" s="295">
        <f t="shared" ref="F67:H67" si="11">F61+(F63*1000000/29487.1582406855)+(F64*1000000/25364.5039539246)</f>
        <v>38699.165588360775</v>
      </c>
      <c r="G67" s="295">
        <f t="shared" si="11"/>
        <v>38727.387752966773</v>
      </c>
      <c r="H67" s="295">
        <f t="shared" si="11"/>
        <v>38755.609917572772</v>
      </c>
      <c r="I67" s="19">
        <f t="shared" ref="I67:P67" si="12">I61+I65</f>
        <v>0</v>
      </c>
      <c r="J67" s="19">
        <f t="shared" si="12"/>
        <v>0</v>
      </c>
      <c r="K67" s="19">
        <f t="shared" si="12"/>
        <v>0</v>
      </c>
      <c r="L67" s="19">
        <f t="shared" si="12"/>
        <v>0</v>
      </c>
      <c r="M67" s="19">
        <f t="shared" si="12"/>
        <v>0</v>
      </c>
      <c r="N67" s="19">
        <f t="shared" si="12"/>
        <v>0</v>
      </c>
      <c r="O67" s="19">
        <f t="shared" si="12"/>
        <v>0</v>
      </c>
      <c r="P67" s="19">
        <f t="shared" si="12"/>
        <v>0</v>
      </c>
      <c r="Q67" s="19"/>
    </row>
    <row r="68" spans="1:19" customFormat="1" x14ac:dyDescent="0.25">
      <c r="B68" s="270" t="s">
        <v>162</v>
      </c>
      <c r="C68" s="132">
        <f>C11+C29+C43+C49+C67</f>
        <v>250308.85684681678</v>
      </c>
      <c r="D68" s="132"/>
      <c r="E68" s="132">
        <f>E11+E29+E43+E49+E67</f>
        <v>160753.46830145677</v>
      </c>
      <c r="F68" s="132">
        <f>F11+F29+F43+F49+F67</f>
        <v>164989.66373887894</v>
      </c>
      <c r="G68" s="132">
        <f>G11+G29+G43+G49+G67</f>
        <v>169896.17951613246</v>
      </c>
      <c r="H68" s="132">
        <f>H11+H29+H43+H49+H67</f>
        <v>175212.90713097097</v>
      </c>
      <c r="I68" s="264"/>
    </row>
    <row r="69" spans="1:19" ht="13.8" thickBot="1" x14ac:dyDescent="0.3">
      <c r="A69" s="10"/>
      <c r="B69" s="10"/>
      <c r="C69" s="10"/>
      <c r="D69" s="10"/>
      <c r="E69" s="10"/>
      <c r="F69" s="10"/>
      <c r="G69" s="10"/>
      <c r="H69" s="10"/>
      <c r="I69" s="1003">
        <f>SUM(I8:I66)/2</f>
        <v>0</v>
      </c>
      <c r="J69" s="1003">
        <f>SUM(J8:J66)/2</f>
        <v>0</v>
      </c>
      <c r="K69" s="1003">
        <f>SUM(K8:K66)/2</f>
        <v>0</v>
      </c>
      <c r="L69" s="1003">
        <f>SUM(L8:L66)/2</f>
        <v>0</v>
      </c>
      <c r="M69" s="1003">
        <f>SUM(M8:M66)/2</f>
        <v>0</v>
      </c>
      <c r="N69" s="1003">
        <f t="shared" ref="N69:P69" si="13">SUM(N8:N66)/2</f>
        <v>0</v>
      </c>
      <c r="O69" s="1003">
        <f t="shared" si="13"/>
        <v>0</v>
      </c>
      <c r="P69" s="1003">
        <f t="shared" si="13"/>
        <v>0</v>
      </c>
      <c r="Q69" s="10"/>
      <c r="R69" s="10"/>
      <c r="S69" s="10"/>
    </row>
    <row r="70" spans="1:19" x14ac:dyDescent="0.25">
      <c r="A70" s="35" t="s">
        <v>23</v>
      </c>
      <c r="B70" s="36"/>
      <c r="C70" s="36"/>
      <c r="D70" s="36"/>
      <c r="E70" s="36"/>
      <c r="F70" s="36"/>
      <c r="G70" s="36"/>
      <c r="H70" s="36"/>
      <c r="I70" s="36"/>
      <c r="J70" s="36"/>
      <c r="K70" s="36"/>
      <c r="L70" s="36"/>
      <c r="M70" s="36"/>
      <c r="N70" s="36"/>
      <c r="O70" s="36"/>
      <c r="P70" s="36"/>
      <c r="Q70" s="36"/>
      <c r="R70" s="36"/>
    </row>
    <row r="71" spans="1:19" x14ac:dyDescent="0.25">
      <c r="A71" s="36"/>
      <c r="B71" s="36"/>
      <c r="C71" s="36"/>
      <c r="D71" s="36"/>
      <c r="E71" s="36"/>
      <c r="F71" s="36"/>
      <c r="G71" s="36"/>
      <c r="H71" s="36"/>
      <c r="I71" s="36"/>
      <c r="J71" s="36"/>
      <c r="K71" s="36"/>
      <c r="L71" s="36"/>
      <c r="M71" s="36"/>
      <c r="N71" s="36"/>
      <c r="O71" s="36"/>
      <c r="P71" s="36"/>
      <c r="Q71" s="36"/>
      <c r="R71" s="36"/>
    </row>
    <row r="72" spans="1:19" x14ac:dyDescent="0.25">
      <c r="A72" s="36"/>
      <c r="B72" s="36"/>
      <c r="C72" s="36"/>
      <c r="D72" s="36"/>
      <c r="E72" s="36"/>
      <c r="F72" s="36"/>
      <c r="G72" s="36"/>
      <c r="H72" s="36"/>
      <c r="I72" s="36"/>
      <c r="J72" s="36"/>
      <c r="K72" s="36"/>
      <c r="L72" s="36"/>
      <c r="M72" s="36"/>
      <c r="N72" s="36"/>
      <c r="O72" s="36"/>
      <c r="P72" s="36"/>
      <c r="Q72" s="36"/>
      <c r="R72" s="36"/>
    </row>
    <row r="73" spans="1:19" ht="26.4" x14ac:dyDescent="0.25">
      <c r="A73" s="37" t="s">
        <v>1037</v>
      </c>
      <c r="B73" s="454" t="s">
        <v>297</v>
      </c>
      <c r="C73" s="37" t="s">
        <v>1042</v>
      </c>
      <c r="D73" s="37" t="s">
        <v>1041</v>
      </c>
      <c r="E73" s="36" t="s">
        <v>598</v>
      </c>
      <c r="F73" s="38"/>
      <c r="G73" s="38"/>
      <c r="H73" s="36"/>
      <c r="I73" s="36"/>
      <c r="J73" s="36"/>
      <c r="K73" s="36"/>
      <c r="L73" s="36"/>
      <c r="M73" s="36"/>
      <c r="N73" s="36"/>
      <c r="O73" s="36"/>
      <c r="P73" s="36"/>
      <c r="Q73" s="36"/>
      <c r="R73" s="36"/>
    </row>
    <row r="74" spans="1:19" x14ac:dyDescent="0.25">
      <c r="A74" s="39" t="s">
        <v>519</v>
      </c>
      <c r="B74" s="21">
        <v>0</v>
      </c>
      <c r="C74" s="40">
        <f>'Biomass Data Assumptions'!B38*B74</f>
        <v>0</v>
      </c>
      <c r="D74" s="40">
        <f>(C74*'Biomass Data Assumptions'!C38)/2000</f>
        <v>0</v>
      </c>
      <c r="E74" s="41"/>
      <c r="F74" s="41"/>
      <c r="G74" s="41"/>
      <c r="H74" s="36"/>
      <c r="I74" s="36"/>
      <c r="J74" s="36"/>
      <c r="K74" s="36"/>
      <c r="L74" s="36"/>
      <c r="M74" s="36"/>
      <c r="N74" s="36"/>
      <c r="O74" s="36"/>
      <c r="P74" s="36"/>
      <c r="Q74" s="36"/>
      <c r="R74" s="36"/>
    </row>
    <row r="75" spans="1:19" x14ac:dyDescent="0.25">
      <c r="A75" s="39" t="s">
        <v>520</v>
      </c>
      <c r="B75" s="21">
        <v>0</v>
      </c>
      <c r="C75" s="40">
        <f>'Biomass Data Assumptions'!B39*B75</f>
        <v>0</v>
      </c>
      <c r="D75" s="40">
        <f>(C75*'Biomass Data Assumptions'!C39)/2000</f>
        <v>0</v>
      </c>
      <c r="E75" s="41"/>
      <c r="F75" s="41"/>
      <c r="G75" s="41"/>
      <c r="H75" s="36"/>
      <c r="I75" s="36"/>
      <c r="J75" s="36"/>
      <c r="K75" s="36"/>
      <c r="L75" s="36"/>
      <c r="M75" s="36"/>
      <c r="N75" s="36"/>
      <c r="O75" s="36"/>
      <c r="P75" s="36"/>
      <c r="Q75" s="36"/>
      <c r="R75" s="36"/>
    </row>
    <row r="76" spans="1:19" x14ac:dyDescent="0.25">
      <c r="A76" s="39" t="s">
        <v>521</v>
      </c>
      <c r="B76" s="21">
        <v>0</v>
      </c>
      <c r="C76" s="40">
        <f>'Biomass Data Assumptions'!B40*B76</f>
        <v>0</v>
      </c>
      <c r="D76" s="40">
        <f>(C76*'Biomass Data Assumptions'!C40)/2000</f>
        <v>0</v>
      </c>
      <c r="E76" s="41"/>
      <c r="F76" s="41"/>
      <c r="G76" s="41"/>
      <c r="H76" s="36"/>
      <c r="I76" s="36"/>
      <c r="J76" s="36"/>
      <c r="K76" s="36"/>
      <c r="L76" s="36"/>
      <c r="M76" s="36"/>
      <c r="N76" s="36"/>
      <c r="O76" s="36"/>
      <c r="P76" s="36"/>
      <c r="Q76" s="36"/>
      <c r="R76" s="36"/>
    </row>
    <row r="77" spans="1:19" x14ac:dyDescent="0.25">
      <c r="A77" s="39" t="s">
        <v>525</v>
      </c>
      <c r="B77" s="21">
        <v>0</v>
      </c>
      <c r="C77" s="40">
        <f>'Biomass Data Assumptions'!B41*B77</f>
        <v>0</v>
      </c>
      <c r="D77" s="40">
        <f>(C77*'Biomass Data Assumptions'!C41)/2000</f>
        <v>0</v>
      </c>
      <c r="E77" s="41"/>
      <c r="F77" s="41"/>
      <c r="G77" s="41"/>
      <c r="H77" s="36"/>
      <c r="I77" s="36"/>
      <c r="J77" s="36"/>
      <c r="K77" s="36"/>
      <c r="L77" s="36"/>
      <c r="M77" s="36"/>
      <c r="N77" s="36"/>
      <c r="O77" s="36"/>
      <c r="P77" s="36"/>
      <c r="Q77" s="36"/>
      <c r="R77" s="36"/>
    </row>
    <row r="78" spans="1:19" x14ac:dyDescent="0.25">
      <c r="A78" s="39" t="s">
        <v>522</v>
      </c>
      <c r="B78" s="21">
        <v>0</v>
      </c>
      <c r="C78" s="40">
        <f>'Biomass Data Assumptions'!B42*B78</f>
        <v>0</v>
      </c>
      <c r="D78" s="40">
        <f>(C78*'Biomass Data Assumptions'!C42)/2000</f>
        <v>0</v>
      </c>
      <c r="E78" s="41"/>
      <c r="F78" s="41"/>
      <c r="G78" s="41"/>
      <c r="H78" s="36"/>
      <c r="I78" s="36"/>
      <c r="J78" s="36"/>
      <c r="K78" s="36"/>
      <c r="L78" s="36"/>
      <c r="M78" s="36"/>
      <c r="N78" s="36"/>
      <c r="O78" s="36"/>
      <c r="P78" s="36"/>
      <c r="Q78" s="36"/>
      <c r="R78" s="36"/>
    </row>
    <row r="79" spans="1:19" x14ac:dyDescent="0.25">
      <c r="A79" s="36"/>
      <c r="B79" s="36"/>
      <c r="C79" s="36"/>
      <c r="D79" s="36"/>
      <c r="E79" s="36"/>
      <c r="F79" s="36"/>
      <c r="G79" s="36"/>
      <c r="H79" s="36"/>
      <c r="I79" s="36"/>
      <c r="J79" s="36"/>
      <c r="K79" s="36"/>
      <c r="L79" s="36"/>
      <c r="M79" s="36"/>
      <c r="N79" s="36"/>
      <c r="O79" s="36"/>
      <c r="P79" s="36"/>
      <c r="Q79" s="36"/>
      <c r="R79" s="36"/>
    </row>
    <row r="80" spans="1:19" ht="39.6" x14ac:dyDescent="0.25">
      <c r="A80" s="37" t="s">
        <v>1038</v>
      </c>
      <c r="B80" s="454" t="s">
        <v>297</v>
      </c>
      <c r="C80" s="37" t="s">
        <v>1041</v>
      </c>
      <c r="D80" s="37" t="s">
        <v>1036</v>
      </c>
      <c r="E80" s="36" t="s">
        <v>598</v>
      </c>
      <c r="F80" s="38"/>
      <c r="G80" s="38"/>
      <c r="H80" s="36"/>
      <c r="I80" s="36"/>
      <c r="J80" s="36"/>
      <c r="K80" s="36"/>
      <c r="L80" s="36"/>
      <c r="M80" s="36"/>
      <c r="N80" s="36"/>
      <c r="O80" s="36"/>
      <c r="P80" s="36"/>
      <c r="Q80" s="36"/>
      <c r="R80" s="36"/>
    </row>
    <row r="81" spans="1:18" x14ac:dyDescent="0.25">
      <c r="A81" s="39" t="s">
        <v>527</v>
      </c>
      <c r="B81" s="21">
        <v>10</v>
      </c>
      <c r="C81" s="40">
        <f>'Biomass Data Assumptions'!B49*B81</f>
        <v>10</v>
      </c>
      <c r="D81" s="40">
        <f>C81*'Energy Content Assumptions'!C11</f>
        <v>8.5</v>
      </c>
      <c r="E81" s="41"/>
      <c r="F81" s="41"/>
      <c r="G81" s="41"/>
      <c r="H81" s="36"/>
      <c r="I81" s="36"/>
      <c r="J81" s="36"/>
      <c r="K81" s="36"/>
      <c r="L81" s="36"/>
      <c r="M81" s="36"/>
      <c r="N81" s="36"/>
      <c r="O81" s="36"/>
      <c r="P81" s="36"/>
      <c r="Q81" s="36"/>
      <c r="R81" s="36"/>
    </row>
    <row r="82" spans="1:18" x14ac:dyDescent="0.25">
      <c r="A82" s="39" t="s">
        <v>520</v>
      </c>
      <c r="B82" s="21">
        <v>0</v>
      </c>
      <c r="C82" s="40">
        <f>'Biomass Data Assumptions'!B50*B82</f>
        <v>0</v>
      </c>
      <c r="D82" s="40">
        <f>C82*'Energy Content Assumptions'!C12</f>
        <v>0</v>
      </c>
      <c r="E82" s="41"/>
      <c r="F82" s="41"/>
      <c r="G82" s="41"/>
      <c r="H82" s="36"/>
      <c r="I82" s="36"/>
      <c r="J82" s="36"/>
      <c r="K82" s="36"/>
      <c r="L82" s="36"/>
      <c r="M82" s="36"/>
      <c r="N82" s="36"/>
      <c r="O82" s="36"/>
      <c r="P82" s="36"/>
      <c r="Q82" s="36"/>
      <c r="R82" s="36"/>
    </row>
    <row r="83" spans="1:18" x14ac:dyDescent="0.25">
      <c r="A83" s="39" t="s">
        <v>521</v>
      </c>
      <c r="B83" s="21">
        <v>0</v>
      </c>
      <c r="C83" s="40">
        <f>'Biomass Data Assumptions'!B51*B83</f>
        <v>0</v>
      </c>
      <c r="D83" s="40">
        <f>C83*'Energy Content Assumptions'!C13</f>
        <v>0</v>
      </c>
      <c r="E83" s="41"/>
      <c r="F83" s="41"/>
      <c r="G83" s="41"/>
      <c r="H83" s="36"/>
      <c r="I83" s="36"/>
      <c r="J83" s="36"/>
      <c r="K83" s="36"/>
      <c r="L83" s="36"/>
      <c r="M83" s="36"/>
      <c r="N83" s="36"/>
      <c r="O83" s="36"/>
      <c r="P83" s="36"/>
      <c r="Q83" s="36"/>
      <c r="R83" s="36"/>
    </row>
    <row r="84" spans="1:18" x14ac:dyDescent="0.25">
      <c r="A84" s="39" t="s">
        <v>528</v>
      </c>
      <c r="B84" s="21">
        <v>0</v>
      </c>
      <c r="C84" s="40">
        <f>'Biomass Data Assumptions'!B52*B84</f>
        <v>0</v>
      </c>
      <c r="D84" s="40">
        <f>C84*'Energy Content Assumptions'!C14</f>
        <v>0</v>
      </c>
      <c r="E84" s="41"/>
      <c r="F84" s="41"/>
      <c r="G84" s="41"/>
      <c r="H84" s="36"/>
      <c r="I84" s="36"/>
      <c r="J84" s="36"/>
      <c r="K84" s="36"/>
      <c r="L84" s="36"/>
      <c r="M84" s="36"/>
      <c r="N84" s="36"/>
      <c r="O84" s="36"/>
      <c r="P84" s="36"/>
      <c r="Q84" s="36"/>
      <c r="R84" s="36"/>
    </row>
    <row r="85" spans="1:18" x14ac:dyDescent="0.25">
      <c r="A85" s="39" t="s">
        <v>529</v>
      </c>
      <c r="B85" s="21">
        <v>0</v>
      </c>
      <c r="C85" s="40">
        <f>'Biomass Data Assumptions'!B53*B85</f>
        <v>0</v>
      </c>
      <c r="D85" s="40">
        <f>C85*'Energy Content Assumptions'!C15</f>
        <v>0</v>
      </c>
      <c r="E85" s="41"/>
      <c r="F85" s="41"/>
      <c r="G85" s="41"/>
      <c r="H85" s="36"/>
      <c r="I85" s="36"/>
      <c r="J85" s="36"/>
      <c r="K85" s="36"/>
      <c r="L85" s="36"/>
      <c r="M85" s="36"/>
      <c r="N85" s="36"/>
      <c r="O85" s="36"/>
      <c r="P85" s="36"/>
      <c r="Q85" s="36"/>
      <c r="R85" s="36"/>
    </row>
    <row r="86" spans="1:18" x14ac:dyDescent="0.25">
      <c r="A86" s="39" t="s">
        <v>530</v>
      </c>
      <c r="B86" s="21">
        <v>0</v>
      </c>
      <c r="C86" s="40">
        <f>'Biomass Data Assumptions'!B54*B86</f>
        <v>0</v>
      </c>
      <c r="D86" s="40">
        <f>C86*'Energy Content Assumptions'!C16</f>
        <v>0</v>
      </c>
      <c r="E86" s="41"/>
      <c r="F86" s="41"/>
      <c r="G86" s="41"/>
      <c r="H86" s="36"/>
      <c r="I86" s="36"/>
      <c r="J86" s="36"/>
      <c r="K86" s="36"/>
      <c r="L86" s="36"/>
      <c r="M86" s="36"/>
      <c r="N86" s="36"/>
      <c r="O86" s="36"/>
      <c r="P86" s="36"/>
      <c r="Q86" s="36"/>
      <c r="R86" s="36"/>
    </row>
    <row r="87" spans="1:18" x14ac:dyDescent="0.25">
      <c r="A87" s="39" t="s">
        <v>522</v>
      </c>
      <c r="B87" s="21">
        <v>0</v>
      </c>
      <c r="C87" s="40">
        <f>'Biomass Data Assumptions'!B55*B87</f>
        <v>0</v>
      </c>
      <c r="D87" s="40">
        <f>C87*'Energy Content Assumptions'!C17</f>
        <v>0</v>
      </c>
      <c r="E87" s="41"/>
      <c r="F87" s="41"/>
      <c r="G87" s="41"/>
      <c r="H87" s="36"/>
      <c r="I87" s="36"/>
      <c r="J87" s="36"/>
      <c r="K87" s="36"/>
      <c r="L87" s="36"/>
      <c r="M87" s="36"/>
      <c r="N87" s="36"/>
      <c r="O87" s="36"/>
      <c r="P87" s="36"/>
      <c r="Q87" s="36"/>
      <c r="R87" s="36"/>
    </row>
    <row r="88" spans="1:18" x14ac:dyDescent="0.25">
      <c r="A88" s="43"/>
      <c r="B88" s="41"/>
      <c r="C88" s="41"/>
      <c r="D88" s="41"/>
      <c r="E88" s="41"/>
      <c r="F88" s="41"/>
      <c r="G88" s="41"/>
      <c r="H88" s="36"/>
      <c r="I88" s="36"/>
      <c r="J88" s="36"/>
      <c r="K88" s="36"/>
      <c r="L88" s="36"/>
      <c r="M88" s="36"/>
      <c r="N88" s="36"/>
      <c r="O88" s="36"/>
      <c r="P88" s="36"/>
      <c r="Q88" s="36"/>
      <c r="R88" s="36"/>
    </row>
    <row r="89" spans="1:18" x14ac:dyDescent="0.25">
      <c r="A89" s="43"/>
      <c r="B89" s="640" t="s">
        <v>297</v>
      </c>
      <c r="C89" s="122" t="s">
        <v>299</v>
      </c>
      <c r="D89" s="122" t="s">
        <v>300</v>
      </c>
      <c r="E89" s="41"/>
      <c r="F89" s="41"/>
      <c r="G89" s="41"/>
      <c r="H89" s="36"/>
      <c r="I89" s="36"/>
      <c r="J89" s="36"/>
      <c r="K89" s="36"/>
      <c r="L89" s="36"/>
      <c r="M89" s="36"/>
      <c r="N89" s="36"/>
      <c r="O89" s="36"/>
      <c r="P89" s="36"/>
      <c r="Q89" s="36"/>
      <c r="R89" s="36"/>
    </row>
    <row r="90" spans="1:18" x14ac:dyDescent="0.25">
      <c r="A90" s="43" t="s">
        <v>296</v>
      </c>
      <c r="B90" s="85">
        <f>IF('Prac. Rec. Assumptions'!B56='Prac. Rec. Assumptions'!V3,0,SUM(IF('Prac. Rec. Assumptions'!B57="Yes",B74,0),IF('Prac. Rec. Assumptions'!B58="Yes",B81,0),IF('Prac. Rec. Assumptions'!B59="Yes",B82,0),IF('Prac. Rec. Assumptions'!B60="Yes",B83,0),IF('Prac. Rec. Assumptions'!B61="Yes",B84,0),IF('Prac. Rec. Assumptions'!B62="Yes",B85,0),IF('Prac. Rec. Assumptions'!B63="Yes",B86,0),IF('Prac. Rec. Assumptions'!B64="Yes",B87,0)))</f>
        <v>0</v>
      </c>
      <c r="C90" s="41">
        <f>IF('Prac. Rec. Assumptions'!B56='Prac. Rec. Assumptions'!V1,'Biomass Data Assumptions'!C46,IF('Prac. Rec. Assumptions'!B56='Prac. Rec. Assumptions'!V2,'Biomass Data Assumptions'!C45,0))</f>
        <v>0</v>
      </c>
      <c r="D90" s="41">
        <f>(C90*'Energy Content Assumptions'!C9)*B90</f>
        <v>0</v>
      </c>
      <c r="E90" s="41"/>
      <c r="F90" s="41"/>
      <c r="G90" s="41"/>
      <c r="H90" s="36"/>
      <c r="I90" s="36"/>
      <c r="J90" s="36"/>
      <c r="K90" s="36"/>
      <c r="L90" s="36"/>
      <c r="M90" s="36"/>
      <c r="N90" s="36"/>
      <c r="O90" s="36"/>
      <c r="P90" s="36"/>
      <c r="Q90" s="36"/>
      <c r="R90" s="36"/>
    </row>
    <row r="91" spans="1:18" x14ac:dyDescent="0.25">
      <c r="A91" s="36"/>
      <c r="B91" s="36"/>
      <c r="C91" s="36"/>
      <c r="D91" s="36"/>
      <c r="E91" s="36"/>
      <c r="F91" s="36"/>
      <c r="G91" s="36"/>
      <c r="H91" s="36"/>
      <c r="I91" s="36"/>
      <c r="J91" s="36"/>
      <c r="K91" s="36"/>
      <c r="L91" s="36"/>
      <c r="M91" s="36"/>
      <c r="N91" s="36"/>
      <c r="O91" s="36"/>
      <c r="P91" s="36"/>
      <c r="Q91" s="36"/>
      <c r="R91" s="36"/>
    </row>
    <row r="92" spans="1:18" ht="39.6" x14ac:dyDescent="0.25">
      <c r="A92" s="42" t="s">
        <v>531</v>
      </c>
      <c r="B92" s="455" t="s">
        <v>298</v>
      </c>
      <c r="C92" s="38" t="s">
        <v>1050</v>
      </c>
      <c r="D92" s="38" t="s">
        <v>1045</v>
      </c>
      <c r="E92" s="38" t="s">
        <v>1048</v>
      </c>
      <c r="F92" s="38" t="s">
        <v>1047</v>
      </c>
      <c r="G92" s="38" t="s">
        <v>1046</v>
      </c>
      <c r="H92" s="36" t="s">
        <v>599</v>
      </c>
      <c r="I92" s="36"/>
      <c r="J92" s="38"/>
      <c r="K92" s="38"/>
      <c r="L92" s="38"/>
      <c r="M92" s="38"/>
      <c r="N92" s="36"/>
      <c r="O92" s="36"/>
      <c r="P92" s="36"/>
      <c r="Q92" s="36"/>
      <c r="R92" s="36"/>
    </row>
    <row r="93" spans="1:18" x14ac:dyDescent="0.25">
      <c r="A93" s="42"/>
      <c r="B93" s="38"/>
      <c r="C93" s="38"/>
      <c r="D93" s="38"/>
      <c r="E93" s="38"/>
      <c r="F93" s="36"/>
      <c r="G93" s="36"/>
      <c r="H93" s="36"/>
      <c r="I93" s="36"/>
      <c r="J93" s="38"/>
      <c r="K93" s="38"/>
      <c r="L93" s="38"/>
      <c r="M93" s="38"/>
      <c r="N93" s="36"/>
      <c r="O93" s="36"/>
      <c r="P93" s="36"/>
      <c r="Q93" s="36"/>
      <c r="R93" s="36"/>
    </row>
    <row r="94" spans="1:18" ht="0.75" customHeight="1" x14ac:dyDescent="0.25">
      <c r="A94" s="43"/>
      <c r="B94" s="36"/>
      <c r="C94" s="41"/>
      <c r="D94" s="41"/>
      <c r="E94" s="44"/>
      <c r="F94" s="36"/>
      <c r="G94" s="36"/>
      <c r="H94" s="36"/>
      <c r="I94" s="36"/>
      <c r="J94" s="44"/>
      <c r="K94" s="44"/>
      <c r="L94" s="44"/>
      <c r="M94" s="44"/>
      <c r="N94" s="36"/>
      <c r="O94" s="36"/>
      <c r="P94" s="36"/>
      <c r="Q94" s="36"/>
      <c r="R94" s="36"/>
    </row>
    <row r="95" spans="1:18" hidden="1" x14ac:dyDescent="0.25">
      <c r="A95" s="456"/>
      <c r="B95" s="458"/>
      <c r="C95" s="458"/>
      <c r="D95" s="41"/>
      <c r="E95" s="41"/>
      <c r="F95" s="41"/>
      <c r="G95" s="41"/>
      <c r="H95" s="36"/>
      <c r="I95" s="36"/>
      <c r="J95" s="41"/>
      <c r="K95" s="41"/>
      <c r="L95" s="41"/>
      <c r="M95" s="41"/>
      <c r="N95" s="36"/>
      <c r="O95" s="36"/>
      <c r="P95" s="36"/>
      <c r="Q95" s="36"/>
      <c r="R95" s="36"/>
    </row>
    <row r="96" spans="1:18" hidden="1" x14ac:dyDescent="0.25">
      <c r="A96" s="456"/>
      <c r="B96" s="458"/>
      <c r="C96" s="458"/>
      <c r="D96" s="41"/>
      <c r="E96" s="41"/>
      <c r="F96" s="41"/>
      <c r="G96" s="41"/>
      <c r="H96" s="36"/>
      <c r="I96" s="36"/>
      <c r="J96" s="41"/>
      <c r="K96" s="41"/>
      <c r="L96" s="41"/>
      <c r="M96" s="41"/>
      <c r="N96" s="36"/>
      <c r="O96" s="36"/>
      <c r="P96" s="36"/>
      <c r="Q96" s="36"/>
      <c r="R96" s="36"/>
    </row>
    <row r="97" spans="1:18" x14ac:dyDescent="0.25">
      <c r="A97" s="467" t="s">
        <v>535</v>
      </c>
      <c r="B97" s="85">
        <v>0</v>
      </c>
      <c r="C97" s="41">
        <f>ROUND('Biomass Data Assumptions'!$B$60/1000*B97,0)</f>
        <v>0</v>
      </c>
      <c r="D97" s="41">
        <f>'Biomass Data Assumptions'!$C$60*C97</f>
        <v>0</v>
      </c>
      <c r="E97" s="41">
        <f>('Biomass Data Assumptions'!$D$60*'Energy Content Assumptions'!$C$44*D97)/2000</f>
        <v>0</v>
      </c>
      <c r="F97" s="41">
        <f>('Biomass Data Assumptions'!$E$60*B97*365)/2000</f>
        <v>0</v>
      </c>
      <c r="G97" s="41">
        <f>F97+E97</f>
        <v>0</v>
      </c>
      <c r="H97" s="36"/>
      <c r="I97" s="36"/>
      <c r="J97" s="41"/>
      <c r="K97" s="41"/>
      <c r="L97" s="41"/>
      <c r="M97" s="41"/>
      <c r="N97" s="36"/>
      <c r="O97" s="36"/>
      <c r="P97" s="36"/>
      <c r="Q97" s="36"/>
      <c r="R97" s="36"/>
    </row>
    <row r="98" spans="1:18" x14ac:dyDescent="0.25">
      <c r="A98" s="46"/>
      <c r="B98" s="41"/>
      <c r="C98" s="41"/>
      <c r="D98" s="41"/>
      <c r="E98" s="41"/>
      <c r="F98" s="41"/>
      <c r="G98" s="41"/>
      <c r="H98" s="36"/>
      <c r="I98" s="36"/>
      <c r="J98" s="41"/>
      <c r="K98" s="41"/>
      <c r="L98" s="41"/>
      <c r="M98" s="41"/>
      <c r="N98" s="36"/>
      <c r="O98" s="36"/>
      <c r="P98" s="36"/>
      <c r="Q98" s="36"/>
      <c r="R98" s="36"/>
    </row>
    <row r="99" spans="1:18" x14ac:dyDescent="0.25">
      <c r="A99" s="43" t="s">
        <v>539</v>
      </c>
      <c r="B99" s="47"/>
      <c r="C99" s="41"/>
      <c r="D99" s="41"/>
      <c r="E99" s="41"/>
      <c r="F99" s="41"/>
      <c r="G99" s="41"/>
      <c r="H99" s="36"/>
      <c r="I99" s="36"/>
      <c r="J99" s="41"/>
      <c r="K99" s="41"/>
      <c r="L99" s="41"/>
      <c r="M99" s="41"/>
      <c r="N99" s="36"/>
      <c r="O99" s="36"/>
      <c r="P99" s="36"/>
      <c r="Q99" s="36"/>
      <c r="R99" s="36"/>
    </row>
    <row r="100" spans="1:18" x14ac:dyDescent="0.25">
      <c r="A100" s="460" t="s">
        <v>603</v>
      </c>
      <c r="B100" s="85">
        <v>0</v>
      </c>
      <c r="C100" s="41">
        <f>ROUND('Biomass Data Assumptions'!B62/1000*B100,0)</f>
        <v>0</v>
      </c>
      <c r="D100" s="41">
        <f>'Biomass Data Assumptions'!C62*C100</f>
        <v>0</v>
      </c>
      <c r="E100" s="41">
        <f>('Biomass Data Assumptions'!D62*'Energy Content Assumptions'!C46*D100)/2000</f>
        <v>0</v>
      </c>
      <c r="F100" s="41">
        <f>('Biomass Data Assumptions'!E62*B100*365)/2000</f>
        <v>0</v>
      </c>
      <c r="G100" s="41">
        <f>F100+E100</f>
        <v>0</v>
      </c>
      <c r="H100" s="36"/>
      <c r="I100" s="36"/>
      <c r="J100" s="41"/>
      <c r="K100" s="41"/>
      <c r="L100" s="41"/>
      <c r="M100" s="41"/>
      <c r="N100" s="36"/>
      <c r="O100" s="36"/>
      <c r="P100" s="36"/>
      <c r="Q100" s="36"/>
      <c r="R100" s="36"/>
    </row>
    <row r="101" spans="1:18" ht="2.25" hidden="1" customHeight="1" x14ac:dyDescent="0.25">
      <c r="A101" s="45"/>
      <c r="B101" s="85"/>
      <c r="C101" s="41"/>
      <c r="D101" s="41"/>
      <c r="E101" s="41"/>
      <c r="F101" s="41"/>
      <c r="G101" s="41"/>
      <c r="H101" s="36"/>
      <c r="I101" s="36"/>
      <c r="J101" s="41"/>
      <c r="K101" s="41"/>
      <c r="L101" s="41"/>
      <c r="M101" s="41"/>
      <c r="N101" s="36"/>
      <c r="O101" s="36"/>
      <c r="P101" s="36"/>
      <c r="Q101" s="36"/>
      <c r="R101" s="36"/>
    </row>
    <row r="102" spans="1:18" x14ac:dyDescent="0.25">
      <c r="A102" s="460" t="s">
        <v>604</v>
      </c>
      <c r="B102" s="85">
        <v>0</v>
      </c>
      <c r="C102" s="41">
        <f>ROUND('Biomass Data Assumptions'!B64/1000*B102,0)</f>
        <v>0</v>
      </c>
      <c r="D102" s="41">
        <f>'Biomass Data Assumptions'!C64*C102</f>
        <v>0</v>
      </c>
      <c r="E102" s="41">
        <f>('Biomass Data Assumptions'!D64*'Energy Content Assumptions'!C48*D102)/2000</f>
        <v>0</v>
      </c>
      <c r="F102" s="41">
        <f>'Biomass Data Assumptions'!E64*B102*365/2000</f>
        <v>0</v>
      </c>
      <c r="G102" s="41">
        <f>F102+E102</f>
        <v>0</v>
      </c>
      <c r="H102" s="36"/>
      <c r="I102" s="36"/>
      <c r="J102" s="41"/>
      <c r="K102" s="41"/>
      <c r="L102" s="41"/>
      <c r="M102" s="41"/>
      <c r="N102" s="36"/>
      <c r="O102" s="36"/>
      <c r="P102" s="36"/>
      <c r="Q102" s="36"/>
      <c r="R102" s="36"/>
    </row>
    <row r="103" spans="1:18" hidden="1" x14ac:dyDescent="0.25">
      <c r="A103" s="45"/>
      <c r="B103" s="85"/>
      <c r="C103" s="41"/>
      <c r="D103" s="41"/>
      <c r="E103" s="41"/>
      <c r="F103" s="41"/>
      <c r="G103" s="41"/>
      <c r="H103" s="36"/>
      <c r="I103" s="36"/>
      <c r="J103" s="41"/>
      <c r="K103" s="41"/>
      <c r="L103" s="41"/>
      <c r="M103" s="41"/>
      <c r="N103" s="36"/>
      <c r="O103" s="36"/>
      <c r="P103" s="36"/>
      <c r="Q103" s="36"/>
      <c r="R103" s="36"/>
    </row>
    <row r="104" spans="1:18" x14ac:dyDescent="0.25">
      <c r="A104" s="467" t="s">
        <v>544</v>
      </c>
      <c r="B104" s="85">
        <v>0</v>
      </c>
      <c r="C104" s="41">
        <f>SUM(C100:C103)</f>
        <v>0</v>
      </c>
      <c r="D104" s="41">
        <f>SUM(D100:D103)</f>
        <v>0</v>
      </c>
      <c r="E104" s="41">
        <f>SUM(E100:E103)</f>
        <v>0</v>
      </c>
      <c r="F104" s="41">
        <f>SUM(F100:F103)</f>
        <v>0</v>
      </c>
      <c r="G104" s="41">
        <f>SUM(G100:G103)</f>
        <v>0</v>
      </c>
      <c r="H104" s="36"/>
      <c r="I104" s="36"/>
      <c r="J104" s="41"/>
      <c r="K104" s="41"/>
      <c r="L104" s="41"/>
      <c r="M104" s="41"/>
      <c r="N104" s="36"/>
      <c r="O104" s="36"/>
      <c r="P104" s="36"/>
      <c r="Q104" s="36"/>
      <c r="R104" s="36"/>
    </row>
    <row r="105" spans="1:18" x14ac:dyDescent="0.25">
      <c r="A105" s="46"/>
      <c r="B105" s="41"/>
      <c r="C105" s="41"/>
      <c r="D105" s="41"/>
      <c r="E105" s="41"/>
      <c r="F105" s="41"/>
      <c r="G105" s="41"/>
      <c r="H105" s="36"/>
      <c r="I105" s="36"/>
      <c r="J105" s="41"/>
      <c r="K105" s="41"/>
      <c r="L105" s="41"/>
      <c r="M105" s="41"/>
      <c r="N105" s="36"/>
      <c r="O105" s="36"/>
      <c r="P105" s="36"/>
      <c r="Q105" s="36"/>
      <c r="R105" s="36"/>
    </row>
    <row r="106" spans="1:18" x14ac:dyDescent="0.25">
      <c r="A106" s="43" t="s">
        <v>545</v>
      </c>
      <c r="B106" s="85">
        <v>32</v>
      </c>
      <c r="C106" s="41">
        <f>ROUND('Biomass Data Assumptions'!B66/1000*B106,0)</f>
        <v>32</v>
      </c>
      <c r="D106" s="41">
        <f>'Biomass Data Assumptions'!C66*C106</f>
        <v>648240</v>
      </c>
      <c r="E106" s="41">
        <f>('Biomass Data Assumptions'!D66*'Energy Content Assumptions'!C50*D106)/2000</f>
        <v>22.688400000000001</v>
      </c>
      <c r="F106" s="41">
        <f>'Biomass Data Assumptions'!E66*B106*365/2000</f>
        <v>87.6</v>
      </c>
      <c r="G106" s="41">
        <f>F106+E106</f>
        <v>110.2884</v>
      </c>
      <c r="H106" s="36"/>
      <c r="I106" s="36"/>
      <c r="J106" s="41"/>
      <c r="K106" s="41"/>
      <c r="L106" s="41"/>
      <c r="M106" s="41"/>
      <c r="N106" s="36"/>
      <c r="O106" s="36"/>
      <c r="P106" s="36"/>
      <c r="Q106" s="36"/>
      <c r="R106" s="36"/>
    </row>
    <row r="107" spans="1:18" x14ac:dyDescent="0.25">
      <c r="A107" s="43"/>
      <c r="B107" s="41"/>
      <c r="C107" s="41"/>
      <c r="D107" s="41"/>
      <c r="E107" s="41"/>
      <c r="F107" s="41"/>
      <c r="G107" s="41"/>
      <c r="H107" s="36"/>
      <c r="I107" s="36"/>
      <c r="J107" s="41"/>
      <c r="K107" s="41"/>
      <c r="L107" s="41"/>
      <c r="M107" s="41"/>
      <c r="N107" s="36"/>
      <c r="O107" s="36"/>
      <c r="P107" s="36"/>
      <c r="Q107" s="36"/>
      <c r="R107" s="36"/>
    </row>
    <row r="108" spans="1:18" x14ac:dyDescent="0.25">
      <c r="A108" s="43" t="s">
        <v>546</v>
      </c>
      <c r="B108" s="85">
        <v>0</v>
      </c>
      <c r="C108" s="41">
        <f>ROUND('Biomass Data Assumptions'!B67/1000*B108,0)</f>
        <v>0</v>
      </c>
      <c r="D108" s="41">
        <f>'Biomass Data Assumptions'!C67*C108</f>
        <v>0</v>
      </c>
      <c r="E108" s="41">
        <f>('Biomass Data Assumptions'!D67*'Energy Content Assumptions'!C51*D108)/2000</f>
        <v>0</v>
      </c>
      <c r="F108" s="41">
        <f>'Biomass Data Assumptions'!E67*B108*365/2000</f>
        <v>0</v>
      </c>
      <c r="G108" s="41">
        <f>F108+E108</f>
        <v>0</v>
      </c>
      <c r="H108" s="36"/>
      <c r="I108" s="36"/>
      <c r="J108" s="41"/>
      <c r="K108" s="41"/>
      <c r="L108" s="41"/>
      <c r="M108" s="41"/>
      <c r="N108" s="36"/>
      <c r="O108" s="36"/>
      <c r="P108" s="36"/>
      <c r="Q108" s="36"/>
      <c r="R108" s="36"/>
    </row>
    <row r="109" spans="1:18" x14ac:dyDescent="0.25">
      <c r="A109" s="43"/>
      <c r="B109" s="41"/>
      <c r="C109" s="41"/>
      <c r="D109" s="41"/>
      <c r="E109" s="41"/>
      <c r="F109" s="41"/>
      <c r="G109" s="41"/>
      <c r="H109" s="36"/>
      <c r="I109" s="36"/>
      <c r="J109" s="41"/>
      <c r="K109" s="41"/>
      <c r="L109" s="41"/>
      <c r="M109" s="41"/>
      <c r="N109" s="36"/>
      <c r="O109" s="36"/>
      <c r="P109" s="36"/>
      <c r="Q109" s="36"/>
      <c r="R109" s="36"/>
    </row>
    <row r="110" spans="1:18" x14ac:dyDescent="0.25">
      <c r="A110" s="43" t="s">
        <v>547</v>
      </c>
      <c r="B110" s="85">
        <v>3</v>
      </c>
      <c r="C110" s="41">
        <f>ROUND('Biomass Data Assumptions'!B68/1000*B110,0)</f>
        <v>0</v>
      </c>
      <c r="D110" s="41">
        <f>'Biomass Data Assumptions'!C68*C110</f>
        <v>0</v>
      </c>
      <c r="E110" s="41">
        <f>('Biomass Data Assumptions'!D68*'Energy Content Assumptions'!C52*D110)/2000</f>
        <v>0</v>
      </c>
      <c r="F110" s="41">
        <f>'Biomass Data Assumptions'!E68*B110*365/2000</f>
        <v>0.54749999999999999</v>
      </c>
      <c r="G110" s="41">
        <f>F110+E110</f>
        <v>0.54749999999999999</v>
      </c>
      <c r="H110" s="36"/>
      <c r="I110" s="36"/>
      <c r="J110" s="41"/>
      <c r="K110" s="41"/>
      <c r="L110" s="41"/>
      <c r="M110" s="41"/>
      <c r="N110" s="36"/>
      <c r="O110" s="36"/>
      <c r="P110" s="36"/>
      <c r="Q110" s="36"/>
      <c r="R110" s="36"/>
    </row>
    <row r="111" spans="1:18" ht="11.25" customHeight="1" x14ac:dyDescent="0.25">
      <c r="A111" s="43"/>
      <c r="B111" s="41"/>
      <c r="C111" s="41"/>
      <c r="D111" s="41"/>
      <c r="E111" s="41"/>
      <c r="F111" s="41"/>
      <c r="G111" s="41"/>
      <c r="H111" s="36"/>
      <c r="I111" s="36"/>
      <c r="J111" s="41"/>
      <c r="K111" s="41"/>
      <c r="L111" s="41"/>
      <c r="M111" s="41"/>
      <c r="N111" s="36"/>
      <c r="O111" s="36"/>
      <c r="P111" s="36"/>
      <c r="Q111" s="36"/>
      <c r="R111" s="36"/>
    </row>
    <row r="112" spans="1:18" hidden="1" x14ac:dyDescent="0.25">
      <c r="A112" s="43"/>
      <c r="B112" s="36"/>
      <c r="C112" s="41"/>
      <c r="D112" s="41"/>
      <c r="E112" s="41"/>
      <c r="F112" s="41"/>
      <c r="G112" s="41"/>
      <c r="H112" s="36"/>
      <c r="I112" s="36"/>
      <c r="J112" s="41"/>
      <c r="K112" s="41"/>
      <c r="L112" s="41"/>
      <c r="M112" s="41"/>
      <c r="N112" s="36"/>
      <c r="O112" s="36"/>
      <c r="P112" s="36"/>
      <c r="Q112" s="36"/>
      <c r="R112" s="36"/>
    </row>
    <row r="113" spans="1:18" hidden="1" x14ac:dyDescent="0.25">
      <c r="A113" s="456"/>
      <c r="B113" s="458"/>
      <c r="C113" s="458"/>
      <c r="D113" s="458"/>
      <c r="E113" s="458"/>
      <c r="F113" s="458"/>
      <c r="G113" s="458"/>
      <c r="H113" s="36"/>
      <c r="I113" s="36"/>
      <c r="J113" s="41"/>
      <c r="K113" s="41"/>
      <c r="L113" s="41"/>
      <c r="M113" s="41"/>
      <c r="N113" s="36"/>
      <c r="O113" s="36"/>
      <c r="P113" s="36"/>
      <c r="Q113" s="36"/>
      <c r="R113" s="36"/>
    </row>
    <row r="114" spans="1:18" hidden="1" x14ac:dyDescent="0.25">
      <c r="A114" s="456"/>
      <c r="B114" s="458"/>
      <c r="C114" s="458"/>
      <c r="D114" s="458"/>
      <c r="E114" s="458"/>
      <c r="F114" s="458"/>
      <c r="G114" s="458"/>
      <c r="H114" s="36"/>
      <c r="I114" s="36"/>
      <c r="J114" s="41"/>
      <c r="K114" s="41"/>
      <c r="L114" s="41"/>
      <c r="M114" s="41"/>
      <c r="N114" s="36"/>
      <c r="O114" s="36"/>
      <c r="P114" s="36"/>
      <c r="Q114" s="36"/>
      <c r="R114" s="36"/>
    </row>
    <row r="115" spans="1:18" x14ac:dyDescent="0.25">
      <c r="A115" s="467" t="s">
        <v>605</v>
      </c>
      <c r="B115" s="85">
        <v>0</v>
      </c>
      <c r="C115" s="41">
        <f>ROUND('Biomass Data Assumptions'!$B$71/1000*B115,0)</f>
        <v>0</v>
      </c>
      <c r="D115" s="41">
        <f>'Biomass Data Assumptions'!$C$71*C115</f>
        <v>0</v>
      </c>
      <c r="E115" s="41">
        <f>('Biomass Data Assumptions'!$D$71*'Energy Content Assumptions'!$C$55*D115)/2000</f>
        <v>0</v>
      </c>
      <c r="F115" s="41">
        <f>'Biomass Data Assumptions'!$E$71*B115*365/2000</f>
        <v>0</v>
      </c>
      <c r="G115" s="41">
        <f>F115+E115</f>
        <v>0</v>
      </c>
      <c r="H115" s="36"/>
      <c r="I115" s="36"/>
      <c r="J115" s="41"/>
      <c r="K115" s="41"/>
      <c r="L115" s="41"/>
      <c r="M115" s="41"/>
      <c r="N115" s="36"/>
      <c r="O115" s="36"/>
      <c r="P115" s="36"/>
      <c r="Q115" s="36"/>
      <c r="R115" s="36"/>
    </row>
    <row r="116" spans="1:18" x14ac:dyDescent="0.25">
      <c r="A116" s="46"/>
      <c r="B116" s="41"/>
      <c r="C116" s="41"/>
      <c r="D116" s="41"/>
      <c r="E116" s="41"/>
      <c r="F116" s="41"/>
      <c r="G116" s="41"/>
      <c r="H116" s="36"/>
      <c r="I116" s="36"/>
      <c r="J116" s="41"/>
      <c r="K116" s="41"/>
      <c r="L116" s="41"/>
      <c r="M116" s="41"/>
      <c r="N116" s="36"/>
      <c r="O116" s="36"/>
      <c r="P116" s="36"/>
      <c r="Q116" s="36"/>
      <c r="R116" s="36"/>
    </row>
    <row r="117" spans="1:18" x14ac:dyDescent="0.25">
      <c r="A117" s="43" t="s">
        <v>551</v>
      </c>
      <c r="B117" s="85">
        <f>2+25+80</f>
        <v>107</v>
      </c>
      <c r="C117" s="41">
        <f>ROUND('Biomass Data Assumptions'!B72/1000*B117,0)</f>
        <v>1</v>
      </c>
      <c r="D117" s="41">
        <f>'Biomass Data Assumptions'!C72*C117</f>
        <v>18250</v>
      </c>
      <c r="E117" s="41">
        <f>('Biomass Data Assumptions'!D72*'Energy Content Assumptions'!C56*D117)/2000</f>
        <v>1.7793749999999999</v>
      </c>
      <c r="F117" s="41">
        <f>'Biomass Data Assumptions'!E72*B117*365/2000</f>
        <v>0</v>
      </c>
      <c r="G117" s="41">
        <f>F117+E117</f>
        <v>1.7793749999999999</v>
      </c>
      <c r="H117" s="150" t="s">
        <v>609</v>
      </c>
      <c r="I117" s="36"/>
      <c r="J117" s="41"/>
      <c r="K117" s="41"/>
      <c r="L117" s="41"/>
      <c r="M117" s="41"/>
      <c r="N117" s="36"/>
      <c r="O117" s="36"/>
      <c r="P117" s="36"/>
      <c r="Q117" s="36"/>
      <c r="R117" s="36"/>
    </row>
    <row r="118" spans="1:18" x14ac:dyDescent="0.25">
      <c r="A118" s="43"/>
      <c r="B118" s="41"/>
      <c r="C118" s="41"/>
      <c r="D118" s="41"/>
      <c r="E118" s="41"/>
      <c r="F118" s="41"/>
      <c r="G118" s="41"/>
      <c r="H118" s="36"/>
      <c r="I118" s="36"/>
      <c r="J118" s="41"/>
      <c r="K118" s="41"/>
      <c r="L118" s="41"/>
      <c r="M118" s="41"/>
      <c r="N118" s="36"/>
      <c r="O118" s="36"/>
      <c r="P118" s="36"/>
      <c r="Q118" s="36"/>
      <c r="R118" s="36"/>
    </row>
    <row r="119" spans="1:18" x14ac:dyDescent="0.25">
      <c r="A119" s="43" t="s">
        <v>552</v>
      </c>
      <c r="B119" s="85">
        <v>0</v>
      </c>
      <c r="C119" s="41">
        <f>ROUND('Biomass Data Assumptions'!B73/1000*B119,0)</f>
        <v>0</v>
      </c>
      <c r="D119" s="41">
        <f>'Biomass Data Assumptions'!C73*C119</f>
        <v>0</v>
      </c>
      <c r="E119" s="41">
        <f>('Biomass Data Assumptions'!D73*'Energy Content Assumptions'!C57*D119)/2000</f>
        <v>0</v>
      </c>
      <c r="F119" s="41">
        <f>'Biomass Data Assumptions'!E73*B119*365/2000</f>
        <v>0</v>
      </c>
      <c r="G119" s="41">
        <f>F119+E119</f>
        <v>0</v>
      </c>
      <c r="H119" s="36"/>
      <c r="I119" s="36"/>
      <c r="J119" s="41"/>
      <c r="K119" s="41"/>
      <c r="L119" s="41"/>
      <c r="M119" s="41"/>
      <c r="N119" s="36"/>
      <c r="O119" s="36"/>
      <c r="P119" s="36"/>
      <c r="Q119" s="36"/>
      <c r="R119" s="36"/>
    </row>
    <row r="120" spans="1:18" x14ac:dyDescent="0.25">
      <c r="A120" s="43"/>
      <c r="B120" s="41"/>
      <c r="C120" s="41"/>
      <c r="D120" s="41"/>
      <c r="E120" s="41"/>
      <c r="F120" s="41"/>
      <c r="G120" s="41"/>
      <c r="H120" s="36"/>
      <c r="I120" s="36"/>
      <c r="J120" s="41"/>
      <c r="K120" s="41"/>
      <c r="L120" s="41"/>
      <c r="M120" s="41"/>
      <c r="N120" s="36"/>
      <c r="O120" s="36"/>
      <c r="P120" s="36"/>
      <c r="Q120" s="36"/>
      <c r="R120" s="36"/>
    </row>
    <row r="121" spans="1:18" x14ac:dyDescent="0.25">
      <c r="A121" s="43" t="s">
        <v>553</v>
      </c>
      <c r="B121" s="86">
        <f t="shared" ref="B121:G121" si="14">B97+B104+B106+B108+B110+B115+B117+B119</f>
        <v>142</v>
      </c>
      <c r="C121" s="48">
        <f t="shared" si="14"/>
        <v>33</v>
      </c>
      <c r="D121" s="48">
        <f t="shared" si="14"/>
        <v>666490</v>
      </c>
      <c r="E121" s="48">
        <f t="shared" si="14"/>
        <v>24.467775000000003</v>
      </c>
      <c r="F121" s="48">
        <f t="shared" si="14"/>
        <v>88.147499999999994</v>
      </c>
      <c r="G121" s="48">
        <f t="shared" si="14"/>
        <v>112.615275</v>
      </c>
      <c r="H121" s="36"/>
      <c r="I121" s="36"/>
      <c r="J121" s="48"/>
      <c r="K121" s="48"/>
      <c r="L121" s="48"/>
      <c r="M121" s="48"/>
      <c r="N121" s="36"/>
      <c r="O121" s="36"/>
      <c r="P121" s="36"/>
      <c r="Q121" s="36"/>
      <c r="R121" s="36"/>
    </row>
    <row r="122" spans="1:18" x14ac:dyDescent="0.25">
      <c r="A122" s="36"/>
      <c r="B122" s="36"/>
      <c r="C122" s="36"/>
      <c r="D122" s="36"/>
      <c r="E122" s="36"/>
      <c r="F122" s="36"/>
      <c r="G122" s="36"/>
      <c r="H122" s="36"/>
      <c r="I122" s="36"/>
      <c r="J122" s="36"/>
      <c r="K122" s="36"/>
      <c r="L122" s="36"/>
      <c r="M122" s="36"/>
      <c r="N122" s="36"/>
      <c r="O122" s="36"/>
      <c r="P122" s="36"/>
      <c r="Q122" s="36"/>
      <c r="R122" s="36"/>
    </row>
    <row r="123" spans="1:18" x14ac:dyDescent="0.25">
      <c r="A123" s="49" t="s">
        <v>1014</v>
      </c>
      <c r="B123" s="49" t="s">
        <v>1043</v>
      </c>
      <c r="C123" s="49" t="s">
        <v>1044</v>
      </c>
      <c r="D123" s="547" t="s">
        <v>1013</v>
      </c>
      <c r="E123" s="36"/>
      <c r="F123" s="36"/>
      <c r="G123" s="36"/>
      <c r="H123" s="36"/>
      <c r="I123" s="36"/>
      <c r="J123" s="36"/>
      <c r="K123" s="36"/>
      <c r="L123" s="36"/>
      <c r="M123" s="36"/>
      <c r="N123" s="36"/>
      <c r="O123" s="36"/>
      <c r="P123" s="36"/>
      <c r="Q123" s="36"/>
      <c r="R123" s="36"/>
    </row>
    <row r="124" spans="1:18" x14ac:dyDescent="0.25">
      <c r="A124" s="50" t="s">
        <v>555</v>
      </c>
      <c r="B124" s="87">
        <v>47905.21</v>
      </c>
      <c r="C124" s="543">
        <f>B124*'Energy Content Assumptions'!C33</f>
        <v>43114.688999999998</v>
      </c>
      <c r="D124" s="36"/>
      <c r="E124" s="36"/>
      <c r="F124" s="36"/>
      <c r="G124" s="36"/>
      <c r="H124" s="36"/>
      <c r="I124" s="36"/>
      <c r="J124" s="36"/>
      <c r="K124" s="36"/>
      <c r="L124" s="36"/>
      <c r="M124" s="36"/>
      <c r="N124" s="36"/>
      <c r="O124" s="36"/>
      <c r="P124" s="36"/>
      <c r="Q124" s="36"/>
      <c r="R124" s="36"/>
    </row>
    <row r="125" spans="1:18" x14ac:dyDescent="0.25">
      <c r="A125" s="50" t="s">
        <v>556</v>
      </c>
      <c r="B125" s="87">
        <v>15853.85</v>
      </c>
      <c r="C125" s="543">
        <f>B125*'Energy Content Assumptions'!C34</f>
        <v>14268.465</v>
      </c>
      <c r="D125" s="36"/>
      <c r="E125" s="36"/>
      <c r="F125" s="36"/>
      <c r="G125" s="36"/>
      <c r="H125" s="36"/>
      <c r="I125" s="36"/>
      <c r="J125" s="36"/>
      <c r="K125" s="36"/>
      <c r="L125" s="36"/>
      <c r="M125" s="36"/>
      <c r="N125" s="36"/>
      <c r="O125" s="36"/>
      <c r="P125" s="36"/>
      <c r="Q125" s="36"/>
      <c r="R125" s="36"/>
    </row>
    <row r="126" spans="1:18" x14ac:dyDescent="0.25">
      <c r="A126" s="50" t="s">
        <v>557</v>
      </c>
      <c r="B126" s="87">
        <v>13503.24</v>
      </c>
      <c r="C126" s="543">
        <f>B126*'Energy Content Assumptions'!C35</f>
        <v>12152.915999999999</v>
      </c>
      <c r="D126" s="36"/>
      <c r="E126" s="36"/>
      <c r="F126" s="36"/>
      <c r="G126" s="36"/>
      <c r="H126" s="36"/>
      <c r="I126" s="36"/>
      <c r="J126" s="36"/>
      <c r="K126" s="36"/>
      <c r="L126" s="36"/>
      <c r="M126" s="36"/>
      <c r="N126" s="36"/>
      <c r="O126" s="36"/>
      <c r="P126" s="36"/>
      <c r="Q126" s="36"/>
      <c r="R126" s="36"/>
    </row>
    <row r="127" spans="1:18" x14ac:dyDescent="0.25">
      <c r="A127" s="50" t="s">
        <v>558</v>
      </c>
      <c r="B127" s="87">
        <v>5792.78</v>
      </c>
      <c r="C127" s="543">
        <f>B127*'Energy Content Assumptions'!C36</f>
        <v>5213.5019999999995</v>
      </c>
      <c r="D127" s="36"/>
      <c r="E127" s="36"/>
      <c r="F127" s="36"/>
      <c r="G127" s="36"/>
      <c r="H127" s="36"/>
      <c r="I127" s="36"/>
      <c r="J127" s="36"/>
      <c r="K127" s="36"/>
      <c r="L127" s="36"/>
      <c r="M127" s="36"/>
      <c r="N127" s="36"/>
      <c r="O127" s="36"/>
      <c r="P127" s="36"/>
      <c r="Q127" s="36"/>
      <c r="R127" s="36"/>
    </row>
    <row r="128" spans="1:18" x14ac:dyDescent="0.25">
      <c r="A128" s="50" t="s">
        <v>559</v>
      </c>
      <c r="B128" s="549">
        <v>29461.63</v>
      </c>
      <c r="C128" s="543">
        <f>B128*'Energy Content Assumptions'!C21</f>
        <v>14730.815000000001</v>
      </c>
      <c r="D128" s="36"/>
      <c r="E128" s="36"/>
      <c r="F128" s="36"/>
      <c r="G128" s="36"/>
      <c r="H128" s="36"/>
      <c r="I128" s="36"/>
      <c r="J128" s="36"/>
      <c r="K128" s="36"/>
      <c r="L128" s="36"/>
      <c r="M128" s="36"/>
      <c r="N128" s="36"/>
      <c r="O128" s="36"/>
      <c r="P128" s="36"/>
      <c r="Q128" s="36"/>
      <c r="R128" s="36"/>
    </row>
    <row r="129" spans="1:18" x14ac:dyDescent="0.25">
      <c r="A129" s="50" t="s">
        <v>560</v>
      </c>
      <c r="B129" s="87">
        <v>3406.58</v>
      </c>
      <c r="C129" s="543">
        <f>B129*'Energy Content Assumptions'!C22</f>
        <v>1135.5266666666666</v>
      </c>
      <c r="D129" s="36"/>
      <c r="E129" s="36"/>
      <c r="F129" s="36"/>
      <c r="G129" s="36"/>
      <c r="H129" s="36"/>
      <c r="I129" s="36"/>
      <c r="J129" s="36"/>
      <c r="K129" s="36"/>
      <c r="L129" s="36"/>
      <c r="M129" s="36"/>
      <c r="N129" s="36"/>
      <c r="O129" s="36"/>
      <c r="P129" s="36"/>
      <c r="Q129" s="36"/>
      <c r="R129" s="36"/>
    </row>
    <row r="130" spans="1:18" x14ac:dyDescent="0.25">
      <c r="A130" s="50" t="s">
        <v>561</v>
      </c>
      <c r="B130" s="87">
        <v>70932.52</v>
      </c>
      <c r="C130" s="543">
        <f>B130*'Energy Content Assumptions'!C23</f>
        <v>23644.173333333332</v>
      </c>
      <c r="D130" s="36"/>
      <c r="E130" s="36"/>
      <c r="F130" s="36"/>
      <c r="G130" s="36"/>
      <c r="H130" s="36"/>
      <c r="I130" s="36"/>
      <c r="J130" s="36"/>
      <c r="K130" s="36"/>
      <c r="L130" s="36"/>
      <c r="M130" s="36"/>
      <c r="N130" s="36"/>
      <c r="O130" s="36"/>
      <c r="P130" s="36"/>
      <c r="Q130" s="36"/>
      <c r="R130" s="36"/>
    </row>
    <row r="131" spans="1:18" x14ac:dyDescent="0.25">
      <c r="A131" s="50" t="s">
        <v>562</v>
      </c>
      <c r="B131" s="87">
        <v>1108.32</v>
      </c>
      <c r="C131" s="543">
        <f>B131*'Energy Content Assumptions'!C24</f>
        <v>554.16</v>
      </c>
      <c r="D131" s="36"/>
      <c r="E131" s="36"/>
      <c r="F131" s="36"/>
      <c r="G131" s="36"/>
      <c r="H131" s="36"/>
      <c r="I131" s="36"/>
      <c r="J131" s="36"/>
      <c r="K131" s="36"/>
      <c r="L131" s="36"/>
      <c r="M131" s="36"/>
      <c r="N131" s="36"/>
      <c r="O131" s="36"/>
      <c r="P131" s="36"/>
      <c r="Q131" s="36"/>
      <c r="R131" s="36"/>
    </row>
    <row r="132" spans="1:18" x14ac:dyDescent="0.25">
      <c r="A132" s="50" t="s">
        <v>563</v>
      </c>
      <c r="B132" s="87">
        <v>131689.69</v>
      </c>
      <c r="C132" s="543">
        <f>B132*'Energy Content Assumptions'!C31</f>
        <v>32922.422500000001</v>
      </c>
      <c r="D132" s="36"/>
      <c r="E132" s="36"/>
      <c r="F132" s="36"/>
      <c r="G132" s="36"/>
      <c r="H132" s="36"/>
      <c r="I132" s="36"/>
      <c r="J132" s="36"/>
      <c r="K132" s="36"/>
      <c r="L132" s="36"/>
      <c r="M132" s="36"/>
      <c r="N132" s="36"/>
      <c r="O132" s="36"/>
      <c r="P132" s="36"/>
      <c r="Q132" s="36"/>
      <c r="R132" s="36"/>
    </row>
    <row r="133" spans="1:18" x14ac:dyDescent="0.25">
      <c r="A133" s="50" t="s">
        <v>564</v>
      </c>
      <c r="B133" s="87">
        <v>586.22</v>
      </c>
      <c r="C133" s="543">
        <f>B133*'Energy Content Assumptions'!C19</f>
        <v>527.59800000000007</v>
      </c>
      <c r="D133" s="36"/>
      <c r="E133" s="36"/>
      <c r="F133" s="36"/>
      <c r="G133" s="36"/>
      <c r="H133" s="36"/>
      <c r="I133" s="36"/>
      <c r="J133" s="36"/>
      <c r="K133" s="36"/>
      <c r="L133" s="36"/>
      <c r="M133" s="36"/>
      <c r="N133" s="36"/>
      <c r="O133" s="36"/>
      <c r="P133" s="36"/>
      <c r="Q133" s="36"/>
      <c r="R133" s="36"/>
    </row>
    <row r="134" spans="1:18" x14ac:dyDescent="0.25">
      <c r="A134" s="50" t="s">
        <v>565</v>
      </c>
      <c r="B134" s="87">
        <v>5696.71</v>
      </c>
      <c r="C134" s="543">
        <f>B134*'Energy Content Assumptions'!C32</f>
        <v>4557.3680000000004</v>
      </c>
      <c r="D134" s="36"/>
      <c r="E134" s="36"/>
      <c r="F134" s="36"/>
      <c r="G134" s="36"/>
      <c r="H134" s="36"/>
      <c r="I134" s="36"/>
      <c r="J134" s="36"/>
      <c r="K134" s="36"/>
      <c r="L134" s="36"/>
      <c r="M134" s="36"/>
      <c r="N134" s="36"/>
      <c r="O134" s="36"/>
      <c r="P134" s="36"/>
      <c r="Q134" s="36"/>
      <c r="R134" s="36"/>
    </row>
    <row r="135" spans="1:18" x14ac:dyDescent="0.25">
      <c r="A135" s="36"/>
      <c r="B135" s="36"/>
      <c r="C135" s="36"/>
      <c r="D135" s="36"/>
      <c r="E135" s="36"/>
      <c r="F135" s="36"/>
      <c r="G135" s="36"/>
      <c r="H135" s="36"/>
      <c r="I135" s="36"/>
      <c r="J135" s="36"/>
      <c r="K135" s="36"/>
      <c r="L135" s="36"/>
      <c r="M135" s="36"/>
      <c r="N135" s="36"/>
      <c r="O135" s="36"/>
      <c r="P135" s="36"/>
      <c r="Q135" s="36"/>
      <c r="R135" s="36"/>
    </row>
    <row r="136" spans="1:18" x14ac:dyDescent="0.25">
      <c r="A136" s="49" t="s">
        <v>462</v>
      </c>
      <c r="B136" s="49" t="s">
        <v>1039</v>
      </c>
      <c r="C136" s="49" t="s">
        <v>1040</v>
      </c>
      <c r="D136" s="36"/>
      <c r="E136" s="36"/>
      <c r="F136" s="36"/>
      <c r="G136" s="36"/>
      <c r="H136" s="36"/>
      <c r="I136" s="36"/>
      <c r="J136" s="36"/>
      <c r="K136" s="36"/>
      <c r="L136" s="36"/>
      <c r="M136" s="36"/>
      <c r="N136" s="36"/>
      <c r="O136" s="36"/>
      <c r="P136" s="36"/>
      <c r="Q136" s="36"/>
      <c r="R136" s="36"/>
    </row>
    <row r="137" spans="1:18" x14ac:dyDescent="0.25">
      <c r="A137" s="50" t="s">
        <v>211</v>
      </c>
      <c r="B137" s="87">
        <f>'Biomass Data Assumptions'!$M$13</f>
        <v>824484.81</v>
      </c>
      <c r="C137" s="544"/>
      <c r="D137" s="546" t="s">
        <v>1016</v>
      </c>
      <c r="E137" s="36"/>
      <c r="F137" s="36"/>
      <c r="G137" s="36"/>
      <c r="H137" s="36"/>
      <c r="I137" s="36"/>
      <c r="J137" s="36"/>
      <c r="K137" s="36"/>
      <c r="L137" s="36"/>
      <c r="M137" s="36"/>
      <c r="N137" s="36"/>
      <c r="O137" s="36"/>
      <c r="P137" s="36"/>
      <c r="Q137" s="36"/>
      <c r="R137" s="36"/>
    </row>
    <row r="138" spans="1:18" x14ac:dyDescent="0.25">
      <c r="A138" s="50" t="s">
        <v>208</v>
      </c>
      <c r="B138" s="87">
        <f>'Biomass Data Assumptions'!$F$13</f>
        <v>454117.61</v>
      </c>
      <c r="C138" s="543">
        <f>B138*'Energy Content Assumptions'!$C$28</f>
        <v>227058.80499999999</v>
      </c>
      <c r="D138" s="546" t="s">
        <v>1016</v>
      </c>
      <c r="E138" s="36"/>
      <c r="F138" s="36"/>
      <c r="G138" s="36"/>
      <c r="H138" s="36"/>
      <c r="I138" s="36"/>
      <c r="J138" s="36"/>
      <c r="K138" s="36"/>
      <c r="L138" s="36"/>
      <c r="M138" s="36"/>
      <c r="N138" s="36"/>
      <c r="O138" s="36"/>
      <c r="P138" s="36"/>
      <c r="Q138" s="36"/>
      <c r="R138" s="36"/>
    </row>
    <row r="139" spans="1:18" x14ac:dyDescent="0.25">
      <c r="A139" s="50" t="s">
        <v>209</v>
      </c>
      <c r="B139" s="87">
        <f>'Biomass Data Assumptions'!$H$13</f>
        <v>352844.7</v>
      </c>
      <c r="C139" s="543"/>
      <c r="D139" s="36" t="s">
        <v>1020</v>
      </c>
      <c r="E139" s="36"/>
      <c r="F139" s="36"/>
      <c r="G139" s="36"/>
      <c r="H139" s="36"/>
      <c r="I139" s="36"/>
      <c r="J139" s="36"/>
      <c r="K139" s="36"/>
      <c r="L139" s="36"/>
      <c r="M139" s="36"/>
      <c r="N139" s="36"/>
      <c r="O139" s="36"/>
      <c r="P139" s="36"/>
      <c r="Q139" s="36"/>
      <c r="R139" s="36"/>
    </row>
    <row r="140" spans="1:18" x14ac:dyDescent="0.25">
      <c r="A140" s="50" t="s">
        <v>210</v>
      </c>
      <c r="B140" s="87">
        <f>'Biomass Data Assumptions'!$I$13</f>
        <v>101272.90999999997</v>
      </c>
      <c r="C140" s="543">
        <f>B140*'Energy Content Assumptions'!$C$28</f>
        <v>50636.454999999987</v>
      </c>
      <c r="D140" s="36" t="s">
        <v>1021</v>
      </c>
      <c r="E140" s="36"/>
      <c r="F140" s="36"/>
      <c r="G140" s="36"/>
      <c r="H140" s="36"/>
      <c r="I140" s="36"/>
      <c r="J140" s="36"/>
      <c r="K140" s="36"/>
      <c r="L140" s="36"/>
      <c r="M140" s="36"/>
      <c r="N140" s="36"/>
      <c r="O140" s="36"/>
      <c r="P140" s="36"/>
      <c r="Q140" s="36"/>
      <c r="R140" s="36"/>
    </row>
    <row r="141" spans="1:18" x14ac:dyDescent="0.25">
      <c r="A141" s="50" t="str">
        <f>'Bioenergy Calculator'!B35</f>
        <v>Food waste, Landfilled</v>
      </c>
      <c r="B141" s="87">
        <f>IF('Bioenergy Calculator'!H75="No",'Biomass Data Assumptions'!J13,'Biomass Data Assumptions'!F13*'Biomass Data Assumptions'!I41)</f>
        <v>16021.374361999997</v>
      </c>
      <c r="C141" s="543">
        <f>B141*'Energy Content Assumptions'!C26</f>
        <v>4806.4123085999991</v>
      </c>
      <c r="D141" s="150" t="s">
        <v>1063</v>
      </c>
      <c r="E141" s="36"/>
      <c r="F141" s="36"/>
      <c r="G141" s="36"/>
      <c r="H141" s="36"/>
      <c r="I141" s="36"/>
      <c r="J141" s="36"/>
      <c r="K141" s="36"/>
      <c r="L141" s="36"/>
      <c r="M141" s="36"/>
      <c r="N141" s="36"/>
      <c r="O141" s="36"/>
      <c r="P141" s="36"/>
      <c r="Q141" s="36"/>
      <c r="R141" s="36"/>
    </row>
    <row r="142" spans="1:18" x14ac:dyDescent="0.25">
      <c r="A142" s="50" t="str">
        <f>'Bioenergy Calculator'!B36</f>
        <v>Waste paper, Landfilled</v>
      </c>
      <c r="B142" s="87">
        <f>IF('Bioenergy Calculator'!H75="No",'Biomass Data Assumptions'!K13,'Biomass Data Assumptions'!F13*'Biomass Data Assumptions'!I42)</f>
        <v>19697.580994999997</v>
      </c>
      <c r="C142" s="543">
        <f>B142*'Energy Content Assumptions'!C27</f>
        <v>17727.822895499998</v>
      </c>
      <c r="D142" s="150" t="s">
        <v>1063</v>
      </c>
      <c r="E142" s="36"/>
      <c r="F142" s="36"/>
      <c r="G142" s="36"/>
      <c r="H142" s="36"/>
      <c r="I142" s="36"/>
      <c r="J142" s="36"/>
      <c r="K142" s="36"/>
      <c r="L142" s="36"/>
      <c r="M142" s="36"/>
      <c r="N142" s="36"/>
      <c r="O142" s="36"/>
      <c r="P142" s="36"/>
      <c r="Q142" s="36"/>
      <c r="R142" s="36"/>
    </row>
    <row r="143" spans="1:18" x14ac:dyDescent="0.25">
      <c r="A143" s="50" t="str">
        <f>'Bioenergy Calculator'!B37</f>
        <v>Other Biomass, Landfilled</v>
      </c>
      <c r="B143" s="87">
        <f>IF('Bioenergy Calculator'!H75="No",'Biomass Data Assumptions'!L13,'Biomass Data Assumptions'!F13*'Biomass Data Assumptions'!I43)</f>
        <v>27272.79466299999</v>
      </c>
      <c r="C143" s="543">
        <f>B143*'Energy Content Assumptions'!$C$28</f>
        <v>13636.397331499995</v>
      </c>
      <c r="D143" s="547" t="s">
        <v>1064</v>
      </c>
      <c r="E143" s="36"/>
      <c r="F143" s="36"/>
      <c r="G143" s="36"/>
      <c r="H143" s="36"/>
      <c r="I143" s="36"/>
      <c r="J143" s="36"/>
      <c r="K143" s="36"/>
      <c r="L143" s="36"/>
      <c r="M143" s="36"/>
      <c r="N143" s="36"/>
      <c r="O143" s="36"/>
      <c r="P143" s="36"/>
      <c r="Q143" s="36"/>
      <c r="R143" s="36"/>
    </row>
    <row r="144" spans="1:18" x14ac:dyDescent="0.25">
      <c r="A144" s="50" t="s">
        <v>463</v>
      </c>
      <c r="B144" s="87">
        <v>60260.75</v>
      </c>
      <c r="C144" s="543">
        <f>B144*'Energy Content Assumptions'!C29</f>
        <v>48208.600000000006</v>
      </c>
      <c r="D144" s="151" t="s">
        <v>206</v>
      </c>
      <c r="E144" s="36"/>
      <c r="F144" s="36"/>
      <c r="G144" s="36"/>
      <c r="H144" s="36"/>
      <c r="I144" s="36"/>
      <c r="J144" s="36"/>
      <c r="K144" s="36"/>
      <c r="L144" s="36"/>
      <c r="M144" s="36"/>
      <c r="N144" s="36"/>
      <c r="O144" s="36"/>
      <c r="P144" s="36"/>
      <c r="Q144" s="36"/>
      <c r="R144" s="36"/>
    </row>
    <row r="145" spans="1:18" x14ac:dyDescent="0.25">
      <c r="A145" s="709" t="s">
        <v>179</v>
      </c>
      <c r="B145" s="710">
        <v>0.4</v>
      </c>
      <c r="C145" s="543">
        <f>C144*B145</f>
        <v>19283.440000000002</v>
      </c>
      <c r="D145" s="36" t="s">
        <v>1202</v>
      </c>
      <c r="E145" s="36"/>
      <c r="F145" s="36"/>
      <c r="G145" s="36"/>
      <c r="H145" s="36"/>
      <c r="I145" s="36"/>
      <c r="J145" s="36"/>
      <c r="K145" s="36"/>
      <c r="L145" s="36"/>
      <c r="M145" s="36"/>
      <c r="N145" s="36"/>
      <c r="O145" s="36"/>
      <c r="P145" s="36"/>
      <c r="Q145" s="36"/>
      <c r="R145" s="36"/>
    </row>
    <row r="146" spans="1:18" x14ac:dyDescent="0.25">
      <c r="A146" s="712"/>
      <c r="B146" s="713"/>
      <c r="C146" s="543"/>
      <c r="D146" s="150" t="s">
        <v>1553</v>
      </c>
      <c r="E146" s="36"/>
      <c r="F146" s="36"/>
      <c r="G146" s="36"/>
      <c r="H146" s="36"/>
      <c r="I146" s="36"/>
      <c r="J146" s="36"/>
      <c r="K146" s="36"/>
      <c r="L146" s="36"/>
      <c r="M146" s="36"/>
      <c r="N146" s="36"/>
      <c r="O146" s="36"/>
      <c r="P146" s="36"/>
      <c r="Q146" s="36"/>
      <c r="R146" s="36"/>
    </row>
    <row r="147" spans="1:18" x14ac:dyDescent="0.25">
      <c r="A147" s="1238" t="s">
        <v>1568</v>
      </c>
      <c r="B147" s="49" t="s">
        <v>1039</v>
      </c>
      <c r="C147" s="49" t="s">
        <v>1571</v>
      </c>
      <c r="D147" s="150"/>
      <c r="E147" s="36"/>
      <c r="F147" s="36"/>
      <c r="G147" s="36"/>
      <c r="H147" s="36"/>
      <c r="I147" s="36"/>
      <c r="J147" s="36"/>
      <c r="K147" s="36"/>
      <c r="L147" s="36"/>
      <c r="M147" s="36"/>
      <c r="N147" s="36"/>
      <c r="O147" s="36"/>
      <c r="P147" s="36"/>
      <c r="Q147" s="36"/>
      <c r="R147" s="36"/>
    </row>
    <row r="148" spans="1:18" x14ac:dyDescent="0.25">
      <c r="A148" s="1236" t="s">
        <v>508</v>
      </c>
      <c r="B148" s="549">
        <f>'Biomass Data Assumptions'!R13/2000</f>
        <v>3449.4636</v>
      </c>
      <c r="C148" s="1239">
        <f>B148*'Energy Content Assumptions'!C39</f>
        <v>2932.0440600000002</v>
      </c>
      <c r="D148" s="150" t="s">
        <v>1569</v>
      </c>
      <c r="E148" s="36"/>
      <c r="F148" s="36"/>
      <c r="G148" s="36"/>
      <c r="H148" s="36"/>
      <c r="I148" s="36"/>
      <c r="J148" s="36"/>
      <c r="K148" s="36"/>
      <c r="L148" s="36"/>
      <c r="M148" s="36"/>
      <c r="N148" s="36"/>
      <c r="O148" s="36"/>
      <c r="P148" s="36"/>
      <c r="Q148" s="36"/>
      <c r="R148" s="36"/>
    </row>
    <row r="149" spans="1:18" x14ac:dyDescent="0.25">
      <c r="A149" s="1236" t="s">
        <v>509</v>
      </c>
      <c r="B149" s="549">
        <f>'Biomass Data Assumptions'!S13/2000</f>
        <v>5240.8327650000001</v>
      </c>
      <c r="C149" s="1239">
        <f>B149*'Energy Content Assumptions'!C40</f>
        <v>262.04163825000001</v>
      </c>
      <c r="D149" s="150" t="s">
        <v>1570</v>
      </c>
      <c r="E149" s="36"/>
      <c r="F149" s="36"/>
      <c r="G149" s="36"/>
      <c r="H149" s="36"/>
      <c r="I149" s="36"/>
      <c r="J149" s="36"/>
      <c r="K149" s="36"/>
      <c r="L149" s="36"/>
      <c r="M149" s="36"/>
      <c r="N149" s="36"/>
      <c r="O149" s="36"/>
      <c r="P149" s="36"/>
      <c r="Q149" s="36"/>
      <c r="R149" s="36"/>
    </row>
    <row r="150" spans="1:18" x14ac:dyDescent="0.25">
      <c r="A150" s="36"/>
      <c r="B150" s="36"/>
      <c r="C150" s="36"/>
      <c r="D150" s="36"/>
      <c r="E150" s="36"/>
      <c r="F150" s="36"/>
      <c r="G150" s="36"/>
      <c r="H150" s="36"/>
      <c r="I150" s="36"/>
      <c r="J150" s="36"/>
      <c r="K150" s="36"/>
      <c r="L150" s="36"/>
      <c r="M150" s="36"/>
      <c r="N150" s="36"/>
      <c r="O150" s="36"/>
      <c r="P150" s="36"/>
      <c r="Q150" s="36"/>
      <c r="R150" s="36"/>
    </row>
    <row r="151" spans="1:18" x14ac:dyDescent="0.25">
      <c r="A151" s="36"/>
      <c r="B151" s="36"/>
      <c r="C151" s="36"/>
      <c r="D151" s="36"/>
      <c r="E151" s="36"/>
      <c r="F151" s="36"/>
      <c r="G151" s="36"/>
      <c r="H151" s="36"/>
      <c r="I151" s="36"/>
      <c r="J151" s="36"/>
      <c r="K151" s="36"/>
      <c r="L151" s="36"/>
      <c r="M151" s="36"/>
      <c r="N151" s="36"/>
      <c r="O151" s="36"/>
      <c r="P151" s="36"/>
      <c r="Q151" s="36"/>
      <c r="R151" s="36"/>
    </row>
    <row r="152" spans="1:18" x14ac:dyDescent="0.25">
      <c r="A152" s="36"/>
      <c r="B152" s="36"/>
      <c r="C152" s="36"/>
      <c r="D152" s="36"/>
      <c r="E152" s="36"/>
      <c r="F152" s="36"/>
      <c r="G152" s="36"/>
      <c r="H152" s="36"/>
      <c r="I152" s="36"/>
      <c r="J152" s="36"/>
      <c r="K152" s="36"/>
      <c r="L152" s="36"/>
      <c r="M152" s="36"/>
      <c r="N152" s="36"/>
      <c r="O152" s="36"/>
      <c r="P152" s="36"/>
      <c r="Q152" s="36"/>
      <c r="R152" s="36"/>
    </row>
    <row r="153" spans="1:18" x14ac:dyDescent="0.25">
      <c r="A153" s="36"/>
      <c r="B153" s="36"/>
      <c r="C153" s="36"/>
      <c r="D153" s="36"/>
      <c r="E153" s="36"/>
      <c r="F153" s="36"/>
      <c r="G153" s="36"/>
      <c r="H153" s="36"/>
      <c r="I153" s="36"/>
      <c r="J153" s="36"/>
      <c r="K153" s="36"/>
      <c r="L153" s="36"/>
      <c r="M153" s="36"/>
      <c r="N153" s="36"/>
      <c r="O153" s="36"/>
      <c r="P153" s="36"/>
      <c r="Q153" s="36"/>
      <c r="R153" s="36"/>
    </row>
    <row r="154" spans="1:18" x14ac:dyDescent="0.25">
      <c r="A154" s="36"/>
      <c r="B154" s="36"/>
      <c r="C154" s="36"/>
      <c r="D154" s="36"/>
      <c r="E154" s="36"/>
      <c r="F154" s="36"/>
      <c r="G154" s="36"/>
      <c r="H154" s="36"/>
      <c r="I154" s="36"/>
      <c r="J154" s="36"/>
      <c r="K154" s="36"/>
      <c r="L154" s="36"/>
      <c r="M154" s="36"/>
      <c r="N154" s="36"/>
      <c r="O154" s="36"/>
      <c r="P154" s="36"/>
      <c r="Q154" s="36"/>
      <c r="R154" s="36"/>
    </row>
    <row r="155" spans="1:18" x14ac:dyDescent="0.25">
      <c r="A155" s="36"/>
      <c r="B155" s="36"/>
      <c r="C155" s="36"/>
      <c r="D155" s="36"/>
      <c r="E155" s="36"/>
      <c r="F155" s="36"/>
      <c r="G155" s="36"/>
      <c r="H155" s="36"/>
      <c r="I155" s="36"/>
      <c r="J155" s="36"/>
      <c r="K155" s="36"/>
      <c r="L155" s="36"/>
      <c r="M155" s="36"/>
      <c r="N155" s="36"/>
      <c r="O155" s="36"/>
      <c r="P155" s="36"/>
      <c r="Q155" s="36"/>
      <c r="R155" s="36"/>
    </row>
    <row r="156" spans="1:18" x14ac:dyDescent="0.25">
      <c r="A156" s="36"/>
      <c r="B156" s="36"/>
      <c r="C156" s="36"/>
      <c r="D156" s="36"/>
      <c r="E156" s="36"/>
      <c r="F156" s="36"/>
      <c r="G156" s="36"/>
      <c r="H156" s="36"/>
      <c r="I156" s="36"/>
      <c r="J156" s="36"/>
      <c r="K156" s="36"/>
      <c r="L156" s="36"/>
      <c r="M156" s="36"/>
      <c r="N156" s="36"/>
      <c r="O156" s="36"/>
      <c r="P156" s="36"/>
      <c r="Q156" s="36"/>
      <c r="R156" s="36"/>
    </row>
    <row r="157" spans="1:18" x14ac:dyDescent="0.25">
      <c r="A157" s="36"/>
      <c r="B157" s="36"/>
      <c r="C157" s="36"/>
      <c r="D157" s="36"/>
      <c r="E157" s="36"/>
      <c r="F157" s="36"/>
      <c r="G157" s="36"/>
      <c r="H157" s="36"/>
      <c r="I157" s="36"/>
      <c r="J157" s="36"/>
      <c r="K157" s="36"/>
      <c r="L157" s="36"/>
      <c r="M157" s="36"/>
      <c r="N157" s="36"/>
      <c r="O157" s="36"/>
      <c r="P157" s="36"/>
      <c r="Q157" s="36"/>
      <c r="R157" s="36"/>
    </row>
    <row r="158" spans="1:18" x14ac:dyDescent="0.25">
      <c r="A158" s="36"/>
      <c r="B158" s="36"/>
      <c r="C158" s="36"/>
      <c r="D158" s="36"/>
      <c r="E158" s="36"/>
      <c r="F158" s="36"/>
      <c r="G158" s="36"/>
      <c r="H158" s="36"/>
      <c r="I158" s="36"/>
      <c r="J158" s="36"/>
      <c r="K158" s="36"/>
      <c r="L158" s="36"/>
      <c r="M158" s="36"/>
      <c r="N158" s="36"/>
      <c r="O158" s="36"/>
      <c r="P158" s="36"/>
      <c r="Q158" s="36"/>
      <c r="R158" s="36"/>
    </row>
    <row r="159" spans="1:18" x14ac:dyDescent="0.25">
      <c r="A159" s="36"/>
      <c r="B159" s="36"/>
      <c r="C159" s="36"/>
      <c r="D159" s="36"/>
      <c r="E159" s="36"/>
      <c r="F159" s="36"/>
      <c r="G159" s="36"/>
      <c r="H159" s="36"/>
      <c r="I159" s="36"/>
      <c r="J159" s="36"/>
      <c r="K159" s="36"/>
      <c r="L159" s="36"/>
      <c r="M159" s="36"/>
      <c r="N159" s="36"/>
      <c r="O159" s="36"/>
      <c r="P159" s="36"/>
      <c r="Q159" s="36"/>
      <c r="R159" s="36"/>
    </row>
    <row r="160" spans="1:18" x14ac:dyDescent="0.25">
      <c r="A160" s="36"/>
      <c r="B160" s="36"/>
      <c r="C160" s="36"/>
      <c r="D160" s="36"/>
      <c r="E160" s="36"/>
      <c r="F160" s="36"/>
      <c r="G160" s="36"/>
      <c r="H160" s="36"/>
      <c r="I160" s="36"/>
      <c r="J160" s="36"/>
      <c r="K160" s="36"/>
      <c r="L160" s="36"/>
      <c r="M160" s="36"/>
      <c r="N160" s="36"/>
      <c r="O160" s="36"/>
      <c r="P160" s="36"/>
      <c r="Q160" s="36"/>
      <c r="R160" s="36"/>
    </row>
    <row r="161" spans="1:18" x14ac:dyDescent="0.25">
      <c r="A161" s="36"/>
      <c r="B161" s="36"/>
      <c r="C161" s="36"/>
      <c r="D161" s="36"/>
      <c r="E161" s="36"/>
      <c r="F161" s="36"/>
      <c r="G161" s="36"/>
      <c r="H161" s="36"/>
      <c r="I161" s="36"/>
      <c r="J161" s="36"/>
      <c r="K161" s="36"/>
      <c r="L161" s="36"/>
      <c r="M161" s="36"/>
      <c r="N161" s="36"/>
      <c r="O161" s="36"/>
      <c r="P161" s="36"/>
      <c r="Q161" s="36"/>
      <c r="R161" s="36"/>
    </row>
    <row r="162" spans="1:18" x14ac:dyDescent="0.25">
      <c r="A162" s="36"/>
      <c r="B162" s="36"/>
      <c r="C162" s="36"/>
      <c r="D162" s="36"/>
      <c r="E162" s="36"/>
      <c r="F162" s="36"/>
      <c r="G162" s="36"/>
      <c r="H162" s="36"/>
      <c r="I162" s="36"/>
      <c r="J162" s="36"/>
      <c r="K162" s="36"/>
      <c r="L162" s="36"/>
      <c r="M162" s="36"/>
      <c r="N162" s="36"/>
      <c r="O162" s="36"/>
      <c r="P162" s="36"/>
      <c r="Q162" s="36"/>
      <c r="R162" s="36"/>
    </row>
    <row r="163" spans="1:18" x14ac:dyDescent="0.25">
      <c r="A163" s="36"/>
      <c r="B163" s="36"/>
      <c r="C163" s="36"/>
      <c r="D163" s="36"/>
      <c r="E163" s="36"/>
      <c r="F163" s="36"/>
      <c r="G163" s="36"/>
      <c r="H163" s="36"/>
      <c r="I163" s="36"/>
      <c r="J163" s="36"/>
      <c r="K163" s="36"/>
      <c r="L163" s="36"/>
      <c r="M163" s="36"/>
      <c r="N163" s="36"/>
      <c r="O163" s="36"/>
      <c r="P163" s="36"/>
      <c r="Q163" s="36"/>
      <c r="R163" s="36"/>
    </row>
    <row r="164" spans="1:18" x14ac:dyDescent="0.25">
      <c r="A164" s="36"/>
      <c r="B164" s="36"/>
      <c r="C164" s="36"/>
      <c r="D164" s="36"/>
      <c r="E164" s="36"/>
      <c r="F164" s="36"/>
      <c r="G164" s="36"/>
      <c r="H164" s="36"/>
      <c r="I164" s="36"/>
      <c r="J164" s="36"/>
      <c r="K164" s="36"/>
      <c r="L164" s="36"/>
      <c r="M164" s="36"/>
      <c r="N164" s="36"/>
      <c r="O164" s="36"/>
      <c r="P164" s="36"/>
      <c r="Q164" s="36"/>
      <c r="R164" s="36"/>
    </row>
    <row r="165" spans="1:18" x14ac:dyDescent="0.25">
      <c r="A165" s="36"/>
      <c r="B165" s="36"/>
      <c r="C165" s="36"/>
      <c r="D165" s="36"/>
      <c r="E165" s="36"/>
      <c r="F165" s="36"/>
      <c r="G165" s="36"/>
      <c r="H165" s="36"/>
      <c r="I165" s="36"/>
      <c r="J165" s="36"/>
      <c r="K165" s="36"/>
      <c r="L165" s="36"/>
      <c r="M165" s="36"/>
      <c r="N165" s="36"/>
      <c r="O165" s="36"/>
      <c r="P165" s="36"/>
      <c r="Q165" s="36"/>
      <c r="R165" s="36"/>
    </row>
    <row r="166" spans="1:18" x14ac:dyDescent="0.25">
      <c r="A166" s="36"/>
      <c r="B166" s="36"/>
      <c r="C166" s="36"/>
      <c r="D166" s="36"/>
      <c r="E166" s="36"/>
      <c r="F166" s="36"/>
      <c r="G166" s="36"/>
      <c r="H166" s="36"/>
      <c r="I166" s="36"/>
      <c r="J166" s="36"/>
      <c r="K166" s="36"/>
      <c r="L166" s="36"/>
      <c r="M166" s="36"/>
      <c r="N166" s="36"/>
      <c r="O166" s="36"/>
      <c r="P166" s="36"/>
      <c r="Q166" s="36"/>
      <c r="R166" s="36"/>
    </row>
    <row r="167" spans="1:18" x14ac:dyDescent="0.25">
      <c r="A167" s="36"/>
      <c r="B167" s="36"/>
      <c r="C167" s="36"/>
      <c r="D167" s="36"/>
      <c r="E167" s="36"/>
      <c r="F167" s="36"/>
      <c r="G167" s="36"/>
      <c r="H167" s="36"/>
      <c r="I167" s="36"/>
      <c r="J167" s="36"/>
      <c r="K167" s="36"/>
      <c r="L167" s="36"/>
      <c r="M167" s="36"/>
      <c r="N167" s="36"/>
      <c r="O167" s="36"/>
      <c r="P167" s="36"/>
      <c r="Q167" s="36"/>
      <c r="R167" s="36"/>
    </row>
    <row r="168" spans="1:18" x14ac:dyDescent="0.25">
      <c r="A168" s="36"/>
      <c r="B168" s="36"/>
      <c r="C168" s="36"/>
      <c r="D168" s="36"/>
      <c r="E168" s="36"/>
      <c r="F168" s="36"/>
      <c r="G168" s="36"/>
      <c r="H168" s="36"/>
      <c r="I168" s="36"/>
      <c r="J168" s="36"/>
      <c r="K168" s="36"/>
      <c r="L168" s="36"/>
      <c r="M168" s="36"/>
      <c r="N168" s="36"/>
      <c r="O168" s="36"/>
      <c r="P168" s="36"/>
      <c r="Q168" s="36"/>
      <c r="R168" s="36"/>
    </row>
    <row r="169" spans="1:18" x14ac:dyDescent="0.25">
      <c r="A169" s="36"/>
      <c r="B169" s="36"/>
      <c r="C169" s="36"/>
      <c r="D169" s="36"/>
      <c r="E169" s="36"/>
      <c r="F169" s="36"/>
      <c r="G169" s="36"/>
      <c r="H169" s="36"/>
      <c r="I169" s="36"/>
      <c r="J169" s="36"/>
      <c r="K169" s="36"/>
      <c r="L169" s="36"/>
      <c r="M169" s="36"/>
      <c r="N169" s="36"/>
      <c r="O169" s="36"/>
      <c r="P169" s="36"/>
      <c r="Q169" s="36"/>
      <c r="R169" s="36"/>
    </row>
    <row r="170" spans="1:18" x14ac:dyDescent="0.25">
      <c r="A170" s="36"/>
      <c r="B170" s="36"/>
      <c r="C170" s="36"/>
      <c r="D170" s="36"/>
      <c r="E170" s="36"/>
      <c r="F170" s="36"/>
      <c r="G170" s="36"/>
      <c r="H170" s="36"/>
      <c r="I170" s="36"/>
      <c r="J170" s="36"/>
      <c r="K170" s="36"/>
      <c r="L170" s="36"/>
      <c r="M170" s="36"/>
      <c r="N170" s="36"/>
      <c r="O170" s="36"/>
      <c r="P170" s="36"/>
      <c r="Q170" s="36"/>
      <c r="R170" s="36"/>
    </row>
    <row r="171" spans="1:18" x14ac:dyDescent="0.25">
      <c r="P171" s="36"/>
      <c r="Q171" s="36"/>
      <c r="R171" s="36"/>
    </row>
    <row r="172" spans="1:18" x14ac:dyDescent="0.25">
      <c r="P172" s="36"/>
      <c r="Q172" s="36"/>
      <c r="R172" s="36"/>
    </row>
    <row r="173" spans="1:18" x14ac:dyDescent="0.25">
      <c r="P173" s="36"/>
      <c r="Q173" s="36"/>
      <c r="R173" s="36"/>
    </row>
    <row r="174" spans="1:18" x14ac:dyDescent="0.25">
      <c r="P174" s="36"/>
      <c r="Q174" s="36"/>
      <c r="R174" s="36"/>
    </row>
    <row r="175" spans="1:18" x14ac:dyDescent="0.25">
      <c r="P175" s="36"/>
      <c r="Q175" s="36"/>
      <c r="R175" s="36"/>
    </row>
    <row r="176" spans="1:18" x14ac:dyDescent="0.25">
      <c r="P176" s="36"/>
      <c r="Q176" s="36"/>
      <c r="R176" s="36"/>
    </row>
    <row r="177" spans="16:18" x14ac:dyDescent="0.25">
      <c r="P177" s="36"/>
      <c r="Q177" s="36"/>
      <c r="R177" s="36"/>
    </row>
    <row r="178" spans="16:18" x14ac:dyDescent="0.25">
      <c r="P178" s="36"/>
      <c r="Q178" s="36"/>
      <c r="R178" s="36"/>
    </row>
    <row r="179" spans="16:18" x14ac:dyDescent="0.25">
      <c r="P179" s="36"/>
      <c r="Q179" s="36"/>
      <c r="R179" s="36"/>
    </row>
    <row r="180" spans="16:18" x14ac:dyDescent="0.25">
      <c r="P180" s="36"/>
      <c r="Q180" s="36"/>
      <c r="R180" s="36"/>
    </row>
    <row r="181" spans="16:18" x14ac:dyDescent="0.25">
      <c r="P181" s="36"/>
      <c r="Q181" s="36"/>
      <c r="R181" s="36"/>
    </row>
    <row r="182" spans="16:18" x14ac:dyDescent="0.25">
      <c r="P182" s="36"/>
      <c r="Q182" s="36"/>
      <c r="R182" s="36"/>
    </row>
    <row r="183" spans="16:18" x14ac:dyDescent="0.25">
      <c r="P183" s="36"/>
      <c r="Q183" s="36"/>
      <c r="R183" s="36"/>
    </row>
    <row r="184" spans="16:18" x14ac:dyDescent="0.25">
      <c r="P184" s="36"/>
      <c r="Q184" s="36"/>
      <c r="R184" s="36"/>
    </row>
    <row r="185" spans="16:18" x14ac:dyDescent="0.25">
      <c r="P185" s="36"/>
      <c r="Q185" s="36"/>
      <c r="R185" s="36"/>
    </row>
    <row r="186" spans="16:18" x14ac:dyDescent="0.25">
      <c r="P186" s="36"/>
      <c r="Q186" s="36"/>
      <c r="R186" s="36"/>
    </row>
    <row r="187" spans="16:18" x14ac:dyDescent="0.25">
      <c r="P187" s="36"/>
      <c r="Q187" s="36"/>
      <c r="R187" s="36"/>
    </row>
    <row r="188" spans="16:18" x14ac:dyDescent="0.25">
      <c r="P188" s="36"/>
      <c r="Q188" s="36"/>
      <c r="R188" s="36"/>
    </row>
    <row r="189" spans="16:18" x14ac:dyDescent="0.25">
      <c r="P189" s="36"/>
      <c r="Q189" s="36"/>
      <c r="R189" s="36"/>
    </row>
    <row r="190" spans="16:18" x14ac:dyDescent="0.25">
      <c r="P190" s="36"/>
      <c r="Q190" s="36"/>
      <c r="R190" s="36"/>
    </row>
    <row r="191" spans="16:18" x14ac:dyDescent="0.25">
      <c r="P191" s="36"/>
      <c r="Q191" s="36"/>
      <c r="R191" s="36"/>
    </row>
    <row r="192" spans="16:18" x14ac:dyDescent="0.25">
      <c r="P192" s="36"/>
      <c r="Q192" s="36"/>
      <c r="R192" s="36"/>
    </row>
    <row r="193" spans="16:18" x14ac:dyDescent="0.25">
      <c r="P193" s="36"/>
      <c r="Q193" s="36"/>
      <c r="R193" s="36"/>
    </row>
    <row r="194" spans="16:18" x14ac:dyDescent="0.25">
      <c r="P194" s="36"/>
      <c r="Q194" s="36"/>
      <c r="R194" s="36"/>
    </row>
    <row r="195" spans="16:18" x14ac:dyDescent="0.25">
      <c r="P195" s="36"/>
      <c r="Q195" s="36"/>
      <c r="R195" s="36"/>
    </row>
    <row r="196" spans="16:18" x14ac:dyDescent="0.25">
      <c r="P196" s="36"/>
      <c r="Q196" s="36"/>
      <c r="R196" s="36"/>
    </row>
    <row r="197" spans="16:18" x14ac:dyDescent="0.25">
      <c r="P197" s="36"/>
      <c r="Q197" s="36"/>
      <c r="R197" s="36"/>
    </row>
    <row r="198" spans="16:18" x14ac:dyDescent="0.25">
      <c r="P198" s="36"/>
      <c r="Q198" s="36"/>
      <c r="R198" s="36"/>
    </row>
    <row r="199" spans="16:18" x14ac:dyDescent="0.25">
      <c r="P199" s="36"/>
      <c r="Q199" s="36"/>
      <c r="R199" s="36"/>
    </row>
  </sheetData>
  <mergeCells count="15">
    <mergeCell ref="A3:A4"/>
    <mergeCell ref="B3:B4"/>
    <mergeCell ref="C3:C4"/>
    <mergeCell ref="A51:A67"/>
    <mergeCell ref="A5:A11"/>
    <mergeCell ref="A13:A29"/>
    <mergeCell ref="A31:A43"/>
    <mergeCell ref="A45:A49"/>
    <mergeCell ref="I1:L1"/>
    <mergeCell ref="M1:P1"/>
    <mergeCell ref="Q3:Q4"/>
    <mergeCell ref="D3:D4"/>
    <mergeCell ref="I3:L3"/>
    <mergeCell ref="M3:P3"/>
    <mergeCell ref="E3:H3"/>
  </mergeCells>
  <phoneticPr fontId="0" type="noConversion"/>
  <pageMargins left="0.75" right="0.75" top="1" bottom="1" header="0.5" footer="0.5"/>
  <pageSetup paperSize="5" scale="50" orientation="landscape" r:id="rId1"/>
  <headerFooter alignWithMargins="0">
    <oddFooter>&amp;L&amp;"Arial,Italic" 7/02/07&amp;C&amp;"Arial,Italic"&amp;A&amp;R&amp;"Arial,Italic"NJAES Report 2007-1 ©2007
New Jersey Agricultural Experiment Station</oddFooter>
  </headerFooter>
  <ignoredErrors>
    <ignoredError sqref="D67" formula="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S199"/>
  <sheetViews>
    <sheetView topLeftCell="A118" zoomScaleNormal="100" workbookViewId="0">
      <selection activeCell="C147" sqref="C147"/>
    </sheetView>
  </sheetViews>
  <sheetFormatPr defaultColWidth="9.109375" defaultRowHeight="13.2" x14ac:dyDescent="0.25"/>
  <cols>
    <col min="1" max="1" width="28.6640625" style="5" customWidth="1"/>
    <col min="2" max="2" width="42.6640625" style="5" customWidth="1"/>
    <col min="3" max="3" width="23.6640625" style="5" customWidth="1"/>
    <col min="4" max="4" width="18.6640625" style="5" customWidth="1"/>
    <col min="5" max="16" width="14.6640625" style="5" customWidth="1"/>
    <col min="17" max="17" width="45.6640625" style="5" customWidth="1"/>
    <col min="18" max="18" width="34.44140625" style="5" customWidth="1"/>
    <col min="19" max="19" width="19.33203125" style="5" customWidth="1"/>
    <col min="20" max="20" width="14" style="5" customWidth="1"/>
    <col min="21" max="16384" width="9.109375" style="5"/>
  </cols>
  <sheetData>
    <row r="1" spans="1:17" ht="15.6" x14ac:dyDescent="0.3">
      <c r="A1" s="407" t="s">
        <v>444</v>
      </c>
      <c r="E1" s="412" t="s">
        <v>433</v>
      </c>
      <c r="I1" s="1195" t="str">
        <f>'Bioenergy Calculator'!B3</f>
        <v>None</v>
      </c>
      <c r="J1" s="1195"/>
      <c r="K1" s="1195"/>
      <c r="L1" s="1196"/>
      <c r="M1" s="1195" t="str">
        <f>'Bioenergy Calculator'!B4</f>
        <v>None</v>
      </c>
      <c r="N1" s="1195"/>
      <c r="O1" s="1195"/>
      <c r="P1" s="1196"/>
    </row>
    <row r="3" spans="1:17" s="6" customFormat="1" ht="24.75" customHeight="1" x14ac:dyDescent="0.25">
      <c r="A3" s="1062" t="s">
        <v>567</v>
      </c>
      <c r="B3" s="1062" t="s">
        <v>506</v>
      </c>
      <c r="C3" s="1062" t="s">
        <v>1035</v>
      </c>
      <c r="D3" s="1062" t="s">
        <v>1051</v>
      </c>
      <c r="E3" s="1083" t="s">
        <v>523</v>
      </c>
      <c r="F3" s="1209"/>
      <c r="G3" s="1209"/>
      <c r="H3" s="1198"/>
      <c r="I3" s="1072" t="s">
        <v>275</v>
      </c>
      <c r="J3" s="1073"/>
      <c r="K3" s="1074"/>
      <c r="L3" s="1075"/>
      <c r="M3" s="1083" t="s">
        <v>274</v>
      </c>
      <c r="N3" s="1084"/>
      <c r="O3" s="1197"/>
      <c r="P3" s="1198"/>
      <c r="Q3" s="1060" t="s">
        <v>570</v>
      </c>
    </row>
    <row r="4" spans="1:17" s="6" customFormat="1" x14ac:dyDescent="0.25">
      <c r="A4" s="1063"/>
      <c r="B4" s="1063"/>
      <c r="C4" s="1063"/>
      <c r="D4" s="1071"/>
      <c r="E4" s="22">
        <v>2010</v>
      </c>
      <c r="F4" s="22">
        <v>2015</v>
      </c>
      <c r="G4" s="22">
        <v>2020</v>
      </c>
      <c r="H4" s="22">
        <v>2025</v>
      </c>
      <c r="I4" s="22">
        <v>2010</v>
      </c>
      <c r="J4" s="22">
        <v>2015</v>
      </c>
      <c r="K4" s="22">
        <v>2020</v>
      </c>
      <c r="L4" s="22">
        <v>2025</v>
      </c>
      <c r="M4" s="22">
        <v>2010</v>
      </c>
      <c r="N4" s="22">
        <v>2015</v>
      </c>
      <c r="O4" s="22">
        <v>2020</v>
      </c>
      <c r="P4" s="22">
        <v>2025</v>
      </c>
      <c r="Q4" s="1061"/>
    </row>
    <row r="5" spans="1:17" x14ac:dyDescent="0.25">
      <c r="A5" s="1064" t="s">
        <v>513</v>
      </c>
      <c r="B5" s="1" t="s">
        <v>511</v>
      </c>
      <c r="C5" s="13"/>
      <c r="D5" s="13"/>
      <c r="E5" s="13"/>
      <c r="F5" s="13"/>
      <c r="G5" s="13"/>
      <c r="H5" s="13"/>
      <c r="I5" s="7"/>
      <c r="J5" s="7"/>
      <c r="K5" s="7"/>
      <c r="L5" s="7"/>
      <c r="M5" s="7"/>
      <c r="N5" s="7"/>
      <c r="O5" s="7"/>
      <c r="P5" s="7"/>
      <c r="Q5" s="7"/>
    </row>
    <row r="6" spans="1:17" x14ac:dyDescent="0.25">
      <c r="A6" s="1064"/>
      <c r="B6" s="11" t="str">
        <f>IF('Prac. Rec. Assumptions'!$B$56='Prac. Rec. Assumptions'!$V$3,A74,IF('Prac. Rec. Assumptions'!B57="No",A74,"Sorghum- Converted to Energy Crop"))</f>
        <v>Sorghum</v>
      </c>
      <c r="C6" s="294">
        <f>IF('Prac. Rec. Assumptions'!$B$56='Prac. Rec. Assumptions'!$V$3,D74,IF('Prac. Rec. Assumptions'!B57="No",D74,0))</f>
        <v>643.59679999999992</v>
      </c>
      <c r="D6" s="294" t="s">
        <v>431</v>
      </c>
      <c r="E6" s="294">
        <f>C6*'Prac. Rec. Assumptions'!B4</f>
        <v>0</v>
      </c>
      <c r="F6" s="294">
        <f>$E6</f>
        <v>0</v>
      </c>
      <c r="G6" s="294">
        <f>$E6</f>
        <v>0</v>
      </c>
      <c r="H6" s="294">
        <f>$E6</f>
        <v>0</v>
      </c>
      <c r="I6" s="16" t="str">
        <f>IF('Conversion Tables'!F7="NA","NA",$D6/'Conversion Tables'!F7)</f>
        <v>NA</v>
      </c>
      <c r="J6" s="16" t="str">
        <f>IF('Conversion Tables'!G7="NA","NA",$D6/'Conversion Tables'!G7)</f>
        <v>NA</v>
      </c>
      <c r="K6" s="16" t="str">
        <f>IF('Conversion Tables'!H7="NA","NA",$D6/'Conversion Tables'!H7)</f>
        <v>NA</v>
      </c>
      <c r="L6" s="16" t="str">
        <f>IF('Conversion Tables'!H7="NA","NA",$D6/'Conversion Tables'!H7)</f>
        <v>NA</v>
      </c>
      <c r="M6" s="16" t="str">
        <f>IF('Conversion Tables'!K7="NA","NA",$C74*'Conversion Tables'!K7)</f>
        <v>NA</v>
      </c>
      <c r="N6" s="16" t="str">
        <f>IF('Conversion Tables'!L7="NA","NA",$C74*'Conversion Tables'!L7)</f>
        <v>NA</v>
      </c>
      <c r="O6" s="16" t="str">
        <f>IF('Conversion Tables'!M7="NA","NA",$C74*'Conversion Tables'!M7)</f>
        <v>NA</v>
      </c>
      <c r="P6" s="16" t="str">
        <f>IF('Conversion Tables'!N7="NA","NA",$C74*'Conversion Tables'!N7)</f>
        <v>NA</v>
      </c>
      <c r="Q6" s="15"/>
    </row>
    <row r="7" spans="1:17" x14ac:dyDescent="0.25">
      <c r="A7" s="1064"/>
      <c r="B7" s="11" t="str">
        <f>IF('Prac. Rec. Assumptions'!$B$56='Prac. Rec. Assumptions'!$V$3,A75,IF('Prac. Rec. Assumptions'!B59="No",A75,"Rye- Converted to Energy Crop"))</f>
        <v>Rye</v>
      </c>
      <c r="C7" s="294">
        <f>IF('Prac. Rec. Assumptions'!$B$56='Prac. Rec. Assumptions'!$V$3,D75,IF('Prac. Rec. Assumptions'!B59="No",D75,0))</f>
        <v>569.47799999999995</v>
      </c>
      <c r="D7" s="294" t="s">
        <v>431</v>
      </c>
      <c r="E7" s="294">
        <f>C7*'Prac. Rec. Assumptions'!B5</f>
        <v>0</v>
      </c>
      <c r="F7" s="294">
        <f t="shared" ref="F7:H10" si="0">$E7</f>
        <v>0</v>
      </c>
      <c r="G7" s="294">
        <f t="shared" si="0"/>
        <v>0</v>
      </c>
      <c r="H7" s="294">
        <f t="shared" si="0"/>
        <v>0</v>
      </c>
      <c r="I7" s="16" t="str">
        <f>IF('Conversion Tables'!F8="NA","NA",$D7/'Conversion Tables'!F8)</f>
        <v>NA</v>
      </c>
      <c r="J7" s="16" t="str">
        <f>IF('Conversion Tables'!G8="NA","NA",$D7/'Conversion Tables'!G8)</f>
        <v>NA</v>
      </c>
      <c r="K7" s="16" t="str">
        <f>IF('Conversion Tables'!H8="NA","NA",$D7/'Conversion Tables'!H8)</f>
        <v>NA</v>
      </c>
      <c r="L7" s="16" t="str">
        <f>IF('Conversion Tables'!H8="NA","NA",$D7/'Conversion Tables'!H8)</f>
        <v>NA</v>
      </c>
      <c r="M7" s="16" t="str">
        <f>IF('Conversion Tables'!K8="NA","NA",$C75*'Conversion Tables'!K8)</f>
        <v>NA</v>
      </c>
      <c r="N7" s="16" t="str">
        <f>IF('Conversion Tables'!L8="NA","NA",$C75*'Conversion Tables'!L8)</f>
        <v>NA</v>
      </c>
      <c r="O7" s="16" t="str">
        <f>IF('Conversion Tables'!M8="NA","NA",$C75*'Conversion Tables'!M8)</f>
        <v>NA</v>
      </c>
      <c r="P7" s="16" t="str">
        <f>IF('Conversion Tables'!N8="NA","NA",$C75*'Conversion Tables'!N8)</f>
        <v>NA</v>
      </c>
      <c r="Q7" s="15"/>
    </row>
    <row r="8" spans="1:17" x14ac:dyDescent="0.25">
      <c r="A8" s="1064"/>
      <c r="B8" s="11" t="str">
        <f>IF('Prac. Rec. Assumptions'!$B$56='Prac. Rec. Assumptions'!$V$3,A76,IF('Prac. Rec. Assumptions'!B60="No",A76,"Corn for Grain- Converted to Energy Crop"))</f>
        <v>Corn for Grain</v>
      </c>
      <c r="C8" s="294">
        <f>IF('Prac. Rec. Assumptions'!$B$56='Prac. Rec. Assumptions'!$V$3,D76,IF('Prac. Rec. Assumptions'!B60="No",D76,0))</f>
        <v>10213</v>
      </c>
      <c r="D8" s="294" t="s">
        <v>431</v>
      </c>
      <c r="E8" s="294">
        <f>C8*'Prac. Rec. Assumptions'!B6</f>
        <v>0</v>
      </c>
      <c r="F8" s="294">
        <f t="shared" si="0"/>
        <v>0</v>
      </c>
      <c r="G8" s="294">
        <f t="shared" si="0"/>
        <v>0</v>
      </c>
      <c r="H8" s="294">
        <f t="shared" si="0"/>
        <v>0</v>
      </c>
      <c r="I8" s="16" t="str">
        <f>IF('Conversion Tables'!F9="NA","NA",$D8/'Conversion Tables'!F9)</f>
        <v>NA</v>
      </c>
      <c r="J8" s="16" t="str">
        <f>IF('Conversion Tables'!G9="NA","NA",$D8/'Conversion Tables'!G9)</f>
        <v>NA</v>
      </c>
      <c r="K8" s="16" t="str">
        <f>IF('Conversion Tables'!H9="NA","NA",$D8/'Conversion Tables'!H9)</f>
        <v>NA</v>
      </c>
      <c r="L8" s="16" t="str">
        <f>IF('Conversion Tables'!H9="NA","NA",$D8/'Conversion Tables'!H9)</f>
        <v>NA</v>
      </c>
      <c r="M8" s="16" t="str">
        <f>IF('Conversion Tables'!K9="NA","NA",$C76*'Conversion Tables'!K9)</f>
        <v>NA</v>
      </c>
      <c r="N8" s="16" t="str">
        <f>IF('Conversion Tables'!L9="NA","NA",$C76*'Conversion Tables'!L9)</f>
        <v>NA</v>
      </c>
      <c r="O8" s="16" t="str">
        <f>IF('Conversion Tables'!M9="NA","NA",$C76*'Conversion Tables'!M9)</f>
        <v>NA</v>
      </c>
      <c r="P8" s="16" t="str">
        <f>IF('Conversion Tables'!N9="NA","NA",$C76*'Conversion Tables'!N9)</f>
        <v>NA</v>
      </c>
      <c r="Q8" s="15"/>
    </row>
    <row r="9" spans="1:17" x14ac:dyDescent="0.25">
      <c r="A9" s="1064"/>
      <c r="B9" s="11" t="str">
        <f>IF('Prac. Rec. Assumptions'!$B$56='Prac. Rec. Assumptions'!$V$3,A78,IF('Prac. Rec. Assumptions'!B64="No",A78,"Wheat- Converted to Energy Crop"))</f>
        <v>Wheat</v>
      </c>
      <c r="C9" s="294">
        <f>IF('Prac. Rec. Assumptions'!$B$56='Prac. Rec. Assumptions'!$V$3,D78,IF('Prac. Rec. Assumptions'!B64="No",D78,0))</f>
        <v>6846.12</v>
      </c>
      <c r="D9" s="294" t="s">
        <v>431</v>
      </c>
      <c r="E9" s="294">
        <f>C9*'Prac. Rec. Assumptions'!B7</f>
        <v>0</v>
      </c>
      <c r="F9" s="294">
        <f t="shared" si="0"/>
        <v>0</v>
      </c>
      <c r="G9" s="294">
        <f t="shared" si="0"/>
        <v>0</v>
      </c>
      <c r="H9" s="294">
        <f t="shared" si="0"/>
        <v>0</v>
      </c>
      <c r="I9" s="16" t="str">
        <f>IF('Conversion Tables'!F10="NA","NA",$D9/'Conversion Tables'!F10)</f>
        <v>NA</v>
      </c>
      <c r="J9" s="16" t="str">
        <f>IF('Conversion Tables'!G10="NA","NA",$D9/'Conversion Tables'!G10)</f>
        <v>NA</v>
      </c>
      <c r="K9" s="16" t="str">
        <f>IF('Conversion Tables'!H10="NA","NA",$D9/'Conversion Tables'!H10)</f>
        <v>NA</v>
      </c>
      <c r="L9" s="16" t="str">
        <f>IF('Conversion Tables'!H10="NA","NA",$D9/'Conversion Tables'!H10)</f>
        <v>NA</v>
      </c>
      <c r="M9" s="16" t="str">
        <f>IF('Conversion Tables'!K10="NA","NA",$C78*'Conversion Tables'!K10)</f>
        <v>NA</v>
      </c>
      <c r="N9" s="16" t="str">
        <f>IF('Conversion Tables'!L10="NA","NA",$C78*'Conversion Tables'!L10)</f>
        <v>NA</v>
      </c>
      <c r="O9" s="16" t="str">
        <f>IF('Conversion Tables'!M10="NA","NA",$C78*'Conversion Tables'!M10)</f>
        <v>NA</v>
      </c>
      <c r="P9" s="16" t="str">
        <f>IF('Conversion Tables'!N10="NA","NA",$C78*'Conversion Tables'!N10)</f>
        <v>NA</v>
      </c>
      <c r="Q9" s="15"/>
    </row>
    <row r="10" spans="1:17" x14ac:dyDescent="0.25">
      <c r="A10" s="1064"/>
      <c r="B10" s="129" t="s">
        <v>301</v>
      </c>
      <c r="C10" s="294"/>
      <c r="D10" s="294" t="s">
        <v>431</v>
      </c>
      <c r="E10" s="294">
        <f>C10*'Prac. Rec. Assumptions'!B8</f>
        <v>0</v>
      </c>
      <c r="F10" s="294">
        <f t="shared" si="0"/>
        <v>0</v>
      </c>
      <c r="G10" s="294">
        <f t="shared" si="0"/>
        <v>0</v>
      </c>
      <c r="H10" s="294">
        <f t="shared" si="0"/>
        <v>0</v>
      </c>
      <c r="I10" s="16" t="str">
        <f>IF('Conversion Tables'!F11="NA","NA",$D10/'Conversion Tables'!F11)</f>
        <v>NA</v>
      </c>
      <c r="J10" s="16" t="str">
        <f>IF('Conversion Tables'!G11="NA","NA",$D10/'Conversion Tables'!G11)</f>
        <v>NA</v>
      </c>
      <c r="K10" s="16" t="str">
        <f>IF('Conversion Tables'!H11="NA","NA",$D10/'Conversion Tables'!H11)</f>
        <v>NA</v>
      </c>
      <c r="L10" s="16" t="str">
        <f>IF('Conversion Tables'!H11="NA","NA",$D10/'Conversion Tables'!H11)</f>
        <v>NA</v>
      </c>
      <c r="M10" s="16" t="str">
        <f>IF('Conversion Tables'!K11="NA","NA",E10*'Conversion Tables'!K11)</f>
        <v>NA</v>
      </c>
      <c r="N10" s="16" t="str">
        <f>IF('Conversion Tables'!L11="NA","NA",F10*'Conversion Tables'!L11)</f>
        <v>NA</v>
      </c>
      <c r="O10" s="16" t="str">
        <f>IF('Conversion Tables'!M11="NA","NA",G10*'Conversion Tables'!M11)</f>
        <v>NA</v>
      </c>
      <c r="P10" s="16" t="str">
        <f>IF('Conversion Tables'!N11="NA","NA",H10*'Conversion Tables'!N11)</f>
        <v>NA</v>
      </c>
      <c r="Q10" s="7"/>
    </row>
    <row r="11" spans="1:17" x14ac:dyDescent="0.25">
      <c r="A11" s="1065"/>
      <c r="B11" s="9" t="s">
        <v>524</v>
      </c>
      <c r="C11" s="295">
        <f t="shared" ref="C11:P11" si="1">SUM(C5:C10)</f>
        <v>18272.194800000001</v>
      </c>
      <c r="D11" s="295">
        <f t="shared" si="1"/>
        <v>0</v>
      </c>
      <c r="E11" s="295">
        <f t="shared" si="1"/>
        <v>0</v>
      </c>
      <c r="F11" s="295">
        <f t="shared" si="1"/>
        <v>0</v>
      </c>
      <c r="G11" s="295">
        <f t="shared" si="1"/>
        <v>0</v>
      </c>
      <c r="H11" s="295">
        <f t="shared" si="1"/>
        <v>0</v>
      </c>
      <c r="I11" s="19">
        <f t="shared" si="1"/>
        <v>0</v>
      </c>
      <c r="J11" s="19">
        <f t="shared" si="1"/>
        <v>0</v>
      </c>
      <c r="K11" s="19">
        <f t="shared" si="1"/>
        <v>0</v>
      </c>
      <c r="L11" s="19">
        <f t="shared" si="1"/>
        <v>0</v>
      </c>
      <c r="M11" s="19">
        <f t="shared" si="1"/>
        <v>0</v>
      </c>
      <c r="N11" s="19">
        <f t="shared" si="1"/>
        <v>0</v>
      </c>
      <c r="O11" s="19">
        <f t="shared" si="1"/>
        <v>0</v>
      </c>
      <c r="P11" s="19">
        <f t="shared" si="1"/>
        <v>0</v>
      </c>
      <c r="Q11" s="19"/>
    </row>
    <row r="12" spans="1:17" x14ac:dyDescent="0.25">
      <c r="A12" s="8"/>
      <c r="C12" s="296"/>
      <c r="D12" s="296"/>
      <c r="E12" s="296"/>
      <c r="F12" s="296"/>
      <c r="G12" s="296"/>
      <c r="H12" s="296"/>
      <c r="I12" s="28"/>
      <c r="J12" s="28"/>
      <c r="K12" s="28"/>
      <c r="L12" s="28"/>
      <c r="M12" s="28"/>
      <c r="N12" s="28"/>
      <c r="O12" s="28"/>
      <c r="P12" s="28"/>
    </row>
    <row r="13" spans="1:17" x14ac:dyDescent="0.25">
      <c r="A13" s="1206" t="s">
        <v>514</v>
      </c>
      <c r="B13" s="1" t="s">
        <v>507</v>
      </c>
      <c r="C13" s="294">
        <f>D90</f>
        <v>0</v>
      </c>
      <c r="D13" s="294">
        <f>E13*'Conversion Tables'!C12</f>
        <v>0</v>
      </c>
      <c r="E13" s="294">
        <f>C13*'Prac. Rec. Assumptions'!B9</f>
        <v>0</v>
      </c>
      <c r="F13" s="294">
        <f>$E13</f>
        <v>0</v>
      </c>
      <c r="G13" s="294">
        <f>$E13</f>
        <v>0</v>
      </c>
      <c r="H13" s="294">
        <f>$E13</f>
        <v>0</v>
      </c>
      <c r="I13" s="16" t="str">
        <f>IF('Conversion Tables'!F12="NA","NA",(E13*'Conversion Tables'!$C12)/'Conversion Tables'!F12)</f>
        <v>NA</v>
      </c>
      <c r="J13" s="16" t="str">
        <f>IF('Conversion Tables'!G12="NA","NA",(F13*'Conversion Tables'!$C12)/'Conversion Tables'!G12)</f>
        <v>NA</v>
      </c>
      <c r="K13" s="16" t="str">
        <f>IF('Conversion Tables'!H12="NA","NA",(G13*'Conversion Tables'!$C12)/'Conversion Tables'!H12)</f>
        <v>NA</v>
      </c>
      <c r="L13" s="16" t="str">
        <f>IF('Conversion Tables'!I12="NA","NA",(H13*'Conversion Tables'!$C12)/'Conversion Tables'!I12)</f>
        <v>NA</v>
      </c>
      <c r="M13" s="16" t="str">
        <f>IF('Conversion Tables'!K12="NA","NA",E13*'Conversion Tables'!K12)</f>
        <v>NA</v>
      </c>
      <c r="N13" s="16" t="str">
        <f>IF('Conversion Tables'!L12="NA","NA",F13*'Conversion Tables'!L12)</f>
        <v>NA</v>
      </c>
      <c r="O13" s="16" t="str">
        <f>IF('Conversion Tables'!M12="NA","NA",G13*'Conversion Tables'!M12)</f>
        <v>NA</v>
      </c>
      <c r="P13" s="16" t="str">
        <f>IF('Conversion Tables'!N12="NA","NA",H13*'Conversion Tables'!N12)</f>
        <v>NA</v>
      </c>
      <c r="Q13" s="7"/>
    </row>
    <row r="14" spans="1:17" x14ac:dyDescent="0.25">
      <c r="A14" s="1207"/>
      <c r="B14" s="1" t="s">
        <v>504</v>
      </c>
      <c r="C14" s="294"/>
      <c r="D14" s="294"/>
      <c r="E14" s="294"/>
      <c r="F14" s="294"/>
      <c r="G14" s="294"/>
      <c r="H14" s="294"/>
      <c r="I14" s="16"/>
      <c r="J14" s="16"/>
      <c r="K14" s="16"/>
      <c r="L14" s="16"/>
      <c r="M14" s="16"/>
      <c r="N14" s="16"/>
      <c r="O14" s="16"/>
      <c r="P14" s="16"/>
      <c r="Q14" s="7"/>
    </row>
    <row r="15" spans="1:17" x14ac:dyDescent="0.25">
      <c r="A15" s="1207"/>
      <c r="B15" s="11" t="str">
        <f>IF('Prac. Rec. Assumptions'!$B$56='Prac. Rec. Assumptions'!$V$3,A81,IF('Prac. Rec. Assumptions'!B57="No",A81,"Sweet Corn- Converted to Energy Crop"))</f>
        <v>Sweet Corn</v>
      </c>
      <c r="C15" s="294">
        <f>IF('Prac. Rec. Assumptions'!$B$56='Prac. Rec. Assumptions'!$V$3,D81,IF('Prac. Rec. Assumptions'!B58="No",D81,0))</f>
        <v>397.8</v>
      </c>
      <c r="D15" s="294">
        <f>E15*'Conversion Tables'!C14</f>
        <v>5006.5516799999996</v>
      </c>
      <c r="E15" s="294">
        <f>C15*'Prac. Rec. Assumptions'!B11</f>
        <v>318.24</v>
      </c>
      <c r="F15" s="294">
        <f>$E15</f>
        <v>318.24</v>
      </c>
      <c r="G15" s="294">
        <f>$E15</f>
        <v>318.24</v>
      </c>
      <c r="H15" s="294">
        <f>$E15</f>
        <v>318.24</v>
      </c>
      <c r="I15" s="16" t="str">
        <f>IF('Conversion Tables'!F14="NA","NA",(E15*'Conversion Tables'!$C14)/'Conversion Tables'!F14)</f>
        <v>NA</v>
      </c>
      <c r="J15" s="16" t="str">
        <f>IF('Conversion Tables'!G14="NA","NA",(F15*'Conversion Tables'!$C14)/'Conversion Tables'!G14)</f>
        <v>NA</v>
      </c>
      <c r="K15" s="16" t="str">
        <f>IF('Conversion Tables'!H14="NA","NA",(G15*'Conversion Tables'!$C14)/'Conversion Tables'!H14)</f>
        <v>NA</v>
      </c>
      <c r="L15" s="16" t="str">
        <f>IF('Conversion Tables'!I14="NA","NA",(H15*'Conversion Tables'!$C14)/'Conversion Tables'!I14)</f>
        <v>NA</v>
      </c>
      <c r="M15" s="16" t="str">
        <f>IF('Conversion Tables'!K14="NA","NA",E15*'Conversion Tables'!K14)</f>
        <v>NA</v>
      </c>
      <c r="N15" s="16" t="str">
        <f>IF('Conversion Tables'!L14="NA","NA",F15*'Conversion Tables'!L14)</f>
        <v>NA</v>
      </c>
      <c r="O15" s="16" t="str">
        <f>IF('Conversion Tables'!M14="NA","NA",G15*'Conversion Tables'!M14)</f>
        <v>NA</v>
      </c>
      <c r="P15" s="16" t="str">
        <f>IF('Conversion Tables'!N14="NA","NA",H15*'Conversion Tables'!N14)</f>
        <v>NA</v>
      </c>
      <c r="Q15" s="15"/>
    </row>
    <row r="16" spans="1:17" x14ac:dyDescent="0.25">
      <c r="A16" s="1207"/>
      <c r="B16" s="11" t="str">
        <f>IF('Prac. Rec. Assumptions'!$B$56='Prac. Rec. Assumptions'!$V$3,A82,IF('Prac. Rec. Assumptions'!B58="No",A82,"Rye- Converted to Energy Crop"))</f>
        <v>Rye</v>
      </c>
      <c r="C16" s="294">
        <f>IF('Prac. Rec. Assumptions'!$B$56='Prac. Rec. Assumptions'!$V$3,D82,IF('Prac. Rec. Assumptions'!B59="No",D82,0))</f>
        <v>2032.9875</v>
      </c>
      <c r="D16" s="294">
        <f>E16*'Conversion Tables'!C15</f>
        <v>0</v>
      </c>
      <c r="E16" s="294">
        <f>C16*'Prac. Rec. Assumptions'!B12</f>
        <v>0</v>
      </c>
      <c r="F16" s="294">
        <f t="shared" ref="F16:H23" si="2">$E16</f>
        <v>0</v>
      </c>
      <c r="G16" s="294">
        <f t="shared" si="2"/>
        <v>0</v>
      </c>
      <c r="H16" s="294">
        <f t="shared" si="2"/>
        <v>0</v>
      </c>
      <c r="I16" s="16" t="str">
        <f>IF('Conversion Tables'!F15="NA","NA",(E16*'Conversion Tables'!$C15)/'Conversion Tables'!F15)</f>
        <v>NA</v>
      </c>
      <c r="J16" s="16" t="str">
        <f>IF('Conversion Tables'!G15="NA","NA",(F16*'Conversion Tables'!$C15)/'Conversion Tables'!G15)</f>
        <v>NA</v>
      </c>
      <c r="K16" s="16" t="str">
        <f>IF('Conversion Tables'!H15="NA","NA",(G16*'Conversion Tables'!$C15)/'Conversion Tables'!H15)</f>
        <v>NA</v>
      </c>
      <c r="L16" s="16" t="str">
        <f>IF('Conversion Tables'!I15="NA","NA",(H16*'Conversion Tables'!$C15)/'Conversion Tables'!I15)</f>
        <v>NA</v>
      </c>
      <c r="M16" s="16" t="str">
        <f>IF('Conversion Tables'!K15="NA","NA",E16*'Conversion Tables'!K15)</f>
        <v>NA</v>
      </c>
      <c r="N16" s="16" t="str">
        <f>IF('Conversion Tables'!L15="NA","NA",F16*'Conversion Tables'!L15)</f>
        <v>NA</v>
      </c>
      <c r="O16" s="16" t="str">
        <f>IF('Conversion Tables'!M15="NA","NA",G16*'Conversion Tables'!M15)</f>
        <v>NA</v>
      </c>
      <c r="P16" s="16" t="str">
        <f>IF('Conversion Tables'!N15="NA","NA",H16*'Conversion Tables'!N15)</f>
        <v>NA</v>
      </c>
      <c r="Q16" s="15"/>
    </row>
    <row r="17" spans="1:17" x14ac:dyDescent="0.25">
      <c r="A17" s="1207"/>
      <c r="B17" s="11" t="str">
        <f>IF('Prac. Rec. Assumptions'!$B$56='Prac. Rec. Assumptions'!$V$3,A83,IF('Prac. Rec. Assumptions'!B59="No",A83,"Corn for Grain- Converted to Energy Crop"))</f>
        <v>Corn for Grain</v>
      </c>
      <c r="C17" s="294">
        <f>IF('Prac. Rec. Assumptions'!$B$56='Prac. Rec. Assumptions'!$V$3,D83,IF('Prac. Rec. Assumptions'!B60="No",D83,0))</f>
        <v>6200.75</v>
      </c>
      <c r="D17" s="294">
        <f>E17*'Conversion Tables'!C16</f>
        <v>82917.669149999987</v>
      </c>
      <c r="E17" s="294">
        <f>C17*'Prac. Rec. Assumptions'!B13</f>
        <v>5270.6374999999998</v>
      </c>
      <c r="F17" s="294">
        <f t="shared" si="2"/>
        <v>5270.6374999999998</v>
      </c>
      <c r="G17" s="294">
        <f t="shared" si="2"/>
        <v>5270.6374999999998</v>
      </c>
      <c r="H17" s="294">
        <f t="shared" si="2"/>
        <v>5270.6374999999998</v>
      </c>
      <c r="I17" s="16" t="str">
        <f>IF('Conversion Tables'!F16="NA","NA",(E17*'Conversion Tables'!$C16)/'Conversion Tables'!F16)</f>
        <v>NA</v>
      </c>
      <c r="J17" s="16" t="str">
        <f>IF('Conversion Tables'!G16="NA","NA",(F17*'Conversion Tables'!$C16)/'Conversion Tables'!G16)</f>
        <v>NA</v>
      </c>
      <c r="K17" s="16" t="str">
        <f>IF('Conversion Tables'!H16="NA","NA",(G17*'Conversion Tables'!$C16)/'Conversion Tables'!H16)</f>
        <v>NA</v>
      </c>
      <c r="L17" s="16" t="str">
        <f>IF('Conversion Tables'!I16="NA","NA",(H17*'Conversion Tables'!$C16)/'Conversion Tables'!I16)</f>
        <v>NA</v>
      </c>
      <c r="M17" s="16" t="str">
        <f>IF('Conversion Tables'!K16="NA","NA",E17*'Conversion Tables'!K16)</f>
        <v>NA</v>
      </c>
      <c r="N17" s="16" t="str">
        <f>IF('Conversion Tables'!L16="NA","NA",F17*'Conversion Tables'!L16)</f>
        <v>NA</v>
      </c>
      <c r="O17" s="16" t="str">
        <f>IF('Conversion Tables'!M16="NA","NA",G17*'Conversion Tables'!M16)</f>
        <v>NA</v>
      </c>
      <c r="P17" s="16" t="str">
        <f>IF('Conversion Tables'!N16="NA","NA",H17*'Conversion Tables'!N16)</f>
        <v>NA</v>
      </c>
      <c r="Q17" s="15"/>
    </row>
    <row r="18" spans="1:17" x14ac:dyDescent="0.25">
      <c r="A18" s="1207"/>
      <c r="B18" s="11" t="str">
        <f>IF('Prac. Rec. Assumptions'!$B$56='Prac. Rec. Assumptions'!$V$3,A84,IF('Prac. Rec. Assumptions'!B60="No",A84,"Corn for Silage- Converted to Energy Crop"))</f>
        <v>Corn for Silage</v>
      </c>
      <c r="C18" s="294">
        <f>IF('Prac. Rec. Assumptions'!$B$56='Prac. Rec. Assumptions'!$V$3,D84,IF('Prac. Rec. Assumptions'!B61="No",D84,0))</f>
        <v>4603.4799999999996</v>
      </c>
      <c r="D18" s="294">
        <f>E18*'Conversion Tables'!C17</f>
        <v>54316.460519999993</v>
      </c>
      <c r="E18" s="294">
        <f>C18*'Prac. Rec. Assumptions'!B14</f>
        <v>3452.6099999999997</v>
      </c>
      <c r="F18" s="294">
        <f t="shared" si="2"/>
        <v>3452.6099999999997</v>
      </c>
      <c r="G18" s="294">
        <f t="shared" si="2"/>
        <v>3452.6099999999997</v>
      </c>
      <c r="H18" s="294">
        <f t="shared" si="2"/>
        <v>3452.6099999999997</v>
      </c>
      <c r="I18" s="16" t="str">
        <f>IF('Conversion Tables'!F17="NA","NA",(E18*'Conversion Tables'!$C17)/'Conversion Tables'!F17)</f>
        <v>NA</v>
      </c>
      <c r="J18" s="16" t="str">
        <f>IF('Conversion Tables'!G17="NA","NA",(F18*'Conversion Tables'!$C17)/'Conversion Tables'!G17)</f>
        <v>NA</v>
      </c>
      <c r="K18" s="16" t="str">
        <f>IF('Conversion Tables'!H17="NA","NA",(G18*'Conversion Tables'!$C17)/'Conversion Tables'!H17)</f>
        <v>NA</v>
      </c>
      <c r="L18" s="16" t="str">
        <f>IF('Conversion Tables'!I17="NA","NA",(H18*'Conversion Tables'!$C17)/'Conversion Tables'!I17)</f>
        <v>NA</v>
      </c>
      <c r="M18" s="16" t="str">
        <f>IF('Conversion Tables'!K17="NA","NA",E18*'Conversion Tables'!K17)</f>
        <v>NA</v>
      </c>
      <c r="N18" s="16" t="str">
        <f>IF('Conversion Tables'!L17="NA","NA",F18*'Conversion Tables'!L17)</f>
        <v>NA</v>
      </c>
      <c r="O18" s="16" t="str">
        <f>IF('Conversion Tables'!M17="NA","NA",G18*'Conversion Tables'!M17)</f>
        <v>NA</v>
      </c>
      <c r="P18" s="16" t="str">
        <f>IF('Conversion Tables'!N17="NA","NA",H18*'Conversion Tables'!N17)</f>
        <v>NA</v>
      </c>
      <c r="Q18" s="15"/>
    </row>
    <row r="19" spans="1:17" x14ac:dyDescent="0.25">
      <c r="A19" s="1207"/>
      <c r="B19" s="11" t="str">
        <f>IF('Prac. Rec. Assumptions'!$B$56='Prac. Rec. Assumptions'!$V$3,A85,IF('Prac. Rec. Assumptions'!B61="No",A85,"Alfalfa Hay- Converted to Energy Crop"))</f>
        <v>Alfalfa Hay</v>
      </c>
      <c r="C19" s="294">
        <f>IF('Prac. Rec. Assumptions'!$B$56='Prac. Rec. Assumptions'!$V$3,D85,IF('Prac. Rec. Assumptions'!B62="No",D85,0))</f>
        <v>4760</v>
      </c>
      <c r="D19" s="294">
        <f>E19*'Conversion Tables'!C18</f>
        <v>0</v>
      </c>
      <c r="E19" s="294">
        <f>C19*'Prac. Rec. Assumptions'!B15</f>
        <v>0</v>
      </c>
      <c r="F19" s="294">
        <f t="shared" si="2"/>
        <v>0</v>
      </c>
      <c r="G19" s="294">
        <f t="shared" si="2"/>
        <v>0</v>
      </c>
      <c r="H19" s="294">
        <f t="shared" si="2"/>
        <v>0</v>
      </c>
      <c r="I19" s="16" t="str">
        <f>IF('Conversion Tables'!F18="NA","NA",(E19*'Conversion Tables'!$C18)/'Conversion Tables'!F18)</f>
        <v>NA</v>
      </c>
      <c r="J19" s="16" t="str">
        <f>IF('Conversion Tables'!G18="NA","NA",(F19*'Conversion Tables'!$C18)/'Conversion Tables'!G18)</f>
        <v>NA</v>
      </c>
      <c r="K19" s="16" t="str">
        <f>IF('Conversion Tables'!H18="NA","NA",(G19*'Conversion Tables'!$C18)/'Conversion Tables'!H18)</f>
        <v>NA</v>
      </c>
      <c r="L19" s="16" t="str">
        <f>IF('Conversion Tables'!I18="NA","NA",(H19*'Conversion Tables'!$C18)/'Conversion Tables'!I18)</f>
        <v>NA</v>
      </c>
      <c r="M19" s="16" t="str">
        <f>IF('Conversion Tables'!K18="NA","NA",E19*'Conversion Tables'!K18)</f>
        <v>NA</v>
      </c>
      <c r="N19" s="16" t="str">
        <f>IF('Conversion Tables'!L18="NA","NA",F19*'Conversion Tables'!L18)</f>
        <v>NA</v>
      </c>
      <c r="O19" s="16" t="str">
        <f>IF('Conversion Tables'!M18="NA","NA",G19*'Conversion Tables'!M18)</f>
        <v>NA</v>
      </c>
      <c r="P19" s="16" t="str">
        <f>IF('Conversion Tables'!N18="NA","NA",H19*'Conversion Tables'!N18)</f>
        <v>NA</v>
      </c>
      <c r="Q19" s="15"/>
    </row>
    <row r="20" spans="1:17" x14ac:dyDescent="0.25">
      <c r="A20" s="1207"/>
      <c r="B20" s="11" t="str">
        <f>IF('Prac. Rec. Assumptions'!$B$56='Prac. Rec. Assumptions'!$V$3,A86,IF('Prac. Rec. Assumptions'!B62="No",A86,"Other Hay- Converted to Energy Crop"))</f>
        <v>Other Hay</v>
      </c>
      <c r="C20" s="294">
        <f>IF('Prac. Rec. Assumptions'!$B$56='Prac. Rec. Assumptions'!$V$3,D86,IF('Prac. Rec. Assumptions'!B63="No",D86,0))</f>
        <v>4254.08</v>
      </c>
      <c r="D20" s="294">
        <f>E20*'Conversion Tables'!C19</f>
        <v>33181.824000000001</v>
      </c>
      <c r="E20" s="294">
        <f>C20*'Prac. Rec. Assumptions'!B16</f>
        <v>2127.04</v>
      </c>
      <c r="F20" s="294">
        <f t="shared" si="2"/>
        <v>2127.04</v>
      </c>
      <c r="G20" s="294">
        <f t="shared" si="2"/>
        <v>2127.04</v>
      </c>
      <c r="H20" s="294">
        <f t="shared" si="2"/>
        <v>2127.04</v>
      </c>
      <c r="I20" s="16" t="str">
        <f>IF('Conversion Tables'!F19="NA","NA",(E20*'Conversion Tables'!$C19)/'Conversion Tables'!F19)</f>
        <v>NA</v>
      </c>
      <c r="J20" s="16" t="str">
        <f>IF('Conversion Tables'!G19="NA","NA",(F20*'Conversion Tables'!$C19)/'Conversion Tables'!G19)</f>
        <v>NA</v>
      </c>
      <c r="K20" s="16" t="str">
        <f>IF('Conversion Tables'!H19="NA","NA",(G20*'Conversion Tables'!$C19)/'Conversion Tables'!H19)</f>
        <v>NA</v>
      </c>
      <c r="L20" s="16" t="str">
        <f>IF('Conversion Tables'!I19="NA","NA",(H20*'Conversion Tables'!$C19)/'Conversion Tables'!I19)</f>
        <v>NA</v>
      </c>
      <c r="M20" s="16" t="str">
        <f>IF('Conversion Tables'!K19="NA","NA",E20*'Conversion Tables'!K19)</f>
        <v>NA</v>
      </c>
      <c r="N20" s="16" t="str">
        <f>IF('Conversion Tables'!L19="NA","NA",F20*'Conversion Tables'!L19)</f>
        <v>NA</v>
      </c>
      <c r="O20" s="16" t="str">
        <f>IF('Conversion Tables'!M19="NA","NA",G20*'Conversion Tables'!M19)</f>
        <v>NA</v>
      </c>
      <c r="P20" s="16" t="str">
        <f>IF('Conversion Tables'!N19="NA","NA",H20*'Conversion Tables'!N19)</f>
        <v>NA</v>
      </c>
      <c r="Q20" s="15"/>
    </row>
    <row r="21" spans="1:17" x14ac:dyDescent="0.25">
      <c r="A21" s="1207"/>
      <c r="B21" s="11" t="str">
        <f>IF('Prac. Rec. Assumptions'!$B$56='Prac. Rec. Assumptions'!$V$3,A87,IF('Prac. Rec. Assumptions'!B63="No",A87,"Wheat- Converted to Energy Crop"))</f>
        <v>Wheat</v>
      </c>
      <c r="C21" s="294">
        <f>IF('Prac. Rec. Assumptions'!$B$56='Prac. Rec. Assumptions'!$V$3,D87,IF('Prac. Rec. Assumptions'!B64="No",D87,0))</f>
        <v>6290.6374999999998</v>
      </c>
      <c r="D21" s="294">
        <f>E21*'Conversion Tables'!C20</f>
        <v>0</v>
      </c>
      <c r="E21" s="294">
        <f>C21*'Prac. Rec. Assumptions'!B17</f>
        <v>0</v>
      </c>
      <c r="F21" s="294">
        <f t="shared" si="2"/>
        <v>0</v>
      </c>
      <c r="G21" s="294">
        <f t="shared" si="2"/>
        <v>0</v>
      </c>
      <c r="H21" s="294">
        <f t="shared" si="2"/>
        <v>0</v>
      </c>
      <c r="I21" s="16" t="str">
        <f>IF('Conversion Tables'!F20="NA","NA",(E21*'Conversion Tables'!$C20)/'Conversion Tables'!F20)</f>
        <v>NA</v>
      </c>
      <c r="J21" s="16" t="str">
        <f>IF('Conversion Tables'!G20="NA","NA",(F21*'Conversion Tables'!$C20)/'Conversion Tables'!G20)</f>
        <v>NA</v>
      </c>
      <c r="K21" s="16" t="str">
        <f>IF('Conversion Tables'!H20="NA","NA",(G21*'Conversion Tables'!$C20)/'Conversion Tables'!H20)</f>
        <v>NA</v>
      </c>
      <c r="L21" s="16" t="str">
        <f>IF('Conversion Tables'!I20="NA","NA",(H21*'Conversion Tables'!$C20)/'Conversion Tables'!I20)</f>
        <v>NA</v>
      </c>
      <c r="M21" s="16" t="str">
        <f>IF('Conversion Tables'!K20="NA","NA",E21*'Conversion Tables'!K20)</f>
        <v>NA</v>
      </c>
      <c r="N21" s="16" t="str">
        <f>IF('Conversion Tables'!L20="NA","NA",F21*'Conversion Tables'!L20)</f>
        <v>NA</v>
      </c>
      <c r="O21" s="16" t="str">
        <f>IF('Conversion Tables'!M20="NA","NA",G21*'Conversion Tables'!M20)</f>
        <v>NA</v>
      </c>
      <c r="P21" s="16" t="str">
        <f>IF('Conversion Tables'!N20="NA","NA",H21*'Conversion Tables'!N20)</f>
        <v>NA</v>
      </c>
      <c r="Q21" s="15"/>
    </row>
    <row r="22" spans="1:17" x14ac:dyDescent="0.25">
      <c r="A22" s="1207"/>
      <c r="B22" s="148" t="s">
        <v>205</v>
      </c>
      <c r="C22" s="294">
        <f>'Biomass Data Assumptions'!P14*1000*'Energy Content Assumptions'!C18</f>
        <v>14686.5</v>
      </c>
      <c r="D22" s="294">
        <f>E22*'Conversion Tables'!C21</f>
        <v>114554.7</v>
      </c>
      <c r="E22" s="294">
        <f>C22*'Prac. Rec. Assumptions'!B18</f>
        <v>7343.25</v>
      </c>
      <c r="F22" s="294">
        <f t="shared" si="2"/>
        <v>7343.25</v>
      </c>
      <c r="G22" s="294">
        <f t="shared" si="2"/>
        <v>7343.25</v>
      </c>
      <c r="H22" s="294">
        <f t="shared" si="2"/>
        <v>7343.25</v>
      </c>
      <c r="I22" s="16" t="str">
        <f>IF('Conversion Tables'!F21="NA","NA",(E22*'Conversion Tables'!$C21)/'Conversion Tables'!F21)</f>
        <v>NA</v>
      </c>
      <c r="J22" s="16" t="str">
        <f>IF('Conversion Tables'!G21="NA","NA",(F22*'Conversion Tables'!$C21)/'Conversion Tables'!G21)</f>
        <v>NA</v>
      </c>
      <c r="K22" s="16" t="str">
        <f>IF('Conversion Tables'!H21="NA","NA",(G22*'Conversion Tables'!$C21)/'Conversion Tables'!H21)</f>
        <v>NA</v>
      </c>
      <c r="L22" s="16" t="str">
        <f>IF('Conversion Tables'!I21="NA","NA",(H22*'Conversion Tables'!$C21)/'Conversion Tables'!I21)</f>
        <v>NA</v>
      </c>
      <c r="M22" s="16" t="str">
        <f>IF('Conversion Tables'!K21="NA","NA",E22*'Conversion Tables'!K21)</f>
        <v>NA</v>
      </c>
      <c r="N22" s="16" t="str">
        <f>IF('Conversion Tables'!L21="NA","NA",F22*'Conversion Tables'!L21)</f>
        <v>NA</v>
      </c>
      <c r="O22" s="16" t="str">
        <f>IF('Conversion Tables'!M21="NA","NA",G22*'Conversion Tables'!M21)</f>
        <v>NA</v>
      </c>
      <c r="P22" s="16" t="str">
        <f>IF('Conversion Tables'!N21="NA","NA",H22*'Conversion Tables'!N21)</f>
        <v>NA</v>
      </c>
      <c r="Q22" s="15"/>
    </row>
    <row r="23" spans="1:17" x14ac:dyDescent="0.25">
      <c r="A23" s="1207"/>
      <c r="B23" s="2" t="s">
        <v>302</v>
      </c>
      <c r="C23" s="294">
        <f>B133</f>
        <v>3845.91</v>
      </c>
      <c r="D23" s="294">
        <f>E23*'Conversion Tables'!C22</f>
        <v>62826.785759999992</v>
      </c>
      <c r="E23" s="294">
        <f>C23*'Prac. Rec. Assumptions'!B19</f>
        <v>3845.91</v>
      </c>
      <c r="F23" s="297">
        <f t="shared" si="2"/>
        <v>3845.91</v>
      </c>
      <c r="G23" s="297">
        <f t="shared" si="2"/>
        <v>3845.91</v>
      </c>
      <c r="H23" s="297">
        <f t="shared" si="2"/>
        <v>3845.91</v>
      </c>
      <c r="I23" s="16" t="str">
        <f>IF('Conversion Tables'!F22="NA","NA",(E23*'Conversion Tables'!$C22)/'Conversion Tables'!F22)</f>
        <v>NA</v>
      </c>
      <c r="J23" s="16" t="str">
        <f>IF('Conversion Tables'!G22="NA","NA",(F23*'Conversion Tables'!$C22)/'Conversion Tables'!G22)</f>
        <v>NA</v>
      </c>
      <c r="K23" s="16" t="str">
        <f>IF('Conversion Tables'!H22="NA","NA",(G23*'Conversion Tables'!$C22)/'Conversion Tables'!H22)</f>
        <v>NA</v>
      </c>
      <c r="L23" s="16" t="str">
        <f>IF('Conversion Tables'!I22="NA","NA",(H23*'Conversion Tables'!$C22)/'Conversion Tables'!I22)</f>
        <v>NA</v>
      </c>
      <c r="M23" s="16" t="str">
        <f>IF('Conversion Tables'!K22="NA","NA",E23*'Conversion Tables'!K22)</f>
        <v>NA</v>
      </c>
      <c r="N23" s="16" t="str">
        <f>IF('Conversion Tables'!L22="NA","NA",F23*'Conversion Tables'!L22)</f>
        <v>NA</v>
      </c>
      <c r="O23" s="16" t="str">
        <f>IF('Conversion Tables'!M22="NA","NA",G23*'Conversion Tables'!M22)</f>
        <v>NA</v>
      </c>
      <c r="P23" s="16" t="str">
        <f>IF('Conversion Tables'!N22="NA","NA",H23*'Conversion Tables'!N22)</f>
        <v>NA</v>
      </c>
      <c r="Q23" s="7"/>
    </row>
    <row r="24" spans="1:17" x14ac:dyDescent="0.25">
      <c r="A24" s="1207"/>
      <c r="B24" s="1" t="s">
        <v>518</v>
      </c>
      <c r="C24" s="294"/>
      <c r="D24" s="294"/>
      <c r="E24" s="294"/>
      <c r="F24" s="294"/>
      <c r="G24" s="294"/>
      <c r="H24" s="294"/>
      <c r="I24" s="16"/>
      <c r="J24" s="16"/>
      <c r="K24" s="16"/>
      <c r="L24" s="16"/>
      <c r="M24" s="16"/>
      <c r="N24" s="16"/>
      <c r="O24" s="16"/>
      <c r="P24" s="16"/>
      <c r="Q24" s="7"/>
    </row>
    <row r="25" spans="1:17" x14ac:dyDescent="0.25">
      <c r="A25" s="1207"/>
      <c r="B25" s="11" t="s">
        <v>559</v>
      </c>
      <c r="C25" s="294">
        <f>C128</f>
        <v>16932.07</v>
      </c>
      <c r="D25" s="294">
        <f>E25*'Conversion Tables'!C24</f>
        <v>299697.63899999997</v>
      </c>
      <c r="E25" s="294">
        <f>C25*'Prac. Rec. Assumptions'!B21</f>
        <v>16932.07</v>
      </c>
      <c r="F25" s="294">
        <f>($C25*(1+'Biomass Data Assumptions'!G$99))*'Prac. Rec. Assumptions'!$B21</f>
        <v>17731.085100624568</v>
      </c>
      <c r="G25" s="294">
        <f>($C25*(1+'Biomass Data Assumptions'!H$99))*'Prac. Rec. Assumptions'!$B21</f>
        <v>18594.726422623178</v>
      </c>
      <c r="H25" s="294">
        <f>($C25*(1+'Biomass Data Assumptions'!I$99))*'Prac. Rec. Assumptions'!$B21</f>
        <v>19487.743299791808</v>
      </c>
      <c r="I25" s="16" t="str">
        <f>IF('Conversion Tables'!F24="NA","NA",(E25*'Conversion Tables'!$C24)/'Conversion Tables'!F24)</f>
        <v>NA</v>
      </c>
      <c r="J25" s="16" t="str">
        <f>IF('Conversion Tables'!G24="NA","NA",(F25*'Conversion Tables'!$C24)/'Conversion Tables'!G24)</f>
        <v>NA</v>
      </c>
      <c r="K25" s="16" t="str">
        <f>IF('Conversion Tables'!H24="NA","NA",(G25*'Conversion Tables'!$C24)/'Conversion Tables'!H24)</f>
        <v>NA</v>
      </c>
      <c r="L25" s="16" t="str">
        <f>IF('Conversion Tables'!I24="NA","NA",(H25*'Conversion Tables'!$C24)/'Conversion Tables'!I24)</f>
        <v>NA</v>
      </c>
      <c r="M25" s="16" t="str">
        <f>IF('Conversion Tables'!K24="NA","NA",E25*'Conversion Tables'!K24)</f>
        <v>NA</v>
      </c>
      <c r="N25" s="16" t="str">
        <f>IF('Conversion Tables'!L24="NA","NA",F25*'Conversion Tables'!L24)</f>
        <v>NA</v>
      </c>
      <c r="O25" s="16" t="str">
        <f>IF('Conversion Tables'!M24="NA","NA",G25*'Conversion Tables'!M24)</f>
        <v>NA</v>
      </c>
      <c r="P25" s="16" t="str">
        <f>IF('Conversion Tables'!N24="NA","NA",H25*'Conversion Tables'!N24)</f>
        <v>NA</v>
      </c>
      <c r="Q25" s="13"/>
    </row>
    <row r="26" spans="1:17" x14ac:dyDescent="0.25">
      <c r="A26" s="1207"/>
      <c r="B26" s="11" t="s">
        <v>560</v>
      </c>
      <c r="C26" s="294">
        <f>C129</f>
        <v>5752.123333333333</v>
      </c>
      <c r="D26" s="294">
        <f>E26*'Conversion Tables'!C25</f>
        <v>89733.123999999996</v>
      </c>
      <c r="E26" s="294">
        <f>C26*'Prac. Rec. Assumptions'!B22</f>
        <v>5752.123333333333</v>
      </c>
      <c r="F26" s="294">
        <f>($C26*(1+'Biomass Data Assumptions'!G$99))*'Prac. Rec. Assumptions'!$B22</f>
        <v>6023.562879944483</v>
      </c>
      <c r="G26" s="294">
        <f>($C26*(1+'Biomass Data Assumptions'!H$99))*'Prac. Rec. Assumptions'!$B22</f>
        <v>6316.9570957668275</v>
      </c>
      <c r="H26" s="294">
        <f>($C26*(1+'Biomass Data Assumptions'!I$99))*'Prac. Rec. Assumptions'!$B22</f>
        <v>6620.3307066851712</v>
      </c>
      <c r="I26" s="16" t="str">
        <f>IF('Conversion Tables'!F25="NA","NA",(E26*'Conversion Tables'!$C25)/'Conversion Tables'!F25)</f>
        <v>NA</v>
      </c>
      <c r="J26" s="16" t="str">
        <f>IF('Conversion Tables'!G25="NA","NA",(F26*'Conversion Tables'!$C25)/'Conversion Tables'!G25)</f>
        <v>NA</v>
      </c>
      <c r="K26" s="16" t="str">
        <f>IF('Conversion Tables'!H25="NA","NA",(G26*'Conversion Tables'!$C25)/'Conversion Tables'!H25)</f>
        <v>NA</v>
      </c>
      <c r="L26" s="16" t="str">
        <f>IF('Conversion Tables'!I25="NA","NA",(H26*'Conversion Tables'!$C25)/'Conversion Tables'!I25)</f>
        <v>NA</v>
      </c>
      <c r="M26" s="16" t="str">
        <f>IF('Conversion Tables'!K25="NA","NA",E26*'Conversion Tables'!K25)</f>
        <v>NA</v>
      </c>
      <c r="N26" s="16" t="str">
        <f>IF('Conversion Tables'!L25="NA","NA",F26*'Conversion Tables'!L25)</f>
        <v>NA</v>
      </c>
      <c r="O26" s="16" t="str">
        <f>IF('Conversion Tables'!M25="NA","NA",G26*'Conversion Tables'!M25)</f>
        <v>NA</v>
      </c>
      <c r="P26" s="16" t="str">
        <f>IF('Conversion Tables'!N25="NA","NA",H26*'Conversion Tables'!N25)</f>
        <v>NA</v>
      </c>
      <c r="Q26" s="13"/>
    </row>
    <row r="27" spans="1:17" x14ac:dyDescent="0.25">
      <c r="A27" s="1207"/>
      <c r="B27" s="11" t="s">
        <v>561</v>
      </c>
      <c r="C27" s="294">
        <f>C130</f>
        <v>11536.863333333331</v>
      </c>
      <c r="D27" s="294">
        <f>E27*'Conversion Tables'!C26</f>
        <v>179975.06799999997</v>
      </c>
      <c r="E27" s="294">
        <f>C27*'Prac. Rec. Assumptions'!B23</f>
        <v>11536.863333333331</v>
      </c>
      <c r="F27" s="294">
        <f>($C27*(1+'Biomass Data Assumptions'!G$99))*'Prac. Rec. Assumptions'!$B23</f>
        <v>12081.281589174183</v>
      </c>
      <c r="G27" s="294">
        <f>($C27*(1+'Biomass Data Assumptions'!H$99))*'Prac. Rec. Assumptions'!$B23</f>
        <v>12669.733674531572</v>
      </c>
      <c r="H27" s="294">
        <f>($C27*(1+'Biomass Data Assumptions'!I$99))*'Prac. Rec. Assumptions'!$B23</f>
        <v>13278.201136941934</v>
      </c>
      <c r="I27" s="16" t="str">
        <f>IF('Conversion Tables'!F26="NA","NA",(E27*'Conversion Tables'!$C26)/'Conversion Tables'!F26)</f>
        <v>NA</v>
      </c>
      <c r="J27" s="16" t="str">
        <f>IF('Conversion Tables'!G26="NA","NA",(F27*'Conversion Tables'!$C26)/'Conversion Tables'!G26)</f>
        <v>NA</v>
      </c>
      <c r="K27" s="16" t="str">
        <f>IF('Conversion Tables'!H26="NA","NA",(G27*'Conversion Tables'!$C26)/'Conversion Tables'!H26)</f>
        <v>NA</v>
      </c>
      <c r="L27" s="16" t="str">
        <f>IF('Conversion Tables'!I26="NA","NA",(H27*'Conversion Tables'!$C26)/'Conversion Tables'!I26)</f>
        <v>NA</v>
      </c>
      <c r="M27" s="16" t="str">
        <f>IF('Conversion Tables'!K26="NA","NA",E27*'Conversion Tables'!K26)</f>
        <v>NA</v>
      </c>
      <c r="N27" s="16" t="str">
        <f>IF('Conversion Tables'!L26="NA","NA",F27*'Conversion Tables'!L26)</f>
        <v>NA</v>
      </c>
      <c r="O27" s="16" t="str">
        <f>IF('Conversion Tables'!M26="NA","NA",G27*'Conversion Tables'!M26)</f>
        <v>NA</v>
      </c>
      <c r="P27" s="16" t="str">
        <f>IF('Conversion Tables'!N26="NA","NA",H27*'Conversion Tables'!N26)</f>
        <v>NA</v>
      </c>
      <c r="Q27" s="13"/>
    </row>
    <row r="28" spans="1:17" x14ac:dyDescent="0.25">
      <c r="A28" s="1207"/>
      <c r="B28" s="11" t="s">
        <v>562</v>
      </c>
      <c r="C28" s="294">
        <f>C131</f>
        <v>513.64499999999998</v>
      </c>
      <c r="D28" s="294">
        <f>E28*'Conversion Tables'!C27</f>
        <v>9091.5164999999997</v>
      </c>
      <c r="E28" s="294">
        <f>C28*'Prac. Rec. Assumptions'!B24</f>
        <v>513.64499999999998</v>
      </c>
      <c r="F28" s="294">
        <f>($C28*(1+'Biomass Data Assumptions'!G$99))*'Prac. Rec. Assumptions'!$B24</f>
        <v>537.88362595419846</v>
      </c>
      <c r="G28" s="294">
        <f>($C28*(1+'Biomass Data Assumptions'!H$99))*'Prac. Rec. Assumptions'!$B24</f>
        <v>564.08272900763347</v>
      </c>
      <c r="H28" s="294">
        <f>($C28*(1+'Biomass Data Assumptions'!I$99))*'Prac. Rec. Assumptions'!$B24</f>
        <v>591.17295801526711</v>
      </c>
      <c r="I28" s="16" t="str">
        <f>IF('Conversion Tables'!F27="NA","NA",(E28*'Conversion Tables'!$C27)/'Conversion Tables'!F27)</f>
        <v>NA</v>
      </c>
      <c r="J28" s="16" t="str">
        <f>IF('Conversion Tables'!G27="NA","NA",(F28*'Conversion Tables'!$C27)/'Conversion Tables'!G27)</f>
        <v>NA</v>
      </c>
      <c r="K28" s="16" t="str">
        <f>IF('Conversion Tables'!H27="NA","NA",(G28*'Conversion Tables'!$C27)/'Conversion Tables'!H27)</f>
        <v>NA</v>
      </c>
      <c r="L28" s="16" t="str">
        <f>IF('Conversion Tables'!I27="NA","NA",(H28*'Conversion Tables'!$C27)/'Conversion Tables'!I27)</f>
        <v>NA</v>
      </c>
      <c r="M28" s="16" t="str">
        <f>IF('Conversion Tables'!K27="NA","NA",E28*'Conversion Tables'!K27)</f>
        <v>NA</v>
      </c>
      <c r="N28" s="16" t="str">
        <f>IF('Conversion Tables'!L27="NA","NA",F28*'Conversion Tables'!L27)</f>
        <v>NA</v>
      </c>
      <c r="O28" s="16" t="str">
        <f>IF('Conversion Tables'!M27="NA","NA",G28*'Conversion Tables'!M27)</f>
        <v>NA</v>
      </c>
      <c r="P28" s="16" t="str">
        <f>IF('Conversion Tables'!N27="NA","NA",H28*'Conversion Tables'!N27)</f>
        <v>NA</v>
      </c>
      <c r="Q28" s="13"/>
    </row>
    <row r="29" spans="1:17" x14ac:dyDescent="0.25">
      <c r="A29" s="1208"/>
      <c r="B29" s="9" t="s">
        <v>524</v>
      </c>
      <c r="C29" s="295">
        <f t="shared" ref="C29:P29" si="3">SUM(C13:C28)</f>
        <v>81806.846666666665</v>
      </c>
      <c r="D29" s="295">
        <f>SUM(D13:D28)</f>
        <v>931301.33860999986</v>
      </c>
      <c r="E29" s="295">
        <f t="shared" si="3"/>
        <v>57092.389166666653</v>
      </c>
      <c r="F29" s="295">
        <f>SUM(F13:F28)</f>
        <v>58731.500695697432</v>
      </c>
      <c r="G29" s="295">
        <f>SUM(G13:G28)</f>
        <v>60503.187421929208</v>
      </c>
      <c r="H29" s="295">
        <f>SUM(H13:H28)</f>
        <v>62335.13560143418</v>
      </c>
      <c r="I29" s="19">
        <f t="shared" si="3"/>
        <v>0</v>
      </c>
      <c r="J29" s="19">
        <f t="shared" si="3"/>
        <v>0</v>
      </c>
      <c r="K29" s="19">
        <f t="shared" si="3"/>
        <v>0</v>
      </c>
      <c r="L29" s="19">
        <f t="shared" si="3"/>
        <v>0</v>
      </c>
      <c r="M29" s="19">
        <f t="shared" si="3"/>
        <v>0</v>
      </c>
      <c r="N29" s="19">
        <f t="shared" si="3"/>
        <v>0</v>
      </c>
      <c r="O29" s="19">
        <f t="shared" si="3"/>
        <v>0</v>
      </c>
      <c r="P29" s="19">
        <f t="shared" si="3"/>
        <v>0</v>
      </c>
      <c r="Q29" s="19"/>
    </row>
    <row r="30" spans="1:17" x14ac:dyDescent="0.25">
      <c r="A30" s="8"/>
      <c r="C30" s="296"/>
      <c r="D30" s="296"/>
      <c r="E30" s="296"/>
      <c r="F30" s="296"/>
      <c r="G30" s="296"/>
      <c r="H30" s="296"/>
      <c r="I30" s="28"/>
      <c r="J30" s="28"/>
      <c r="K30" s="28"/>
      <c r="L30" s="28"/>
      <c r="M30" s="28"/>
      <c r="N30" s="28"/>
      <c r="O30" s="28"/>
      <c r="P30" s="28"/>
    </row>
    <row r="31" spans="1:17" x14ac:dyDescent="0.25">
      <c r="A31" s="1064" t="s">
        <v>516</v>
      </c>
      <c r="B31" s="130" t="str">
        <f>'Bioenergy Calculator'!B34</f>
        <v>Solid wastes - Landfilled</v>
      </c>
      <c r="C31" s="294"/>
      <c r="D31" s="294"/>
      <c r="E31" s="294"/>
      <c r="F31" s="294"/>
      <c r="G31" s="294"/>
      <c r="H31" s="294"/>
      <c r="I31" s="16"/>
      <c r="J31" s="16"/>
      <c r="K31" s="16"/>
      <c r="L31" s="16"/>
      <c r="M31" s="16"/>
      <c r="N31" s="16"/>
      <c r="O31" s="16"/>
      <c r="P31" s="16"/>
      <c r="Q31" s="7"/>
    </row>
    <row r="32" spans="1:17" x14ac:dyDescent="0.25">
      <c r="A32" s="1064"/>
      <c r="B32" s="11" t="str">
        <f>'Bioenergy Calculator'!B35</f>
        <v>Food waste, Landfilled</v>
      </c>
      <c r="C32" s="294">
        <f>C141</f>
        <v>1204.4949336000002</v>
      </c>
      <c r="D32" s="294">
        <f>E32*'Conversion Tables'!C29</f>
        <v>11563.151362560004</v>
      </c>
      <c r="E32" s="294">
        <f>C32*'Prac. Rec. Assumptions'!B26</f>
        <v>722.69696016000023</v>
      </c>
      <c r="F32" s="294">
        <f>($C32*(1+'Biomass Data Assumptions'!G$99)*(1+'Biomass Data Assumptions'!C$82))*'Prac. Rec. Assumptions'!$B26</f>
        <v>756.28678138496878</v>
      </c>
      <c r="G32" s="294">
        <f>($C32*(1+'Biomass Data Assumptions'!H$99)*(1+'Biomass Data Assumptions'!D$82))*'Prac. Rec. Assumptions'!$B26</f>
        <v>792.58529667818868</v>
      </c>
      <c r="H32" s="294">
        <f>($C32*(1+'Biomass Data Assumptions'!I$99)*(1+'Biomass Data Assumptions'!E$82))*'Prac. Rec. Assumptions'!$B26</f>
        <v>830.08543073400551</v>
      </c>
      <c r="I32" s="16" t="str">
        <f>IF('Conversion Tables'!F29="NA","NA",(E32*'Conversion Tables'!$C29)/'Conversion Tables'!F29)</f>
        <v>NA</v>
      </c>
      <c r="J32" s="16" t="str">
        <f>IF('Conversion Tables'!G29="NA","NA",(F32*'Conversion Tables'!$C29)/'Conversion Tables'!G29)</f>
        <v>NA</v>
      </c>
      <c r="K32" s="16" t="str">
        <f>IF('Conversion Tables'!H29="NA","NA",(G32*'Conversion Tables'!$C29)/'Conversion Tables'!H29)</f>
        <v>NA</v>
      </c>
      <c r="L32" s="16" t="str">
        <f>IF('Conversion Tables'!I29="NA","NA",(H32*'Conversion Tables'!$C29)/'Conversion Tables'!I29)</f>
        <v>NA</v>
      </c>
      <c r="M32" s="16" t="str">
        <f>IF('Conversion Tables'!K29="NA","NA",E32*'Conversion Tables'!K29)</f>
        <v>NA</v>
      </c>
      <c r="N32" s="16" t="str">
        <f>IF('Conversion Tables'!L29="NA","NA",F32*'Conversion Tables'!L29)</f>
        <v>NA</v>
      </c>
      <c r="O32" s="16" t="str">
        <f>IF('Conversion Tables'!M29="NA","NA",G32*'Conversion Tables'!M29)</f>
        <v>NA</v>
      </c>
      <c r="P32" s="16" t="str">
        <f>IF('Conversion Tables'!N29="NA","NA",H32*'Conversion Tables'!N29)</f>
        <v>NA</v>
      </c>
      <c r="Q32" s="7"/>
    </row>
    <row r="33" spans="1:17" x14ac:dyDescent="0.25">
      <c r="A33" s="1064"/>
      <c r="B33" s="11" t="str">
        <f>'Bioenergy Calculator'!B36</f>
        <v>Waste paper, Landfilled</v>
      </c>
      <c r="C33" s="294">
        <f>C142</f>
        <v>4442.6219580000006</v>
      </c>
      <c r="D33" s="294">
        <f>E33*'Conversion Tables'!C30</f>
        <v>51612.604859260813</v>
      </c>
      <c r="E33" s="294">
        <f>C33*'Prac. Rec. Assumptions'!B27</f>
        <v>3554.0975664000007</v>
      </c>
      <c r="F33" s="294">
        <f>($C33*(1+'Biomass Data Assumptions'!G$99)*(1+'Biomass Data Assumptions'!C$82))*'Prac. Rec. Assumptions'!$B27</f>
        <v>3719.28644701331</v>
      </c>
      <c r="G33" s="294">
        <f>($C33*(1+'Biomass Data Assumptions'!H$99)*(1+'Biomass Data Assumptions'!D$82))*'Prac. Rec. Assumptions'!$B27</f>
        <v>3897.7962124881847</v>
      </c>
      <c r="H33" s="294">
        <f>($C33*(1+'Biomass Data Assumptions'!I$99)*(1+'Biomass Data Assumptions'!E$82))*'Prac. Rec. Assumptions'!$B27</f>
        <v>4082.2153293998499</v>
      </c>
      <c r="I33" s="16" t="str">
        <f>IF('Conversion Tables'!F30="NA","NA",(E33*'Conversion Tables'!$C30)/'Conversion Tables'!F30)</f>
        <v>NA</v>
      </c>
      <c r="J33" s="16" t="str">
        <f>IF('Conversion Tables'!G30="NA","NA",(F33*'Conversion Tables'!$C30)/'Conversion Tables'!G30)</f>
        <v>NA</v>
      </c>
      <c r="K33" s="16" t="str">
        <f>IF('Conversion Tables'!H30="NA","NA",(G33*'Conversion Tables'!$C30)/'Conversion Tables'!H30)</f>
        <v>NA</v>
      </c>
      <c r="L33" s="16" t="str">
        <f>IF('Conversion Tables'!I30="NA","NA",(H33*'Conversion Tables'!$C30)/'Conversion Tables'!I30)</f>
        <v>NA</v>
      </c>
      <c r="M33" s="16" t="str">
        <f>IF('Conversion Tables'!K30="NA","NA",E33*'Conversion Tables'!K30)</f>
        <v>NA</v>
      </c>
      <c r="N33" s="16" t="str">
        <f>IF('Conversion Tables'!L30="NA","NA",F33*'Conversion Tables'!L30)</f>
        <v>NA</v>
      </c>
      <c r="O33" s="16" t="str">
        <f>IF('Conversion Tables'!M30="NA","NA",G33*'Conversion Tables'!M30)</f>
        <v>NA</v>
      </c>
      <c r="P33" s="16" t="str">
        <f>IF('Conversion Tables'!N30="NA","NA",H33*'Conversion Tables'!N30)</f>
        <v>NA</v>
      </c>
      <c r="Q33" s="7"/>
    </row>
    <row r="34" spans="1:17" x14ac:dyDescent="0.25">
      <c r="A34" s="1064"/>
      <c r="B34" s="11" t="str">
        <f>'Bioenergy Calculator'!B37</f>
        <v>Other Biomass, Landfilled</v>
      </c>
      <c r="C34" s="294">
        <f>C143</f>
        <v>3417.3038940000001</v>
      </c>
      <c r="D34" s="294">
        <f>E34*'Conversion Tables'!C31</f>
        <v>35730.782747040968</v>
      </c>
      <c r="E34" s="294">
        <f>C34*'Prac. Rec. Assumptions'!B28</f>
        <v>2460.4588036800005</v>
      </c>
      <c r="F34" s="294">
        <f>($C34*(1+'Biomass Data Assumptions'!G$99)*(1+'Biomass Data Assumptions'!C$82))*'Prac. Rec. Assumptions'!$B28</f>
        <v>2574.8170698732247</v>
      </c>
      <c r="G34" s="294">
        <f>($C34*(1+'Biomass Data Assumptions'!H$99)*(1+'Biomass Data Assumptions'!D$82))*'Prac. Rec. Assumptions'!$B28</f>
        <v>2698.3972237096868</v>
      </c>
      <c r="H34" s="294">
        <f>($C34*(1+'Biomass Data Assumptions'!I$99)*(1+'Biomass Data Assumptions'!E$82))*'Prac. Rec. Assumptions'!$B28</f>
        <v>2826.0683501475055</v>
      </c>
      <c r="I34" s="16" t="str">
        <f>IF('Conversion Tables'!F31="NA","NA",(E34*'Conversion Tables'!$C31)/'Conversion Tables'!F31)</f>
        <v>NA</v>
      </c>
      <c r="J34" s="16" t="str">
        <f>IF('Conversion Tables'!G31="NA","NA",(F34*'Conversion Tables'!$C31)/'Conversion Tables'!G31)</f>
        <v>NA</v>
      </c>
      <c r="K34" s="16" t="str">
        <f>IF('Conversion Tables'!H31="NA","NA",(G34*'Conversion Tables'!$C31)/'Conversion Tables'!H31)</f>
        <v>NA</v>
      </c>
      <c r="L34" s="16" t="str">
        <f>IF('Conversion Tables'!I31="NA","NA",(H34*'Conversion Tables'!$C31)/'Conversion Tables'!I31)</f>
        <v>NA</v>
      </c>
      <c r="M34" s="16" t="str">
        <f>IF('Conversion Tables'!K31="NA","NA",E34*'Conversion Tables'!K31)</f>
        <v>NA</v>
      </c>
      <c r="N34" s="16" t="str">
        <f>IF('Conversion Tables'!L31="NA","NA",F34*'Conversion Tables'!L31)</f>
        <v>NA</v>
      </c>
      <c r="O34" s="16" t="str">
        <f>IF('Conversion Tables'!M31="NA","NA",G34*'Conversion Tables'!M31)</f>
        <v>NA</v>
      </c>
      <c r="P34" s="16" t="str">
        <f>IF('Conversion Tables'!N31="NA","NA",H34*'Conversion Tables'!N31)</f>
        <v>NA</v>
      </c>
      <c r="Q34" s="7"/>
    </row>
    <row r="35" spans="1:17" x14ac:dyDescent="0.25">
      <c r="A35" s="1065"/>
      <c r="B35" s="11" t="str">
        <f>'Bioenergy Calculator'!B38</f>
        <v>C&amp;D (Non-recycled wood)</v>
      </c>
      <c r="C35" s="294">
        <f>C145</f>
        <v>10686.140800000001</v>
      </c>
      <c r="D35" s="294">
        <f>E35*'Conversion Tables'!C32</f>
        <v>121052.60298240003</v>
      </c>
      <c r="E35" s="294">
        <f>C35*'Prac. Rec. Assumptions'!B29</f>
        <v>6839.1301120000016</v>
      </c>
      <c r="F35" s="294">
        <f>($C35*(1+'Biomass Data Assumptions'!G$99)*(1+'Biomass Data Assumptions'!C$83))*'Prac. Rec. Assumptions'!$B29</f>
        <v>7521.4699791978237</v>
      </c>
      <c r="G35" s="294">
        <f>($C35*(1+'Biomass Data Assumptions'!H$99)*(1+'Biomass Data Assumptions'!D$83))*'Prac. Rec. Assumptions'!$B29</f>
        <v>8283.8801449903476</v>
      </c>
      <c r="H35" s="294">
        <f>($C35*(1+'Biomass Data Assumptions'!I$99)*(1+'Biomass Data Assumptions'!E$83))*'Prac. Rec. Assumptions'!$B29</f>
        <v>9117.6342192726388</v>
      </c>
      <c r="I35" s="16" t="str">
        <f>IF('Conversion Tables'!F32="NA","NA",(E35*'Conversion Tables'!$C32)/'Conversion Tables'!F32)</f>
        <v>NA</v>
      </c>
      <c r="J35" s="16" t="str">
        <f>IF('Conversion Tables'!G32="NA","NA",(F35*'Conversion Tables'!$C32)/'Conversion Tables'!G32)</f>
        <v>NA</v>
      </c>
      <c r="K35" s="16" t="str">
        <f>IF('Conversion Tables'!H32="NA","NA",(G35*'Conversion Tables'!$C32)/'Conversion Tables'!H32)</f>
        <v>NA</v>
      </c>
      <c r="L35" s="16" t="str">
        <f>IF('Conversion Tables'!I32="NA","NA",(H35*'Conversion Tables'!$C32)/'Conversion Tables'!I32)</f>
        <v>NA</v>
      </c>
      <c r="M35" s="16" t="str">
        <f>IF('Conversion Tables'!K32="NA","NA",E35*'Conversion Tables'!K32)</f>
        <v>NA</v>
      </c>
      <c r="N35" s="16" t="str">
        <f>IF('Conversion Tables'!L32="NA","NA",F35*'Conversion Tables'!L32)</f>
        <v>NA</v>
      </c>
      <c r="O35" s="16" t="str">
        <f>IF('Conversion Tables'!M32="NA","NA",G35*'Conversion Tables'!M32)</f>
        <v>NA</v>
      </c>
      <c r="P35" s="16" t="str">
        <f>IF('Conversion Tables'!N32="NA","NA",H35*'Conversion Tables'!N32)</f>
        <v>NA</v>
      </c>
      <c r="Q35" s="7"/>
    </row>
    <row r="36" spans="1:17" x14ac:dyDescent="0.25">
      <c r="A36" s="1065"/>
      <c r="B36" s="4" t="s">
        <v>280</v>
      </c>
      <c r="C36" s="294"/>
      <c r="D36" s="294"/>
      <c r="E36" s="294"/>
      <c r="F36" s="294"/>
      <c r="G36" s="294"/>
      <c r="H36" s="294"/>
      <c r="I36" s="16"/>
      <c r="J36" s="16"/>
      <c r="K36" s="16"/>
      <c r="L36" s="16"/>
      <c r="M36" s="16"/>
      <c r="N36" s="16"/>
      <c r="O36" s="16"/>
      <c r="P36" s="16"/>
      <c r="Q36" s="7"/>
    </row>
    <row r="37" spans="1:17" x14ac:dyDescent="0.25">
      <c r="A37" s="1065"/>
      <c r="B37" s="677" t="s">
        <v>563</v>
      </c>
      <c r="C37" s="299">
        <f>C132</f>
        <v>7702.8374999999996</v>
      </c>
      <c r="D37" s="294">
        <f>E37*'Conversion Tables'!C34</f>
        <v>123245.4</v>
      </c>
      <c r="E37" s="294">
        <f>C37*'Prac. Rec. Assumptions'!B31</f>
        <v>7702.8374999999996</v>
      </c>
      <c r="F37" s="294">
        <f>($C37*(1+'Biomass Data Assumptions'!G$99)*(1+'Biomass Data Assumptions'!C$84))*'Prac. Rec. Assumptions'!$B31</f>
        <v>8820.3399522521177</v>
      </c>
      <c r="G37" s="294">
        <f>($C37*(1+'Biomass Data Assumptions'!H$99)*(1+'Biomass Data Assumptions'!D$84))*'Prac. Rec. Assumptions'!$B31</f>
        <v>10114.609766998959</v>
      </c>
      <c r="H37" s="294">
        <f>($C37*(1+'Biomass Data Assumptions'!I$99)*(1+'Biomass Data Assumptions'!E$84))*'Prac. Rec. Assumptions'!$B31</f>
        <v>11591.248537800999</v>
      </c>
      <c r="I37" s="16" t="str">
        <f>IF('Conversion Tables'!F34="NA","NA",(E37*'Conversion Tables'!$C34)/'Conversion Tables'!F34)</f>
        <v>NA</v>
      </c>
      <c r="J37" s="16" t="str">
        <f>IF('Conversion Tables'!G34="NA","NA",(F37*'Conversion Tables'!$C34)/'Conversion Tables'!G34)</f>
        <v>NA</v>
      </c>
      <c r="K37" s="16" t="str">
        <f>IF('Conversion Tables'!H34="NA","NA",(G37*'Conversion Tables'!$C34)/'Conversion Tables'!H34)</f>
        <v>NA</v>
      </c>
      <c r="L37" s="16" t="str">
        <f>IF('Conversion Tables'!I34="NA","NA",(H37*'Conversion Tables'!$C34)/'Conversion Tables'!I34)</f>
        <v>NA</v>
      </c>
      <c r="M37" s="16" t="str">
        <f>IF('Conversion Tables'!K34="NA","NA",E37*'Conversion Tables'!K34)</f>
        <v>NA</v>
      </c>
      <c r="N37" s="16" t="str">
        <f>IF('Conversion Tables'!L34="NA","NA",F37*'Conversion Tables'!L34)</f>
        <v>NA</v>
      </c>
      <c r="O37" s="16" t="str">
        <f>IF('Conversion Tables'!M34="NA","NA",G37*'Conversion Tables'!M34)</f>
        <v>NA</v>
      </c>
      <c r="P37" s="16" t="str">
        <f>IF('Conversion Tables'!N34="NA","NA",H37*'Conversion Tables'!N34)</f>
        <v>NA</v>
      </c>
      <c r="Q37" s="18"/>
    </row>
    <row r="38" spans="1:17" x14ac:dyDescent="0.25">
      <c r="A38" s="1065"/>
      <c r="B38" s="11" t="s">
        <v>565</v>
      </c>
      <c r="C38" s="294">
        <f>C134</f>
        <v>5034.152</v>
      </c>
      <c r="D38" s="294">
        <f>E38*'Conversion Tables'!C35</f>
        <v>44552.245199999998</v>
      </c>
      <c r="E38" s="294">
        <f>C38*'Prac. Rec. Assumptions'!B32</f>
        <v>2517.076</v>
      </c>
      <c r="F38" s="294">
        <f>($C38*(1+'Biomass Data Assumptions'!G$99)*(1+'Biomass Data Assumptions'!C$84))*'Prac. Rec. Assumptions'!$B32</f>
        <v>2882.2451474089844</v>
      </c>
      <c r="G38" s="294">
        <f>($C38*(1+'Biomass Data Assumptions'!H$99)*(1+'Biomass Data Assumptions'!D$84))*'Prac. Rec. Assumptions'!$B32</f>
        <v>3305.17702001096</v>
      </c>
      <c r="H38" s="294">
        <f>($C38*(1+'Biomass Data Assumptions'!I$99)*(1+'Biomass Data Assumptions'!E$84))*'Prac. Rec. Assumptions'!$B32</f>
        <v>3787.7020649252936</v>
      </c>
      <c r="I38" s="16" t="str">
        <f>IF('Conversion Tables'!F35="NA","NA",(E38*'Conversion Tables'!$C35)/'Conversion Tables'!F35)</f>
        <v>NA</v>
      </c>
      <c r="J38" s="16" t="str">
        <f>IF('Conversion Tables'!G35="NA","NA",(F38*'Conversion Tables'!$C35)/'Conversion Tables'!G35)</f>
        <v>NA</v>
      </c>
      <c r="K38" s="16" t="str">
        <f>IF('Conversion Tables'!H35="NA","NA",(G38*'Conversion Tables'!$C35)/'Conversion Tables'!H35)</f>
        <v>NA</v>
      </c>
      <c r="L38" s="16" t="str">
        <f>IF('Conversion Tables'!I35="NA","NA",(H38*'Conversion Tables'!$C35)/'Conversion Tables'!I35)</f>
        <v>NA</v>
      </c>
      <c r="M38" s="16" t="str">
        <f>IF('Conversion Tables'!K35="NA","NA",E38*'Conversion Tables'!K35)</f>
        <v>NA</v>
      </c>
      <c r="N38" s="16" t="str">
        <f>IF('Conversion Tables'!L35="NA","NA",F38*'Conversion Tables'!L35)</f>
        <v>NA</v>
      </c>
      <c r="O38" s="16" t="str">
        <f>IF('Conversion Tables'!M35="NA","NA",G38*'Conversion Tables'!M35)</f>
        <v>NA</v>
      </c>
      <c r="P38" s="16" t="str">
        <f>IF('Conversion Tables'!N35="NA","NA",H38*'Conversion Tables'!N35)</f>
        <v>NA</v>
      </c>
      <c r="Q38" s="13"/>
    </row>
    <row r="39" spans="1:17" x14ac:dyDescent="0.25">
      <c r="A39" s="1065"/>
      <c r="B39" s="17" t="s">
        <v>555</v>
      </c>
      <c r="C39" s="294">
        <f>C124</f>
        <v>40630.158000000003</v>
      </c>
      <c r="D39" s="299">
        <f>E39*'Conversion Tables'!C36</f>
        <v>0</v>
      </c>
      <c r="E39" s="299">
        <f>C39*'Prac. Rec. Assumptions'!B33</f>
        <v>0</v>
      </c>
      <c r="F39" s="294">
        <f>($C39*(1+'Biomass Data Assumptions'!G$99)*(1+'Biomass Data Assumptions'!C$84))*'Prac. Rec. Assumptions'!$B33</f>
        <v>0</v>
      </c>
      <c r="G39" s="294">
        <f>($C39*(1+'Biomass Data Assumptions'!H$99)*(1+'Biomass Data Assumptions'!D$84))*'Prac. Rec. Assumptions'!$B33</f>
        <v>0</v>
      </c>
      <c r="H39" s="294">
        <f>($C39*(1+'Biomass Data Assumptions'!I$99)*(1+'Biomass Data Assumptions'!E$84))*'Prac. Rec. Assumptions'!$B33</f>
        <v>0</v>
      </c>
      <c r="I39" s="16" t="str">
        <f>IF('Conversion Tables'!F36="NA","NA",(E39*'Conversion Tables'!$C36)/'Conversion Tables'!F36)</f>
        <v>NA</v>
      </c>
      <c r="J39" s="16" t="str">
        <f>IF('Conversion Tables'!G36="NA","NA",(F39*'Conversion Tables'!$C36)/'Conversion Tables'!G36)</f>
        <v>NA</v>
      </c>
      <c r="K39" s="16" t="str">
        <f>IF('Conversion Tables'!H36="NA","NA",(G39*'Conversion Tables'!$C36)/'Conversion Tables'!H36)</f>
        <v>NA</v>
      </c>
      <c r="L39" s="16" t="str">
        <f>IF('Conversion Tables'!I36="NA","NA",(H39*'Conversion Tables'!$C36)/'Conversion Tables'!I36)</f>
        <v>NA</v>
      </c>
      <c r="M39" s="16" t="str">
        <f>IF('Conversion Tables'!K36="NA","NA",E39*'Conversion Tables'!K36)</f>
        <v>NA</v>
      </c>
      <c r="N39" s="16" t="str">
        <f>IF('Conversion Tables'!L36="NA","NA",F39*'Conversion Tables'!L36)</f>
        <v>NA</v>
      </c>
      <c r="O39" s="16" t="str">
        <f>IF('Conversion Tables'!M36="NA","NA",G39*'Conversion Tables'!M36)</f>
        <v>NA</v>
      </c>
      <c r="P39" s="16" t="str">
        <f>IF('Conversion Tables'!N36="NA","NA",H39*'Conversion Tables'!N36)</f>
        <v>NA</v>
      </c>
      <c r="Q39" s="27"/>
    </row>
    <row r="40" spans="1:17" x14ac:dyDescent="0.25">
      <c r="A40" s="1065"/>
      <c r="B40" s="17" t="s">
        <v>556</v>
      </c>
      <c r="C40" s="294">
        <f>C125</f>
        <v>5062.6440000000002</v>
      </c>
      <c r="D40" s="299">
        <f>E40*'Conversion Tables'!C37</f>
        <v>0</v>
      </c>
      <c r="E40" s="299">
        <f>C40*'Prac. Rec. Assumptions'!B34</f>
        <v>0</v>
      </c>
      <c r="F40" s="294">
        <f>($C40*(1+'Biomass Data Assumptions'!G$99)*(1+'Biomass Data Assumptions'!C$84))*'Prac. Rec. Assumptions'!$B34</f>
        <v>0</v>
      </c>
      <c r="G40" s="294">
        <f>($C40*(1+'Biomass Data Assumptions'!H$99)*(1+'Biomass Data Assumptions'!D$84))*'Prac. Rec. Assumptions'!$B34</f>
        <v>0</v>
      </c>
      <c r="H40" s="294">
        <f>($C40*(1+'Biomass Data Assumptions'!I$99)*(1+'Biomass Data Assumptions'!E$84))*'Prac. Rec. Assumptions'!$B34</f>
        <v>0</v>
      </c>
      <c r="I40" s="16" t="str">
        <f>IF('Conversion Tables'!F37="NA","NA",(E40*'Conversion Tables'!$C37)/'Conversion Tables'!F37)</f>
        <v>NA</v>
      </c>
      <c r="J40" s="16" t="str">
        <f>IF('Conversion Tables'!G37="NA","NA",(F40*'Conversion Tables'!$C37)/'Conversion Tables'!G37)</f>
        <v>NA</v>
      </c>
      <c r="K40" s="16" t="str">
        <f>IF('Conversion Tables'!H37="NA","NA",(G40*'Conversion Tables'!$C37)/'Conversion Tables'!H37)</f>
        <v>NA</v>
      </c>
      <c r="L40" s="16" t="str">
        <f>IF('Conversion Tables'!I37="NA","NA",(H40*'Conversion Tables'!$C37)/'Conversion Tables'!I37)</f>
        <v>NA</v>
      </c>
      <c r="M40" s="16" t="str">
        <f>IF('Conversion Tables'!K37="NA","NA",E40*'Conversion Tables'!K37)</f>
        <v>NA</v>
      </c>
      <c r="N40" s="16" t="str">
        <f>IF('Conversion Tables'!L37="NA","NA",F40*'Conversion Tables'!L37)</f>
        <v>NA</v>
      </c>
      <c r="O40" s="16" t="str">
        <f>IF('Conversion Tables'!M37="NA","NA",G40*'Conversion Tables'!M37)</f>
        <v>NA</v>
      </c>
      <c r="P40" s="16" t="str">
        <f>IF('Conversion Tables'!N37="NA","NA",H40*'Conversion Tables'!N37)</f>
        <v>NA</v>
      </c>
      <c r="Q40" s="27"/>
    </row>
    <row r="41" spans="1:17" x14ac:dyDescent="0.25">
      <c r="A41" s="1065"/>
      <c r="B41" s="17" t="s">
        <v>557</v>
      </c>
      <c r="C41" s="294">
        <f>C126</f>
        <v>11438.19</v>
      </c>
      <c r="D41" s="299">
        <f>E41*'Conversion Tables'!C38</f>
        <v>0</v>
      </c>
      <c r="E41" s="299">
        <f>C41*'Prac. Rec. Assumptions'!B35</f>
        <v>0</v>
      </c>
      <c r="F41" s="294">
        <f>($C41*(1+'Biomass Data Assumptions'!G$99)*(1+'Biomass Data Assumptions'!C$84))*'Prac. Rec. Assumptions'!$B35</f>
        <v>0</v>
      </c>
      <c r="G41" s="294">
        <f>($C41*(1+'Biomass Data Assumptions'!H$99)*(1+'Biomass Data Assumptions'!D$84))*'Prac. Rec. Assumptions'!$B35</f>
        <v>0</v>
      </c>
      <c r="H41" s="294">
        <f>($C41*(1+'Biomass Data Assumptions'!I$99)*(1+'Biomass Data Assumptions'!E$84))*'Prac. Rec. Assumptions'!$B35</f>
        <v>0</v>
      </c>
      <c r="I41" s="16" t="str">
        <f>IF('Conversion Tables'!F38="NA","NA",(E41*'Conversion Tables'!$C38)/'Conversion Tables'!F38)</f>
        <v>NA</v>
      </c>
      <c r="J41" s="16" t="str">
        <f>IF('Conversion Tables'!G38="NA","NA",(F41*'Conversion Tables'!$C38)/'Conversion Tables'!G38)</f>
        <v>NA</v>
      </c>
      <c r="K41" s="16" t="str">
        <f>IF('Conversion Tables'!H38="NA","NA",(G41*'Conversion Tables'!$C38)/'Conversion Tables'!H38)</f>
        <v>NA</v>
      </c>
      <c r="L41" s="16" t="str">
        <f>IF('Conversion Tables'!I38="NA","NA",(H41*'Conversion Tables'!$C38)/'Conversion Tables'!I38)</f>
        <v>NA</v>
      </c>
      <c r="M41" s="16" t="str">
        <f>IF('Conversion Tables'!K38="NA","NA",E41*'Conversion Tables'!K38)</f>
        <v>NA</v>
      </c>
      <c r="N41" s="16" t="str">
        <f>IF('Conversion Tables'!L38="NA","NA",F41*'Conversion Tables'!L38)</f>
        <v>NA</v>
      </c>
      <c r="O41" s="16" t="str">
        <f>IF('Conversion Tables'!M38="NA","NA",G41*'Conversion Tables'!M38)</f>
        <v>NA</v>
      </c>
      <c r="P41" s="16" t="str">
        <f>IF('Conversion Tables'!N38="NA","NA",H41*'Conversion Tables'!N38)</f>
        <v>NA</v>
      </c>
      <c r="Q41" s="27"/>
    </row>
    <row r="42" spans="1:17" x14ac:dyDescent="0.25">
      <c r="A42" s="1065"/>
      <c r="B42" s="17" t="s">
        <v>558</v>
      </c>
      <c r="C42" s="294">
        <f>C127</f>
        <v>6977.6010000000006</v>
      </c>
      <c r="D42" s="299">
        <f>E42*'Conversion Tables'!C39</f>
        <v>101328.72172200002</v>
      </c>
      <c r="E42" s="299">
        <f>C42*'Prac. Rec. Assumptions'!B36</f>
        <v>6977.6010000000006</v>
      </c>
      <c r="F42" s="294">
        <f>($C42*(1+'Biomass Data Assumptions'!G$99)*(1+'Biomass Data Assumptions'!C$84))*'Prac. Rec. Assumptions'!$B36</f>
        <v>7989.8885146122238</v>
      </c>
      <c r="G42" s="294">
        <f>($C42*(1+'Biomass Data Assumptions'!H$99)*(1+'Biomass Data Assumptions'!D$84))*'Prac. Rec. Assumptions'!$B36</f>
        <v>9162.3004152459034</v>
      </c>
      <c r="H42" s="294">
        <f>($C42*(1+'Biomass Data Assumptions'!I$99)*(1+'Biomass Data Assumptions'!E$84))*'Prac. Rec. Assumptions'!$B36</f>
        <v>10499.910894992759</v>
      </c>
      <c r="I42" s="16" t="str">
        <f>IF('Conversion Tables'!F39="NA","NA",(E42*'Conversion Tables'!$C39)/'Conversion Tables'!F39)</f>
        <v>NA</v>
      </c>
      <c r="J42" s="16" t="str">
        <f>IF('Conversion Tables'!G39="NA","NA",(F42*'Conversion Tables'!$C39)/'Conversion Tables'!G39)</f>
        <v>NA</v>
      </c>
      <c r="K42" s="16" t="str">
        <f>IF('Conversion Tables'!H39="NA","NA",(G42*'Conversion Tables'!$C39)/'Conversion Tables'!H39)</f>
        <v>NA</v>
      </c>
      <c r="L42" s="16" t="str">
        <f>IF('Conversion Tables'!I39="NA","NA",(H42*'Conversion Tables'!$C39)/'Conversion Tables'!I39)</f>
        <v>NA</v>
      </c>
      <c r="M42" s="16" t="str">
        <f>IF('Conversion Tables'!K39="NA","NA",E42*'Conversion Tables'!K39)</f>
        <v>NA</v>
      </c>
      <c r="N42" s="16" t="str">
        <f>IF('Conversion Tables'!L39="NA","NA",F42*'Conversion Tables'!L39)</f>
        <v>NA</v>
      </c>
      <c r="O42" s="16" t="str">
        <f>IF('Conversion Tables'!M39="NA","NA",G42*'Conversion Tables'!M39)</f>
        <v>NA</v>
      </c>
      <c r="P42" s="16" t="str">
        <f>IF('Conversion Tables'!N39="NA","NA",H42*'Conversion Tables'!N39)</f>
        <v>NA</v>
      </c>
      <c r="Q42" s="27"/>
    </row>
    <row r="43" spans="1:17" x14ac:dyDescent="0.25">
      <c r="A43" s="1065"/>
      <c r="B43" s="9" t="s">
        <v>524</v>
      </c>
      <c r="C43" s="295">
        <f t="shared" ref="C43:P43" si="4">SUM(C31:C42)</f>
        <v>96596.144085600012</v>
      </c>
      <c r="D43" s="295">
        <f t="shared" si="4"/>
        <v>489085.50887326186</v>
      </c>
      <c r="E43" s="295">
        <f t="shared" si="4"/>
        <v>30773.897942240008</v>
      </c>
      <c r="F43" s="295">
        <f t="shared" si="4"/>
        <v>34264.333891742652</v>
      </c>
      <c r="G43" s="295">
        <f t="shared" si="4"/>
        <v>38254.746080122233</v>
      </c>
      <c r="H43" s="295">
        <f t="shared" si="4"/>
        <v>42734.86482727305</v>
      </c>
      <c r="I43" s="19">
        <f t="shared" si="4"/>
        <v>0</v>
      </c>
      <c r="J43" s="19">
        <f t="shared" si="4"/>
        <v>0</v>
      </c>
      <c r="K43" s="19">
        <f t="shared" si="4"/>
        <v>0</v>
      </c>
      <c r="L43" s="19">
        <f t="shared" si="4"/>
        <v>0</v>
      </c>
      <c r="M43" s="19">
        <f t="shared" si="4"/>
        <v>0</v>
      </c>
      <c r="N43" s="19">
        <f t="shared" si="4"/>
        <v>0</v>
      </c>
      <c r="O43" s="19">
        <f t="shared" si="4"/>
        <v>0</v>
      </c>
      <c r="P43" s="19">
        <f t="shared" si="4"/>
        <v>0</v>
      </c>
      <c r="Q43" s="19"/>
    </row>
    <row r="44" spans="1:17" x14ac:dyDescent="0.25">
      <c r="A44" s="8"/>
      <c r="C44" s="296"/>
      <c r="D44" s="296"/>
      <c r="E44" s="296"/>
      <c r="F44" s="296"/>
      <c r="G44" s="296"/>
      <c r="H44" s="296"/>
      <c r="I44" s="28"/>
      <c r="J44" s="28"/>
      <c r="K44" s="28"/>
      <c r="L44" s="28"/>
      <c r="M44" s="28"/>
      <c r="N44" s="28"/>
      <c r="O44" s="28"/>
      <c r="P44" s="28"/>
    </row>
    <row r="45" spans="1:17" x14ac:dyDescent="0.25">
      <c r="A45" s="1064" t="s">
        <v>515</v>
      </c>
      <c r="B45" s="2" t="s">
        <v>510</v>
      </c>
      <c r="C45" s="294"/>
      <c r="D45" s="294"/>
      <c r="E45" s="294"/>
      <c r="F45" s="294"/>
      <c r="G45" s="294"/>
      <c r="H45" s="294"/>
      <c r="I45" s="16"/>
      <c r="J45" s="16"/>
      <c r="K45" s="16"/>
      <c r="L45" s="16"/>
      <c r="M45" s="16"/>
      <c r="N45" s="16"/>
      <c r="O45" s="16"/>
      <c r="P45" s="16"/>
      <c r="Q45" s="7"/>
    </row>
    <row r="46" spans="1:17" x14ac:dyDescent="0.25">
      <c r="A46" s="1064"/>
      <c r="B46" s="12" t="s">
        <v>525</v>
      </c>
      <c r="C46" s="294">
        <f>D77</f>
        <v>8231.0400000000009</v>
      </c>
      <c r="D46" s="294">
        <f>E46*'Conversion Tables'!C41</f>
        <v>0</v>
      </c>
      <c r="E46" s="294">
        <f>C46*'Prac. Rec. Assumptions'!B38</f>
        <v>8231.0400000000009</v>
      </c>
      <c r="F46" s="294">
        <f>$E46</f>
        <v>8231.0400000000009</v>
      </c>
      <c r="G46" s="294">
        <f>$E46</f>
        <v>8231.0400000000009</v>
      </c>
      <c r="H46" s="294">
        <f>$E46</f>
        <v>8231.0400000000009</v>
      </c>
      <c r="I46" s="16" t="str">
        <f>IF('Conversion Tables'!F41="NA","NA",(E46*'Conversion Tables'!$C41)/'Conversion Tables'!F41)</f>
        <v>NA</v>
      </c>
      <c r="J46" s="16" t="str">
        <f>IF('Conversion Tables'!G41="NA","NA",(F46*'Conversion Tables'!$C41)/'Conversion Tables'!G41)</f>
        <v>NA</v>
      </c>
      <c r="K46" s="16" t="str">
        <f>IF('Conversion Tables'!H41="NA","NA",(G46*'Conversion Tables'!$C41)/'Conversion Tables'!H41)</f>
        <v>NA</v>
      </c>
      <c r="L46" s="16" t="str">
        <f>IF('Conversion Tables'!I41="NA","NA",(H46*'Conversion Tables'!$C41)/'Conversion Tables'!I41)</f>
        <v>NA</v>
      </c>
      <c r="M46" s="16" t="str">
        <f>IF('Conversion Tables'!K41="NA","NA",E46*'Conversion Tables'!K41)</f>
        <v>NA</v>
      </c>
      <c r="N46" s="16" t="str">
        <f>IF('Conversion Tables'!L41="NA","NA",F46*'Conversion Tables'!L41)</f>
        <v>NA</v>
      </c>
      <c r="O46" s="16" t="str">
        <f>IF('Conversion Tables'!M41="NA","NA",G46*'Conversion Tables'!M41)</f>
        <v>NA</v>
      </c>
      <c r="P46" s="16" t="str">
        <f>IF('Conversion Tables'!N41="NA","NA",H46*'Conversion Tables'!N41)</f>
        <v>NA</v>
      </c>
      <c r="Q46" s="15"/>
    </row>
    <row r="47" spans="1:17" x14ac:dyDescent="0.25">
      <c r="A47" s="1065"/>
      <c r="B47" s="2" t="s">
        <v>508</v>
      </c>
      <c r="C47" s="294">
        <f t="shared" ref="C47:C48" si="5">C148</f>
        <v>1078.1971200000003</v>
      </c>
      <c r="D47" s="294"/>
      <c r="E47" s="294">
        <f>C47*'Prac. Rec. Assumptions'!B39</f>
        <v>539.09856000000013</v>
      </c>
      <c r="F47" s="294">
        <f>($C47*(1+'Biomass Data Assumptions'!G$99))*'Prac. Rec. Assumptions'!$B39</f>
        <v>564.53832549618335</v>
      </c>
      <c r="G47" s="294">
        <f>($C47*(1+'Biomass Data Assumptions'!H$99))*'Prac. Rec. Assumptions'!$B39</f>
        <v>592.03571908396952</v>
      </c>
      <c r="H47" s="294">
        <f>($C47*(1+'Biomass Data Assumptions'!I$99))*'Prac. Rec. Assumptions'!$B39</f>
        <v>620.46839816793897</v>
      </c>
      <c r="I47" s="16" t="str">
        <f>IF('Conversion Tables'!F42="NA","NA",(E47*'Conversion Tables'!$C42)/'Conversion Tables'!F42)</f>
        <v>NA</v>
      </c>
      <c r="J47" s="16" t="str">
        <f>IF('Conversion Tables'!G42="NA","NA",(F47*'Conversion Tables'!$C42)/'Conversion Tables'!G42)</f>
        <v>NA</v>
      </c>
      <c r="K47" s="16" t="str">
        <f>IF('Conversion Tables'!H42="NA","NA",(G47*'Conversion Tables'!$C42)/'Conversion Tables'!H42)</f>
        <v>NA</v>
      </c>
      <c r="L47" s="16" t="str">
        <f>IF('Conversion Tables'!I42="NA","NA",(H47*'Conversion Tables'!$C42)/'Conversion Tables'!I42)</f>
        <v>NA</v>
      </c>
      <c r="M47" s="16" t="str">
        <f>IF('Conversion Tables'!K42="NA","NA",E47*'Conversion Tables'!K42)</f>
        <v>NA</v>
      </c>
      <c r="N47" s="16" t="str">
        <f>IF('Conversion Tables'!L42="NA","NA",F47*'Conversion Tables'!L42)</f>
        <v>NA</v>
      </c>
      <c r="O47" s="16" t="str">
        <f>IF('Conversion Tables'!M42="NA","NA",G47*'Conversion Tables'!M42)</f>
        <v>NA</v>
      </c>
      <c r="P47" s="16" t="str">
        <f>IF('Conversion Tables'!N42="NA","NA",H47*'Conversion Tables'!N42)</f>
        <v>NA</v>
      </c>
      <c r="Q47" s="7"/>
    </row>
    <row r="48" spans="1:17" x14ac:dyDescent="0.25">
      <c r="A48" s="1065"/>
      <c r="B48" s="1" t="s">
        <v>509</v>
      </c>
      <c r="C48" s="294">
        <f t="shared" si="5"/>
        <v>96.360264000000001</v>
      </c>
      <c r="D48" s="294"/>
      <c r="E48" s="294">
        <f>C48*'Prac. Rec. Assumptions'!B40</f>
        <v>96.360264000000001</v>
      </c>
      <c r="F48" s="294">
        <f>($C48*(1+'Biomass Data Assumptions'!G$99))*'Prac. Rec. Assumptions'!$B40</f>
        <v>100.90745203053436</v>
      </c>
      <c r="G48" s="294">
        <f>($C48*(1+'Biomass Data Assumptions'!H$99))*'Prac. Rec. Assumptions'!$B40</f>
        <v>105.82242732824427</v>
      </c>
      <c r="H48" s="294">
        <f>($C48*(1+'Biomass Data Assumptions'!I$99))*'Prac. Rec. Assumptions'!$B40</f>
        <v>110.90457865648854</v>
      </c>
      <c r="I48" s="16" t="str">
        <f>IF('Conversion Tables'!F43="NA","NA",(E48*'Conversion Tables'!$C43)/'Conversion Tables'!F43)</f>
        <v>NA</v>
      </c>
      <c r="J48" s="16" t="str">
        <f>IF('Conversion Tables'!G43="NA","NA",(F48*'Conversion Tables'!$C43)/'Conversion Tables'!G43)</f>
        <v>NA</v>
      </c>
      <c r="K48" s="16" t="str">
        <f>IF('Conversion Tables'!H43="NA","NA",(G48*'Conversion Tables'!$C43)/'Conversion Tables'!H43)</f>
        <v>NA</v>
      </c>
      <c r="L48" s="16" t="str">
        <f>IF('Conversion Tables'!I43="NA","NA",(H48*'Conversion Tables'!$C43)/'Conversion Tables'!I43)</f>
        <v>NA</v>
      </c>
      <c r="M48" s="16" t="str">
        <f>IF('Conversion Tables'!K43="NA","NA",E48*'Conversion Tables'!K43)</f>
        <v>NA</v>
      </c>
      <c r="N48" s="16" t="str">
        <f>IF('Conversion Tables'!L43="NA","NA",F48*'Conversion Tables'!L43)</f>
        <v>NA</v>
      </c>
      <c r="O48" s="16" t="str">
        <f>IF('Conversion Tables'!M43="NA","NA",G48*'Conversion Tables'!M43)</f>
        <v>NA</v>
      </c>
      <c r="P48" s="16" t="str">
        <f>IF('Conversion Tables'!N43="NA","NA",H48*'Conversion Tables'!N43)</f>
        <v>NA</v>
      </c>
      <c r="Q48" s="7"/>
    </row>
    <row r="49" spans="1:17" x14ac:dyDescent="0.25">
      <c r="A49" s="1065"/>
      <c r="B49" s="9" t="s">
        <v>524</v>
      </c>
      <c r="C49" s="295">
        <f t="shared" ref="C49:P49" si="6">SUM(C45:C48)</f>
        <v>9405.5973840000024</v>
      </c>
      <c r="D49" s="295">
        <f>SUM(D45:D48)</f>
        <v>0</v>
      </c>
      <c r="E49" s="295">
        <f t="shared" si="6"/>
        <v>8866.4988240000021</v>
      </c>
      <c r="F49" s="295">
        <f>SUM(F45:F48)</f>
        <v>8896.4857775267192</v>
      </c>
      <c r="G49" s="295">
        <f>SUM(G45:G48)</f>
        <v>8928.8981464122153</v>
      </c>
      <c r="H49" s="295">
        <f>SUM(H45:H48)</f>
        <v>8962.4129768244293</v>
      </c>
      <c r="I49" s="19">
        <f t="shared" si="6"/>
        <v>0</v>
      </c>
      <c r="J49" s="19">
        <f t="shared" si="6"/>
        <v>0</v>
      </c>
      <c r="K49" s="19">
        <f t="shared" si="6"/>
        <v>0</v>
      </c>
      <c r="L49" s="19">
        <f t="shared" si="6"/>
        <v>0</v>
      </c>
      <c r="M49" s="19">
        <f t="shared" si="6"/>
        <v>0</v>
      </c>
      <c r="N49" s="19">
        <f t="shared" si="6"/>
        <v>0</v>
      </c>
      <c r="O49" s="19">
        <f t="shared" si="6"/>
        <v>0</v>
      </c>
      <c r="P49" s="19">
        <f t="shared" si="6"/>
        <v>0</v>
      </c>
      <c r="Q49" s="19"/>
    </row>
    <row r="50" spans="1:17" x14ac:dyDescent="0.25">
      <c r="A50" s="8"/>
      <c r="C50" s="296"/>
      <c r="D50" s="296"/>
      <c r="E50" s="296"/>
      <c r="F50" s="296"/>
      <c r="G50" s="296"/>
      <c r="H50" s="296"/>
      <c r="I50" s="28"/>
      <c r="J50" s="28"/>
      <c r="K50" s="28"/>
      <c r="L50" s="28"/>
      <c r="M50" s="28"/>
      <c r="N50" s="28"/>
      <c r="O50" s="28"/>
      <c r="P50" s="28"/>
    </row>
    <row r="51" spans="1:17" x14ac:dyDescent="0.25">
      <c r="A51" s="1200" t="s">
        <v>517</v>
      </c>
      <c r="B51" s="2" t="s">
        <v>505</v>
      </c>
      <c r="C51" s="294"/>
      <c r="D51" s="294"/>
      <c r="E51" s="294"/>
      <c r="F51" s="294"/>
      <c r="G51" s="294"/>
      <c r="H51" s="294"/>
      <c r="I51" s="16"/>
      <c r="J51" s="16"/>
      <c r="K51" s="16"/>
      <c r="L51" s="16"/>
      <c r="M51" s="16"/>
      <c r="N51" s="16"/>
      <c r="O51" s="16"/>
      <c r="P51" s="16"/>
      <c r="Q51" s="7"/>
    </row>
    <row r="52" spans="1:17" x14ac:dyDescent="0.25">
      <c r="A52" s="1201"/>
      <c r="B52" s="12" t="s">
        <v>535</v>
      </c>
      <c r="C52" s="294">
        <f>G97</f>
        <v>944.88864000000012</v>
      </c>
      <c r="D52" s="299">
        <f>E52*'Conversion Tables'!C45</f>
        <v>2790.0671761920007</v>
      </c>
      <c r="E52" s="299">
        <f>C52*'Prac. Rec. Assumptions'!B42</f>
        <v>188.97772800000004</v>
      </c>
      <c r="F52" s="294">
        <f t="shared" ref="F52:H59" si="7">$E52</f>
        <v>188.97772800000004</v>
      </c>
      <c r="G52" s="294">
        <f t="shared" si="7"/>
        <v>188.97772800000004</v>
      </c>
      <c r="H52" s="294">
        <f t="shared" si="7"/>
        <v>188.97772800000004</v>
      </c>
      <c r="I52" s="16" t="str">
        <f>IF('Conversion Tables'!F45="NA","NA",(E52*'Conversion Tables'!$C45)/'Conversion Tables'!F45)</f>
        <v>NA</v>
      </c>
      <c r="J52" s="16" t="str">
        <f>IF('Conversion Tables'!G45="NA","NA",(F52*'Conversion Tables'!$C45)/'Conversion Tables'!G45)</f>
        <v>NA</v>
      </c>
      <c r="K52" s="16" t="str">
        <f>IF('Conversion Tables'!H45="NA","NA",(G52*'Conversion Tables'!$C45)/'Conversion Tables'!H45)</f>
        <v>NA</v>
      </c>
      <c r="L52" s="16" t="str">
        <f>IF('Conversion Tables'!I45="NA","NA",(H52*'Conversion Tables'!$C45)/'Conversion Tables'!I45)</f>
        <v>NA</v>
      </c>
      <c r="M52" s="16" t="str">
        <f>IF('Conversion Tables'!K45="NA","NA",E52*'Conversion Tables'!K45)</f>
        <v>NA</v>
      </c>
      <c r="N52" s="16" t="str">
        <f>IF('Conversion Tables'!L45="NA","NA",F52*'Conversion Tables'!L45)</f>
        <v>NA</v>
      </c>
      <c r="O52" s="16" t="str">
        <f>IF('Conversion Tables'!M45="NA","NA",G52*'Conversion Tables'!M45)</f>
        <v>NA</v>
      </c>
      <c r="P52" s="16" t="str">
        <f>IF('Conversion Tables'!N45="NA","NA",H52*'Conversion Tables'!N45)</f>
        <v>NA</v>
      </c>
      <c r="Q52" s="27"/>
    </row>
    <row r="53" spans="1:17" x14ac:dyDescent="0.25">
      <c r="A53" s="1201"/>
      <c r="B53" s="12" t="s">
        <v>539</v>
      </c>
      <c r="C53" s="294">
        <f>G104</f>
        <v>4979.401175</v>
      </c>
      <c r="D53" s="299">
        <f>E53*'Conversion Tables'!C46</f>
        <v>44109.527368619994</v>
      </c>
      <c r="E53" s="299">
        <f>C53*'Prac. Rec. Assumptions'!B43</f>
        <v>2987.6407049999998</v>
      </c>
      <c r="F53" s="294">
        <f t="shared" si="7"/>
        <v>2987.6407049999998</v>
      </c>
      <c r="G53" s="294">
        <f t="shared" si="7"/>
        <v>2987.6407049999998</v>
      </c>
      <c r="H53" s="294">
        <f t="shared" si="7"/>
        <v>2987.6407049999998</v>
      </c>
      <c r="I53" s="16" t="str">
        <f>IF('Conversion Tables'!F46="NA","NA",(E53*'Conversion Tables'!$C46)/'Conversion Tables'!F46)</f>
        <v>NA</v>
      </c>
      <c r="J53" s="16" t="str">
        <f>IF('Conversion Tables'!G46="NA","NA",(F53*'Conversion Tables'!$C46)/'Conversion Tables'!G46)</f>
        <v>NA</v>
      </c>
      <c r="K53" s="16" t="str">
        <f>IF('Conversion Tables'!H46="NA","NA",(G53*'Conversion Tables'!$C46)/'Conversion Tables'!H46)</f>
        <v>NA</v>
      </c>
      <c r="L53" s="16" t="str">
        <f>IF('Conversion Tables'!I46="NA","NA",(H53*'Conversion Tables'!$C46)/'Conversion Tables'!I46)</f>
        <v>NA</v>
      </c>
      <c r="M53" s="16" t="str">
        <f>IF('Conversion Tables'!K46="NA","NA",E53*'Conversion Tables'!K46)</f>
        <v>NA</v>
      </c>
      <c r="N53" s="16" t="str">
        <f>IF('Conversion Tables'!L46="NA","NA",F53*'Conversion Tables'!L46)</f>
        <v>NA</v>
      </c>
      <c r="O53" s="16" t="str">
        <f>IF('Conversion Tables'!M46="NA","NA",G53*'Conversion Tables'!M46)</f>
        <v>NA</v>
      </c>
      <c r="P53" s="16" t="str">
        <f>IF('Conversion Tables'!N46="NA","NA",H53*'Conversion Tables'!N46)</f>
        <v>NA</v>
      </c>
      <c r="Q53" s="27"/>
    </row>
    <row r="54" spans="1:17" x14ac:dyDescent="0.25">
      <c r="A54" s="1201"/>
      <c r="B54" s="12" t="s">
        <v>545</v>
      </c>
      <c r="C54" s="294">
        <f>G106</f>
        <v>5686.7456249999996</v>
      </c>
      <c r="D54" s="299">
        <f>E54*'Conversion Tables'!C47</f>
        <v>50375.467444499991</v>
      </c>
      <c r="E54" s="299">
        <f>C54*'Prac. Rec. Assumptions'!B44</f>
        <v>3412.0473749999996</v>
      </c>
      <c r="F54" s="294">
        <f t="shared" si="7"/>
        <v>3412.0473749999996</v>
      </c>
      <c r="G54" s="294">
        <f t="shared" si="7"/>
        <v>3412.0473749999996</v>
      </c>
      <c r="H54" s="294">
        <f t="shared" si="7"/>
        <v>3412.0473749999996</v>
      </c>
      <c r="I54" s="16" t="str">
        <f>IF('Conversion Tables'!F47="NA","NA",(E54*'Conversion Tables'!$C47)/'Conversion Tables'!F47)</f>
        <v>NA</v>
      </c>
      <c r="J54" s="16" t="str">
        <f>IF('Conversion Tables'!G47="NA","NA",(F54*'Conversion Tables'!$C47)/'Conversion Tables'!G47)</f>
        <v>NA</v>
      </c>
      <c r="K54" s="16" t="str">
        <f>IF('Conversion Tables'!H47="NA","NA",(G54*'Conversion Tables'!$C47)/'Conversion Tables'!H47)</f>
        <v>NA</v>
      </c>
      <c r="L54" s="16" t="str">
        <f>IF('Conversion Tables'!I47="NA","NA",(H54*'Conversion Tables'!$C47)/'Conversion Tables'!I47)</f>
        <v>NA</v>
      </c>
      <c r="M54" s="16" t="str">
        <f>IF('Conversion Tables'!K47="NA","NA",E54*'Conversion Tables'!K47)</f>
        <v>NA</v>
      </c>
      <c r="N54" s="16" t="str">
        <f>IF('Conversion Tables'!L47="NA","NA",F54*'Conversion Tables'!L47)</f>
        <v>NA</v>
      </c>
      <c r="O54" s="16" t="str">
        <f>IF('Conversion Tables'!M47="NA","NA",G54*'Conversion Tables'!M47)</f>
        <v>NA</v>
      </c>
      <c r="P54" s="16" t="str">
        <f>IF('Conversion Tables'!N47="NA","NA",H54*'Conversion Tables'!N47)</f>
        <v>NA</v>
      </c>
      <c r="Q54" s="27"/>
    </row>
    <row r="55" spans="1:17" x14ac:dyDescent="0.25">
      <c r="A55" s="1201"/>
      <c r="B55" s="12" t="s">
        <v>546</v>
      </c>
      <c r="C55" s="294">
        <f>G108</f>
        <v>233.10724999999999</v>
      </c>
      <c r="D55" s="299">
        <f>E55*'Conversion Tables'!C48</f>
        <v>688.31908780000003</v>
      </c>
      <c r="E55" s="299">
        <f>C55*'Prac. Rec. Assumptions'!B45</f>
        <v>46.621450000000003</v>
      </c>
      <c r="F55" s="294">
        <f t="shared" si="7"/>
        <v>46.621450000000003</v>
      </c>
      <c r="G55" s="294">
        <f t="shared" si="7"/>
        <v>46.621450000000003</v>
      </c>
      <c r="H55" s="294">
        <f t="shared" si="7"/>
        <v>46.621450000000003</v>
      </c>
      <c r="I55" s="16" t="str">
        <f>IF('Conversion Tables'!F48="NA","NA",(E55*'Conversion Tables'!$C48)/'Conversion Tables'!F48)</f>
        <v>NA</v>
      </c>
      <c r="J55" s="16" t="str">
        <f>IF('Conversion Tables'!G48="NA","NA",(F55*'Conversion Tables'!$C48)/'Conversion Tables'!G48)</f>
        <v>NA</v>
      </c>
      <c r="K55" s="16" t="str">
        <f>IF('Conversion Tables'!H48="NA","NA",(G55*'Conversion Tables'!$C48)/'Conversion Tables'!H48)</f>
        <v>NA</v>
      </c>
      <c r="L55" s="16" t="str">
        <f>IF('Conversion Tables'!I48="NA","NA",(H55*'Conversion Tables'!$C48)/'Conversion Tables'!I48)</f>
        <v>NA</v>
      </c>
      <c r="M55" s="16" t="str">
        <f>IF('Conversion Tables'!K48="NA","NA",E55*'Conversion Tables'!K48)</f>
        <v>NA</v>
      </c>
      <c r="N55" s="16" t="str">
        <f>IF('Conversion Tables'!L48="NA","NA",F55*'Conversion Tables'!L48)</f>
        <v>NA</v>
      </c>
      <c r="O55" s="16" t="str">
        <f>IF('Conversion Tables'!M48="NA","NA",G55*'Conversion Tables'!M48)</f>
        <v>NA</v>
      </c>
      <c r="P55" s="16" t="str">
        <f>IF('Conversion Tables'!N48="NA","NA",H55*'Conversion Tables'!N48)</f>
        <v>NA</v>
      </c>
      <c r="Q55" s="27"/>
    </row>
    <row r="56" spans="1:17" x14ac:dyDescent="0.25">
      <c r="A56" s="1201"/>
      <c r="B56" s="12" t="s">
        <v>547</v>
      </c>
      <c r="C56" s="294">
        <f>G110</f>
        <v>244.650375</v>
      </c>
      <c r="D56" s="299">
        <f>E56*'Conversion Tables'!C49</f>
        <v>722.40362730000004</v>
      </c>
      <c r="E56" s="299">
        <f>C56*'Prac. Rec. Assumptions'!B46</f>
        <v>48.930075000000002</v>
      </c>
      <c r="F56" s="294">
        <f t="shared" si="7"/>
        <v>48.930075000000002</v>
      </c>
      <c r="G56" s="294">
        <f t="shared" si="7"/>
        <v>48.930075000000002</v>
      </c>
      <c r="H56" s="294">
        <f t="shared" si="7"/>
        <v>48.930075000000002</v>
      </c>
      <c r="I56" s="16" t="str">
        <f>IF('Conversion Tables'!F49="NA","NA",(E56*'Conversion Tables'!$C49)/'Conversion Tables'!F49)</f>
        <v>NA</v>
      </c>
      <c r="J56" s="16" t="str">
        <f>IF('Conversion Tables'!G49="NA","NA",(F56*'Conversion Tables'!$C49)/'Conversion Tables'!G49)</f>
        <v>NA</v>
      </c>
      <c r="K56" s="16" t="str">
        <f>IF('Conversion Tables'!H49="NA","NA",(G56*'Conversion Tables'!$C49)/'Conversion Tables'!H49)</f>
        <v>NA</v>
      </c>
      <c r="L56" s="16" t="str">
        <f>IF('Conversion Tables'!I49="NA","NA",(H56*'Conversion Tables'!$C49)/'Conversion Tables'!I49)</f>
        <v>NA</v>
      </c>
      <c r="M56" s="16" t="str">
        <f>IF('Conversion Tables'!K49="NA","NA",E56*'Conversion Tables'!K49)</f>
        <v>NA</v>
      </c>
      <c r="N56" s="16" t="str">
        <f>IF('Conversion Tables'!L49="NA","NA",F56*'Conversion Tables'!L49)</f>
        <v>NA</v>
      </c>
      <c r="O56" s="16" t="str">
        <f>IF('Conversion Tables'!M49="NA","NA",G56*'Conversion Tables'!M49)</f>
        <v>NA</v>
      </c>
      <c r="P56" s="16" t="str">
        <f>IF('Conversion Tables'!N49="NA","NA",H56*'Conversion Tables'!N49)</f>
        <v>NA</v>
      </c>
      <c r="Q56" s="27"/>
    </row>
    <row r="57" spans="1:17" x14ac:dyDescent="0.25">
      <c r="A57" s="1201"/>
      <c r="B57" s="133" t="s">
        <v>605</v>
      </c>
      <c r="C57" s="294">
        <f>G115</f>
        <v>402.71362499999998</v>
      </c>
      <c r="D57" s="299">
        <f>E57*'Conversion Tables'!C50</f>
        <v>2972.8319797499998</v>
      </c>
      <c r="E57" s="299">
        <f>C57*'Prac. Rec. Assumptions'!B47</f>
        <v>201.35681249999999</v>
      </c>
      <c r="F57" s="294">
        <f t="shared" si="7"/>
        <v>201.35681249999999</v>
      </c>
      <c r="G57" s="294">
        <f t="shared" si="7"/>
        <v>201.35681249999999</v>
      </c>
      <c r="H57" s="294">
        <f t="shared" si="7"/>
        <v>201.35681249999999</v>
      </c>
      <c r="I57" s="16" t="str">
        <f>IF('Conversion Tables'!F50="NA","NA",(E57*'Conversion Tables'!$C50)/'Conversion Tables'!F50)</f>
        <v>NA</v>
      </c>
      <c r="J57" s="16" t="str">
        <f>IF('Conversion Tables'!G50="NA","NA",(F57*'Conversion Tables'!$C50)/'Conversion Tables'!G50)</f>
        <v>NA</v>
      </c>
      <c r="K57" s="16" t="str">
        <f>IF('Conversion Tables'!H50="NA","NA",(G57*'Conversion Tables'!$C50)/'Conversion Tables'!H50)</f>
        <v>NA</v>
      </c>
      <c r="L57" s="16" t="str">
        <f>IF('Conversion Tables'!I50="NA","NA",(H57*'Conversion Tables'!$C50)/'Conversion Tables'!I50)</f>
        <v>NA</v>
      </c>
      <c r="M57" s="16" t="str">
        <f>IF('Conversion Tables'!K50="NA","NA",E57*'Conversion Tables'!K50)</f>
        <v>NA</v>
      </c>
      <c r="N57" s="16" t="str">
        <f>IF('Conversion Tables'!L50="NA","NA",F57*'Conversion Tables'!L50)</f>
        <v>NA</v>
      </c>
      <c r="O57" s="16" t="str">
        <f>IF('Conversion Tables'!M50="NA","NA",G57*'Conversion Tables'!M50)</f>
        <v>NA</v>
      </c>
      <c r="P57" s="16" t="str">
        <f>IF('Conversion Tables'!N50="NA","NA",H57*'Conversion Tables'!N50)</f>
        <v>NA</v>
      </c>
      <c r="Q57" s="27"/>
    </row>
    <row r="58" spans="1:17" x14ac:dyDescent="0.25">
      <c r="A58" s="1201"/>
      <c r="B58" s="12" t="s">
        <v>551</v>
      </c>
      <c r="C58" s="294">
        <f>G117</f>
        <v>67.616249999999994</v>
      </c>
      <c r="D58" s="299">
        <f>E58*'Conversion Tables'!C51</f>
        <v>811.39499999999998</v>
      </c>
      <c r="E58" s="299">
        <f>C58*'Prac. Rec. Assumptions'!B48</f>
        <v>67.616249999999994</v>
      </c>
      <c r="F58" s="294">
        <f t="shared" si="7"/>
        <v>67.616249999999994</v>
      </c>
      <c r="G58" s="294">
        <f t="shared" si="7"/>
        <v>67.616249999999994</v>
      </c>
      <c r="H58" s="294">
        <f t="shared" si="7"/>
        <v>67.616249999999994</v>
      </c>
      <c r="I58" s="16" t="str">
        <f>IF('Conversion Tables'!F51="NA","NA",(E58*'Conversion Tables'!$C51)/'Conversion Tables'!F51)</f>
        <v>NA</v>
      </c>
      <c r="J58" s="16" t="str">
        <f>IF('Conversion Tables'!G51="NA","NA",(F58*'Conversion Tables'!$C51)/'Conversion Tables'!G51)</f>
        <v>NA</v>
      </c>
      <c r="K58" s="16" t="str">
        <f>IF('Conversion Tables'!H51="NA","NA",(G58*'Conversion Tables'!$C51)/'Conversion Tables'!H51)</f>
        <v>NA</v>
      </c>
      <c r="L58" s="16" t="str">
        <f>IF('Conversion Tables'!I51="NA","NA",(H58*'Conversion Tables'!$C51)/'Conversion Tables'!I51)</f>
        <v>NA</v>
      </c>
      <c r="M58" s="16" t="str">
        <f>IF('Conversion Tables'!K51="NA","NA",E58*'Conversion Tables'!K51)</f>
        <v>NA</v>
      </c>
      <c r="N58" s="16" t="str">
        <f>IF('Conversion Tables'!L51="NA","NA",F58*'Conversion Tables'!L51)</f>
        <v>NA</v>
      </c>
      <c r="O58" s="16" t="str">
        <f>IF('Conversion Tables'!M51="NA","NA",G58*'Conversion Tables'!M51)</f>
        <v>NA</v>
      </c>
      <c r="P58" s="16" t="str">
        <f>IF('Conversion Tables'!N51="NA","NA",H58*'Conversion Tables'!N51)</f>
        <v>NA</v>
      </c>
      <c r="Q58" s="27"/>
    </row>
    <row r="59" spans="1:17" x14ac:dyDescent="0.25">
      <c r="A59" s="1201"/>
      <c r="B59" s="12" t="s">
        <v>552</v>
      </c>
      <c r="C59" s="294">
        <f>G119</f>
        <v>17.775500000000001</v>
      </c>
      <c r="D59" s="299">
        <f>E59*'Conversion Tables'!C52</f>
        <v>262.43748199999999</v>
      </c>
      <c r="E59" s="299">
        <f>C59*'Prac. Rec. Assumptions'!B49</f>
        <v>17.775500000000001</v>
      </c>
      <c r="F59" s="294">
        <f t="shared" si="7"/>
        <v>17.775500000000001</v>
      </c>
      <c r="G59" s="294">
        <f t="shared" si="7"/>
        <v>17.775500000000001</v>
      </c>
      <c r="H59" s="294">
        <f t="shared" si="7"/>
        <v>17.775500000000001</v>
      </c>
      <c r="I59" s="16" t="str">
        <f>IF('Conversion Tables'!F52="NA","NA",(E59*'Conversion Tables'!$C52)/'Conversion Tables'!F52)</f>
        <v>NA</v>
      </c>
      <c r="J59" s="16" t="str">
        <f>IF('Conversion Tables'!G52="NA","NA",(F59*'Conversion Tables'!$C52)/'Conversion Tables'!G52)</f>
        <v>NA</v>
      </c>
      <c r="K59" s="16" t="str">
        <f>IF('Conversion Tables'!H52="NA","NA",(G59*'Conversion Tables'!$C52)/'Conversion Tables'!H52)</f>
        <v>NA</v>
      </c>
      <c r="L59" s="16" t="str">
        <f>IF('Conversion Tables'!I52="NA","NA",(H59*'Conversion Tables'!$C52)/'Conversion Tables'!I52)</f>
        <v>NA</v>
      </c>
      <c r="M59" s="16" t="str">
        <f>IF('Conversion Tables'!K52="NA","NA",E59*'Conversion Tables'!K52)</f>
        <v>NA</v>
      </c>
      <c r="N59" s="16" t="str">
        <f>IF('Conversion Tables'!L52="NA","NA",F59*'Conversion Tables'!L52)</f>
        <v>NA</v>
      </c>
      <c r="O59" s="16" t="str">
        <f>IF('Conversion Tables'!M52="NA","NA",G59*'Conversion Tables'!M52)</f>
        <v>NA</v>
      </c>
      <c r="P59" s="16" t="str">
        <f>IF('Conversion Tables'!N52="NA","NA",H59*'Conversion Tables'!N52)</f>
        <v>NA</v>
      </c>
      <c r="Q59" s="27"/>
    </row>
    <row r="60" spans="1:17" x14ac:dyDescent="0.25">
      <c r="A60" s="1202"/>
      <c r="B60" s="129" t="s">
        <v>305</v>
      </c>
      <c r="C60" s="294">
        <f>'Biomass Data Assumptions'!AE14</f>
        <v>10267.356263999998</v>
      </c>
      <c r="D60" s="299">
        <f>E60*'Conversion Tables'!C53</f>
        <v>123208.27516799998</v>
      </c>
      <c r="E60" s="299">
        <f>C60*'Prac. Rec. Assumptions'!B50</f>
        <v>10267.356263999998</v>
      </c>
      <c r="F60" s="294">
        <f>($C60*(1+'Biomass Data Assumptions'!G$99*(4/5)))*'Prac. Rec. Assumptions'!$B50</f>
        <v>10654.964994577098</v>
      </c>
      <c r="G60" s="294">
        <f>($C60*(1+'Biomass Data Assumptions'!H$99*(9/10)))*'Prac. Rec. Assumptions'!$B50</f>
        <v>11174.745452216792</v>
      </c>
      <c r="H60" s="294">
        <f>($C60*(1+'Biomass Data Assumptions'!I$99*(14/15)))*'Prac. Rec. Assumptions'!$B50</f>
        <v>11713.763843175571</v>
      </c>
      <c r="I60" s="16" t="str">
        <f>IF('Conversion Tables'!F53="NA","NA",(E60*'Conversion Tables'!$C53)/'Conversion Tables'!F53)</f>
        <v>NA</v>
      </c>
      <c r="J60" s="16" t="str">
        <f>IF('Conversion Tables'!G53="NA","NA",(F60*'Conversion Tables'!$C53)/'Conversion Tables'!G53)</f>
        <v>NA</v>
      </c>
      <c r="K60" s="16" t="str">
        <f>IF('Conversion Tables'!H53="NA","NA",(G60*'Conversion Tables'!$C53)/'Conversion Tables'!H53)</f>
        <v>NA</v>
      </c>
      <c r="L60" s="16" t="str">
        <f>IF('Conversion Tables'!I53="NA","NA",(H60*'Conversion Tables'!$C53)/'Conversion Tables'!I53)</f>
        <v>NA</v>
      </c>
      <c r="M60" s="16" t="str">
        <f>IF('Conversion Tables'!K53="NA","NA",E60*'Conversion Tables'!K53)</f>
        <v>NA</v>
      </c>
      <c r="N60" s="16" t="str">
        <f>IF('Conversion Tables'!L53="NA","NA",F60*'Conversion Tables'!L53)</f>
        <v>NA</v>
      </c>
      <c r="O60" s="16" t="str">
        <f>IF('Conversion Tables'!M53="NA","NA",G60*'Conversion Tables'!M53)</f>
        <v>NA</v>
      </c>
      <c r="P60" s="16" t="str">
        <f>IF('Conversion Tables'!N53="NA","NA",H60*'Conversion Tables'!N53)</f>
        <v>NA</v>
      </c>
      <c r="Q60" s="7"/>
    </row>
    <row r="61" spans="1:17" x14ac:dyDescent="0.25">
      <c r="A61" s="1202"/>
      <c r="B61" s="9" t="s">
        <v>257</v>
      </c>
      <c r="C61" s="295">
        <f>SUM(C52:C60)</f>
        <v>22844.254703999995</v>
      </c>
      <c r="D61" s="295">
        <f>SUM(D52:D60)</f>
        <v>225940.72433416196</v>
      </c>
      <c r="E61" s="295">
        <f t="shared" ref="E61:P61" si="8">SUM(E52:E60)</f>
        <v>17238.3221595</v>
      </c>
      <c r="F61" s="295">
        <f>SUM(F52:F60)</f>
        <v>17625.930890077099</v>
      </c>
      <c r="G61" s="295">
        <f>SUM(G52:G60)</f>
        <v>18145.711347716791</v>
      </c>
      <c r="H61" s="295">
        <f>SUM(H52:H60)</f>
        <v>18684.729738675571</v>
      </c>
      <c r="I61" s="19">
        <f t="shared" si="8"/>
        <v>0</v>
      </c>
      <c r="J61" s="19">
        <f t="shared" si="8"/>
        <v>0</v>
      </c>
      <c r="K61" s="19">
        <f t="shared" si="8"/>
        <v>0</v>
      </c>
      <c r="L61" s="19">
        <f t="shared" si="8"/>
        <v>0</v>
      </c>
      <c r="M61" s="19">
        <f t="shared" si="8"/>
        <v>0</v>
      </c>
      <c r="N61" s="19">
        <f t="shared" si="8"/>
        <v>0</v>
      </c>
      <c r="O61" s="19">
        <f t="shared" si="8"/>
        <v>0</v>
      </c>
      <c r="P61" s="19">
        <f t="shared" si="8"/>
        <v>0</v>
      </c>
      <c r="Q61" s="7"/>
    </row>
    <row r="62" spans="1:17" x14ac:dyDescent="0.25">
      <c r="A62" s="1202"/>
      <c r="B62" s="7" t="s">
        <v>256</v>
      </c>
      <c r="C62" s="298" t="s">
        <v>251</v>
      </c>
      <c r="D62" s="13"/>
      <c r="E62" s="298" t="s">
        <v>251</v>
      </c>
      <c r="F62" s="298"/>
      <c r="G62" s="298"/>
      <c r="H62" s="298"/>
      <c r="I62" s="7"/>
      <c r="J62" s="7"/>
      <c r="K62" s="7"/>
      <c r="L62" s="7"/>
      <c r="M62" s="7"/>
      <c r="N62" s="7"/>
      <c r="O62" s="7"/>
      <c r="P62" s="7"/>
      <c r="Q62" s="7"/>
    </row>
    <row r="63" spans="1:17" x14ac:dyDescent="0.25">
      <c r="A63" s="1203"/>
      <c r="B63" s="133" t="s">
        <v>304</v>
      </c>
      <c r="C63" s="294">
        <f>'Biomass Data Assumptions'!AB14</f>
        <v>56.612594999999999</v>
      </c>
      <c r="D63" s="300">
        <f>E63*'Conversion Tables'!C55</f>
        <v>35043.196304999998</v>
      </c>
      <c r="E63" s="299">
        <f>C63*'Prac. Rec. Assumptions'!B51</f>
        <v>56.612594999999999</v>
      </c>
      <c r="F63" s="294">
        <f>($C63*(1+'Biomass Data Assumptions'!G$99*(4/5)))*'Prac. Rec. Assumptions'!$B51</f>
        <v>58.749808857043718</v>
      </c>
      <c r="G63" s="294">
        <f>($C63*(1+'Biomass Data Assumptions'!H$99*(9/10)))*'Prac. Rec. Assumptions'!$B51</f>
        <v>61.61579692453158</v>
      </c>
      <c r="H63" s="294">
        <f>($C63*(1+'Biomass Data Assumptions'!I$99*(14/15)))*'Prac. Rec. Assumptions'!$B51</f>
        <v>64.587859944483</v>
      </c>
      <c r="I63" s="16" t="str">
        <f>IF('Conversion Tables'!F55="NA","NA",(E63*'Conversion Tables'!$C55)/'Conversion Tables'!F55)</f>
        <v>NA</v>
      </c>
      <c r="J63" s="16" t="str">
        <f>IF('Conversion Tables'!G55="NA","NA",(F63*'Conversion Tables'!$C55)/'Conversion Tables'!G55)</f>
        <v>NA</v>
      </c>
      <c r="K63" s="16" t="str">
        <f>IF('Conversion Tables'!H55="NA","NA",(G63*'Conversion Tables'!$C55)/'Conversion Tables'!H55)</f>
        <v>NA</v>
      </c>
      <c r="L63" s="16" t="str">
        <f>IF('Conversion Tables'!I55="NA","NA",(H63*'Conversion Tables'!$C55)/'Conversion Tables'!I55)</f>
        <v>NA</v>
      </c>
      <c r="M63" s="16" t="str">
        <f>IF('Conversion Tables'!K55="NA","NA",E63*'Conversion Tables'!K55)</f>
        <v>NA</v>
      </c>
      <c r="N63" s="16" t="str">
        <f>IF('Conversion Tables'!L55="NA","NA",F63*'Conversion Tables'!L55)</f>
        <v>NA</v>
      </c>
      <c r="O63" s="16" t="str">
        <f>IF('Conversion Tables'!M55="NA","NA",G63*'Conversion Tables'!M55)</f>
        <v>NA</v>
      </c>
      <c r="P63" s="16" t="str">
        <f>IF('Conversion Tables'!N55="NA","NA",H63*'Conversion Tables'!N55)</f>
        <v>NA</v>
      </c>
      <c r="Q63" s="7"/>
    </row>
    <row r="64" spans="1:17" x14ac:dyDescent="0.25">
      <c r="A64" s="1204"/>
      <c r="B64" s="17" t="s">
        <v>512</v>
      </c>
      <c r="C64" s="294">
        <f>'Biomass Data Assumptions'!X14</f>
        <v>2709.58754</v>
      </c>
      <c r="D64" s="300">
        <f>E64*'Conversion Tables'!C56</f>
        <v>1371051.2952399999</v>
      </c>
      <c r="E64" s="299">
        <f>C64*'Prac. Rec. Assumptions'!B52</f>
        <v>2709.58754</v>
      </c>
      <c r="F64" s="545">
        <f>($C64*(1+'Biomass Data Assumptions'!G$99*(3/5))*(1+('Biomass Data Assumptions'!C$82-((1+'Biomass Data Assumptions'!$B$82)^2 - 1))))*'Prac. Rec. Assumptions'!$B52</f>
        <v>2785.1709577523857</v>
      </c>
      <c r="G64" s="545">
        <f>($C64*(1+'Biomass Data Assumptions'!H$99*(4/5))*(1+('Biomass Data Assumptions'!D$82-((1+'Biomass Data Assumptions'!$B$82)^2 - 1))))*'Prac. Rec. Assumptions'!$B52</f>
        <v>2919.2700729182698</v>
      </c>
      <c r="H64" s="545">
        <f>($C64*(1+'Biomass Data Assumptions'!I$99*(13/15))*(1+('Biomass Data Assumptions'!E$82-((1+'Biomass Data Assumptions'!$B$82)^2 - 1))))*'Prac. Rec. Assumptions'!$B52</f>
        <v>3058.6292563379457</v>
      </c>
      <c r="I64" s="16" t="str">
        <f>IF('Conversion Tables'!F56="NA","NA",(E64*'Conversion Tables'!$C56)/'Conversion Tables'!F56)</f>
        <v>NA</v>
      </c>
      <c r="J64" s="16" t="str">
        <f>IF('Conversion Tables'!G56="NA","NA",(F64*'Conversion Tables'!$C56)/'Conversion Tables'!G56)</f>
        <v>NA</v>
      </c>
      <c r="K64" s="16" t="str">
        <f>IF('Conversion Tables'!H56="NA","NA",(G64*'Conversion Tables'!$C56)/'Conversion Tables'!H56)</f>
        <v>NA</v>
      </c>
      <c r="L64" s="16" t="str">
        <f>IF('Conversion Tables'!I56="NA","NA",(H64*'Conversion Tables'!$C56)/'Conversion Tables'!I56)</f>
        <v>NA</v>
      </c>
      <c r="M64" s="16" t="str">
        <f>IF('Conversion Tables'!K56="NA","NA",E64*'Conversion Tables'!K56)</f>
        <v>NA</v>
      </c>
      <c r="N64" s="16" t="str">
        <f>IF('Conversion Tables'!L56="NA","NA",F64*'Conversion Tables'!L56)</f>
        <v>NA</v>
      </c>
      <c r="O64" s="16" t="str">
        <f>IF('Conversion Tables'!M56="NA","NA",G64*'Conversion Tables'!M56)</f>
        <v>NA</v>
      </c>
      <c r="P64" s="16" t="str">
        <f>IF('Conversion Tables'!N56="NA","NA",H64*'Conversion Tables'!N56)</f>
        <v>NA</v>
      </c>
      <c r="Q64" s="7"/>
    </row>
    <row r="65" spans="1:19" x14ac:dyDescent="0.25">
      <c r="A65" s="1204"/>
      <c r="B65" s="9" t="s">
        <v>248</v>
      </c>
      <c r="C65" s="295">
        <f>SUM(C63:C64)</f>
        <v>2766.200135</v>
      </c>
      <c r="D65" s="295">
        <f>SUM(D63:D64)</f>
        <v>1406094.4915449999</v>
      </c>
      <c r="E65" s="295">
        <f t="shared" ref="E65:P65" si="9">SUM(E63:E64)</f>
        <v>2766.200135</v>
      </c>
      <c r="F65" s="295">
        <f>SUM(F63:F64)</f>
        <v>2843.9207666094294</v>
      </c>
      <c r="G65" s="295">
        <f>SUM(G63:G64)</f>
        <v>2980.8858698428012</v>
      </c>
      <c r="H65" s="295">
        <f>SUM(H63:H64)</f>
        <v>3123.2171162824288</v>
      </c>
      <c r="I65" s="19">
        <f t="shared" si="9"/>
        <v>0</v>
      </c>
      <c r="J65" s="19">
        <f t="shared" si="9"/>
        <v>0</v>
      </c>
      <c r="K65" s="19">
        <f t="shared" si="9"/>
        <v>0</v>
      </c>
      <c r="L65" s="19">
        <f t="shared" si="9"/>
        <v>0</v>
      </c>
      <c r="M65" s="19">
        <f t="shared" si="9"/>
        <v>0</v>
      </c>
      <c r="N65" s="19">
        <f t="shared" si="9"/>
        <v>0</v>
      </c>
      <c r="O65" s="19">
        <f t="shared" si="9"/>
        <v>0</v>
      </c>
      <c r="P65" s="19">
        <f t="shared" si="9"/>
        <v>0</v>
      </c>
      <c r="Q65" s="19">
        <f>SUM(Q51:Q64)</f>
        <v>0</v>
      </c>
    </row>
    <row r="66" spans="1:19" x14ac:dyDescent="0.25">
      <c r="A66" s="1204"/>
      <c r="B66" s="9"/>
      <c r="C66" s="295"/>
      <c r="D66" s="295"/>
      <c r="E66" s="295"/>
      <c r="F66" s="295"/>
      <c r="G66" s="295"/>
      <c r="H66" s="295"/>
      <c r="I66" s="19"/>
      <c r="J66" s="19"/>
      <c r="K66" s="19"/>
      <c r="L66" s="19"/>
      <c r="M66" s="19"/>
      <c r="N66" s="19"/>
      <c r="O66" s="19"/>
      <c r="P66" s="19"/>
      <c r="Q66" s="19"/>
    </row>
    <row r="67" spans="1:19" x14ac:dyDescent="0.25">
      <c r="A67" s="1205"/>
      <c r="B67" s="9" t="s">
        <v>258</v>
      </c>
      <c r="C67" s="295">
        <f>C61+(C63*1000000/29487.1582406855)+(C64*1000000/25364.5039539246)</f>
        <v>131590.12365920792</v>
      </c>
      <c r="D67" s="295">
        <f t="shared" ref="D67" si="10">D61+D65</f>
        <v>1632035.2158791618</v>
      </c>
      <c r="E67" s="295">
        <f>E61+(E63*1000000/29487.1582406855)+(E64*1000000/25364.5039539246)</f>
        <v>125984.19111470792</v>
      </c>
      <c r="F67" s="295">
        <f t="shared" ref="F67:H67" si="11">F61+(F63*1000000/29487.1582406855)+(F64*1000000/25364.5039539246)</f>
        <v>129424.16877458029</v>
      </c>
      <c r="G67" s="295">
        <f t="shared" si="11"/>
        <v>135328.02472503707</v>
      </c>
      <c r="H67" s="295">
        <f t="shared" si="11"/>
        <v>141462.09504581022</v>
      </c>
      <c r="I67" s="19">
        <f t="shared" ref="I67:P67" si="12">I61+I65</f>
        <v>0</v>
      </c>
      <c r="J67" s="19">
        <f t="shared" si="12"/>
        <v>0</v>
      </c>
      <c r="K67" s="19">
        <f t="shared" si="12"/>
        <v>0</v>
      </c>
      <c r="L67" s="19">
        <f t="shared" si="12"/>
        <v>0</v>
      </c>
      <c r="M67" s="19">
        <f t="shared" si="12"/>
        <v>0</v>
      </c>
      <c r="N67" s="19">
        <f t="shared" si="12"/>
        <v>0</v>
      </c>
      <c r="O67" s="19">
        <f t="shared" si="12"/>
        <v>0</v>
      </c>
      <c r="P67" s="19">
        <f t="shared" si="12"/>
        <v>0</v>
      </c>
      <c r="Q67" s="19"/>
    </row>
    <row r="68" spans="1:19" customFormat="1" x14ac:dyDescent="0.25">
      <c r="B68" s="270" t="s">
        <v>162</v>
      </c>
      <c r="C68" s="132">
        <f>C11+C29+C43+C49+C67</f>
        <v>337670.90659547457</v>
      </c>
      <c r="D68" s="132"/>
      <c r="E68" s="132">
        <f>E11+E29+E43+E49+E67</f>
        <v>222716.97704761458</v>
      </c>
      <c r="F68" s="132">
        <f>F11+F29+F43+F49+F67</f>
        <v>231316.48913954711</v>
      </c>
      <c r="G68" s="132">
        <f>G11+G29+G43+G49+G67</f>
        <v>243014.85637350072</v>
      </c>
      <c r="H68" s="132">
        <f>H11+H29+H43+H49+H67</f>
        <v>255494.50845134188</v>
      </c>
      <c r="I68" s="264"/>
    </row>
    <row r="69" spans="1:19" ht="13.8" thickBot="1" x14ac:dyDescent="0.3">
      <c r="A69" s="10"/>
      <c r="B69" s="10"/>
      <c r="C69" s="10"/>
      <c r="D69" s="10"/>
      <c r="E69" s="10"/>
      <c r="F69" s="10"/>
      <c r="G69" s="10"/>
      <c r="H69" s="10"/>
      <c r="I69" s="1003">
        <f>SUM(I8:I66)/2</f>
        <v>0</v>
      </c>
      <c r="J69" s="1003">
        <f>SUM(J8:J66)/2</f>
        <v>0</v>
      </c>
      <c r="K69" s="1003">
        <f>SUM(K8:K66)/2</f>
        <v>0</v>
      </c>
      <c r="L69" s="1003">
        <f>SUM(L8:L66)/2</f>
        <v>0</v>
      </c>
      <c r="M69" s="1003">
        <f>SUM(M8:M66)/2</f>
        <v>0</v>
      </c>
      <c r="N69" s="1003">
        <f t="shared" ref="N69:P69" si="13">SUM(N8:N66)/2</f>
        <v>0</v>
      </c>
      <c r="O69" s="1003">
        <f t="shared" si="13"/>
        <v>0</v>
      </c>
      <c r="P69" s="1003">
        <f t="shared" si="13"/>
        <v>0</v>
      </c>
      <c r="Q69" s="10"/>
      <c r="R69" s="10"/>
      <c r="S69" s="10"/>
    </row>
    <row r="70" spans="1:19" x14ac:dyDescent="0.25">
      <c r="A70" s="35" t="s">
        <v>23</v>
      </c>
      <c r="B70" s="36"/>
      <c r="C70" s="36"/>
      <c r="D70" s="36"/>
      <c r="E70" s="36"/>
      <c r="F70" s="36"/>
      <c r="G70" s="36"/>
      <c r="H70" s="36"/>
      <c r="I70" s="36"/>
      <c r="J70" s="36"/>
      <c r="K70" s="36"/>
      <c r="L70" s="36"/>
      <c r="M70" s="36"/>
      <c r="N70" s="36"/>
      <c r="O70" s="36"/>
      <c r="P70" s="36"/>
      <c r="Q70" s="36"/>
      <c r="R70" s="36"/>
    </row>
    <row r="71" spans="1:19" x14ac:dyDescent="0.25">
      <c r="A71" s="36"/>
      <c r="B71" s="36"/>
      <c r="C71" s="36"/>
      <c r="D71" s="36"/>
      <c r="E71" s="36"/>
      <c r="F71" s="36"/>
      <c r="G71" s="36"/>
      <c r="H71" s="36"/>
      <c r="I71" s="36"/>
      <c r="J71" s="36"/>
      <c r="K71" s="36"/>
      <c r="L71" s="36"/>
      <c r="M71" s="36"/>
      <c r="N71" s="36"/>
      <c r="O71" s="36"/>
      <c r="P71" s="36"/>
      <c r="Q71" s="36"/>
      <c r="R71" s="36"/>
    </row>
    <row r="72" spans="1:19" x14ac:dyDescent="0.25">
      <c r="A72" s="36"/>
      <c r="B72" s="36"/>
      <c r="C72" s="36"/>
      <c r="D72" s="36"/>
      <c r="E72" s="36"/>
      <c r="F72" s="36"/>
      <c r="G72" s="36"/>
      <c r="H72" s="36"/>
      <c r="I72" s="36"/>
      <c r="J72" s="36"/>
      <c r="K72" s="36"/>
      <c r="L72" s="36"/>
      <c r="M72" s="36"/>
      <c r="N72" s="36"/>
      <c r="O72" s="36"/>
      <c r="P72" s="36"/>
      <c r="Q72" s="36"/>
      <c r="R72" s="36"/>
    </row>
    <row r="73" spans="1:19" ht="26.4" x14ac:dyDescent="0.25">
      <c r="A73" s="37" t="s">
        <v>1037</v>
      </c>
      <c r="B73" s="454" t="s">
        <v>297</v>
      </c>
      <c r="C73" s="37" t="s">
        <v>1042</v>
      </c>
      <c r="D73" s="37" t="s">
        <v>1041</v>
      </c>
      <c r="E73" s="36" t="s">
        <v>598</v>
      </c>
      <c r="F73" s="38"/>
      <c r="G73" s="38"/>
      <c r="H73" s="36"/>
      <c r="I73" s="36"/>
      <c r="J73" s="36"/>
      <c r="K73" s="36"/>
      <c r="L73" s="36"/>
      <c r="M73" s="36"/>
      <c r="N73" s="36"/>
      <c r="O73" s="36"/>
      <c r="P73" s="36"/>
      <c r="Q73" s="36"/>
      <c r="R73" s="36"/>
    </row>
    <row r="74" spans="1:19" x14ac:dyDescent="0.25">
      <c r="A74" s="39" t="s">
        <v>519</v>
      </c>
      <c r="B74" s="21">
        <v>352</v>
      </c>
      <c r="C74" s="40">
        <f>'Biomass Data Assumptions'!B38*B74</f>
        <v>22985.599999999999</v>
      </c>
      <c r="D74" s="40">
        <f>(C74*'Biomass Data Assumptions'!C38)/2000</f>
        <v>643.59679999999992</v>
      </c>
      <c r="E74" s="41"/>
      <c r="F74" s="41"/>
      <c r="G74" s="41"/>
      <c r="H74" s="36"/>
      <c r="I74" s="36"/>
      <c r="J74" s="36"/>
      <c r="K74" s="36"/>
      <c r="L74" s="36"/>
      <c r="M74" s="36"/>
      <c r="N74" s="36"/>
      <c r="O74" s="36"/>
      <c r="P74" s="36"/>
      <c r="Q74" s="36"/>
      <c r="R74" s="36"/>
    </row>
    <row r="75" spans="1:19" x14ac:dyDescent="0.25">
      <c r="A75" s="39" t="s">
        <v>520</v>
      </c>
      <c r="B75" s="21">
        <v>745</v>
      </c>
      <c r="C75" s="40">
        <f>'Biomass Data Assumptions'!B39*B75</f>
        <v>20338.5</v>
      </c>
      <c r="D75" s="40">
        <f>(C75*'Biomass Data Assumptions'!C39)/2000</f>
        <v>569.47799999999995</v>
      </c>
      <c r="E75" s="41"/>
      <c r="F75" s="41"/>
      <c r="G75" s="41"/>
      <c r="H75" s="36"/>
      <c r="I75" s="36"/>
      <c r="J75" s="36"/>
      <c r="K75" s="36"/>
      <c r="L75" s="36"/>
      <c r="M75" s="36"/>
      <c r="N75" s="36"/>
      <c r="O75" s="36"/>
      <c r="P75" s="36"/>
      <c r="Q75" s="36"/>
      <c r="R75" s="36"/>
    </row>
    <row r="76" spans="1:19" x14ac:dyDescent="0.25">
      <c r="A76" s="39" t="s">
        <v>521</v>
      </c>
      <c r="B76" s="21">
        <v>2918</v>
      </c>
      <c r="C76" s="40">
        <f>'Biomass Data Assumptions'!B40*B76</f>
        <v>364750</v>
      </c>
      <c r="D76" s="40">
        <f>(C76*'Biomass Data Assumptions'!C40)/2000</f>
        <v>10213</v>
      </c>
      <c r="E76" s="41"/>
      <c r="F76" s="41"/>
      <c r="G76" s="41"/>
      <c r="H76" s="36"/>
      <c r="I76" s="36"/>
      <c r="J76" s="36"/>
      <c r="K76" s="36"/>
      <c r="L76" s="36"/>
      <c r="M76" s="36"/>
      <c r="N76" s="36"/>
      <c r="O76" s="36"/>
      <c r="P76" s="36"/>
      <c r="Q76" s="36"/>
      <c r="R76" s="36"/>
    </row>
    <row r="77" spans="1:19" x14ac:dyDescent="0.25">
      <c r="A77" s="39" t="s">
        <v>525</v>
      </c>
      <c r="B77" s="21">
        <v>8574</v>
      </c>
      <c r="C77" s="40">
        <f>'Biomass Data Assumptions'!B41*B77</f>
        <v>274368</v>
      </c>
      <c r="D77" s="40">
        <f>(C77*'Biomass Data Assumptions'!C41)/2000</f>
        <v>8231.0400000000009</v>
      </c>
      <c r="E77" s="41"/>
      <c r="F77" s="41"/>
      <c r="G77" s="41"/>
      <c r="H77" s="36"/>
      <c r="I77" s="36"/>
      <c r="J77" s="36"/>
      <c r="K77" s="36"/>
      <c r="L77" s="36"/>
      <c r="M77" s="36"/>
      <c r="N77" s="36"/>
      <c r="O77" s="36"/>
      <c r="P77" s="36"/>
      <c r="Q77" s="36"/>
      <c r="R77" s="36"/>
    </row>
    <row r="78" spans="1:19" x14ac:dyDescent="0.25">
      <c r="A78" s="39" t="s">
        <v>522</v>
      </c>
      <c r="B78" s="21">
        <v>4226</v>
      </c>
      <c r="C78" s="40">
        <f>'Biomass Data Assumptions'!B42*B78</f>
        <v>228204</v>
      </c>
      <c r="D78" s="40">
        <f>(C78*'Biomass Data Assumptions'!C42)/2000</f>
        <v>6846.12</v>
      </c>
      <c r="E78" s="41"/>
      <c r="F78" s="41"/>
      <c r="G78" s="41"/>
      <c r="H78" s="36"/>
      <c r="I78" s="36"/>
      <c r="J78" s="36"/>
      <c r="K78" s="36"/>
      <c r="L78" s="36"/>
      <c r="M78" s="36"/>
      <c r="N78" s="36"/>
      <c r="O78" s="36"/>
      <c r="P78" s="36"/>
      <c r="Q78" s="36"/>
      <c r="R78" s="36"/>
    </row>
    <row r="79" spans="1:19" x14ac:dyDescent="0.25">
      <c r="A79" s="36"/>
      <c r="B79" s="36"/>
      <c r="C79" s="36"/>
      <c r="D79" s="36"/>
      <c r="E79" s="36"/>
      <c r="F79" s="36"/>
      <c r="G79" s="36"/>
      <c r="H79" s="36"/>
      <c r="I79" s="36"/>
      <c r="J79" s="36"/>
      <c r="K79" s="36"/>
      <c r="L79" s="36"/>
      <c r="M79" s="36"/>
      <c r="N79" s="36"/>
      <c r="O79" s="36"/>
      <c r="P79" s="36"/>
      <c r="Q79" s="36"/>
      <c r="R79" s="36"/>
    </row>
    <row r="80" spans="1:19" ht="39.6" x14ac:dyDescent="0.25">
      <c r="A80" s="37" t="s">
        <v>1038</v>
      </c>
      <c r="B80" s="454" t="s">
        <v>297</v>
      </c>
      <c r="C80" s="37" t="s">
        <v>1041</v>
      </c>
      <c r="D80" s="37" t="s">
        <v>1036</v>
      </c>
      <c r="E80" s="36" t="s">
        <v>598</v>
      </c>
      <c r="F80" s="38"/>
      <c r="G80" s="38"/>
      <c r="H80" s="36"/>
      <c r="I80" s="36"/>
      <c r="J80" s="36"/>
      <c r="K80" s="36"/>
      <c r="L80" s="36"/>
      <c r="M80" s="36"/>
      <c r="N80" s="36"/>
      <c r="O80" s="36"/>
      <c r="P80" s="36"/>
      <c r="Q80" s="36"/>
      <c r="R80" s="36"/>
    </row>
    <row r="81" spans="1:18" x14ac:dyDescent="0.25">
      <c r="A81" s="39" t="s">
        <v>527</v>
      </c>
      <c r="B81" s="21">
        <v>468</v>
      </c>
      <c r="C81" s="40">
        <f>'Biomass Data Assumptions'!B49*B81</f>
        <v>468</v>
      </c>
      <c r="D81" s="40">
        <f>C81*'Energy Content Assumptions'!C11</f>
        <v>397.8</v>
      </c>
      <c r="E81" s="41"/>
      <c r="F81" s="41"/>
      <c r="G81" s="41"/>
      <c r="H81" s="36"/>
      <c r="I81" s="36"/>
      <c r="J81" s="36"/>
      <c r="K81" s="36"/>
      <c r="L81" s="36"/>
      <c r="M81" s="36"/>
      <c r="N81" s="36"/>
      <c r="O81" s="36"/>
      <c r="P81" s="36"/>
      <c r="Q81" s="36"/>
      <c r="R81" s="36"/>
    </row>
    <row r="82" spans="1:18" x14ac:dyDescent="0.25">
      <c r="A82" s="39" t="s">
        <v>520</v>
      </c>
      <c r="B82" s="21">
        <f>745+318</f>
        <v>1063</v>
      </c>
      <c r="C82" s="40">
        <f>'Biomass Data Assumptions'!B50*B82</f>
        <v>2391.75</v>
      </c>
      <c r="D82" s="40">
        <f>C82*'Energy Content Assumptions'!C12</f>
        <v>2032.9875</v>
      </c>
      <c r="E82" s="41"/>
      <c r="F82" s="41"/>
      <c r="G82" s="41"/>
      <c r="H82" s="36"/>
      <c r="I82" s="36"/>
      <c r="J82" s="36"/>
      <c r="K82" s="36"/>
      <c r="L82" s="36"/>
      <c r="M82" s="36"/>
      <c r="N82" s="36"/>
      <c r="O82" s="36"/>
      <c r="P82" s="36"/>
      <c r="Q82" s="36"/>
      <c r="R82" s="36"/>
    </row>
    <row r="83" spans="1:18" x14ac:dyDescent="0.25">
      <c r="A83" s="39" t="s">
        <v>521</v>
      </c>
      <c r="B83" s="21">
        <f>2918</f>
        <v>2918</v>
      </c>
      <c r="C83" s="40">
        <f>'Biomass Data Assumptions'!B51*B83</f>
        <v>7295</v>
      </c>
      <c r="D83" s="40">
        <f>C83*'Energy Content Assumptions'!C13</f>
        <v>6200.75</v>
      </c>
      <c r="E83" s="41"/>
      <c r="F83" s="41"/>
      <c r="G83" s="41"/>
      <c r="H83" s="36"/>
      <c r="I83" s="36"/>
      <c r="J83" s="36"/>
      <c r="K83" s="36"/>
      <c r="L83" s="36"/>
      <c r="M83" s="36"/>
      <c r="N83" s="36"/>
      <c r="O83" s="36"/>
      <c r="P83" s="36"/>
      <c r="Q83" s="36"/>
      <c r="R83" s="36"/>
    </row>
    <row r="84" spans="1:18" x14ac:dyDescent="0.25">
      <c r="A84" s="39" t="s">
        <v>528</v>
      </c>
      <c r="B84" s="21">
        <v>802</v>
      </c>
      <c r="C84" s="40">
        <f>'Biomass Data Assumptions'!B52*B84</f>
        <v>13152.8</v>
      </c>
      <c r="D84" s="40">
        <f>C84*'Energy Content Assumptions'!C14</f>
        <v>4603.4799999999996</v>
      </c>
      <c r="E84" s="41"/>
      <c r="F84" s="41"/>
      <c r="G84" s="41"/>
      <c r="H84" s="36"/>
      <c r="I84" s="36"/>
      <c r="J84" s="36"/>
      <c r="K84" s="36"/>
      <c r="L84" s="36"/>
      <c r="M84" s="36"/>
      <c r="N84" s="36"/>
      <c r="O84" s="36"/>
      <c r="P84" s="36"/>
      <c r="Q84" s="36"/>
      <c r="R84" s="36"/>
    </row>
    <row r="85" spans="1:18" x14ac:dyDescent="0.25">
      <c r="A85" s="39" t="s">
        <v>529</v>
      </c>
      <c r="B85" s="21">
        <v>1750</v>
      </c>
      <c r="C85" s="40">
        <f>'Biomass Data Assumptions'!B53*B85</f>
        <v>5600</v>
      </c>
      <c r="D85" s="40">
        <f>C85*'Energy Content Assumptions'!C15</f>
        <v>4760</v>
      </c>
      <c r="E85" s="41"/>
      <c r="F85" s="41"/>
      <c r="G85" s="41"/>
      <c r="H85" s="36"/>
      <c r="I85" s="36"/>
      <c r="J85" s="36"/>
      <c r="K85" s="36"/>
      <c r="L85" s="36"/>
      <c r="M85" s="36"/>
      <c r="N85" s="36"/>
      <c r="O85" s="36"/>
      <c r="P85" s="36"/>
      <c r="Q85" s="36"/>
      <c r="R85" s="36"/>
    </row>
    <row r="86" spans="1:18" x14ac:dyDescent="0.25">
      <c r="A86" s="39" t="s">
        <v>530</v>
      </c>
      <c r="B86" s="21">
        <v>2944</v>
      </c>
      <c r="C86" s="40">
        <f>'Biomass Data Assumptions'!B54*B86</f>
        <v>5004.8</v>
      </c>
      <c r="D86" s="40">
        <f>C86*'Energy Content Assumptions'!C16</f>
        <v>4254.08</v>
      </c>
      <c r="E86" s="41"/>
      <c r="F86" s="41"/>
      <c r="G86" s="41"/>
      <c r="H86" s="36"/>
      <c r="I86" s="36"/>
      <c r="J86" s="36"/>
      <c r="K86" s="36"/>
      <c r="L86" s="36"/>
      <c r="M86" s="36"/>
      <c r="N86" s="36"/>
      <c r="O86" s="36"/>
      <c r="P86" s="36"/>
      <c r="Q86" s="36"/>
      <c r="R86" s="36"/>
    </row>
    <row r="87" spans="1:18" x14ac:dyDescent="0.25">
      <c r="A87" s="39" t="s">
        <v>522</v>
      </c>
      <c r="B87" s="21">
        <f>4226+3</f>
        <v>4229</v>
      </c>
      <c r="C87" s="40">
        <f>'Biomass Data Assumptions'!B55*B87</f>
        <v>7400.75</v>
      </c>
      <c r="D87" s="40">
        <f>C87*'Energy Content Assumptions'!C17</f>
        <v>6290.6374999999998</v>
      </c>
      <c r="E87" s="41"/>
      <c r="F87" s="41"/>
      <c r="G87" s="41"/>
      <c r="H87" s="36"/>
      <c r="I87" s="36"/>
      <c r="J87" s="36"/>
      <c r="K87" s="36"/>
      <c r="L87" s="36"/>
      <c r="M87" s="36"/>
      <c r="N87" s="36"/>
      <c r="O87" s="36"/>
      <c r="P87" s="36"/>
      <c r="Q87" s="36"/>
      <c r="R87" s="36"/>
    </row>
    <row r="88" spans="1:18" x14ac:dyDescent="0.25">
      <c r="A88" s="43"/>
      <c r="B88" s="41"/>
      <c r="C88" s="41"/>
      <c r="D88" s="41"/>
      <c r="E88" s="41"/>
      <c r="F88" s="41"/>
      <c r="G88" s="41"/>
      <c r="H88" s="36"/>
      <c r="I88" s="36"/>
      <c r="J88" s="36"/>
      <c r="K88" s="36"/>
      <c r="L88" s="36"/>
      <c r="M88" s="36"/>
      <c r="N88" s="36"/>
      <c r="O88" s="36"/>
      <c r="P88" s="36"/>
      <c r="Q88" s="36"/>
      <c r="R88" s="36"/>
    </row>
    <row r="89" spans="1:18" x14ac:dyDescent="0.25">
      <c r="A89" s="43"/>
      <c r="B89" s="640" t="s">
        <v>297</v>
      </c>
      <c r="C89" s="122" t="s">
        <v>299</v>
      </c>
      <c r="D89" s="122" t="s">
        <v>300</v>
      </c>
      <c r="E89" s="41"/>
      <c r="F89" s="41"/>
      <c r="G89" s="41"/>
      <c r="H89" s="36"/>
      <c r="I89" s="36"/>
      <c r="J89" s="36"/>
      <c r="K89" s="36"/>
      <c r="L89" s="36"/>
      <c r="M89" s="36"/>
      <c r="N89" s="36"/>
      <c r="O89" s="36"/>
      <c r="P89" s="36"/>
      <c r="Q89" s="36"/>
      <c r="R89" s="36"/>
    </row>
    <row r="90" spans="1:18" x14ac:dyDescent="0.25">
      <c r="A90" s="43" t="s">
        <v>296</v>
      </c>
      <c r="B90" s="85">
        <f>IF('Prac. Rec. Assumptions'!B56='Prac. Rec. Assumptions'!V3,0,SUM(IF('Prac. Rec. Assumptions'!B57="Yes",B74,0),IF('Prac. Rec. Assumptions'!B58="Yes",B81,0),IF('Prac. Rec. Assumptions'!B59="Yes",B82,0),IF('Prac. Rec. Assumptions'!B60="Yes",B83,0),IF('Prac. Rec. Assumptions'!B61="Yes",B84,0),IF('Prac. Rec. Assumptions'!B62="Yes",B85,0),IF('Prac. Rec. Assumptions'!B63="Yes",B86,0),IF('Prac. Rec. Assumptions'!B64="Yes",B87,0)))</f>
        <v>0</v>
      </c>
      <c r="C90" s="41">
        <f>IF('Prac. Rec. Assumptions'!B56='Prac. Rec. Assumptions'!V1,'Biomass Data Assumptions'!C46,IF('Prac. Rec. Assumptions'!B56='Prac. Rec. Assumptions'!V2,'Biomass Data Assumptions'!C45,0))</f>
        <v>0</v>
      </c>
      <c r="D90" s="41">
        <f>(C90*'Energy Content Assumptions'!C9)*B90</f>
        <v>0</v>
      </c>
      <c r="E90" s="41"/>
      <c r="F90" s="41"/>
      <c r="G90" s="41"/>
      <c r="H90" s="36"/>
      <c r="I90" s="36"/>
      <c r="J90" s="36"/>
      <c r="K90" s="36"/>
      <c r="L90" s="36"/>
      <c r="M90" s="36"/>
      <c r="N90" s="36"/>
      <c r="O90" s="36"/>
      <c r="P90" s="36"/>
      <c r="Q90" s="36"/>
      <c r="R90" s="36"/>
    </row>
    <row r="91" spans="1:18" x14ac:dyDescent="0.25">
      <c r="A91" s="36"/>
      <c r="B91" s="36"/>
      <c r="C91" s="36"/>
      <c r="D91" s="36"/>
      <c r="E91" s="36"/>
      <c r="F91" s="36"/>
      <c r="G91" s="36"/>
      <c r="H91" s="36"/>
      <c r="I91" s="36"/>
      <c r="J91" s="36"/>
      <c r="K91" s="36"/>
      <c r="L91" s="36"/>
      <c r="M91" s="36"/>
      <c r="N91" s="36"/>
      <c r="O91" s="36"/>
      <c r="P91" s="36"/>
      <c r="Q91" s="36"/>
      <c r="R91" s="36"/>
    </row>
    <row r="92" spans="1:18" ht="39.6" x14ac:dyDescent="0.25">
      <c r="A92" s="42" t="s">
        <v>531</v>
      </c>
      <c r="B92" s="455" t="s">
        <v>298</v>
      </c>
      <c r="C92" s="38" t="s">
        <v>1050</v>
      </c>
      <c r="D92" s="38" t="s">
        <v>1045</v>
      </c>
      <c r="E92" s="38" t="s">
        <v>1048</v>
      </c>
      <c r="F92" s="38" t="s">
        <v>1047</v>
      </c>
      <c r="G92" s="38" t="s">
        <v>1046</v>
      </c>
      <c r="H92" s="36" t="s">
        <v>599</v>
      </c>
      <c r="I92" s="36"/>
      <c r="J92" s="38"/>
      <c r="K92" s="38"/>
      <c r="L92" s="38"/>
      <c r="M92" s="38"/>
      <c r="N92" s="36"/>
      <c r="O92" s="36"/>
      <c r="P92" s="36"/>
      <c r="Q92" s="36"/>
      <c r="R92" s="36"/>
    </row>
    <row r="93" spans="1:18" x14ac:dyDescent="0.25">
      <c r="A93" s="42"/>
      <c r="B93" s="38"/>
      <c r="C93" s="38"/>
      <c r="D93" s="38"/>
      <c r="E93" s="38"/>
      <c r="F93" s="36"/>
      <c r="G93" s="36"/>
      <c r="H93" s="36"/>
      <c r="I93" s="36"/>
      <c r="J93" s="38"/>
      <c r="K93" s="38"/>
      <c r="L93" s="38"/>
      <c r="M93" s="38"/>
      <c r="N93" s="36"/>
      <c r="O93" s="36"/>
      <c r="P93" s="36"/>
      <c r="Q93" s="36"/>
      <c r="R93" s="36"/>
    </row>
    <row r="94" spans="1:18" ht="0.75" customHeight="1" x14ac:dyDescent="0.25">
      <c r="A94" s="464" t="s">
        <v>535</v>
      </c>
      <c r="B94" s="462"/>
      <c r="C94" s="461"/>
      <c r="D94" s="461"/>
      <c r="E94" s="465"/>
      <c r="F94" s="462"/>
      <c r="G94" s="462"/>
      <c r="H94" s="36"/>
      <c r="I94" s="36"/>
      <c r="J94" s="44"/>
      <c r="K94" s="44"/>
      <c r="L94" s="44"/>
      <c r="M94" s="44"/>
      <c r="N94" s="36"/>
      <c r="O94" s="36"/>
      <c r="P94" s="36"/>
      <c r="Q94" s="36"/>
      <c r="R94" s="36"/>
    </row>
    <row r="95" spans="1:18" hidden="1" x14ac:dyDescent="0.25">
      <c r="A95" s="466" t="s">
        <v>536</v>
      </c>
      <c r="B95" s="461"/>
      <c r="C95" s="458"/>
      <c r="D95" s="458"/>
      <c r="E95" s="458"/>
      <c r="F95" s="458"/>
      <c r="G95" s="458"/>
      <c r="H95" s="36"/>
      <c r="I95" s="36"/>
      <c r="J95" s="41"/>
      <c r="K95" s="41"/>
      <c r="L95" s="41"/>
      <c r="M95" s="41"/>
      <c r="N95" s="36"/>
      <c r="O95" s="36"/>
      <c r="P95" s="36"/>
      <c r="Q95" s="36"/>
      <c r="R95" s="36"/>
    </row>
    <row r="96" spans="1:18" hidden="1" x14ac:dyDescent="0.25">
      <c r="A96" s="466" t="s">
        <v>537</v>
      </c>
      <c r="B96" s="461"/>
      <c r="C96" s="458"/>
      <c r="D96" s="458"/>
      <c r="E96" s="458"/>
      <c r="F96" s="458"/>
      <c r="G96" s="458"/>
      <c r="H96" s="36"/>
      <c r="I96" s="36"/>
      <c r="J96" s="41"/>
      <c r="K96" s="41"/>
      <c r="L96" s="41"/>
      <c r="M96" s="41"/>
      <c r="N96" s="36"/>
      <c r="O96" s="36"/>
      <c r="P96" s="36"/>
      <c r="Q96" s="36"/>
      <c r="R96" s="36"/>
    </row>
    <row r="97" spans="1:18" x14ac:dyDescent="0.25">
      <c r="A97" s="467" t="s">
        <v>535</v>
      </c>
      <c r="B97" s="85">
        <v>834</v>
      </c>
      <c r="C97" s="458">
        <f>ROUND('Biomass Data Assumptions'!$B$60/1000*B97,0)</f>
        <v>834</v>
      </c>
      <c r="D97" s="458">
        <f>'Biomass Data Assumptions'!$C$60*C97</f>
        <v>28005720</v>
      </c>
      <c r="E97" s="458">
        <f>('Biomass Data Assumptions'!$D$60*'Energy Content Assumptions'!$C$44*D97)/2000</f>
        <v>336.06864000000002</v>
      </c>
      <c r="F97" s="458">
        <f>('Biomass Data Assumptions'!$E$60*B97*365)/2000</f>
        <v>608.82000000000005</v>
      </c>
      <c r="G97" s="458">
        <f>F97+E97</f>
        <v>944.88864000000012</v>
      </c>
      <c r="H97" s="36"/>
      <c r="I97" s="36"/>
      <c r="J97" s="41"/>
      <c r="K97" s="41"/>
      <c r="L97" s="41"/>
      <c r="M97" s="41"/>
      <c r="N97" s="36"/>
      <c r="O97" s="36"/>
      <c r="P97" s="36"/>
      <c r="Q97" s="36"/>
      <c r="R97" s="36"/>
    </row>
    <row r="98" spans="1:18" x14ac:dyDescent="0.25">
      <c r="A98" s="46"/>
      <c r="B98" s="41"/>
      <c r="C98" s="41"/>
      <c r="D98" s="41"/>
      <c r="E98" s="41"/>
      <c r="F98" s="41"/>
      <c r="G98" s="41"/>
      <c r="H98" s="36"/>
      <c r="I98" s="36"/>
      <c r="J98" s="41"/>
      <c r="K98" s="41"/>
      <c r="L98" s="41"/>
      <c r="M98" s="41"/>
      <c r="N98" s="36"/>
      <c r="O98" s="36"/>
      <c r="P98" s="36"/>
      <c r="Q98" s="36"/>
      <c r="R98" s="36"/>
    </row>
    <row r="99" spans="1:18" x14ac:dyDescent="0.25">
      <c r="A99" s="43" t="s">
        <v>539</v>
      </c>
      <c r="B99" s="47"/>
      <c r="C99" s="41"/>
      <c r="D99" s="41"/>
      <c r="E99" s="41"/>
      <c r="F99" s="41"/>
      <c r="G99" s="41"/>
      <c r="H99" s="36"/>
      <c r="I99" s="36"/>
      <c r="J99" s="41"/>
      <c r="K99" s="41"/>
      <c r="L99" s="41"/>
      <c r="M99" s="41"/>
      <c r="N99" s="36"/>
      <c r="O99" s="36"/>
      <c r="P99" s="36"/>
      <c r="Q99" s="36"/>
      <c r="R99" s="36"/>
    </row>
    <row r="100" spans="1:18" ht="11.25" customHeight="1" x14ac:dyDescent="0.25">
      <c r="A100" s="460" t="s">
        <v>603</v>
      </c>
      <c r="B100" s="85">
        <v>892</v>
      </c>
      <c r="C100" s="41">
        <f>ROUND('Biomass Data Assumptions'!B62/1000*B100,0)</f>
        <v>312</v>
      </c>
      <c r="D100" s="41">
        <f>'Biomass Data Assumptions'!C62*C100</f>
        <v>9110400</v>
      </c>
      <c r="E100" s="41">
        <f>('Biomass Data Assumptions'!D62*'Energy Content Assumptions'!C46*D100)/2000</f>
        <v>409.96800000000002</v>
      </c>
      <c r="F100" s="41">
        <f>('Biomass Data Assumptions'!E62*B100*365)/2000</f>
        <v>813.95</v>
      </c>
      <c r="G100" s="41">
        <f>F100+E100</f>
        <v>1223.9180000000001</v>
      </c>
      <c r="H100" s="36"/>
      <c r="I100" s="36"/>
      <c r="J100" s="41"/>
      <c r="K100" s="41"/>
      <c r="L100" s="41"/>
      <c r="M100" s="41"/>
      <c r="N100" s="36"/>
      <c r="O100" s="36"/>
      <c r="P100" s="36"/>
      <c r="Q100" s="36"/>
      <c r="R100" s="36"/>
    </row>
    <row r="101" spans="1:18" hidden="1" x14ac:dyDescent="0.25">
      <c r="A101" s="45"/>
      <c r="B101" s="458"/>
      <c r="C101" s="461">
        <f>ROUND('Biomass Data Assumptions'!B63/1000*B101,0)</f>
        <v>0</v>
      </c>
      <c r="D101" s="461">
        <f>'Biomass Data Assumptions'!C63*C101</f>
        <v>0</v>
      </c>
      <c r="E101" s="461">
        <f>('Biomass Data Assumptions'!D63*'Energy Content Assumptions'!C47*D101)/2000</f>
        <v>0</v>
      </c>
      <c r="F101" s="461">
        <f>('Biomass Data Assumptions'!E63*B101*365)/2000</f>
        <v>0</v>
      </c>
      <c r="G101" s="461">
        <f>F101+E101</f>
        <v>0</v>
      </c>
      <c r="H101" s="36"/>
      <c r="I101" s="36"/>
      <c r="J101" s="41"/>
      <c r="K101" s="41"/>
      <c r="L101" s="41"/>
      <c r="M101" s="41"/>
      <c r="N101" s="36"/>
      <c r="O101" s="36"/>
      <c r="P101" s="36"/>
      <c r="Q101" s="36"/>
      <c r="R101" s="36"/>
    </row>
    <row r="102" spans="1:18" ht="11.25" customHeight="1" x14ac:dyDescent="0.25">
      <c r="A102" s="460" t="s">
        <v>604</v>
      </c>
      <c r="B102" s="85">
        <v>858</v>
      </c>
      <c r="C102" s="41">
        <f>ROUND('Biomass Data Assumptions'!B64/1000*B102,0)</f>
        <v>1201</v>
      </c>
      <c r="D102" s="41">
        <f>'Biomass Data Assumptions'!C64*C102</f>
        <v>48658515</v>
      </c>
      <c r="E102" s="41">
        <f>('Biomass Data Assumptions'!D64*'Energy Content Assumptions'!C48*D102)/2000</f>
        <v>2189.6331749999999</v>
      </c>
      <c r="F102" s="41">
        <f>'Biomass Data Assumptions'!E64*B102*365/2000</f>
        <v>1565.85</v>
      </c>
      <c r="G102" s="41">
        <f>F102+E102</f>
        <v>3755.4831749999998</v>
      </c>
      <c r="H102" s="36"/>
      <c r="I102" s="36"/>
      <c r="J102" s="41"/>
      <c r="K102" s="41"/>
      <c r="L102" s="41"/>
      <c r="M102" s="41"/>
      <c r="N102" s="36"/>
      <c r="O102" s="36"/>
      <c r="P102" s="36"/>
      <c r="Q102" s="36"/>
      <c r="R102" s="36"/>
    </row>
    <row r="103" spans="1:18" hidden="1" x14ac:dyDescent="0.25">
      <c r="A103" s="45"/>
      <c r="B103" s="458"/>
      <c r="C103" s="41"/>
      <c r="D103" s="41"/>
      <c r="E103" s="41"/>
      <c r="F103" s="41"/>
      <c r="G103" s="41"/>
      <c r="H103" s="36"/>
      <c r="I103" s="36"/>
      <c r="J103" s="41"/>
      <c r="K103" s="41"/>
      <c r="L103" s="41"/>
      <c r="M103" s="41"/>
      <c r="N103" s="36"/>
      <c r="O103" s="36"/>
      <c r="P103" s="36"/>
      <c r="Q103" s="36"/>
      <c r="R103" s="36"/>
    </row>
    <row r="104" spans="1:18" x14ac:dyDescent="0.25">
      <c r="A104" s="467" t="s">
        <v>544</v>
      </c>
      <c r="B104" s="85">
        <f t="shared" ref="B104:G104" si="14">SUM(B100:B103)</f>
        <v>1750</v>
      </c>
      <c r="C104" s="41">
        <f t="shared" si="14"/>
        <v>1513</v>
      </c>
      <c r="D104" s="41">
        <f t="shared" si="14"/>
        <v>57768915</v>
      </c>
      <c r="E104" s="41">
        <f t="shared" si="14"/>
        <v>2599.6011749999998</v>
      </c>
      <c r="F104" s="41">
        <f t="shared" si="14"/>
        <v>2379.8000000000002</v>
      </c>
      <c r="G104" s="41">
        <f t="shared" si="14"/>
        <v>4979.401175</v>
      </c>
      <c r="H104" s="36"/>
      <c r="I104" s="36"/>
      <c r="J104" s="41"/>
      <c r="K104" s="41"/>
      <c r="L104" s="41"/>
      <c r="M104" s="41"/>
      <c r="N104" s="36"/>
      <c r="O104" s="36"/>
      <c r="P104" s="36"/>
      <c r="Q104" s="36"/>
      <c r="R104" s="36"/>
    </row>
    <row r="105" spans="1:18" x14ac:dyDescent="0.25">
      <c r="A105" s="46"/>
      <c r="B105" s="41"/>
      <c r="C105" s="41"/>
      <c r="D105" s="41"/>
      <c r="E105" s="41"/>
      <c r="F105" s="41"/>
      <c r="G105" s="41"/>
      <c r="H105" s="36"/>
      <c r="I105" s="36"/>
      <c r="J105" s="41"/>
      <c r="K105" s="41"/>
      <c r="L105" s="41"/>
      <c r="M105" s="41"/>
      <c r="N105" s="36"/>
      <c r="O105" s="36"/>
      <c r="P105" s="36"/>
      <c r="Q105" s="36"/>
      <c r="R105" s="36"/>
    </row>
    <row r="106" spans="1:18" x14ac:dyDescent="0.25">
      <c r="A106" s="43" t="s">
        <v>545</v>
      </c>
      <c r="B106" s="85">
        <v>1650</v>
      </c>
      <c r="C106" s="41">
        <f>ROUND('Biomass Data Assumptions'!B66/1000*B106,0)</f>
        <v>1650</v>
      </c>
      <c r="D106" s="41">
        <f>'Biomass Data Assumptions'!C66*C106</f>
        <v>33424875</v>
      </c>
      <c r="E106" s="41">
        <f>('Biomass Data Assumptions'!D66*'Energy Content Assumptions'!C50*D106)/2000</f>
        <v>1169.870625</v>
      </c>
      <c r="F106" s="41">
        <f>'Biomass Data Assumptions'!E66*B106*365/2000</f>
        <v>4516.875</v>
      </c>
      <c r="G106" s="41">
        <f>F106+E106</f>
        <v>5686.7456249999996</v>
      </c>
      <c r="H106" s="36"/>
      <c r="I106" s="36"/>
      <c r="J106" s="41"/>
      <c r="K106" s="41"/>
      <c r="L106" s="41"/>
      <c r="M106" s="41"/>
      <c r="N106" s="36"/>
      <c r="O106" s="36"/>
      <c r="P106" s="36"/>
      <c r="Q106" s="36"/>
      <c r="R106" s="36"/>
    </row>
    <row r="107" spans="1:18" x14ac:dyDescent="0.25">
      <c r="A107" s="43"/>
      <c r="B107" s="41"/>
      <c r="C107" s="41"/>
      <c r="D107" s="41"/>
      <c r="E107" s="41"/>
      <c r="F107" s="41"/>
      <c r="G107" s="41"/>
      <c r="H107" s="36"/>
      <c r="I107" s="36"/>
      <c r="J107" s="41"/>
      <c r="K107" s="41"/>
      <c r="L107" s="41"/>
      <c r="M107" s="41"/>
      <c r="N107" s="36"/>
      <c r="O107" s="36"/>
      <c r="P107" s="36"/>
      <c r="Q107" s="36"/>
      <c r="R107" s="36"/>
    </row>
    <row r="108" spans="1:18" x14ac:dyDescent="0.25">
      <c r="A108" s="43" t="s">
        <v>546</v>
      </c>
      <c r="B108" s="85">
        <v>1060</v>
      </c>
      <c r="C108" s="41">
        <f>ROUND('Biomass Data Assumptions'!B67/1000*B108,0)</f>
        <v>106</v>
      </c>
      <c r="D108" s="41">
        <f>'Biomass Data Assumptions'!C67*C108</f>
        <v>1586290</v>
      </c>
      <c r="E108" s="41">
        <f>('Biomass Data Assumptions'!D67*'Energy Content Assumptions'!C51*D108)/2000</f>
        <v>39.657249999999998</v>
      </c>
      <c r="F108" s="41">
        <f>'Biomass Data Assumptions'!E67*B108*365/2000</f>
        <v>193.45</v>
      </c>
      <c r="G108" s="41">
        <f>F108+E108</f>
        <v>233.10724999999999</v>
      </c>
      <c r="H108" s="36"/>
      <c r="I108" s="36"/>
      <c r="J108" s="41"/>
      <c r="K108" s="41"/>
      <c r="L108" s="41"/>
      <c r="M108" s="41"/>
      <c r="N108" s="36"/>
      <c r="O108" s="36"/>
      <c r="P108" s="36"/>
      <c r="Q108" s="36"/>
      <c r="R108" s="36"/>
    </row>
    <row r="109" spans="1:18" x14ac:dyDescent="0.25">
      <c r="A109" s="43"/>
      <c r="B109" s="41"/>
      <c r="C109" s="41"/>
      <c r="D109" s="41"/>
      <c r="E109" s="41"/>
      <c r="F109" s="41"/>
      <c r="G109" s="41"/>
      <c r="H109" s="36"/>
      <c r="I109" s="36"/>
      <c r="J109" s="41"/>
      <c r="K109" s="41"/>
      <c r="L109" s="41"/>
      <c r="M109" s="41"/>
      <c r="N109" s="36"/>
      <c r="O109" s="36"/>
      <c r="P109" s="36"/>
      <c r="Q109" s="36"/>
      <c r="R109" s="36"/>
    </row>
    <row r="110" spans="1:18" x14ac:dyDescent="0.25">
      <c r="A110" s="43" t="s">
        <v>547</v>
      </c>
      <c r="B110" s="85">
        <v>1113</v>
      </c>
      <c r="C110" s="41">
        <f>ROUND('Biomass Data Assumptions'!B68/1000*B110,0)</f>
        <v>111</v>
      </c>
      <c r="D110" s="41">
        <f>'Biomass Data Assumptions'!C68*C110</f>
        <v>1661115</v>
      </c>
      <c r="E110" s="41">
        <f>('Biomass Data Assumptions'!D68*'Energy Content Assumptions'!C52*D110)/2000</f>
        <v>41.527875000000002</v>
      </c>
      <c r="F110" s="41">
        <f>'Biomass Data Assumptions'!E68*B110*365/2000</f>
        <v>203.1225</v>
      </c>
      <c r="G110" s="41">
        <f>F110+E110</f>
        <v>244.650375</v>
      </c>
      <c r="H110" s="36"/>
      <c r="I110" s="36"/>
      <c r="J110" s="41"/>
      <c r="K110" s="41"/>
      <c r="L110" s="41"/>
      <c r="M110" s="41"/>
      <c r="N110" s="36"/>
      <c r="O110" s="36"/>
      <c r="P110" s="36"/>
      <c r="Q110" s="36"/>
      <c r="R110" s="36"/>
    </row>
    <row r="111" spans="1:18" x14ac:dyDescent="0.25">
      <c r="A111" s="43"/>
      <c r="B111" s="41"/>
      <c r="C111" s="41"/>
      <c r="D111" s="41"/>
      <c r="E111" s="41"/>
      <c r="F111" s="41"/>
      <c r="G111" s="41"/>
      <c r="H111" s="36"/>
      <c r="I111" s="36"/>
      <c r="J111" s="41"/>
      <c r="K111" s="41"/>
      <c r="L111" s="41"/>
      <c r="M111" s="41"/>
      <c r="N111" s="36"/>
      <c r="O111" s="36"/>
      <c r="P111" s="36"/>
      <c r="Q111" s="36"/>
      <c r="R111" s="36"/>
    </row>
    <row r="112" spans="1:18" hidden="1" x14ac:dyDescent="0.25">
      <c r="A112" s="468"/>
      <c r="B112" s="150"/>
      <c r="C112" s="41"/>
      <c r="D112" s="41"/>
      <c r="E112" s="41"/>
      <c r="F112" s="41"/>
      <c r="G112" s="41"/>
      <c r="H112" s="36"/>
      <c r="I112" s="36"/>
      <c r="J112" s="41"/>
      <c r="K112" s="41"/>
      <c r="L112" s="41"/>
      <c r="M112" s="41"/>
      <c r="N112" s="36"/>
      <c r="O112" s="36"/>
      <c r="P112" s="36"/>
      <c r="Q112" s="36"/>
      <c r="R112" s="36"/>
    </row>
    <row r="113" spans="1:18" hidden="1" x14ac:dyDescent="0.25">
      <c r="A113" s="468"/>
      <c r="B113" s="458"/>
      <c r="C113" s="458"/>
      <c r="D113" s="458"/>
      <c r="E113" s="458"/>
      <c r="F113" s="458"/>
      <c r="G113" s="458"/>
      <c r="H113" s="36"/>
      <c r="I113" s="36"/>
      <c r="J113" s="41"/>
      <c r="K113" s="41"/>
      <c r="L113" s="41"/>
      <c r="M113" s="41"/>
      <c r="N113" s="36"/>
      <c r="O113" s="36"/>
      <c r="P113" s="36"/>
      <c r="Q113" s="36"/>
      <c r="R113" s="36"/>
    </row>
    <row r="114" spans="1:18" hidden="1" x14ac:dyDescent="0.25">
      <c r="A114" s="460"/>
      <c r="B114" s="458"/>
      <c r="C114" s="41"/>
      <c r="D114" s="41"/>
      <c r="E114" s="41"/>
      <c r="F114" s="41"/>
      <c r="G114" s="41"/>
      <c r="H114" s="36"/>
      <c r="I114" s="36"/>
      <c r="J114" s="41"/>
      <c r="K114" s="41"/>
      <c r="L114" s="41"/>
      <c r="M114" s="41"/>
      <c r="N114" s="36"/>
      <c r="O114" s="36"/>
      <c r="P114" s="36"/>
      <c r="Q114" s="36"/>
      <c r="R114" s="36"/>
    </row>
    <row r="115" spans="1:18" x14ac:dyDescent="0.25">
      <c r="A115" s="43" t="s">
        <v>605</v>
      </c>
      <c r="B115" s="85">
        <v>2347</v>
      </c>
      <c r="C115" s="41">
        <f>ROUND('Biomass Data Assumptions'!$B$71/1000*B115,0)</f>
        <v>939</v>
      </c>
      <c r="D115" s="41">
        <f>'Biomass Data Assumptions'!$C$71*C115</f>
        <v>16108545</v>
      </c>
      <c r="E115" s="41">
        <f>('Biomass Data Assumptions'!$D$71*'Energy Content Assumptions'!$C$55*D115)/2000</f>
        <v>402.71362499999998</v>
      </c>
      <c r="F115" s="41">
        <f>'Biomass Data Assumptions'!$E$71*B115*365/2000</f>
        <v>0</v>
      </c>
      <c r="G115" s="41">
        <f>F115+E115</f>
        <v>402.71362499999998</v>
      </c>
      <c r="H115" s="36"/>
      <c r="I115" s="36"/>
      <c r="J115" s="41"/>
      <c r="K115" s="41"/>
      <c r="L115" s="41"/>
      <c r="M115" s="41"/>
      <c r="N115" s="36"/>
      <c r="O115" s="36"/>
      <c r="P115" s="36"/>
      <c r="Q115" s="36"/>
      <c r="R115" s="36"/>
    </row>
    <row r="116" spans="1:18" x14ac:dyDescent="0.25">
      <c r="A116" s="46"/>
      <c r="B116" s="41"/>
      <c r="C116" s="41"/>
      <c r="D116" s="41"/>
      <c r="E116" s="41"/>
      <c r="F116" s="41"/>
      <c r="G116" s="41"/>
      <c r="H116" s="36"/>
      <c r="I116" s="36"/>
      <c r="J116" s="41"/>
      <c r="K116" s="41"/>
      <c r="L116" s="41"/>
      <c r="M116" s="41"/>
      <c r="N116" s="36"/>
      <c r="O116" s="36"/>
      <c r="P116" s="36"/>
      <c r="Q116" s="36"/>
      <c r="R116" s="36"/>
    </row>
    <row r="117" spans="1:18" x14ac:dyDescent="0.25">
      <c r="A117" s="43" t="s">
        <v>551</v>
      </c>
      <c r="B117" s="85">
        <f>1034+1772+4716</f>
        <v>7522</v>
      </c>
      <c r="C117" s="41">
        <f>ROUND('Biomass Data Assumptions'!B72/1000*B117,0)</f>
        <v>38</v>
      </c>
      <c r="D117" s="41">
        <f>'Biomass Data Assumptions'!C72*C117</f>
        <v>693500</v>
      </c>
      <c r="E117" s="41">
        <f>('Biomass Data Assumptions'!D72*'Energy Content Assumptions'!C56*D117)/2000</f>
        <v>67.616249999999994</v>
      </c>
      <c r="F117" s="41">
        <f>'Biomass Data Assumptions'!E72*B117*365/2000</f>
        <v>0</v>
      </c>
      <c r="G117" s="41">
        <f>F117+E117</f>
        <v>67.616249999999994</v>
      </c>
      <c r="H117" s="150" t="s">
        <v>609</v>
      </c>
      <c r="I117" s="36"/>
      <c r="J117" s="41"/>
      <c r="K117" s="41"/>
      <c r="L117" s="41"/>
      <c r="M117" s="41"/>
      <c r="N117" s="36"/>
      <c r="O117" s="36"/>
      <c r="P117" s="36"/>
      <c r="Q117" s="36"/>
      <c r="R117" s="36"/>
    </row>
    <row r="118" spans="1:18" x14ac:dyDescent="0.25">
      <c r="A118" s="43"/>
      <c r="B118" s="41"/>
      <c r="C118" s="41"/>
      <c r="D118" s="41"/>
      <c r="E118" s="41"/>
      <c r="F118" s="41"/>
      <c r="G118" s="41"/>
      <c r="H118" s="36"/>
      <c r="I118" s="36"/>
      <c r="J118" s="41"/>
      <c r="K118" s="41"/>
      <c r="L118" s="41"/>
      <c r="M118" s="41"/>
      <c r="N118" s="36"/>
      <c r="O118" s="36"/>
      <c r="P118" s="36"/>
      <c r="Q118" s="36"/>
      <c r="R118" s="36"/>
    </row>
    <row r="119" spans="1:18" x14ac:dyDescent="0.25">
      <c r="A119" s="43" t="s">
        <v>552</v>
      </c>
      <c r="B119" s="85">
        <v>419</v>
      </c>
      <c r="C119" s="41">
        <f>ROUND('Biomass Data Assumptions'!B73/1000*B119,0)</f>
        <v>8</v>
      </c>
      <c r="D119" s="41">
        <f>'Biomass Data Assumptions'!C73*C119</f>
        <v>108040</v>
      </c>
      <c r="E119" s="41">
        <f>('Biomass Data Assumptions'!D73*'Energy Content Assumptions'!C57*D119)/2000</f>
        <v>10.12875</v>
      </c>
      <c r="F119" s="41">
        <f>'Biomass Data Assumptions'!E73*B119*365/2000</f>
        <v>7.6467500000000008</v>
      </c>
      <c r="G119" s="41">
        <f>F119+E119</f>
        <v>17.775500000000001</v>
      </c>
      <c r="H119" s="36"/>
      <c r="I119" s="36"/>
      <c r="J119" s="41"/>
      <c r="K119" s="41"/>
      <c r="L119" s="41"/>
      <c r="M119" s="41"/>
      <c r="N119" s="36"/>
      <c r="O119" s="36"/>
      <c r="P119" s="36"/>
      <c r="Q119" s="36"/>
      <c r="R119" s="36"/>
    </row>
    <row r="120" spans="1:18" x14ac:dyDescent="0.25">
      <c r="A120" s="43"/>
      <c r="B120" s="41"/>
      <c r="C120" s="41"/>
      <c r="D120" s="41"/>
      <c r="E120" s="41"/>
      <c r="F120" s="41"/>
      <c r="G120" s="41"/>
      <c r="H120" s="36"/>
      <c r="I120" s="36"/>
      <c r="J120" s="41"/>
      <c r="K120" s="41"/>
      <c r="L120" s="41"/>
      <c r="M120" s="41"/>
      <c r="N120" s="36"/>
      <c r="O120" s="36"/>
      <c r="P120" s="36"/>
      <c r="Q120" s="36"/>
      <c r="R120" s="36"/>
    </row>
    <row r="121" spans="1:18" x14ac:dyDescent="0.25">
      <c r="A121" s="43" t="s">
        <v>553</v>
      </c>
      <c r="B121" s="86">
        <f t="shared" ref="B121" si="15">B97+B104+B106+B108+B110+B115+B117+B119</f>
        <v>16695</v>
      </c>
      <c r="C121" s="48">
        <f>C97+C104+C106+C108+C110+C115+C117+C119</f>
        <v>5199</v>
      </c>
      <c r="D121" s="48">
        <f>D97+D104+D106+D108+D110+D115+D117+D119</f>
        <v>139357000</v>
      </c>
      <c r="E121" s="48">
        <f>E97+E104+E106+E108+E110+E115+E117+E119</f>
        <v>4667.1841899999999</v>
      </c>
      <c r="F121" s="48">
        <f>F97+F104+F106+F108+F110+F115+F117+F119</f>
        <v>7909.7142500000009</v>
      </c>
      <c r="G121" s="48">
        <f>G97+G104+G106+G108+G110+G115+G117+G119</f>
        <v>12576.898439999997</v>
      </c>
      <c r="H121" s="36"/>
      <c r="I121" s="36"/>
      <c r="J121" s="48"/>
      <c r="K121" s="48"/>
      <c r="L121" s="48"/>
      <c r="M121" s="48"/>
      <c r="N121" s="36"/>
      <c r="O121" s="36"/>
      <c r="P121" s="36"/>
      <c r="Q121" s="36"/>
      <c r="R121" s="36"/>
    </row>
    <row r="122" spans="1:18" x14ac:dyDescent="0.25">
      <c r="A122" s="36"/>
      <c r="B122" s="36"/>
      <c r="C122" s="36"/>
      <c r="D122" s="36"/>
      <c r="E122" s="36"/>
      <c r="F122" s="36"/>
      <c r="G122" s="36"/>
      <c r="H122" s="36"/>
      <c r="I122" s="36"/>
      <c r="J122" s="36"/>
      <c r="K122" s="36"/>
      <c r="L122" s="36"/>
      <c r="M122" s="36"/>
      <c r="N122" s="36"/>
      <c r="O122" s="36"/>
      <c r="P122" s="36"/>
      <c r="Q122" s="36"/>
      <c r="R122" s="36"/>
    </row>
    <row r="123" spans="1:18" x14ac:dyDescent="0.25">
      <c r="A123" s="49" t="s">
        <v>1014</v>
      </c>
      <c r="B123" s="49" t="s">
        <v>1043</v>
      </c>
      <c r="C123" s="49" t="s">
        <v>1044</v>
      </c>
      <c r="D123" s="546" t="s">
        <v>1013</v>
      </c>
      <c r="E123" s="36"/>
      <c r="F123" s="36"/>
      <c r="G123" s="36"/>
      <c r="H123" s="36"/>
      <c r="I123" s="36"/>
      <c r="J123" s="36"/>
      <c r="K123" s="36"/>
      <c r="L123" s="36"/>
      <c r="M123" s="36"/>
      <c r="N123" s="36"/>
      <c r="O123" s="36"/>
      <c r="P123" s="36"/>
      <c r="Q123" s="36"/>
      <c r="R123" s="36"/>
    </row>
    <row r="124" spans="1:18" x14ac:dyDescent="0.25">
      <c r="A124" s="50" t="s">
        <v>555</v>
      </c>
      <c r="B124" s="87">
        <v>45144.62</v>
      </c>
      <c r="C124" s="543">
        <f>B124*'Energy Content Assumptions'!C33</f>
        <v>40630.158000000003</v>
      </c>
      <c r="D124" s="36"/>
      <c r="E124" s="36"/>
      <c r="F124" s="36"/>
      <c r="G124" s="36"/>
      <c r="H124" s="36"/>
      <c r="I124" s="36"/>
      <c r="J124" s="36"/>
      <c r="K124" s="36"/>
      <c r="L124" s="36"/>
      <c r="M124" s="36"/>
      <c r="N124" s="36"/>
      <c r="O124" s="36"/>
      <c r="P124" s="36"/>
      <c r="Q124" s="36"/>
      <c r="R124" s="36"/>
    </row>
    <row r="125" spans="1:18" x14ac:dyDescent="0.25">
      <c r="A125" s="50" t="s">
        <v>556</v>
      </c>
      <c r="B125" s="87">
        <v>5625.16</v>
      </c>
      <c r="C125" s="543">
        <f>B125*'Energy Content Assumptions'!C34</f>
        <v>5062.6440000000002</v>
      </c>
      <c r="D125" s="36"/>
      <c r="E125" s="36"/>
      <c r="F125" s="36"/>
      <c r="G125" s="36"/>
      <c r="H125" s="36"/>
      <c r="I125" s="36"/>
      <c r="J125" s="36"/>
      <c r="K125" s="36"/>
      <c r="L125" s="36"/>
      <c r="M125" s="36"/>
      <c r="N125" s="36"/>
      <c r="O125" s="36"/>
      <c r="P125" s="36"/>
      <c r="Q125" s="36"/>
      <c r="R125" s="36"/>
    </row>
    <row r="126" spans="1:18" x14ac:dyDescent="0.25">
      <c r="A126" s="50" t="s">
        <v>557</v>
      </c>
      <c r="B126" s="87">
        <v>12709.1</v>
      </c>
      <c r="C126" s="543">
        <f>B126*'Energy Content Assumptions'!C35</f>
        <v>11438.19</v>
      </c>
      <c r="D126" s="36"/>
      <c r="E126" s="36"/>
      <c r="F126" s="36"/>
      <c r="G126" s="36"/>
      <c r="H126" s="36"/>
      <c r="I126" s="36"/>
      <c r="J126" s="36"/>
      <c r="K126" s="36"/>
      <c r="L126" s="36"/>
      <c r="M126" s="36"/>
      <c r="N126" s="36"/>
      <c r="O126" s="36"/>
      <c r="P126" s="36"/>
      <c r="Q126" s="36"/>
      <c r="R126" s="36"/>
    </row>
    <row r="127" spans="1:18" x14ac:dyDescent="0.25">
      <c r="A127" s="50" t="s">
        <v>558</v>
      </c>
      <c r="B127" s="87">
        <v>7752.89</v>
      </c>
      <c r="C127" s="543">
        <f>B127*'Energy Content Assumptions'!C36</f>
        <v>6977.6010000000006</v>
      </c>
      <c r="D127" s="36"/>
      <c r="E127" s="36"/>
      <c r="F127" s="36"/>
      <c r="G127" s="36"/>
      <c r="H127" s="36"/>
      <c r="I127" s="36"/>
      <c r="J127" s="36"/>
      <c r="K127" s="36"/>
      <c r="L127" s="36"/>
      <c r="M127" s="36"/>
      <c r="N127" s="36"/>
      <c r="O127" s="36"/>
      <c r="P127" s="36"/>
      <c r="Q127" s="36"/>
      <c r="R127" s="36"/>
    </row>
    <row r="128" spans="1:18" x14ac:dyDescent="0.25">
      <c r="A128" s="50" t="s">
        <v>559</v>
      </c>
      <c r="B128" s="87">
        <v>33864.14</v>
      </c>
      <c r="C128" s="543">
        <f>B128*'Energy Content Assumptions'!C21</f>
        <v>16932.07</v>
      </c>
      <c r="D128" s="36"/>
      <c r="E128" s="36"/>
      <c r="F128" s="36"/>
      <c r="G128" s="36"/>
      <c r="H128" s="36"/>
      <c r="I128" s="36"/>
      <c r="J128" s="36"/>
      <c r="K128" s="36"/>
      <c r="L128" s="36"/>
      <c r="M128" s="36"/>
      <c r="N128" s="36"/>
      <c r="O128" s="36"/>
      <c r="P128" s="36"/>
      <c r="Q128" s="36"/>
      <c r="R128" s="36"/>
    </row>
    <row r="129" spans="1:18" x14ac:dyDescent="0.25">
      <c r="A129" s="50" t="s">
        <v>560</v>
      </c>
      <c r="B129" s="87">
        <v>17256.37</v>
      </c>
      <c r="C129" s="543">
        <f>B129*'Energy Content Assumptions'!C22</f>
        <v>5752.123333333333</v>
      </c>
      <c r="D129" s="36"/>
      <c r="E129" s="36"/>
      <c r="F129" s="36"/>
      <c r="G129" s="36"/>
      <c r="H129" s="36"/>
      <c r="I129" s="36"/>
      <c r="J129" s="36"/>
      <c r="K129" s="36"/>
      <c r="L129" s="36"/>
      <c r="M129" s="36"/>
      <c r="N129" s="36"/>
      <c r="O129" s="36"/>
      <c r="P129" s="36"/>
      <c r="Q129" s="36"/>
      <c r="R129" s="36"/>
    </row>
    <row r="130" spans="1:18" x14ac:dyDescent="0.25">
      <c r="A130" s="50" t="s">
        <v>561</v>
      </c>
      <c r="B130" s="87">
        <v>34610.589999999997</v>
      </c>
      <c r="C130" s="543">
        <f>B130*'Energy Content Assumptions'!C23</f>
        <v>11536.863333333331</v>
      </c>
      <c r="D130" s="36"/>
      <c r="E130" s="36"/>
      <c r="F130" s="36"/>
      <c r="G130" s="36"/>
      <c r="H130" s="36"/>
      <c r="I130" s="36"/>
      <c r="J130" s="36"/>
      <c r="K130" s="36"/>
      <c r="L130" s="36"/>
      <c r="M130" s="36"/>
      <c r="N130" s="36"/>
      <c r="O130" s="36"/>
      <c r="P130" s="36"/>
      <c r="Q130" s="36"/>
      <c r="R130" s="36"/>
    </row>
    <row r="131" spans="1:18" x14ac:dyDescent="0.25">
      <c r="A131" s="50" t="s">
        <v>562</v>
      </c>
      <c r="B131" s="87">
        <v>1027.29</v>
      </c>
      <c r="C131" s="543">
        <f>B131*'Energy Content Assumptions'!C24</f>
        <v>513.64499999999998</v>
      </c>
      <c r="D131" s="36"/>
      <c r="E131" s="36"/>
      <c r="F131" s="36"/>
      <c r="G131" s="36"/>
      <c r="H131" s="36"/>
      <c r="I131" s="36"/>
      <c r="J131" s="36"/>
      <c r="K131" s="36"/>
      <c r="L131" s="36"/>
      <c r="M131" s="36"/>
      <c r="N131" s="36"/>
      <c r="O131" s="36"/>
      <c r="P131" s="36"/>
      <c r="Q131" s="36"/>
      <c r="R131" s="36"/>
    </row>
    <row r="132" spans="1:18" x14ac:dyDescent="0.25">
      <c r="A132" s="50" t="s">
        <v>563</v>
      </c>
      <c r="B132" s="87">
        <v>30811.35</v>
      </c>
      <c r="C132" s="543">
        <f>B132*'Energy Content Assumptions'!C31</f>
        <v>7702.8374999999996</v>
      </c>
      <c r="D132" s="36"/>
      <c r="E132" s="36"/>
      <c r="F132" s="36"/>
      <c r="G132" s="36"/>
      <c r="H132" s="36"/>
      <c r="I132" s="36"/>
      <c r="J132" s="36"/>
      <c r="K132" s="36"/>
      <c r="L132" s="36"/>
      <c r="M132" s="36"/>
      <c r="N132" s="36"/>
      <c r="O132" s="36"/>
      <c r="P132" s="36"/>
      <c r="Q132" s="36"/>
      <c r="R132" s="36"/>
    </row>
    <row r="133" spans="1:18" x14ac:dyDescent="0.25">
      <c r="A133" s="50" t="s">
        <v>564</v>
      </c>
      <c r="B133" s="87">
        <v>3845.91</v>
      </c>
      <c r="C133" s="543">
        <f>B133*'Energy Content Assumptions'!C19</f>
        <v>3461.319</v>
      </c>
      <c r="D133" s="36"/>
      <c r="E133" s="36"/>
      <c r="F133" s="36"/>
      <c r="G133" s="36"/>
      <c r="H133" s="36"/>
      <c r="I133" s="36"/>
      <c r="J133" s="36"/>
      <c r="K133" s="36"/>
      <c r="L133" s="36"/>
      <c r="M133" s="36"/>
      <c r="N133" s="36"/>
      <c r="O133" s="36"/>
      <c r="P133" s="36"/>
      <c r="Q133" s="36"/>
      <c r="R133" s="36"/>
    </row>
    <row r="134" spans="1:18" x14ac:dyDescent="0.25">
      <c r="A134" s="50" t="s">
        <v>565</v>
      </c>
      <c r="B134" s="87">
        <v>6292.69</v>
      </c>
      <c r="C134" s="543">
        <f>B134*'Energy Content Assumptions'!C32</f>
        <v>5034.152</v>
      </c>
      <c r="D134" s="36"/>
      <c r="E134" s="36"/>
      <c r="F134" s="36"/>
      <c r="G134" s="36"/>
      <c r="H134" s="36"/>
      <c r="I134" s="36"/>
      <c r="J134" s="36"/>
      <c r="K134" s="36"/>
      <c r="L134" s="36"/>
      <c r="M134" s="36"/>
      <c r="N134" s="36"/>
      <c r="O134" s="36"/>
      <c r="P134" s="36"/>
      <c r="Q134" s="36"/>
      <c r="R134" s="36"/>
    </row>
    <row r="135" spans="1:18" x14ac:dyDescent="0.25">
      <c r="A135" s="36"/>
      <c r="B135" s="36"/>
      <c r="C135" s="36"/>
      <c r="D135" s="36"/>
      <c r="E135" s="36"/>
      <c r="F135" s="36"/>
      <c r="G135" s="36"/>
      <c r="H135" s="36"/>
      <c r="I135" s="36"/>
      <c r="J135" s="36"/>
      <c r="K135" s="36"/>
      <c r="L135" s="36"/>
      <c r="M135" s="36"/>
      <c r="N135" s="36"/>
      <c r="O135" s="36"/>
      <c r="P135" s="36"/>
      <c r="Q135" s="36"/>
      <c r="R135" s="36"/>
    </row>
    <row r="136" spans="1:18" x14ac:dyDescent="0.25">
      <c r="A136" s="49" t="s">
        <v>462</v>
      </c>
      <c r="B136" s="49" t="s">
        <v>1039</v>
      </c>
      <c r="C136" s="49" t="s">
        <v>1040</v>
      </c>
      <c r="D136" s="36"/>
      <c r="E136" s="36"/>
      <c r="F136" s="36"/>
      <c r="G136" s="36"/>
      <c r="H136" s="36"/>
      <c r="I136" s="36"/>
      <c r="J136" s="36"/>
      <c r="K136" s="36"/>
      <c r="L136" s="36"/>
      <c r="M136" s="36"/>
      <c r="N136" s="36"/>
      <c r="O136" s="36"/>
      <c r="P136" s="36"/>
      <c r="Q136" s="36"/>
      <c r="R136" s="36"/>
    </row>
    <row r="137" spans="1:18" x14ac:dyDescent="0.25">
      <c r="A137" s="50" t="s">
        <v>211</v>
      </c>
      <c r="B137" s="87">
        <f>'Biomass Data Assumptions'!$M$14</f>
        <v>398606.17</v>
      </c>
      <c r="C137" s="544"/>
      <c r="D137" s="546" t="s">
        <v>1016</v>
      </c>
      <c r="E137" s="36"/>
      <c r="F137" s="36"/>
      <c r="G137" s="36"/>
      <c r="H137" s="36"/>
      <c r="I137" s="36"/>
      <c r="J137" s="36"/>
      <c r="K137" s="36"/>
      <c r="L137" s="36"/>
      <c r="M137" s="36"/>
      <c r="N137" s="36"/>
      <c r="O137" s="36"/>
      <c r="P137" s="36"/>
      <c r="Q137" s="36"/>
      <c r="R137" s="36"/>
    </row>
    <row r="138" spans="1:18" x14ac:dyDescent="0.25">
      <c r="A138" s="50" t="s">
        <v>208</v>
      </c>
      <c r="B138" s="87">
        <f>'Biomass Data Assumptions'!$F$14</f>
        <v>184038.16</v>
      </c>
      <c r="C138" s="543">
        <f>B138*'Energy Content Assumptions'!$C$28</f>
        <v>92019.08</v>
      </c>
      <c r="D138" s="546" t="s">
        <v>1016</v>
      </c>
      <c r="E138" s="36"/>
      <c r="F138" s="36"/>
      <c r="G138" s="36"/>
      <c r="H138" s="36"/>
      <c r="I138" s="36"/>
      <c r="J138" s="36"/>
      <c r="K138" s="36"/>
      <c r="L138" s="36"/>
      <c r="M138" s="36"/>
      <c r="N138" s="36"/>
      <c r="O138" s="36"/>
      <c r="P138" s="36"/>
      <c r="Q138" s="36"/>
      <c r="R138" s="36"/>
    </row>
    <row r="139" spans="1:18" x14ac:dyDescent="0.25">
      <c r="A139" s="50" t="s">
        <v>209</v>
      </c>
      <c r="B139" s="87">
        <f>'Biomass Data Assumptions'!$H$14</f>
        <v>158659</v>
      </c>
      <c r="C139" s="543"/>
      <c r="D139" s="36" t="s">
        <v>1020</v>
      </c>
      <c r="E139" s="36"/>
      <c r="F139" s="36"/>
      <c r="G139" s="36"/>
      <c r="H139" s="36"/>
      <c r="I139" s="36"/>
      <c r="J139" s="36"/>
      <c r="K139" s="36"/>
      <c r="L139" s="36"/>
      <c r="M139" s="36"/>
      <c r="N139" s="36"/>
      <c r="O139" s="36"/>
      <c r="P139" s="36"/>
      <c r="Q139" s="36"/>
      <c r="R139" s="36"/>
    </row>
    <row r="140" spans="1:18" x14ac:dyDescent="0.25">
      <c r="A140" s="50" t="s">
        <v>210</v>
      </c>
      <c r="B140" s="87">
        <f>'Biomass Data Assumptions'!$I$14</f>
        <v>25379.160000000003</v>
      </c>
      <c r="C140" s="543">
        <f>B140*'Energy Content Assumptions'!$C$28</f>
        <v>12689.580000000002</v>
      </c>
      <c r="D140" s="36" t="s">
        <v>1021</v>
      </c>
      <c r="E140" s="36"/>
      <c r="F140" s="36"/>
      <c r="G140" s="36"/>
      <c r="H140" s="36"/>
      <c r="I140" s="36"/>
      <c r="J140" s="36"/>
      <c r="K140" s="36"/>
      <c r="L140" s="36"/>
      <c r="M140" s="36"/>
      <c r="N140" s="36"/>
      <c r="O140" s="36"/>
      <c r="P140" s="36"/>
      <c r="Q140" s="36"/>
      <c r="R140" s="36"/>
    </row>
    <row r="141" spans="1:18" x14ac:dyDescent="0.25">
      <c r="A141" s="50" t="str">
        <f>'Bioenergy Calculator'!B35</f>
        <v>Food waste, Landfilled</v>
      </c>
      <c r="B141" s="87">
        <f>IF('Bioenergy Calculator'!H75="No",'Biomass Data Assumptions'!J14,'Biomass Data Assumptions'!F14*'Biomass Data Assumptions'!I41)</f>
        <v>4014.9831120000008</v>
      </c>
      <c r="C141" s="543">
        <f>B141*'Energy Content Assumptions'!C26</f>
        <v>1204.4949336000002</v>
      </c>
      <c r="D141" s="150" t="s">
        <v>1063</v>
      </c>
      <c r="E141" s="36"/>
      <c r="F141" s="36"/>
      <c r="G141" s="36"/>
      <c r="H141" s="36"/>
      <c r="I141" s="36"/>
      <c r="J141" s="36"/>
      <c r="K141" s="36"/>
      <c r="L141" s="36"/>
      <c r="M141" s="36"/>
      <c r="N141" s="36"/>
      <c r="O141" s="36"/>
      <c r="P141" s="36"/>
      <c r="Q141" s="36"/>
      <c r="R141" s="36"/>
    </row>
    <row r="142" spans="1:18" x14ac:dyDescent="0.25">
      <c r="A142" s="50" t="str">
        <f>'Bioenergy Calculator'!B36</f>
        <v>Waste paper, Landfilled</v>
      </c>
      <c r="B142" s="87">
        <f>IF('Bioenergy Calculator'!H75="No",'Biomass Data Assumptions'!K14,'Biomass Data Assumptions'!F14*'Biomass Data Assumptions'!I42)</f>
        <v>4936.2466200000008</v>
      </c>
      <c r="C142" s="543">
        <f>B142*'Energy Content Assumptions'!C27</f>
        <v>4442.6219580000006</v>
      </c>
      <c r="D142" s="150" t="s">
        <v>1063</v>
      </c>
      <c r="E142" s="36"/>
      <c r="F142" s="36"/>
      <c r="G142" s="36"/>
      <c r="H142" s="36"/>
      <c r="I142" s="36"/>
      <c r="J142" s="36"/>
      <c r="K142" s="36"/>
      <c r="L142" s="36"/>
      <c r="M142" s="36"/>
      <c r="N142" s="36"/>
      <c r="O142" s="36"/>
      <c r="P142" s="36"/>
      <c r="Q142" s="36"/>
      <c r="R142" s="36"/>
    </row>
    <row r="143" spans="1:18" x14ac:dyDescent="0.25">
      <c r="A143" s="50" t="str">
        <f>'Bioenergy Calculator'!B37</f>
        <v>Other Biomass, Landfilled</v>
      </c>
      <c r="B143" s="87">
        <f>IF('Bioenergy Calculator'!H75="No",'Biomass Data Assumptions'!L14,'Biomass Data Assumptions'!F14*'Biomass Data Assumptions'!I43)</f>
        <v>6834.6077880000003</v>
      </c>
      <c r="C143" s="543">
        <f>B143*'Energy Content Assumptions'!$C$28</f>
        <v>3417.3038940000001</v>
      </c>
      <c r="D143" s="547" t="s">
        <v>1064</v>
      </c>
      <c r="E143" s="36"/>
      <c r="F143" s="36"/>
      <c r="G143" s="36"/>
      <c r="H143" s="36"/>
      <c r="I143" s="36"/>
      <c r="J143" s="36"/>
      <c r="K143" s="36"/>
      <c r="L143" s="36"/>
      <c r="M143" s="36"/>
      <c r="N143" s="36"/>
      <c r="O143" s="36"/>
      <c r="P143" s="36"/>
      <c r="Q143" s="36"/>
      <c r="R143" s="36"/>
    </row>
    <row r="144" spans="1:18" x14ac:dyDescent="0.25">
      <c r="A144" s="50" t="s">
        <v>463</v>
      </c>
      <c r="B144" s="87">
        <v>33394.19</v>
      </c>
      <c r="C144" s="543">
        <f>B144*'Energy Content Assumptions'!C29</f>
        <v>26715.352000000003</v>
      </c>
      <c r="D144" s="151" t="s">
        <v>206</v>
      </c>
      <c r="E144" s="36"/>
      <c r="F144" s="36"/>
      <c r="G144" s="36"/>
      <c r="H144" s="36"/>
      <c r="I144" s="36"/>
      <c r="J144" s="36"/>
      <c r="K144" s="36"/>
      <c r="L144" s="36"/>
      <c r="M144" s="36"/>
      <c r="N144" s="36"/>
      <c r="O144" s="36"/>
      <c r="P144" s="36"/>
      <c r="Q144" s="36"/>
      <c r="R144" s="36"/>
    </row>
    <row r="145" spans="1:18" x14ac:dyDescent="0.25">
      <c r="A145" s="709" t="s">
        <v>179</v>
      </c>
      <c r="B145" s="710">
        <v>0.4</v>
      </c>
      <c r="C145" s="543">
        <f>C144*B145</f>
        <v>10686.140800000001</v>
      </c>
      <c r="D145" s="36" t="s">
        <v>1202</v>
      </c>
      <c r="E145" s="36"/>
      <c r="F145" s="36"/>
      <c r="G145" s="36"/>
      <c r="H145" s="36"/>
      <c r="I145" s="36"/>
      <c r="J145" s="36"/>
      <c r="K145" s="36"/>
      <c r="L145" s="36"/>
      <c r="M145" s="36"/>
      <c r="N145" s="36"/>
      <c r="O145" s="36"/>
      <c r="P145" s="36"/>
      <c r="Q145" s="36"/>
      <c r="R145" s="36"/>
    </row>
    <row r="146" spans="1:18" x14ac:dyDescent="0.25">
      <c r="A146" s="712"/>
      <c r="B146" s="713"/>
      <c r="C146" s="543"/>
      <c r="D146" s="150" t="s">
        <v>1553</v>
      </c>
      <c r="E146" s="36"/>
      <c r="F146" s="36"/>
      <c r="G146" s="36"/>
      <c r="H146" s="36"/>
      <c r="I146" s="36"/>
      <c r="J146" s="36"/>
      <c r="K146" s="36"/>
      <c r="L146" s="36"/>
      <c r="M146" s="36"/>
      <c r="N146" s="36"/>
      <c r="O146" s="36"/>
      <c r="P146" s="36"/>
      <c r="Q146" s="36"/>
      <c r="R146" s="36"/>
    </row>
    <row r="147" spans="1:18" x14ac:dyDescent="0.25">
      <c r="A147" s="1238" t="s">
        <v>1568</v>
      </c>
      <c r="B147" s="49" t="s">
        <v>1039</v>
      </c>
      <c r="C147" s="49" t="s">
        <v>1571</v>
      </c>
      <c r="D147" s="150"/>
      <c r="E147" s="36"/>
      <c r="F147" s="36"/>
      <c r="G147" s="36"/>
      <c r="H147" s="36"/>
      <c r="I147" s="36"/>
      <c r="J147" s="36"/>
      <c r="K147" s="36"/>
      <c r="L147" s="36"/>
      <c r="M147" s="36"/>
      <c r="N147" s="36"/>
      <c r="O147" s="36"/>
      <c r="P147" s="36"/>
      <c r="Q147" s="36"/>
      <c r="R147" s="36"/>
    </row>
    <row r="148" spans="1:18" x14ac:dyDescent="0.25">
      <c r="A148" s="1236" t="s">
        <v>508</v>
      </c>
      <c r="B148" s="549">
        <f>'Biomass Data Assumptions'!R14/2000</f>
        <v>1268.4672000000003</v>
      </c>
      <c r="C148" s="1239">
        <f>B148*'Energy Content Assumptions'!C39</f>
        <v>1078.1971200000003</v>
      </c>
      <c r="D148" s="150" t="s">
        <v>1569</v>
      </c>
      <c r="E148" s="36"/>
      <c r="F148" s="36"/>
      <c r="G148" s="36"/>
      <c r="H148" s="36"/>
      <c r="I148" s="36"/>
      <c r="J148" s="36"/>
      <c r="K148" s="36"/>
      <c r="L148" s="36"/>
      <c r="M148" s="36"/>
      <c r="N148" s="36"/>
      <c r="O148" s="36"/>
      <c r="P148" s="36"/>
      <c r="Q148" s="36"/>
      <c r="R148" s="36"/>
    </row>
    <row r="149" spans="1:18" x14ac:dyDescent="0.25">
      <c r="A149" s="1236" t="s">
        <v>509</v>
      </c>
      <c r="B149" s="549">
        <f>'Biomass Data Assumptions'!S14/2000</f>
        <v>1927.2052799999999</v>
      </c>
      <c r="C149" s="1239">
        <f>B149*'Energy Content Assumptions'!C40</f>
        <v>96.360264000000001</v>
      </c>
      <c r="D149" s="150" t="s">
        <v>1570</v>
      </c>
      <c r="E149" s="36"/>
      <c r="F149" s="36"/>
      <c r="G149" s="36"/>
      <c r="H149" s="36"/>
      <c r="I149" s="36"/>
      <c r="J149" s="36"/>
      <c r="K149" s="36"/>
      <c r="L149" s="36"/>
      <c r="M149" s="36"/>
      <c r="N149" s="36"/>
      <c r="O149" s="36"/>
      <c r="P149" s="36"/>
      <c r="Q149" s="36"/>
      <c r="R149" s="36"/>
    </row>
    <row r="150" spans="1:18" x14ac:dyDescent="0.25">
      <c r="A150" s="36"/>
      <c r="B150" s="36"/>
      <c r="C150" s="36"/>
      <c r="D150" s="36"/>
      <c r="E150" s="36"/>
      <c r="F150" s="36"/>
      <c r="G150" s="36"/>
      <c r="H150" s="36"/>
      <c r="I150" s="36"/>
      <c r="J150" s="36"/>
      <c r="K150" s="36"/>
      <c r="L150" s="36"/>
      <c r="M150" s="36"/>
      <c r="N150" s="36"/>
      <c r="O150" s="36"/>
      <c r="P150" s="36"/>
      <c r="Q150" s="36"/>
      <c r="R150" s="36"/>
    </row>
    <row r="151" spans="1:18" x14ac:dyDescent="0.25">
      <c r="A151" s="36"/>
      <c r="B151" s="36"/>
      <c r="C151" s="36"/>
      <c r="D151" s="36"/>
      <c r="E151" s="36"/>
      <c r="F151" s="36"/>
      <c r="G151" s="36"/>
      <c r="H151" s="36"/>
      <c r="I151" s="36"/>
      <c r="J151" s="36"/>
      <c r="K151" s="36"/>
      <c r="L151" s="36"/>
      <c r="M151" s="36"/>
      <c r="N151" s="36"/>
      <c r="O151" s="36"/>
      <c r="P151" s="36"/>
      <c r="Q151" s="36"/>
      <c r="R151" s="36"/>
    </row>
    <row r="152" spans="1:18" x14ac:dyDescent="0.25">
      <c r="A152" s="36"/>
      <c r="B152" s="36"/>
      <c r="C152" s="36"/>
      <c r="D152" s="36"/>
      <c r="E152" s="36"/>
      <c r="F152" s="36"/>
      <c r="G152" s="36"/>
      <c r="H152" s="36"/>
      <c r="I152" s="36"/>
      <c r="J152" s="36"/>
      <c r="K152" s="36"/>
      <c r="L152" s="36"/>
      <c r="M152" s="36"/>
      <c r="N152" s="36"/>
      <c r="O152" s="36"/>
      <c r="P152" s="36"/>
      <c r="Q152" s="36"/>
      <c r="R152" s="36"/>
    </row>
    <row r="153" spans="1:18" x14ac:dyDescent="0.25">
      <c r="A153" s="36"/>
      <c r="B153" s="36"/>
      <c r="C153" s="36"/>
      <c r="D153" s="36"/>
      <c r="E153" s="36"/>
      <c r="F153" s="36"/>
      <c r="G153" s="36"/>
      <c r="H153" s="36"/>
      <c r="I153" s="36"/>
      <c r="J153" s="36"/>
      <c r="K153" s="36"/>
      <c r="L153" s="36"/>
      <c r="M153" s="36"/>
      <c r="N153" s="36"/>
      <c r="O153" s="36"/>
      <c r="P153" s="36"/>
      <c r="Q153" s="36"/>
      <c r="R153" s="36"/>
    </row>
    <row r="154" spans="1:18" x14ac:dyDescent="0.25">
      <c r="A154" s="36"/>
      <c r="B154" s="36"/>
      <c r="C154" s="36"/>
      <c r="D154" s="36"/>
      <c r="E154" s="36"/>
      <c r="F154" s="36"/>
      <c r="G154" s="36"/>
      <c r="H154" s="36"/>
      <c r="I154" s="36"/>
      <c r="J154" s="36"/>
      <c r="K154" s="36"/>
      <c r="L154" s="36"/>
      <c r="M154" s="36"/>
      <c r="N154" s="36"/>
      <c r="O154" s="36"/>
      <c r="P154" s="36"/>
      <c r="Q154" s="36"/>
      <c r="R154" s="36"/>
    </row>
    <row r="155" spans="1:18" x14ac:dyDescent="0.25">
      <c r="A155" s="36"/>
      <c r="B155" s="36"/>
      <c r="C155" s="36"/>
      <c r="D155" s="36"/>
      <c r="E155" s="36"/>
      <c r="F155" s="36"/>
      <c r="G155" s="36"/>
      <c r="H155" s="36"/>
      <c r="I155" s="36"/>
      <c r="J155" s="36"/>
      <c r="K155" s="36"/>
      <c r="L155" s="36"/>
      <c r="M155" s="36"/>
      <c r="N155" s="36"/>
      <c r="O155" s="36"/>
      <c r="P155" s="36"/>
      <c r="Q155" s="36"/>
      <c r="R155" s="36"/>
    </row>
    <row r="156" spans="1:18" x14ac:dyDescent="0.25">
      <c r="A156" s="36"/>
      <c r="B156" s="36"/>
      <c r="C156" s="36"/>
      <c r="D156" s="36"/>
      <c r="E156" s="36"/>
      <c r="F156" s="36"/>
      <c r="G156" s="36"/>
      <c r="H156" s="36"/>
      <c r="I156" s="36"/>
      <c r="J156" s="36"/>
      <c r="K156" s="36"/>
      <c r="L156" s="36"/>
      <c r="M156" s="36"/>
      <c r="N156" s="36"/>
      <c r="O156" s="36"/>
      <c r="P156" s="36"/>
      <c r="Q156" s="36"/>
      <c r="R156" s="36"/>
    </row>
    <row r="157" spans="1:18" x14ac:dyDescent="0.25">
      <c r="A157" s="36"/>
      <c r="B157" s="36"/>
      <c r="C157" s="36"/>
      <c r="D157" s="36"/>
      <c r="E157" s="36"/>
      <c r="F157" s="36"/>
      <c r="G157" s="36"/>
      <c r="H157" s="36"/>
      <c r="I157" s="36"/>
      <c r="J157" s="36"/>
      <c r="K157" s="36"/>
      <c r="L157" s="36"/>
      <c r="M157" s="36"/>
      <c r="N157" s="36"/>
      <c r="O157" s="36"/>
      <c r="P157" s="36"/>
      <c r="Q157" s="36"/>
      <c r="R157" s="36"/>
    </row>
    <row r="158" spans="1:18" x14ac:dyDescent="0.25">
      <c r="A158" s="36"/>
      <c r="B158" s="36"/>
      <c r="C158" s="36"/>
      <c r="D158" s="36"/>
      <c r="E158" s="36"/>
      <c r="F158" s="36"/>
      <c r="G158" s="36"/>
      <c r="H158" s="36"/>
      <c r="I158" s="36"/>
      <c r="J158" s="36"/>
      <c r="K158" s="36"/>
      <c r="L158" s="36"/>
      <c r="M158" s="36"/>
      <c r="N158" s="36"/>
      <c r="O158" s="36"/>
      <c r="P158" s="36"/>
      <c r="Q158" s="36"/>
      <c r="R158" s="36"/>
    </row>
    <row r="159" spans="1:18" x14ac:dyDescent="0.25">
      <c r="A159" s="36"/>
      <c r="B159" s="36"/>
      <c r="C159" s="36"/>
      <c r="D159" s="36"/>
      <c r="E159" s="36"/>
      <c r="F159" s="36"/>
      <c r="G159" s="36"/>
      <c r="H159" s="36"/>
      <c r="I159" s="36"/>
      <c r="J159" s="36"/>
      <c r="K159" s="36"/>
      <c r="L159" s="36"/>
      <c r="M159" s="36"/>
      <c r="N159" s="36"/>
      <c r="O159" s="36"/>
      <c r="P159" s="36"/>
      <c r="Q159" s="36"/>
      <c r="R159" s="36"/>
    </row>
    <row r="160" spans="1:18" x14ac:dyDescent="0.25">
      <c r="A160" s="36"/>
      <c r="B160" s="36"/>
      <c r="C160" s="36"/>
      <c r="D160" s="36"/>
      <c r="E160" s="36"/>
      <c r="F160" s="36"/>
      <c r="G160" s="36"/>
      <c r="H160" s="36"/>
      <c r="I160" s="36"/>
      <c r="J160" s="36"/>
      <c r="K160" s="36"/>
      <c r="L160" s="36"/>
      <c r="M160" s="36"/>
      <c r="N160" s="36"/>
      <c r="O160" s="36"/>
      <c r="P160" s="36"/>
      <c r="Q160" s="36"/>
      <c r="R160" s="36"/>
    </row>
    <row r="161" spans="1:18" x14ac:dyDescent="0.25">
      <c r="A161" s="36"/>
      <c r="B161" s="36"/>
      <c r="C161" s="36"/>
      <c r="D161" s="36"/>
      <c r="E161" s="36"/>
      <c r="F161" s="36"/>
      <c r="G161" s="36"/>
      <c r="H161" s="36"/>
      <c r="I161" s="36"/>
      <c r="J161" s="36"/>
      <c r="K161" s="36"/>
      <c r="L161" s="36"/>
      <c r="M161" s="36"/>
      <c r="N161" s="36"/>
      <c r="O161" s="36"/>
      <c r="P161" s="36"/>
      <c r="Q161" s="36"/>
      <c r="R161" s="36"/>
    </row>
    <row r="162" spans="1:18" x14ac:dyDescent="0.25">
      <c r="A162" s="36"/>
      <c r="B162" s="36"/>
      <c r="C162" s="36"/>
      <c r="D162" s="36"/>
      <c r="E162" s="36"/>
      <c r="F162" s="36"/>
      <c r="G162" s="36"/>
      <c r="H162" s="36"/>
      <c r="I162" s="36"/>
      <c r="J162" s="36"/>
      <c r="K162" s="36"/>
      <c r="L162" s="36"/>
      <c r="M162" s="36"/>
      <c r="N162" s="36"/>
      <c r="O162" s="36"/>
      <c r="P162" s="36"/>
      <c r="Q162" s="36"/>
      <c r="R162" s="36"/>
    </row>
    <row r="163" spans="1:18" x14ac:dyDescent="0.25">
      <c r="A163" s="36"/>
      <c r="B163" s="36"/>
      <c r="C163" s="36"/>
      <c r="D163" s="36"/>
      <c r="E163" s="36"/>
      <c r="F163" s="36"/>
      <c r="G163" s="36"/>
      <c r="H163" s="36"/>
      <c r="I163" s="36"/>
      <c r="J163" s="36"/>
      <c r="K163" s="36"/>
      <c r="L163" s="36"/>
      <c r="M163" s="36"/>
      <c r="N163" s="36"/>
      <c r="O163" s="36"/>
      <c r="P163" s="36"/>
      <c r="Q163" s="36"/>
      <c r="R163" s="36"/>
    </row>
    <row r="164" spans="1:18" x14ac:dyDescent="0.25">
      <c r="A164" s="36"/>
      <c r="B164" s="36"/>
      <c r="C164" s="36"/>
      <c r="D164" s="36"/>
      <c r="E164" s="36"/>
      <c r="F164" s="36"/>
      <c r="G164" s="36"/>
      <c r="H164" s="36"/>
      <c r="I164" s="36"/>
      <c r="J164" s="36"/>
      <c r="K164" s="36"/>
      <c r="L164" s="36"/>
      <c r="M164" s="36"/>
      <c r="N164" s="36"/>
      <c r="O164" s="36"/>
      <c r="P164" s="36"/>
      <c r="Q164" s="36"/>
      <c r="R164" s="36"/>
    </row>
    <row r="165" spans="1:18" x14ac:dyDescent="0.25">
      <c r="A165" s="36"/>
      <c r="B165" s="36"/>
      <c r="C165" s="36"/>
      <c r="D165" s="36"/>
      <c r="E165" s="36"/>
      <c r="F165" s="36"/>
      <c r="G165" s="36"/>
      <c r="H165" s="36"/>
      <c r="I165" s="36"/>
      <c r="J165" s="36"/>
      <c r="K165" s="36"/>
      <c r="L165" s="36"/>
      <c r="M165" s="36"/>
      <c r="N165" s="36"/>
      <c r="O165" s="36"/>
      <c r="P165" s="36"/>
      <c r="Q165" s="36"/>
      <c r="R165" s="36"/>
    </row>
    <row r="166" spans="1:18" x14ac:dyDescent="0.25">
      <c r="A166" s="36"/>
      <c r="B166" s="36"/>
      <c r="C166" s="36"/>
      <c r="D166" s="36"/>
      <c r="E166" s="36"/>
      <c r="F166" s="36"/>
      <c r="G166" s="36"/>
      <c r="H166" s="36"/>
      <c r="I166" s="36"/>
      <c r="J166" s="36"/>
      <c r="K166" s="36"/>
      <c r="L166" s="36"/>
      <c r="M166" s="36"/>
      <c r="N166" s="36"/>
      <c r="O166" s="36"/>
      <c r="P166" s="36"/>
      <c r="Q166" s="36"/>
      <c r="R166" s="36"/>
    </row>
    <row r="167" spans="1:18" x14ac:dyDescent="0.25">
      <c r="A167" s="36"/>
      <c r="B167" s="36"/>
      <c r="C167" s="36"/>
      <c r="D167" s="36"/>
      <c r="E167" s="36"/>
      <c r="F167" s="36"/>
      <c r="G167" s="36"/>
      <c r="H167" s="36"/>
      <c r="I167" s="36"/>
      <c r="J167" s="36"/>
      <c r="K167" s="36"/>
      <c r="L167" s="36"/>
      <c r="M167" s="36"/>
      <c r="N167" s="36"/>
      <c r="O167" s="36"/>
      <c r="P167" s="36"/>
      <c r="Q167" s="36"/>
      <c r="R167" s="36"/>
    </row>
    <row r="168" spans="1:18" x14ac:dyDescent="0.25">
      <c r="A168" s="36"/>
      <c r="B168" s="36"/>
      <c r="C168" s="36"/>
      <c r="D168" s="36"/>
      <c r="E168" s="36"/>
      <c r="F168" s="36"/>
      <c r="G168" s="36"/>
      <c r="H168" s="36"/>
      <c r="I168" s="36"/>
      <c r="J168" s="36"/>
      <c r="K168" s="36"/>
      <c r="L168" s="36"/>
      <c r="M168" s="36"/>
      <c r="N168" s="36"/>
      <c r="O168" s="36"/>
      <c r="P168" s="36"/>
      <c r="Q168" s="36"/>
      <c r="R168" s="36"/>
    </row>
    <row r="169" spans="1:18" x14ac:dyDescent="0.25">
      <c r="A169" s="36"/>
      <c r="B169" s="36"/>
      <c r="C169" s="36"/>
      <c r="D169" s="36"/>
      <c r="E169" s="36"/>
      <c r="F169" s="36"/>
      <c r="G169" s="36"/>
      <c r="H169" s="36"/>
      <c r="I169" s="36"/>
      <c r="J169" s="36"/>
      <c r="K169" s="36"/>
      <c r="L169" s="36"/>
      <c r="M169" s="36"/>
      <c r="N169" s="36"/>
      <c r="O169" s="36"/>
      <c r="P169" s="36"/>
      <c r="Q169" s="36"/>
      <c r="R169" s="36"/>
    </row>
    <row r="170" spans="1:18" x14ac:dyDescent="0.25">
      <c r="A170" s="36"/>
      <c r="B170" s="36"/>
      <c r="C170" s="36"/>
      <c r="D170" s="36"/>
      <c r="E170" s="36"/>
      <c r="F170" s="36"/>
      <c r="G170" s="36"/>
      <c r="H170" s="36"/>
      <c r="I170" s="36"/>
      <c r="J170" s="36"/>
      <c r="K170" s="36"/>
      <c r="L170" s="36"/>
      <c r="M170" s="36"/>
      <c r="N170" s="36"/>
      <c r="O170" s="36"/>
      <c r="P170" s="36"/>
      <c r="Q170" s="36"/>
      <c r="R170" s="36"/>
    </row>
    <row r="171" spans="1:18" x14ac:dyDescent="0.25">
      <c r="P171" s="36"/>
      <c r="Q171" s="36"/>
      <c r="R171" s="36"/>
    </row>
    <row r="172" spans="1:18" x14ac:dyDescent="0.25">
      <c r="P172" s="36"/>
      <c r="Q172" s="36"/>
      <c r="R172" s="36"/>
    </row>
    <row r="173" spans="1:18" x14ac:dyDescent="0.25">
      <c r="P173" s="36"/>
      <c r="Q173" s="36"/>
      <c r="R173" s="36"/>
    </row>
    <row r="174" spans="1:18" x14ac:dyDescent="0.25">
      <c r="P174" s="36"/>
      <c r="Q174" s="36"/>
      <c r="R174" s="36"/>
    </row>
    <row r="175" spans="1:18" x14ac:dyDescent="0.25">
      <c r="P175" s="36"/>
      <c r="Q175" s="36"/>
      <c r="R175" s="36"/>
    </row>
    <row r="176" spans="1:18" x14ac:dyDescent="0.25">
      <c r="P176" s="36"/>
      <c r="Q176" s="36"/>
      <c r="R176" s="36"/>
    </row>
    <row r="177" spans="16:18" x14ac:dyDescent="0.25">
      <c r="P177" s="36"/>
      <c r="Q177" s="36"/>
      <c r="R177" s="36"/>
    </row>
    <row r="178" spans="16:18" x14ac:dyDescent="0.25">
      <c r="P178" s="36"/>
      <c r="Q178" s="36"/>
      <c r="R178" s="36"/>
    </row>
    <row r="179" spans="16:18" x14ac:dyDescent="0.25">
      <c r="P179" s="36"/>
      <c r="Q179" s="36"/>
      <c r="R179" s="36"/>
    </row>
    <row r="180" spans="16:18" x14ac:dyDescent="0.25">
      <c r="P180" s="36"/>
      <c r="Q180" s="36"/>
      <c r="R180" s="36"/>
    </row>
    <row r="181" spans="16:18" x14ac:dyDescent="0.25">
      <c r="P181" s="36"/>
      <c r="Q181" s="36"/>
      <c r="R181" s="36"/>
    </row>
    <row r="182" spans="16:18" x14ac:dyDescent="0.25">
      <c r="P182" s="36"/>
      <c r="Q182" s="36"/>
      <c r="R182" s="36"/>
    </row>
    <row r="183" spans="16:18" x14ac:dyDescent="0.25">
      <c r="P183" s="36"/>
      <c r="Q183" s="36"/>
      <c r="R183" s="36"/>
    </row>
    <row r="184" spans="16:18" x14ac:dyDescent="0.25">
      <c r="P184" s="36"/>
      <c r="Q184" s="36"/>
      <c r="R184" s="36"/>
    </row>
    <row r="185" spans="16:18" x14ac:dyDescent="0.25">
      <c r="P185" s="36"/>
      <c r="Q185" s="36"/>
      <c r="R185" s="36"/>
    </row>
    <row r="186" spans="16:18" x14ac:dyDescent="0.25">
      <c r="P186" s="36"/>
      <c r="Q186" s="36"/>
      <c r="R186" s="36"/>
    </row>
    <row r="187" spans="16:18" x14ac:dyDescent="0.25">
      <c r="P187" s="36"/>
      <c r="Q187" s="36"/>
      <c r="R187" s="36"/>
    </row>
    <row r="188" spans="16:18" x14ac:dyDescent="0.25">
      <c r="P188" s="36"/>
      <c r="Q188" s="36"/>
      <c r="R188" s="36"/>
    </row>
    <row r="189" spans="16:18" x14ac:dyDescent="0.25">
      <c r="P189" s="36"/>
      <c r="Q189" s="36"/>
      <c r="R189" s="36"/>
    </row>
    <row r="190" spans="16:18" x14ac:dyDescent="0.25">
      <c r="P190" s="36"/>
      <c r="Q190" s="36"/>
      <c r="R190" s="36"/>
    </row>
    <row r="191" spans="16:18" x14ac:dyDescent="0.25">
      <c r="P191" s="36"/>
      <c r="Q191" s="36"/>
      <c r="R191" s="36"/>
    </row>
    <row r="192" spans="16:18" x14ac:dyDescent="0.25">
      <c r="P192" s="36"/>
      <c r="Q192" s="36"/>
      <c r="R192" s="36"/>
    </row>
    <row r="193" spans="16:18" x14ac:dyDescent="0.25">
      <c r="P193" s="36"/>
      <c r="Q193" s="36"/>
      <c r="R193" s="36"/>
    </row>
    <row r="194" spans="16:18" x14ac:dyDescent="0.25">
      <c r="P194" s="36"/>
      <c r="Q194" s="36"/>
      <c r="R194" s="36"/>
    </row>
    <row r="195" spans="16:18" x14ac:dyDescent="0.25">
      <c r="P195" s="36"/>
      <c r="Q195" s="36"/>
      <c r="R195" s="36"/>
    </row>
    <row r="196" spans="16:18" x14ac:dyDescent="0.25">
      <c r="P196" s="36"/>
      <c r="Q196" s="36"/>
      <c r="R196" s="36"/>
    </row>
    <row r="197" spans="16:18" x14ac:dyDescent="0.25">
      <c r="P197" s="36"/>
      <c r="Q197" s="36"/>
      <c r="R197" s="36"/>
    </row>
    <row r="198" spans="16:18" x14ac:dyDescent="0.25">
      <c r="P198" s="36"/>
      <c r="Q198" s="36"/>
      <c r="R198" s="36"/>
    </row>
    <row r="199" spans="16:18" x14ac:dyDescent="0.25">
      <c r="P199" s="36"/>
      <c r="Q199" s="36"/>
      <c r="R199" s="36"/>
    </row>
  </sheetData>
  <mergeCells count="15">
    <mergeCell ref="A3:A4"/>
    <mergeCell ref="B3:B4"/>
    <mergeCell ref="C3:C4"/>
    <mergeCell ref="A51:A67"/>
    <mergeCell ref="A5:A11"/>
    <mergeCell ref="A13:A29"/>
    <mergeCell ref="A31:A43"/>
    <mergeCell ref="A45:A49"/>
    <mergeCell ref="I1:L1"/>
    <mergeCell ref="M1:P1"/>
    <mergeCell ref="Q3:Q4"/>
    <mergeCell ref="D3:D4"/>
    <mergeCell ref="I3:L3"/>
    <mergeCell ref="M3:P3"/>
    <mergeCell ref="E3:H3"/>
  </mergeCells>
  <phoneticPr fontId="0" type="noConversion"/>
  <pageMargins left="0.75" right="0.75" top="1" bottom="1" header="0.5" footer="0.5"/>
  <pageSetup paperSize="5" scale="50" orientation="landscape" r:id="rId1"/>
  <headerFooter alignWithMargins="0">
    <oddFooter>&amp;L&amp;"Arial,Italic" 7/02/07&amp;C&amp;"Arial,Italic"&amp;A&amp;R&amp;"Arial,Italic"NJAES Report 2007-1 ©2007
New Jersey Agricultural Experiment Station</oddFooter>
  </headerFooter>
  <ignoredErrors>
    <ignoredError sqref="D67"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86"/>
  <sheetViews>
    <sheetView tabSelected="1" topLeftCell="B19" zoomScale="60" zoomScaleNormal="60" workbookViewId="0">
      <selection activeCell="B2" sqref="B2"/>
    </sheetView>
  </sheetViews>
  <sheetFormatPr defaultColWidth="8.88671875" defaultRowHeight="13.2" x14ac:dyDescent="0.25"/>
  <cols>
    <col min="1" max="1" width="51" customWidth="1"/>
    <col min="2" max="2" width="57.6640625" customWidth="1"/>
    <col min="3" max="20" width="16.6640625" customWidth="1"/>
    <col min="21" max="21" width="14.109375" customWidth="1"/>
    <col min="22" max="23" width="8.88671875" customWidth="1"/>
    <col min="24" max="24" width="48.44140625" customWidth="1"/>
  </cols>
  <sheetData>
    <row r="1" spans="1:24" x14ac:dyDescent="0.25">
      <c r="B1" t="s">
        <v>154</v>
      </c>
      <c r="C1" s="1068" t="s">
        <v>245</v>
      </c>
      <c r="D1" s="1069"/>
      <c r="E1" s="1069"/>
      <c r="F1" s="1069"/>
      <c r="G1" s="1070"/>
      <c r="H1" s="1068" t="s">
        <v>172</v>
      </c>
      <c r="I1" s="1069"/>
      <c r="J1" s="1069"/>
      <c r="K1" s="1069"/>
      <c r="L1" s="1070"/>
      <c r="M1" s="1076" t="s">
        <v>1183</v>
      </c>
      <c r="N1" s="1078" t="s">
        <v>1034</v>
      </c>
      <c r="O1" s="1078"/>
      <c r="P1" s="1078"/>
      <c r="Q1" s="1078"/>
      <c r="R1" s="302"/>
    </row>
    <row r="2" spans="1:24" x14ac:dyDescent="0.25">
      <c r="B2" s="20" t="s">
        <v>369</v>
      </c>
      <c r="C2" s="139">
        <v>2010</v>
      </c>
      <c r="D2" s="81">
        <v>2015</v>
      </c>
      <c r="E2" s="81">
        <v>2020</v>
      </c>
      <c r="F2" s="81">
        <v>2025</v>
      </c>
      <c r="G2" s="140"/>
      <c r="H2" s="139">
        <v>2010</v>
      </c>
      <c r="I2" s="81">
        <v>2015</v>
      </c>
      <c r="J2" s="81">
        <v>2020</v>
      </c>
      <c r="K2" s="81">
        <v>2025</v>
      </c>
      <c r="L2" s="140"/>
      <c r="M2" s="1077"/>
      <c r="N2" s="587">
        <v>2010</v>
      </c>
      <c r="O2" s="587">
        <v>2015</v>
      </c>
      <c r="P2" s="587">
        <v>2020</v>
      </c>
      <c r="Q2" s="587">
        <v>2025</v>
      </c>
      <c r="R2" s="140"/>
      <c r="S2" s="56"/>
      <c r="T2" s="56"/>
    </row>
    <row r="3" spans="1:24" ht="13.8" x14ac:dyDescent="0.25">
      <c r="A3" s="396" t="s">
        <v>269</v>
      </c>
      <c r="B3" s="345" t="s">
        <v>277</v>
      </c>
      <c r="C3" s="346">
        <f>SUM(I14,I32,I46,I52,I70)</f>
        <v>0</v>
      </c>
      <c r="D3" s="347">
        <f>SUM(J14,J32,J46,J52,J70)</f>
        <v>0</v>
      </c>
      <c r="E3" s="347">
        <f>SUM(K14,K32,K46,K52,K70)</f>
        <v>0</v>
      </c>
      <c r="F3" s="347">
        <f>SUM(L14,L32,L46,L52,L70)</f>
        <v>0</v>
      </c>
      <c r="G3" s="348" t="s">
        <v>259</v>
      </c>
      <c r="H3" s="582">
        <f>C3/(8760*0.85)</f>
        <v>0</v>
      </c>
      <c r="I3" s="303">
        <f>D3/(8760*0.85)</f>
        <v>0</v>
      </c>
      <c r="J3" s="303">
        <f>E3/(8760*0.85)</f>
        <v>0</v>
      </c>
      <c r="K3" s="303">
        <f>F3/(8760*0.85)</f>
        <v>0</v>
      </c>
      <c r="L3" s="348" t="s">
        <v>174</v>
      </c>
      <c r="M3" s="630">
        <v>80142845</v>
      </c>
      <c r="N3" s="585">
        <f xml:space="preserve"> C3/M3</f>
        <v>0</v>
      </c>
      <c r="O3" s="585">
        <f xml:space="preserve"> D3/M3</f>
        <v>0</v>
      </c>
      <c r="P3" s="585">
        <f xml:space="preserve"> E3/M3</f>
        <v>0</v>
      </c>
      <c r="Q3" s="585">
        <f xml:space="preserve"> F3/M3</f>
        <v>0</v>
      </c>
      <c r="R3" s="348" t="s">
        <v>259</v>
      </c>
      <c r="S3" s="57"/>
    </row>
    <row r="4" spans="1:24" ht="14.4" thickBot="1" x14ac:dyDescent="0.3">
      <c r="A4" s="396" t="s">
        <v>460</v>
      </c>
      <c r="B4" s="345" t="s">
        <v>277</v>
      </c>
      <c r="C4" s="548">
        <f>SUM(M14,M32,M46,M52,M70)</f>
        <v>0</v>
      </c>
      <c r="D4" s="176">
        <f>SUM(N14,N32,N46,N52,N70)</f>
        <v>0</v>
      </c>
      <c r="E4" s="176">
        <f>SUM(O14,O32,O46,O52,O70)</f>
        <v>0</v>
      </c>
      <c r="F4" s="176">
        <f>SUM(P14,P32,P46,P52,P70)</f>
        <v>0</v>
      </c>
      <c r="G4" s="349" t="s">
        <v>171</v>
      </c>
      <c r="H4" s="583">
        <f>C4/42/(365*0.85)</f>
        <v>0</v>
      </c>
      <c r="I4" s="584">
        <f>D4/42/(365*0.85)</f>
        <v>0</v>
      </c>
      <c r="J4" s="584">
        <f>E4/42/(365*0.85)</f>
        <v>0</v>
      </c>
      <c r="K4" s="584">
        <f>F4/42/(365*0.85)</f>
        <v>0</v>
      </c>
      <c r="L4" s="349" t="s">
        <v>173</v>
      </c>
      <c r="M4" s="631">
        <v>5352761400</v>
      </c>
      <c r="N4" s="586">
        <f xml:space="preserve"> C4/M4</f>
        <v>0</v>
      </c>
      <c r="O4" s="586">
        <f xml:space="preserve"> D4/M4</f>
        <v>0</v>
      </c>
      <c r="P4" s="586">
        <f xml:space="preserve"> E4/M4</f>
        <v>0</v>
      </c>
      <c r="Q4" s="586">
        <f xml:space="preserve"> F4/M4</f>
        <v>0</v>
      </c>
      <c r="R4" s="349" t="s">
        <v>171</v>
      </c>
    </row>
    <row r="5" spans="1:24" x14ac:dyDescent="0.25">
      <c r="F5" t="s">
        <v>154</v>
      </c>
    </row>
    <row r="6" spans="1:24" x14ac:dyDescent="0.25">
      <c r="A6" s="1062" t="s">
        <v>567</v>
      </c>
      <c r="B6" s="1060" t="s">
        <v>506</v>
      </c>
      <c r="C6" s="1062" t="s">
        <v>1035</v>
      </c>
      <c r="D6" s="1062" t="s">
        <v>1051</v>
      </c>
      <c r="E6" s="1083" t="s">
        <v>523</v>
      </c>
      <c r="F6" s="1084"/>
      <c r="G6" s="1084"/>
      <c r="H6" s="1085"/>
      <c r="I6" s="1072" t="s">
        <v>275</v>
      </c>
      <c r="J6" s="1073"/>
      <c r="K6" s="1074"/>
      <c r="L6" s="1075"/>
      <c r="M6" s="1072" t="s">
        <v>274</v>
      </c>
      <c r="N6" s="1073"/>
      <c r="O6" s="1074"/>
      <c r="P6" s="1075"/>
      <c r="Q6" s="1079" t="s">
        <v>1052</v>
      </c>
      <c r="R6" s="1080"/>
      <c r="S6" s="1081"/>
      <c r="T6" s="1082"/>
    </row>
    <row r="7" spans="1:24" ht="39" customHeight="1" x14ac:dyDescent="0.25">
      <c r="A7" s="1063"/>
      <c r="B7" s="1061"/>
      <c r="C7" s="1063"/>
      <c r="D7" s="1071"/>
      <c r="E7" s="22">
        <v>2010</v>
      </c>
      <c r="F7" s="22">
        <v>2015</v>
      </c>
      <c r="G7" s="22">
        <v>2020</v>
      </c>
      <c r="H7" s="22">
        <v>2025</v>
      </c>
      <c r="I7" s="22">
        <v>2010</v>
      </c>
      <c r="J7" s="22">
        <v>2015</v>
      </c>
      <c r="K7" s="22">
        <v>2020</v>
      </c>
      <c r="L7" s="22">
        <v>2025</v>
      </c>
      <c r="M7" s="22">
        <v>2010</v>
      </c>
      <c r="N7" s="22">
        <v>2015</v>
      </c>
      <c r="O7" s="22">
        <v>2020</v>
      </c>
      <c r="P7" s="22">
        <v>2025</v>
      </c>
      <c r="Q7" s="22">
        <v>2010</v>
      </c>
      <c r="R7" s="22">
        <v>2015</v>
      </c>
      <c r="S7" s="22">
        <v>2020</v>
      </c>
      <c r="T7" s="22">
        <v>2025</v>
      </c>
    </row>
    <row r="8" spans="1:24" x14ac:dyDescent="0.25">
      <c r="A8" s="1064" t="s">
        <v>513</v>
      </c>
      <c r="B8" s="1" t="s">
        <v>511</v>
      </c>
      <c r="C8" s="7"/>
      <c r="D8" s="7"/>
      <c r="E8" s="7"/>
      <c r="F8" s="7"/>
      <c r="G8" s="7"/>
      <c r="H8" s="7"/>
      <c r="I8" s="7"/>
      <c r="J8" s="7"/>
      <c r="K8" s="7"/>
      <c r="L8" s="7"/>
      <c r="M8" s="7"/>
      <c r="N8" s="7"/>
      <c r="O8" s="7"/>
      <c r="P8" s="7"/>
      <c r="Q8" s="7"/>
      <c r="R8" s="7"/>
      <c r="S8" s="7"/>
      <c r="T8" s="7"/>
      <c r="X8" s="56" t="s">
        <v>457</v>
      </c>
    </row>
    <row r="9" spans="1:24" x14ac:dyDescent="0.25">
      <c r="A9" s="1064"/>
      <c r="B9" s="11" t="str">
        <f>Atlantic!B6</f>
        <v>Sorghum</v>
      </c>
      <c r="C9" s="294">
        <f>SUM(Atlantic!C6,Bergen!C6,Burlington!C6,Camden!C6,'Cape May'!C6,Cumberland!C6,Essex!C6,Gloucester!C6,Hudson!C6,Hunterdon!C6,Mercer!C6,Middlesex!C6,Monmouth!C6,Morris!C6,Ocean!C6,Passaic!C6,Salem!C6,Somerset!C6,Sussex!C6,Union!C6,Warren!C6)</f>
        <v>7465.3571999999995</v>
      </c>
      <c r="D9" s="294" t="s">
        <v>431</v>
      </c>
      <c r="E9" s="294">
        <f>SUM(Atlantic!E6,Bergen!E6,Burlington!E6,Camden!E6,'Cape May'!E6,Cumberland!E6,Essex!E6,Gloucester!E6,Hudson!E6,Hunterdon!E6,Mercer!E6,Middlesex!E6,Monmouth!E6,Morris!E6,Ocean!E6,Passaic!E6,Salem!E6,Somerset!E6,Sussex!E6,Union!E6,Warren!E6)</f>
        <v>0</v>
      </c>
      <c r="F9" s="294">
        <f>SUM(Atlantic!F6,Bergen!F6,Burlington!F6,Camden!F6,'Cape May'!F6,Cumberland!F6,Essex!F6,Gloucester!F6,Hudson!F6,Hunterdon!F6,Mercer!F6,Middlesex!F6,Monmouth!F6,Morris!F6,Ocean!F6,Passaic!F6,Salem!F6,Somerset!F6,Sussex!F6,Union!F6,Warren!F6)</f>
        <v>0</v>
      </c>
      <c r="G9" s="294">
        <f>SUM(Atlantic!G6,Bergen!G6,Burlington!G6,Camden!G6,'Cape May'!G6,Cumberland!G6,Essex!G6,Gloucester!G6,Hudson!G6,Hunterdon!G6,Mercer!G6,Middlesex!G6,Monmouth!G6,Morris!G6,Ocean!G6,Passaic!G6,Salem!G6,Somerset!G6,Sussex!G6,Union!G6,Warren!G6)</f>
        <v>0</v>
      </c>
      <c r="H9" s="294">
        <f>SUM(Atlantic!H6,Bergen!H6,Burlington!H6,Camden!H6,'Cape May'!H6,Cumberland!H6,Essex!H6,Gloucester!H6,Hudson!H6,Hunterdon!H6,Mercer!H6,Middlesex!H6,Monmouth!H6,Morris!H6,Ocean!H6,Passaic!H6,Salem!H6,Somerset!H6,Sussex!H6,Union!H6,Warren!H6)</f>
        <v>0</v>
      </c>
      <c r="I9" s="16">
        <f>SUM(Atlantic!I6,Bergen!I6,Burlington!I6,Camden!I6,'Cape May'!I6,Cumberland!I6,Essex!I6,Gloucester!I6,Hudson!I6,Hunterdon!I6,Mercer!I6,Middlesex!I6,Monmouth!I6,Morris!I6,Ocean!I6,Passaic!I6,Salem!I6,Somerset!I6,Sussex!I6,Union!I6,Warren!I6)</f>
        <v>0</v>
      </c>
      <c r="J9" s="16">
        <f>SUM(Atlantic!J6,Bergen!J6,Burlington!J6,Camden!J6,'Cape May'!J6,Cumberland!J6,Essex!J6,Gloucester!J6,Hudson!J6,Hunterdon!J6,Mercer!J6,Middlesex!J6,Monmouth!J6,Morris!J6,Ocean!J6,Passaic!J6,Salem!J6,Somerset!J6,Sussex!J6,Union!J6,Warren!J6)</f>
        <v>0</v>
      </c>
      <c r="K9" s="16">
        <f>SUM(Atlantic!K6,Bergen!K6,Burlington!K6,Camden!K6,'Cape May'!K6,Cumberland!K6,Essex!K6,Gloucester!K6,Hudson!K6,Hunterdon!K6,Mercer!K6,Middlesex!K6,Monmouth!K6,Morris!K6,Ocean!K6,Passaic!K6,Salem!K6,Somerset!K6,Sussex!K6,Union!K6,Warren!K6)</f>
        <v>0</v>
      </c>
      <c r="L9" s="16">
        <f>SUM(Atlantic!L6,Bergen!L6,Burlington!L6,Camden!L6,'Cape May'!L6,Cumberland!L6,Essex!L6,Gloucester!L6,Hudson!L6,Hunterdon!L6,Mercer!L6,Middlesex!L6,Monmouth!L6,Morris!L6,Ocean!L6,Passaic!L6,Salem!L6,Somerset!L6,Sussex!L6,Union!L6,Warren!L6)</f>
        <v>0</v>
      </c>
      <c r="M9" s="16">
        <f>SUM(Atlantic!M6,Bergen!M6,Burlington!M6,Camden!M6,'Cape May'!M6,Cumberland!M6,Essex!M6,Gloucester!M6,Hudson!M6,Hunterdon!M6,Mercer!M6,Middlesex!M6,Monmouth!M6,Morris!M6,Ocean!M6,Passaic!M6,Salem!M6,Somerset!M6,Sussex!M6,Union!M6,Warren!M6)</f>
        <v>0</v>
      </c>
      <c r="N9" s="16">
        <f>SUM(Atlantic!N6,Bergen!N6,Burlington!N6,Camden!N6,'Cape May'!N6,Cumberland!N6,Essex!N6,Gloucester!N6,Hudson!N6,Hunterdon!N6,Mercer!N6,Middlesex!N6,Monmouth!N6,Morris!N6,Ocean!N6,Passaic!N6,Salem!N6,Somerset!N6,Sussex!N6,Union!N6,Warren!N6)</f>
        <v>0</v>
      </c>
      <c r="O9" s="16">
        <f>SUM(Atlantic!O6,Bergen!O6,Burlington!O6,Camden!O6,'Cape May'!O6,Cumberland!O6,Essex!O6,Gloucester!O6,Hudson!O6,Hunterdon!O6,Mercer!O6,Middlesex!O6,Monmouth!O6,Morris!O6,Ocean!O6,Passaic!O6,Salem!O6,Somerset!O6,Sussex!O6,Union!O6,Warren!O6)</f>
        <v>0</v>
      </c>
      <c r="P9" s="16">
        <f>SUM(Atlantic!P6,Bergen!P6,Burlington!P6,Camden!P6,'Cape May'!P6,Cumberland!P6,Essex!P6,Gloucester!P6,Hudson!P6,Hunterdon!P6,Mercer!P6,Middlesex!P6,Monmouth!P6,Morris!P6,Ocean!P6,Passaic!P6,Salem!P6,Somerset!P6,Sussex!P6,Union!P6,Warren!P6)</f>
        <v>0</v>
      </c>
      <c r="Q9" s="16">
        <f>IF($B$4=$X$19,M9*'Technology Assumptions'!B$34,IF('Bioenergy Calculator'!$B$4='Bioenergy Calculator'!$X$21,M9*'Technology Assumptions'!B$34,IF('Bioenergy Calculator'!$B$4='Bioenergy Calculator'!$X$20,'Bioenergy Calculator'!M9*'Technology Assumptions'!B$36,IF('Bioenergy Calculator'!$B$4='Bioenergy Calculator'!$X$23,'Bioenergy Calculator'!M9*'Technology Assumptions'!B$35,IF('Bioenergy Calculator'!$B$4='Bioenergy Calculator'!$X$22,'Bioenergy Calculator'!M9*'Technology Assumptions'!B$37,'Bioenergy Calculator'!M9)))))</f>
        <v>0</v>
      </c>
      <c r="R9" s="16">
        <f>IF($B$4=$X$19,N9*'Technology Assumptions'!C$34,IF('Bioenergy Calculator'!$B$4='Bioenergy Calculator'!$X$21,N9*'Technology Assumptions'!C$34,IF('Bioenergy Calculator'!$B$4='Bioenergy Calculator'!$X$20,'Bioenergy Calculator'!N9*'Technology Assumptions'!C$36,IF('Bioenergy Calculator'!$B$4='Bioenergy Calculator'!$X$23,'Bioenergy Calculator'!N9*'Technology Assumptions'!C$35,IF('Bioenergy Calculator'!$B$4='Bioenergy Calculator'!$X$22,'Bioenergy Calculator'!N9*'Technology Assumptions'!C$37,'Bioenergy Calculator'!N9)))))</f>
        <v>0</v>
      </c>
      <c r="S9" s="16">
        <f>IF($B$4=$X$19,O9*'Technology Assumptions'!D$34,IF('Bioenergy Calculator'!$B$4='Bioenergy Calculator'!$X$21,O9*'Technology Assumptions'!D$34,IF('Bioenergy Calculator'!$B$4='Bioenergy Calculator'!$X$20,'Bioenergy Calculator'!O9*'Technology Assumptions'!D$36,IF('Bioenergy Calculator'!$B$4='Bioenergy Calculator'!$X$23,'Bioenergy Calculator'!O9*'Technology Assumptions'!D$35,IF('Bioenergy Calculator'!$B$4='Bioenergy Calculator'!$X$22,'Bioenergy Calculator'!O9*'Technology Assumptions'!D$37,'Bioenergy Calculator'!O9)))))</f>
        <v>0</v>
      </c>
      <c r="T9" s="16">
        <f>IF($B$4=$X$19,P9*'Technology Assumptions'!E$34,IF('Bioenergy Calculator'!$B$4='Bioenergy Calculator'!$X$21,P9*'Technology Assumptions'!E$34,IF('Bioenergy Calculator'!$B$4='Bioenergy Calculator'!$X$20,'Bioenergy Calculator'!P9*'Technology Assumptions'!E$36,IF('Bioenergy Calculator'!$B$4='Bioenergy Calculator'!$X$23,'Bioenergy Calculator'!P9*'Technology Assumptions'!E$35,IF('Bioenergy Calculator'!$B$4='Bioenergy Calculator'!$X$22,'Bioenergy Calculator'!P9*'Technology Assumptions'!E$37,'Bioenergy Calculator'!P9)))))</f>
        <v>0</v>
      </c>
      <c r="X9" s="57" t="s">
        <v>366</v>
      </c>
    </row>
    <row r="10" spans="1:24" x14ac:dyDescent="0.25">
      <c r="A10" s="1064"/>
      <c r="B10" s="11" t="str">
        <f>Atlantic!B7</f>
        <v>Rye</v>
      </c>
      <c r="C10" s="294">
        <f>SUM(Atlantic!C7,Bergen!C7,Burlington!C7,Camden!C7,'Cape May'!C7,Cumberland!C7,Essex!C7,Gloucester!C7,Hudson!C7,Hunterdon!C7,Mercer!C7,Middlesex!C7,Monmouth!C7,Morris!C7,Ocean!C7,Passaic!C7,Salem!C7,Somerset!C7,Sussex!C7,Union!C7,Warren!C7)</f>
        <v>8030.0220000000018</v>
      </c>
      <c r="D10" s="294" t="s">
        <v>431</v>
      </c>
      <c r="E10" s="294">
        <f>SUM(Atlantic!E7,Bergen!E7,Burlington!E7,Camden!E7,'Cape May'!E7,Cumberland!E7,Essex!E7,Gloucester!E7,Hudson!E7,Hunterdon!E7,Mercer!E7,Middlesex!E7,Monmouth!E7,Morris!E7,Ocean!E7,Passaic!E7,Salem!E7,Somerset!E7,Sussex!E7,Union!E7,Warren!E7)</f>
        <v>0</v>
      </c>
      <c r="F10" s="294">
        <f>SUM(Atlantic!F7,Bergen!F7,Burlington!F7,Camden!F7,'Cape May'!F7,Cumberland!F7,Essex!F7,Gloucester!F7,Hudson!F7,Hunterdon!F7,Mercer!F7,Middlesex!F7,Monmouth!F7,Morris!F7,Ocean!F7,Passaic!F7,Salem!F7,Somerset!F7,Sussex!F7,Union!F7,Warren!F7)</f>
        <v>0</v>
      </c>
      <c r="G10" s="294">
        <f>SUM(Atlantic!G7,Bergen!G7,Burlington!G7,Camden!G7,'Cape May'!G7,Cumberland!G7,Essex!G7,Gloucester!G7,Hudson!G7,Hunterdon!G7,Mercer!G7,Middlesex!G7,Monmouth!G7,Morris!G7,Ocean!G7,Passaic!G7,Salem!G7,Somerset!G7,Sussex!G7,Union!G7,Warren!G7)</f>
        <v>0</v>
      </c>
      <c r="H10" s="294">
        <f>SUM(Atlantic!H7,Bergen!H7,Burlington!H7,Camden!H7,'Cape May'!H7,Cumberland!H7,Essex!H7,Gloucester!H7,Hudson!H7,Hunterdon!H7,Mercer!H7,Middlesex!H7,Monmouth!H7,Morris!H7,Ocean!H7,Passaic!H7,Salem!H7,Somerset!H7,Sussex!H7,Union!H7,Warren!H7)</f>
        <v>0</v>
      </c>
      <c r="I10" s="16">
        <f>SUM(Atlantic!I7,Bergen!I7,Burlington!I7,Camden!I7,'Cape May'!I7,Cumberland!I7,Essex!I7,Gloucester!I7,Hudson!I7,Hunterdon!I7,Mercer!I7,Middlesex!I7,Monmouth!I7,Morris!I7,Ocean!I7,Passaic!I7,Salem!I7,Somerset!I7,Sussex!I7,Union!I7,Warren!I7)</f>
        <v>0</v>
      </c>
      <c r="J10" s="16">
        <f>SUM(Atlantic!J7,Bergen!J7,Burlington!J7,Camden!J7,'Cape May'!J7,Cumberland!J7,Essex!J7,Gloucester!J7,Hudson!J7,Hunterdon!J7,Mercer!J7,Middlesex!J7,Monmouth!J7,Morris!J7,Ocean!J7,Passaic!J7,Salem!J7,Somerset!J7,Sussex!J7,Union!J7,Warren!J7)</f>
        <v>0</v>
      </c>
      <c r="K10" s="16">
        <f>SUM(Atlantic!K7,Bergen!K7,Burlington!K7,Camden!K7,'Cape May'!K7,Cumberland!K7,Essex!K7,Gloucester!K7,Hudson!K7,Hunterdon!K7,Mercer!K7,Middlesex!K7,Monmouth!K7,Morris!K7,Ocean!K7,Passaic!K7,Salem!K7,Somerset!K7,Sussex!K7,Union!K7,Warren!K7)</f>
        <v>0</v>
      </c>
      <c r="L10" s="16">
        <f>SUM(Atlantic!L7,Bergen!L7,Burlington!L7,Camden!L7,'Cape May'!L7,Cumberland!L7,Essex!L7,Gloucester!L7,Hudson!L7,Hunterdon!L7,Mercer!L7,Middlesex!L7,Monmouth!L7,Morris!L7,Ocean!L7,Passaic!L7,Salem!L7,Somerset!L7,Sussex!L7,Union!L7,Warren!L7)</f>
        <v>0</v>
      </c>
      <c r="M10" s="16">
        <f>SUM(Atlantic!M7,Bergen!M7,Burlington!M7,Camden!M7,'Cape May'!M7,Cumberland!M7,Essex!M7,Gloucester!M7,Hudson!M7,Hunterdon!M7,Mercer!M7,Middlesex!M7,Monmouth!M7,Morris!M7,Ocean!M7,Passaic!M7,Salem!M7,Somerset!M7,Sussex!M7,Union!M7,Warren!M7)</f>
        <v>0</v>
      </c>
      <c r="N10" s="16">
        <f>SUM(Atlantic!N7,Bergen!N7,Burlington!N7,Camden!N7,'Cape May'!N7,Cumberland!N7,Essex!N7,Gloucester!N7,Hudson!N7,Hunterdon!N7,Mercer!N7,Middlesex!N7,Monmouth!N7,Morris!N7,Ocean!N7,Passaic!N7,Salem!N7,Somerset!N7,Sussex!N7,Union!N7,Warren!N7)</f>
        <v>0</v>
      </c>
      <c r="O10" s="16">
        <f>SUM(Atlantic!O7,Bergen!O7,Burlington!O7,Camden!O7,'Cape May'!O7,Cumberland!O7,Essex!O7,Gloucester!O7,Hudson!O7,Hunterdon!O7,Mercer!O7,Middlesex!O7,Monmouth!O7,Morris!O7,Ocean!O7,Passaic!O7,Salem!O7,Somerset!O7,Sussex!O7,Union!O7,Warren!O7)</f>
        <v>0</v>
      </c>
      <c r="P10" s="16">
        <f>SUM(Atlantic!P7,Bergen!P7,Burlington!P7,Camden!P7,'Cape May'!P7,Cumberland!P7,Essex!P7,Gloucester!P7,Hudson!P7,Hunterdon!P7,Mercer!P7,Middlesex!P7,Monmouth!P7,Morris!P7,Ocean!P7,Passaic!P7,Salem!P7,Somerset!P7,Sussex!P7,Union!P7,Warren!P7)</f>
        <v>0</v>
      </c>
      <c r="Q10" s="16">
        <f>IF($B$4=$X$19,M10*'Technology Assumptions'!B$34,IF('Bioenergy Calculator'!$B$4='Bioenergy Calculator'!$X$21,M10*'Technology Assumptions'!B$34,IF('Bioenergy Calculator'!$B$4='Bioenergy Calculator'!$X$20,'Bioenergy Calculator'!M10*'Technology Assumptions'!B$36,IF('Bioenergy Calculator'!$B$4='Bioenergy Calculator'!$X$23,'Bioenergy Calculator'!M10*'Technology Assumptions'!B$35,IF('Bioenergy Calculator'!$B$4='Bioenergy Calculator'!$X$22,'Bioenergy Calculator'!M10*'Technology Assumptions'!B$37,'Bioenergy Calculator'!M10)))))</f>
        <v>0</v>
      </c>
      <c r="R10" s="16">
        <f>IF($B$4=$X$19,N10*'Technology Assumptions'!C$34,IF('Bioenergy Calculator'!$B$4='Bioenergy Calculator'!$X$21,N10*'Technology Assumptions'!C$34,IF('Bioenergy Calculator'!$B$4='Bioenergy Calculator'!$X$20,'Bioenergy Calculator'!N10*'Technology Assumptions'!C$36,IF('Bioenergy Calculator'!$B$4='Bioenergy Calculator'!$X$23,'Bioenergy Calculator'!N10*'Technology Assumptions'!C$35,IF('Bioenergy Calculator'!$B$4='Bioenergy Calculator'!$X$22,'Bioenergy Calculator'!N10*'Technology Assumptions'!C$37,'Bioenergy Calculator'!N10)))))</f>
        <v>0</v>
      </c>
      <c r="S10" s="16">
        <f>IF($B$4=$X$19,O10*'Technology Assumptions'!D$34,IF('Bioenergy Calculator'!$B$4='Bioenergy Calculator'!$X$21,O10*'Technology Assumptions'!D$34,IF('Bioenergy Calculator'!$B$4='Bioenergy Calculator'!$X$20,'Bioenergy Calculator'!O10*'Technology Assumptions'!D$36,IF('Bioenergy Calculator'!$B$4='Bioenergy Calculator'!$X$23,'Bioenergy Calculator'!O10*'Technology Assumptions'!D$35,IF('Bioenergy Calculator'!$B$4='Bioenergy Calculator'!$X$22,'Bioenergy Calculator'!O10*'Technology Assumptions'!D$37,'Bioenergy Calculator'!O10)))))</f>
        <v>0</v>
      </c>
      <c r="T10" s="16">
        <f>IF($B$4=$X$19,P10*'Technology Assumptions'!E$34,IF('Bioenergy Calculator'!$B$4='Bioenergy Calculator'!$X$21,P10*'Technology Assumptions'!E$34,IF('Bioenergy Calculator'!$B$4='Bioenergy Calculator'!$X$20,'Bioenergy Calculator'!P10*'Technology Assumptions'!E$36,IF('Bioenergy Calculator'!$B$4='Bioenergy Calculator'!$X$23,'Bioenergy Calculator'!P10*'Technology Assumptions'!E$35,IF('Bioenergy Calculator'!$B$4='Bioenergy Calculator'!$X$22,'Bioenergy Calculator'!P10*'Technology Assumptions'!E$37,'Bioenergy Calculator'!P10)))))</f>
        <v>0</v>
      </c>
      <c r="X10" t="s">
        <v>367</v>
      </c>
    </row>
    <row r="11" spans="1:24" x14ac:dyDescent="0.25">
      <c r="A11" s="1064"/>
      <c r="B11" s="11" t="str">
        <f>Atlantic!B8</f>
        <v>Corn for Grain</v>
      </c>
      <c r="C11" s="294">
        <f>SUM(Atlantic!C8,Bergen!C8,Burlington!C8,Camden!C8,'Cape May'!C8,Cumberland!C8,Essex!C8,Gloucester!C8,Hudson!C8,Hunterdon!C8,Mercer!C8,Middlesex!C8,Monmouth!C8,Morris!C8,Ocean!C8,Passaic!C8,Salem!C8,Somerset!C8,Sussex!C8,Union!C8,Warren!C8)</f>
        <v>217668.5</v>
      </c>
      <c r="D11" s="294" t="s">
        <v>431</v>
      </c>
      <c r="E11" s="294">
        <f>SUM(Atlantic!E8,Bergen!E8,Burlington!E8,Camden!E8,'Cape May'!E8,Cumberland!E8,Essex!E8,Gloucester!E8,Hudson!E8,Hunterdon!E8,Mercer!E8,Middlesex!E8,Monmouth!E8,Morris!E8,Ocean!E8,Passaic!E8,Salem!E8,Somerset!E8,Sussex!E8,Union!E8,Warren!E8)</f>
        <v>0</v>
      </c>
      <c r="F11" s="294">
        <f>SUM(Atlantic!F8,Bergen!F8,Burlington!F8,Camden!F8,'Cape May'!F8,Cumberland!F8,Essex!F8,Gloucester!F8,Hudson!F8,Hunterdon!F8,Mercer!F8,Middlesex!F8,Monmouth!F8,Morris!F8,Ocean!F8,Passaic!F8,Salem!F8,Somerset!F8,Sussex!F8,Union!F8,Warren!F8)</f>
        <v>0</v>
      </c>
      <c r="G11" s="294">
        <f>SUM(Atlantic!G8,Bergen!G8,Burlington!G8,Camden!G8,'Cape May'!G8,Cumberland!G8,Essex!G8,Gloucester!G8,Hudson!G8,Hunterdon!G8,Mercer!G8,Middlesex!G8,Monmouth!G8,Morris!G8,Ocean!G8,Passaic!G8,Salem!G8,Somerset!G8,Sussex!G8,Union!G8,Warren!G8)</f>
        <v>0</v>
      </c>
      <c r="H11" s="294">
        <f>SUM(Atlantic!H8,Bergen!H8,Burlington!H8,Camden!H8,'Cape May'!H8,Cumberland!H8,Essex!H8,Gloucester!H8,Hudson!H8,Hunterdon!H8,Mercer!H8,Middlesex!H8,Monmouth!H8,Morris!H8,Ocean!H8,Passaic!H8,Salem!H8,Somerset!H8,Sussex!H8,Union!H8,Warren!H8)</f>
        <v>0</v>
      </c>
      <c r="I11" s="16">
        <f>SUM(Atlantic!I8,Bergen!I8,Burlington!I8,Camden!I8,'Cape May'!I8,Cumberland!I8,Essex!I8,Gloucester!I8,Hudson!I8,Hunterdon!I8,Mercer!I8,Middlesex!I8,Monmouth!I8,Morris!I8,Ocean!I8,Passaic!I8,Salem!I8,Somerset!I8,Sussex!I8,Union!I8,Warren!I8)</f>
        <v>0</v>
      </c>
      <c r="J11" s="16">
        <f>SUM(Atlantic!J8,Bergen!J8,Burlington!J8,Camden!J8,'Cape May'!J8,Cumberland!J8,Essex!J8,Gloucester!J8,Hudson!J8,Hunterdon!J8,Mercer!J8,Middlesex!J8,Monmouth!J8,Morris!J8,Ocean!J8,Passaic!J8,Salem!J8,Somerset!J8,Sussex!J8,Union!J8,Warren!J8)</f>
        <v>0</v>
      </c>
      <c r="K11" s="16">
        <f>SUM(Atlantic!K8,Bergen!K8,Burlington!K8,Camden!K8,'Cape May'!K8,Cumberland!K8,Essex!K8,Gloucester!K8,Hudson!K8,Hunterdon!K8,Mercer!K8,Middlesex!K8,Monmouth!K8,Morris!K8,Ocean!K8,Passaic!K8,Salem!K8,Somerset!K8,Sussex!K8,Union!K8,Warren!K8)</f>
        <v>0</v>
      </c>
      <c r="L11" s="16">
        <f>SUM(Atlantic!L8,Bergen!L8,Burlington!L8,Camden!L8,'Cape May'!L8,Cumberland!L8,Essex!L8,Gloucester!L8,Hudson!L8,Hunterdon!L8,Mercer!L8,Middlesex!L8,Monmouth!L8,Morris!L8,Ocean!L8,Passaic!L8,Salem!L8,Somerset!L8,Sussex!L8,Union!L8,Warren!L8)</f>
        <v>0</v>
      </c>
      <c r="M11" s="16">
        <f>SUM(Atlantic!M8,Bergen!M8,Burlington!M8,Camden!M8,'Cape May'!M8,Cumberland!M8,Essex!M8,Gloucester!M8,Hudson!M8,Hunterdon!M8,Mercer!M8,Middlesex!M8,Monmouth!M8,Morris!M8,Ocean!M8,Passaic!M8,Salem!M8,Somerset!M8,Sussex!M8,Union!M8,Warren!M8)</f>
        <v>0</v>
      </c>
      <c r="N11" s="16">
        <f>SUM(Atlantic!N8,Bergen!N8,Burlington!N8,Camden!N8,'Cape May'!N8,Cumberland!N8,Essex!N8,Gloucester!N8,Hudson!N8,Hunterdon!N8,Mercer!N8,Middlesex!N8,Monmouth!N8,Morris!N8,Ocean!N8,Passaic!N8,Salem!N8,Somerset!N8,Sussex!N8,Union!N8,Warren!N8)</f>
        <v>0</v>
      </c>
      <c r="O11" s="16">
        <f>SUM(Atlantic!O8,Bergen!O8,Burlington!O8,Camden!O8,'Cape May'!O8,Cumberland!O8,Essex!O8,Gloucester!O8,Hudson!O8,Hunterdon!O8,Mercer!O8,Middlesex!O8,Monmouth!O8,Morris!O8,Ocean!O8,Passaic!O8,Salem!O8,Somerset!O8,Sussex!O8,Union!O8,Warren!O8)</f>
        <v>0</v>
      </c>
      <c r="P11" s="16">
        <f>SUM(Atlantic!P8,Bergen!P8,Burlington!P8,Camden!P8,'Cape May'!P8,Cumberland!P8,Essex!P8,Gloucester!P8,Hudson!P8,Hunterdon!P8,Mercer!P8,Middlesex!P8,Monmouth!P8,Morris!P8,Ocean!P8,Passaic!P8,Salem!P8,Somerset!P8,Sussex!P8,Union!P8,Warren!P8)</f>
        <v>0</v>
      </c>
      <c r="Q11" s="16">
        <f>IF($B$4=$X$19,M11*'Technology Assumptions'!B$34,IF('Bioenergy Calculator'!$B$4='Bioenergy Calculator'!$X$21,M11*'Technology Assumptions'!B$34,IF('Bioenergy Calculator'!$B$4='Bioenergy Calculator'!$X$20,'Bioenergy Calculator'!M11*'Technology Assumptions'!B$36,IF('Bioenergy Calculator'!$B$4='Bioenergy Calculator'!$X$23,'Bioenergy Calculator'!M11*'Technology Assumptions'!B$35,IF('Bioenergy Calculator'!$B$4='Bioenergy Calculator'!$X$22,'Bioenergy Calculator'!M11*'Technology Assumptions'!B$37,'Bioenergy Calculator'!M11)))))</f>
        <v>0</v>
      </c>
      <c r="R11" s="16">
        <f>IF($B$4=$X$19,N11*'Technology Assumptions'!C$34,IF('Bioenergy Calculator'!$B$4='Bioenergy Calculator'!$X$21,N11*'Technology Assumptions'!C$34,IF('Bioenergy Calculator'!$B$4='Bioenergy Calculator'!$X$20,'Bioenergy Calculator'!N11*'Technology Assumptions'!C$36,IF('Bioenergy Calculator'!$B$4='Bioenergy Calculator'!$X$23,'Bioenergy Calculator'!N11*'Technology Assumptions'!C$35,IF('Bioenergy Calculator'!$B$4='Bioenergy Calculator'!$X$22,'Bioenergy Calculator'!N11*'Technology Assumptions'!C$37,'Bioenergy Calculator'!N11)))))</f>
        <v>0</v>
      </c>
      <c r="S11" s="16">
        <f>IF($B$4=$X$19,O11*'Technology Assumptions'!D$34,IF('Bioenergy Calculator'!$B$4='Bioenergy Calculator'!$X$21,O11*'Technology Assumptions'!D$34,IF('Bioenergy Calculator'!$B$4='Bioenergy Calculator'!$X$20,'Bioenergy Calculator'!O11*'Technology Assumptions'!D$36,IF('Bioenergy Calculator'!$B$4='Bioenergy Calculator'!$X$23,'Bioenergy Calculator'!O11*'Technology Assumptions'!D$35,IF('Bioenergy Calculator'!$B$4='Bioenergy Calculator'!$X$22,'Bioenergy Calculator'!O11*'Technology Assumptions'!D$37,'Bioenergy Calculator'!O11)))))</f>
        <v>0</v>
      </c>
      <c r="T11" s="16">
        <f>IF($B$4=$X$19,P11*'Technology Assumptions'!E$34,IF('Bioenergy Calculator'!$B$4='Bioenergy Calculator'!$X$21,P11*'Technology Assumptions'!E$34,IF('Bioenergy Calculator'!$B$4='Bioenergy Calculator'!$X$20,'Bioenergy Calculator'!P11*'Technology Assumptions'!E$36,IF('Bioenergy Calculator'!$B$4='Bioenergy Calculator'!$X$23,'Bioenergy Calculator'!P11*'Technology Assumptions'!E$35,IF('Bioenergy Calculator'!$B$4='Bioenergy Calculator'!$X$22,'Bioenergy Calculator'!P11*'Technology Assumptions'!E$37,'Bioenergy Calculator'!P11)))))</f>
        <v>0</v>
      </c>
      <c r="X11" t="s">
        <v>453</v>
      </c>
    </row>
    <row r="12" spans="1:24" x14ac:dyDescent="0.25">
      <c r="A12" s="1064"/>
      <c r="B12" s="11" t="str">
        <f>Atlantic!B9</f>
        <v>Wheat</v>
      </c>
      <c r="C12" s="294">
        <f>SUM(Atlantic!C9,Bergen!C9,Burlington!C9,Camden!C9,'Cape May'!C9,Cumberland!C9,Essex!C9,Gloucester!C9,Hudson!C9,Hunterdon!C9,Mercer!C9,Middlesex!C9,Monmouth!C9,Morris!C9,Ocean!C9,Passaic!C9,Salem!C9,Somerset!C9,Sussex!C9,Union!C9,Warren!C9)</f>
        <v>42085.979999999996</v>
      </c>
      <c r="D12" s="294" t="s">
        <v>431</v>
      </c>
      <c r="E12" s="294">
        <f>SUM(Atlantic!E9,Bergen!E9,Burlington!E9,Camden!E9,'Cape May'!E9,Cumberland!E9,Essex!E9,Gloucester!E9,Hudson!E9,Hunterdon!E9,Mercer!E9,Middlesex!E9,Monmouth!E9,Morris!E9,Ocean!E9,Passaic!E9,Salem!E9,Somerset!E9,Sussex!E9,Union!E9,Warren!E9)</f>
        <v>0</v>
      </c>
      <c r="F12" s="294">
        <f>SUM(Atlantic!F9,Bergen!F9,Burlington!F9,Camden!F9,'Cape May'!F9,Cumberland!F9,Essex!F9,Gloucester!F9,Hudson!F9,Hunterdon!F9,Mercer!F9,Middlesex!F9,Monmouth!F9,Morris!F9,Ocean!F9,Passaic!F9,Salem!F9,Somerset!F9,Sussex!F9,Union!F9,Warren!F9)</f>
        <v>0</v>
      </c>
      <c r="G12" s="294">
        <f>SUM(Atlantic!G9,Bergen!G9,Burlington!G9,Camden!G9,'Cape May'!G9,Cumberland!G9,Essex!G9,Gloucester!G9,Hudson!G9,Hunterdon!G9,Mercer!G9,Middlesex!G9,Monmouth!G9,Morris!G9,Ocean!G9,Passaic!G9,Salem!G9,Somerset!G9,Sussex!G9,Union!G9,Warren!G9)</f>
        <v>0</v>
      </c>
      <c r="H12" s="294">
        <f>SUM(Atlantic!H9,Bergen!H9,Burlington!H9,Camden!H9,'Cape May'!H9,Cumberland!H9,Essex!H9,Gloucester!H9,Hudson!H9,Hunterdon!H9,Mercer!H9,Middlesex!H9,Monmouth!H9,Morris!H9,Ocean!H9,Passaic!H9,Salem!H9,Somerset!H9,Sussex!H9,Union!H9,Warren!H9)</f>
        <v>0</v>
      </c>
      <c r="I12" s="16">
        <f>SUM(Atlantic!I9,Bergen!I9,Burlington!I9,Camden!I9,'Cape May'!I9,Cumberland!I9,Essex!I9,Gloucester!I9,Hudson!I9,Hunterdon!I9,Mercer!I9,Middlesex!I9,Monmouth!I9,Morris!I9,Ocean!I9,Passaic!I9,Salem!I9,Somerset!I9,Sussex!I9,Union!I9,Warren!I9)</f>
        <v>0</v>
      </c>
      <c r="J12" s="16">
        <f>SUM(Atlantic!J9,Bergen!J9,Burlington!J9,Camden!J9,'Cape May'!J9,Cumberland!J9,Essex!J9,Gloucester!J9,Hudson!J9,Hunterdon!J9,Mercer!J9,Middlesex!J9,Monmouth!J9,Morris!J9,Ocean!J9,Passaic!J9,Salem!J9,Somerset!J9,Sussex!J9,Union!J9,Warren!J9)</f>
        <v>0</v>
      </c>
      <c r="K12" s="16">
        <f>SUM(Atlantic!K9,Bergen!K9,Burlington!K9,Camden!K9,'Cape May'!K9,Cumberland!K9,Essex!K9,Gloucester!K9,Hudson!K9,Hunterdon!K9,Mercer!K9,Middlesex!K9,Monmouth!K9,Morris!K9,Ocean!K9,Passaic!K9,Salem!K9,Somerset!K9,Sussex!K9,Union!K9,Warren!K9)</f>
        <v>0</v>
      </c>
      <c r="L12" s="16">
        <f>SUM(Atlantic!L9,Bergen!L9,Burlington!L9,Camden!L9,'Cape May'!L9,Cumberland!L9,Essex!L9,Gloucester!L9,Hudson!L9,Hunterdon!L9,Mercer!L9,Middlesex!L9,Monmouth!L9,Morris!L9,Ocean!L9,Passaic!L9,Salem!L9,Somerset!L9,Sussex!L9,Union!L9,Warren!L9)</f>
        <v>0</v>
      </c>
      <c r="M12" s="16">
        <f>SUM(Atlantic!M9,Bergen!M9,Burlington!M9,Camden!M9,'Cape May'!M9,Cumberland!M9,Essex!M9,Gloucester!M9,Hudson!M9,Hunterdon!M9,Mercer!M9,Middlesex!M9,Monmouth!M9,Morris!M9,Ocean!M9,Passaic!M9,Salem!M9,Somerset!M9,Sussex!M9,Union!M9,Warren!M9)</f>
        <v>0</v>
      </c>
      <c r="N12" s="16">
        <f>SUM(Atlantic!N9,Bergen!N9,Burlington!N9,Camden!N9,'Cape May'!N9,Cumberland!N9,Essex!N9,Gloucester!N9,Hudson!N9,Hunterdon!N9,Mercer!N9,Middlesex!N9,Monmouth!N9,Morris!N9,Ocean!N9,Passaic!N9,Salem!N9,Somerset!N9,Sussex!N9,Union!N9,Warren!N9)</f>
        <v>0</v>
      </c>
      <c r="O12" s="16">
        <f>SUM(Atlantic!O9,Bergen!O9,Burlington!O9,Camden!O9,'Cape May'!O9,Cumberland!O9,Essex!O9,Gloucester!O9,Hudson!O9,Hunterdon!O9,Mercer!O9,Middlesex!O9,Monmouth!O9,Morris!O9,Ocean!O9,Passaic!O9,Salem!O9,Somerset!O9,Sussex!O9,Union!O9,Warren!O9)</f>
        <v>0</v>
      </c>
      <c r="P12" s="16">
        <f>SUM(Atlantic!P9,Bergen!P9,Burlington!P9,Camden!P9,'Cape May'!P9,Cumberland!P9,Essex!P9,Gloucester!P9,Hudson!P9,Hunterdon!P9,Mercer!P9,Middlesex!P9,Monmouth!P9,Morris!P9,Ocean!P9,Passaic!P9,Salem!P9,Somerset!P9,Sussex!P9,Union!P9,Warren!P9)</f>
        <v>0</v>
      </c>
      <c r="Q12" s="16">
        <f>IF($B$4=$X$19,M12*'Technology Assumptions'!B$34,IF('Bioenergy Calculator'!$B$4='Bioenergy Calculator'!$X$21,M12*'Technology Assumptions'!B$34,IF('Bioenergy Calculator'!$B$4='Bioenergy Calculator'!$X$20,'Bioenergy Calculator'!M12*'Technology Assumptions'!B$36,IF('Bioenergy Calculator'!$B$4='Bioenergy Calculator'!$X$23,'Bioenergy Calculator'!M12*'Technology Assumptions'!B$35,IF('Bioenergy Calculator'!$B$4='Bioenergy Calculator'!$X$22,'Bioenergy Calculator'!M12*'Technology Assumptions'!B$37,'Bioenergy Calculator'!M12)))))</f>
        <v>0</v>
      </c>
      <c r="R12" s="16">
        <f>IF($B$4=$X$19,N12*'Technology Assumptions'!C$34,IF('Bioenergy Calculator'!$B$4='Bioenergy Calculator'!$X$21,N12*'Technology Assumptions'!C$34,IF('Bioenergy Calculator'!$B$4='Bioenergy Calculator'!$X$20,'Bioenergy Calculator'!N12*'Technology Assumptions'!C$36,IF('Bioenergy Calculator'!$B$4='Bioenergy Calculator'!$X$23,'Bioenergy Calculator'!N12*'Technology Assumptions'!C$35,IF('Bioenergy Calculator'!$B$4='Bioenergy Calculator'!$X$22,'Bioenergy Calculator'!N12*'Technology Assumptions'!C$37,'Bioenergy Calculator'!N12)))))</f>
        <v>0</v>
      </c>
      <c r="S12" s="16">
        <f>IF($B$4=$X$19,O12*'Technology Assumptions'!D$34,IF('Bioenergy Calculator'!$B$4='Bioenergy Calculator'!$X$21,O12*'Technology Assumptions'!D$34,IF('Bioenergy Calculator'!$B$4='Bioenergy Calculator'!$X$20,'Bioenergy Calculator'!O12*'Technology Assumptions'!D$36,IF('Bioenergy Calculator'!$B$4='Bioenergy Calculator'!$X$23,'Bioenergy Calculator'!O12*'Technology Assumptions'!D$35,IF('Bioenergy Calculator'!$B$4='Bioenergy Calculator'!$X$22,'Bioenergy Calculator'!O12*'Technology Assumptions'!D$37,'Bioenergy Calculator'!O12)))))</f>
        <v>0</v>
      </c>
      <c r="T12" s="16">
        <f>IF($B$4=$X$19,P12*'Technology Assumptions'!E$34,IF('Bioenergy Calculator'!$B$4='Bioenergy Calculator'!$X$21,P12*'Technology Assumptions'!E$34,IF('Bioenergy Calculator'!$B$4='Bioenergy Calculator'!$X$20,'Bioenergy Calculator'!P12*'Technology Assumptions'!E$36,IF('Bioenergy Calculator'!$B$4='Bioenergy Calculator'!$X$23,'Bioenergy Calculator'!P12*'Technology Assumptions'!E$35,IF('Bioenergy Calculator'!$B$4='Bioenergy Calculator'!$X$22,'Bioenergy Calculator'!P12*'Technology Assumptions'!E$37,'Bioenergy Calculator'!P12)))))</f>
        <v>0</v>
      </c>
      <c r="X12" t="s">
        <v>368</v>
      </c>
    </row>
    <row r="13" spans="1:24" x14ac:dyDescent="0.25">
      <c r="A13" s="1064"/>
      <c r="B13" s="129" t="s">
        <v>301</v>
      </c>
      <c r="C13" s="294">
        <f>SUM(Atlantic!C10,Bergen!C10,Burlington!C10,Camden!C10,'Cape May'!C10,Cumberland!C10,Essex!C10,Gloucester!C10,Hudson!C10,Hunterdon!C10,Mercer!C10,Middlesex!C10,Monmouth!C10,Morris!C10,Ocean!C10,Passaic!C10,Salem!C10,Somerset!C10,Sussex!C10,Union!C10,Warren!C10)</f>
        <v>0</v>
      </c>
      <c r="D13" s="294" t="s">
        <v>431</v>
      </c>
      <c r="E13" s="294">
        <f>SUM(Atlantic!E10,Bergen!E10,Burlington!E10,Camden!E10,'Cape May'!E10,Cumberland!E10,Essex!E10,Gloucester!E10,Hudson!E10,Hunterdon!E10,Mercer!E10,Middlesex!E10,Monmouth!E10,Morris!E10,Ocean!E10,Passaic!E10,Salem!E10,Somerset!E10,Sussex!E10,Union!E10,Warren!E10)</f>
        <v>0</v>
      </c>
      <c r="F13" s="294">
        <f>SUM(Atlantic!F10,Bergen!F10,Burlington!F10,Camden!F10,'Cape May'!F10,Cumberland!F10,Essex!F10,Gloucester!F10,Hudson!F10,Hunterdon!F10,Mercer!F10,Middlesex!F10,Monmouth!F10,Morris!F10,Ocean!F10,Passaic!F10,Salem!F10,Somerset!F10,Sussex!F10,Union!F10,Warren!F10)</f>
        <v>0</v>
      </c>
      <c r="G13" s="294">
        <f>SUM(Atlantic!G10,Bergen!G10,Burlington!G10,Camden!G10,'Cape May'!G10,Cumberland!G10,Essex!G10,Gloucester!G10,Hudson!G10,Hunterdon!G10,Mercer!G10,Middlesex!G10,Monmouth!G10,Morris!G10,Ocean!G10,Passaic!G10,Salem!G10,Somerset!G10,Sussex!G10,Union!G10,Warren!G10)</f>
        <v>0</v>
      </c>
      <c r="H13" s="294">
        <f>SUM(Atlantic!H10,Bergen!H10,Burlington!H10,Camden!H10,'Cape May'!H10,Cumberland!H10,Essex!H10,Gloucester!H10,Hudson!H10,Hunterdon!H10,Mercer!H10,Middlesex!H10,Monmouth!H10,Morris!H10,Ocean!H10,Passaic!H10,Salem!H10,Somerset!H10,Sussex!H10,Union!H10,Warren!H10)</f>
        <v>0</v>
      </c>
      <c r="I13" s="16">
        <f>SUM(Atlantic!I10,Bergen!I10,Burlington!I10,Camden!I10,'Cape May'!I10,Cumberland!I10,Essex!I10,Gloucester!I10,Hudson!I10,Hunterdon!I10,Mercer!I10,Middlesex!I10,Monmouth!I10,Morris!I10,Ocean!I10,Passaic!I10,Salem!I10,Somerset!I10,Sussex!I10,Union!I10,Warren!I10)</f>
        <v>0</v>
      </c>
      <c r="J13" s="16">
        <f>SUM(Atlantic!J10,Bergen!J10,Burlington!J10,Camden!J10,'Cape May'!J10,Cumberland!J10,Essex!J10,Gloucester!J10,Hudson!J10,Hunterdon!J10,Mercer!J10,Middlesex!J10,Monmouth!J10,Morris!J10,Ocean!J10,Passaic!J10,Salem!J10,Somerset!J10,Sussex!J10,Union!J10,Warren!J10)</f>
        <v>0</v>
      </c>
      <c r="K13" s="16">
        <f>SUM(Atlantic!K10,Bergen!K10,Burlington!K10,Camden!K10,'Cape May'!K10,Cumberland!K10,Essex!K10,Gloucester!K10,Hudson!K10,Hunterdon!K10,Mercer!K10,Middlesex!K10,Monmouth!K10,Morris!K10,Ocean!K10,Passaic!K10,Salem!K10,Somerset!K10,Sussex!K10,Union!K10,Warren!K10)</f>
        <v>0</v>
      </c>
      <c r="L13" s="16">
        <f>SUM(Atlantic!L10,Bergen!L10,Burlington!L10,Camden!L10,'Cape May'!L10,Cumberland!L10,Essex!L10,Gloucester!L10,Hudson!L10,Hunterdon!L10,Mercer!L10,Middlesex!L10,Monmouth!L10,Morris!L10,Ocean!L10,Passaic!L10,Salem!L10,Somerset!L10,Sussex!L10,Union!L10,Warren!L10)</f>
        <v>0</v>
      </c>
      <c r="M13" s="16">
        <f>SUM(Atlantic!M10,Bergen!M10,Burlington!M10,Camden!M10,'Cape May'!M10,Cumberland!M10,Essex!M10,Gloucester!M10,Hudson!M10,Hunterdon!M10,Mercer!M10,Middlesex!M10,Monmouth!M10,Morris!M10,Ocean!M10,Passaic!M10,Salem!M10,Somerset!M10,Sussex!M10,Union!M10,Warren!M10)</f>
        <v>0</v>
      </c>
      <c r="N13" s="16">
        <f>SUM(Atlantic!N10,Bergen!N10,Burlington!N10,Camden!N10,'Cape May'!N10,Cumberland!N10,Essex!N10,Gloucester!N10,Hudson!N10,Hunterdon!N10,Mercer!N10,Middlesex!N10,Monmouth!N10,Morris!N10,Ocean!N10,Passaic!N10,Salem!N10,Somerset!N10,Sussex!N10,Union!N10,Warren!N10)</f>
        <v>0</v>
      </c>
      <c r="O13" s="16">
        <f>SUM(Atlantic!O10,Bergen!O10,Burlington!O10,Camden!O10,'Cape May'!O10,Cumberland!O10,Essex!O10,Gloucester!O10,Hudson!O10,Hunterdon!O10,Mercer!O10,Middlesex!O10,Monmouth!O10,Morris!O10,Ocean!O10,Passaic!O10,Salem!O10,Somerset!O10,Sussex!O10,Union!O10,Warren!O10)</f>
        <v>0</v>
      </c>
      <c r="P13" s="16">
        <f>SUM(Atlantic!P10,Bergen!P10,Burlington!P10,Camden!P10,'Cape May'!P10,Cumberland!P10,Essex!P10,Gloucester!P10,Hudson!P10,Hunterdon!P10,Mercer!P10,Middlesex!P10,Monmouth!P10,Morris!P10,Ocean!P10,Passaic!P10,Salem!P10,Somerset!P10,Sussex!P10,Union!P10,Warren!P10)</f>
        <v>0</v>
      </c>
      <c r="Q13" s="16">
        <f>IF($B$4=$X$19,M13*'Technology Assumptions'!B$34,IF('Bioenergy Calculator'!$B$4='Bioenergy Calculator'!$X$21,M13*'Technology Assumptions'!B$34,IF('Bioenergy Calculator'!$B$4='Bioenergy Calculator'!$X$20,'Bioenergy Calculator'!M13*'Technology Assumptions'!B$36,IF('Bioenergy Calculator'!$B$4='Bioenergy Calculator'!$X$23,'Bioenergy Calculator'!M13*'Technology Assumptions'!B$35,IF('Bioenergy Calculator'!$B$4='Bioenergy Calculator'!$X$22,'Bioenergy Calculator'!M13*'Technology Assumptions'!B$37,'Bioenergy Calculator'!M13)))))</f>
        <v>0</v>
      </c>
      <c r="R13" s="16">
        <f>IF($B$4=$X$19,N13*'Technology Assumptions'!C$34,IF('Bioenergy Calculator'!$B$4='Bioenergy Calculator'!$X$21,N13*'Technology Assumptions'!C$34,IF('Bioenergy Calculator'!$B$4='Bioenergy Calculator'!$X$20,'Bioenergy Calculator'!N13*'Technology Assumptions'!C$36,IF('Bioenergy Calculator'!$B$4='Bioenergy Calculator'!$X$23,'Bioenergy Calculator'!N13*'Technology Assumptions'!C$35,IF('Bioenergy Calculator'!$B$4='Bioenergy Calculator'!$X$22,'Bioenergy Calculator'!N13*'Technology Assumptions'!C$37,'Bioenergy Calculator'!N13)))))</f>
        <v>0</v>
      </c>
      <c r="S13" s="16">
        <f>IF($B$4=$X$19,O13*'Technology Assumptions'!D$34,IF('Bioenergy Calculator'!$B$4='Bioenergy Calculator'!$X$21,O13*'Technology Assumptions'!D$34,IF('Bioenergy Calculator'!$B$4='Bioenergy Calculator'!$X$20,'Bioenergy Calculator'!O13*'Technology Assumptions'!D$36,IF('Bioenergy Calculator'!$B$4='Bioenergy Calculator'!$X$23,'Bioenergy Calculator'!O13*'Technology Assumptions'!D$35,IF('Bioenergy Calculator'!$B$4='Bioenergy Calculator'!$X$22,'Bioenergy Calculator'!O13*'Technology Assumptions'!D$37,'Bioenergy Calculator'!O13)))))</f>
        <v>0</v>
      </c>
      <c r="T13" s="16">
        <f>IF($B$4=$X$19,P13*'Technology Assumptions'!E$34,IF('Bioenergy Calculator'!$B$4='Bioenergy Calculator'!$X$21,P13*'Technology Assumptions'!E$34,IF('Bioenergy Calculator'!$B$4='Bioenergy Calculator'!$X$20,'Bioenergy Calculator'!P13*'Technology Assumptions'!E$36,IF('Bioenergy Calculator'!$B$4='Bioenergy Calculator'!$X$23,'Bioenergy Calculator'!P13*'Technology Assumptions'!E$35,IF('Bioenergy Calculator'!$B$4='Bioenergy Calculator'!$X$22,'Bioenergy Calculator'!P13*'Technology Assumptions'!E$37,'Bioenergy Calculator'!P13)))))</f>
        <v>0</v>
      </c>
      <c r="X13" t="s">
        <v>454</v>
      </c>
    </row>
    <row r="14" spans="1:24" x14ac:dyDescent="0.25">
      <c r="A14" s="1065"/>
      <c r="B14" s="9" t="s">
        <v>524</v>
      </c>
      <c r="C14" s="295">
        <f t="shared" ref="C14:P14" si="0">SUM(C8:C13)</f>
        <v>275249.85920000001</v>
      </c>
      <c r="D14" s="295">
        <f>SUM(D8:D13)</f>
        <v>0</v>
      </c>
      <c r="E14" s="295">
        <f t="shared" si="0"/>
        <v>0</v>
      </c>
      <c r="F14" s="295">
        <f>SUM(F8:F13)</f>
        <v>0</v>
      </c>
      <c r="G14" s="295">
        <f>SUM(G8:G13)</f>
        <v>0</v>
      </c>
      <c r="H14" s="295">
        <f>SUM(H8:H13)</f>
        <v>0</v>
      </c>
      <c r="I14" s="19">
        <f t="shared" si="0"/>
        <v>0</v>
      </c>
      <c r="J14" s="19"/>
      <c r="K14" s="19">
        <f t="shared" si="0"/>
        <v>0</v>
      </c>
      <c r="L14" s="19">
        <f t="shared" si="0"/>
        <v>0</v>
      </c>
      <c r="M14" s="19">
        <f t="shared" si="0"/>
        <v>0</v>
      </c>
      <c r="N14" s="19">
        <f t="shared" si="0"/>
        <v>0</v>
      </c>
      <c r="O14" s="19">
        <f t="shared" si="0"/>
        <v>0</v>
      </c>
      <c r="P14" s="19">
        <f t="shared" si="0"/>
        <v>0</v>
      </c>
      <c r="Q14" s="16">
        <f>IF($B$4=$X$19,M14*'Technology Assumptions'!B$34,IF('Bioenergy Calculator'!$B$4='Bioenergy Calculator'!$X$21,M14*'Technology Assumptions'!B$34,IF('Bioenergy Calculator'!$B$4='Bioenergy Calculator'!$X$20,'Bioenergy Calculator'!M14*'Technology Assumptions'!B$36,IF('Bioenergy Calculator'!$B$4='Bioenergy Calculator'!$X$23,'Bioenergy Calculator'!M14*'Technology Assumptions'!B$35,IF('Bioenergy Calculator'!$B$4='Bioenergy Calculator'!$X$22,'Bioenergy Calculator'!M14*'Technology Assumptions'!B$37,'Bioenergy Calculator'!M14)))))</f>
        <v>0</v>
      </c>
      <c r="R14" s="16">
        <f>IF($B$4=$X$19,N14*'Technology Assumptions'!C$34,IF('Bioenergy Calculator'!$B$4='Bioenergy Calculator'!$X$21,N14*'Technology Assumptions'!C$34,IF('Bioenergy Calculator'!$B$4='Bioenergy Calculator'!$X$20,'Bioenergy Calculator'!N14*'Technology Assumptions'!C$36,IF('Bioenergy Calculator'!$B$4='Bioenergy Calculator'!$X$23,'Bioenergy Calculator'!N14*'Technology Assumptions'!C$35,IF('Bioenergy Calculator'!$B$4='Bioenergy Calculator'!$X$22,'Bioenergy Calculator'!N14*'Technology Assumptions'!C$37,'Bioenergy Calculator'!N14)))))</f>
        <v>0</v>
      </c>
      <c r="S14" s="16">
        <f>IF($B$4=$X$19,O14*'Technology Assumptions'!D$34,IF('Bioenergy Calculator'!$B$4='Bioenergy Calculator'!$X$21,O14*'Technology Assumptions'!D$34,IF('Bioenergy Calculator'!$B$4='Bioenergy Calculator'!$X$20,'Bioenergy Calculator'!O14*'Technology Assumptions'!D$36,IF('Bioenergy Calculator'!$B$4='Bioenergy Calculator'!$X$23,'Bioenergy Calculator'!O14*'Technology Assumptions'!D$35,IF('Bioenergy Calculator'!$B$4='Bioenergy Calculator'!$X$22,'Bioenergy Calculator'!O14*'Technology Assumptions'!D$37,'Bioenergy Calculator'!O14)))))</f>
        <v>0</v>
      </c>
      <c r="T14" s="16">
        <f>IF($B$4=$X$19,P14*'Technology Assumptions'!E$34,IF('Bioenergy Calculator'!$B$4='Bioenergy Calculator'!$X$21,P14*'Technology Assumptions'!E$34,IF('Bioenergy Calculator'!$B$4='Bioenergy Calculator'!$X$20,'Bioenergy Calculator'!P14*'Technology Assumptions'!E$36,IF('Bioenergy Calculator'!$B$4='Bioenergy Calculator'!$X$23,'Bioenergy Calculator'!P14*'Technology Assumptions'!E$35,IF('Bioenergy Calculator'!$B$4='Bioenergy Calculator'!$X$22,'Bioenergy Calculator'!P14*'Technology Assumptions'!E$37,'Bioenergy Calculator'!P14)))))</f>
        <v>0</v>
      </c>
      <c r="X14" t="s">
        <v>455</v>
      </c>
    </row>
    <row r="15" spans="1:24" x14ac:dyDescent="0.25">
      <c r="A15" s="589"/>
      <c r="B15" s="590"/>
      <c r="C15" s="591"/>
      <c r="D15" s="591"/>
      <c r="E15" s="591"/>
      <c r="F15" s="591"/>
      <c r="G15" s="591"/>
      <c r="H15" s="591"/>
      <c r="I15" s="592"/>
      <c r="J15" s="592"/>
      <c r="K15" s="592"/>
      <c r="L15" s="592"/>
      <c r="M15" s="592"/>
      <c r="N15" s="592"/>
      <c r="O15" s="592"/>
      <c r="P15" s="592"/>
      <c r="Q15" s="593"/>
      <c r="R15" s="593"/>
      <c r="S15" s="593"/>
      <c r="T15" s="593"/>
      <c r="X15" t="s">
        <v>456</v>
      </c>
    </row>
    <row r="16" spans="1:24" x14ac:dyDescent="0.25">
      <c r="A16" s="1064" t="s">
        <v>514</v>
      </c>
      <c r="B16" s="1" t="s">
        <v>507</v>
      </c>
      <c r="C16" s="294">
        <f>SUM(Atlantic!C13,Bergen!C13,Burlington!C13,Camden!C13,'Cape May'!C13,Cumberland!C13,Essex!C13,Gloucester!C13,Hudson!C13,Hunterdon!C13,Mercer!C13,Middlesex!C13,Monmouth!C13,Morris!C13,Ocean!C13,Passaic!C13,Salem!C13,Somerset!C13,Sussex!C13,Union!C13,Warren!C13)</f>
        <v>0</v>
      </c>
      <c r="D16" s="294">
        <f>E16*'Conversion Tables'!C12</f>
        <v>0</v>
      </c>
      <c r="E16" s="294">
        <f>SUM(Atlantic!E13,Bergen!E13,Burlington!E13,Camden!E13,'Cape May'!E13,Cumberland!E13,Essex!E13,Gloucester!E13,Hudson!E13,Hunterdon!E13,Mercer!E13,Middlesex!E13,Monmouth!E13,Morris!E13,Ocean!E13,Passaic!E13,Salem!E13,Somerset!E13,Sussex!E13,Union!E13,Warren!E13)</f>
        <v>0</v>
      </c>
      <c r="F16" s="294">
        <f>SUM(Atlantic!F13,Bergen!F13,Burlington!F13,Camden!F13,'Cape May'!F13,Cumberland!F13,Essex!F13,Gloucester!F13,Hudson!F13,Hunterdon!F13,Mercer!F13,Middlesex!F13,Monmouth!F13,Morris!F13,Ocean!F13,Passaic!F13,Salem!F13,Somerset!F13,Sussex!F13,Union!F13,Warren!F13)</f>
        <v>0</v>
      </c>
      <c r="G16" s="294">
        <f>SUM(Atlantic!G13,Bergen!G13,Burlington!G13,Camden!G13,'Cape May'!G13,Cumberland!G13,Essex!G13,Gloucester!G13,Hudson!G13,Hunterdon!G13,Mercer!G13,Middlesex!G13,Monmouth!G13,Morris!G13,Ocean!G13,Passaic!G13,Salem!G13,Somerset!G13,Sussex!G13,Union!G13,Warren!G13)</f>
        <v>0</v>
      </c>
      <c r="H16" s="294">
        <f>SUM(Atlantic!H13,Bergen!H13,Burlington!H13,Camden!H13,'Cape May'!H13,Cumberland!H13,Essex!H13,Gloucester!H13,Hudson!H13,Hunterdon!H13,Mercer!H13,Middlesex!H13,Monmouth!H13,Morris!H13,Ocean!H13,Passaic!H13,Salem!H13,Somerset!H13,Sussex!H13,Union!H13,Warren!H13)</f>
        <v>0</v>
      </c>
      <c r="I16" s="16">
        <f>SUM(Atlantic!I13,Bergen!I13,Burlington!I13,Camden!I13,'Cape May'!I13,Cumberland!I13,Essex!I13,Gloucester!I13,Hudson!I13,Hunterdon!I13,Mercer!I13,Middlesex!I13,Monmouth!I13,Morris!I13,Ocean!I13,Passaic!I13,Salem!I13,Somerset!I13,Sussex!I13,Union!I13,Warren!I13)</f>
        <v>0</v>
      </c>
      <c r="J16" s="16">
        <f>SUM(Atlantic!J13,Bergen!J13,Burlington!J13,Camden!J13,'Cape May'!J13,Cumberland!J13,Essex!J13,Gloucester!J13,Hudson!J13,Hunterdon!J13,Mercer!J13,Middlesex!J13,Monmouth!J13,Morris!J13,Ocean!J13,Passaic!J13,Salem!J13,Somerset!J13,Sussex!J13,Union!J13,Warren!J13)</f>
        <v>0</v>
      </c>
      <c r="K16" s="16">
        <f>SUM(Atlantic!K13,Bergen!K13,Burlington!K13,Camden!K13,'Cape May'!K13,Cumberland!K13,Essex!K13,Gloucester!K13,Hudson!K13,Hunterdon!K13,Mercer!K13,Middlesex!K13,Monmouth!K13,Morris!K13,Ocean!K13,Passaic!K13,Salem!K13,Somerset!K13,Sussex!K13,Union!K13,Warren!K13)</f>
        <v>0</v>
      </c>
      <c r="L16" s="16">
        <f>SUM(Atlantic!L13,Bergen!L13,Burlington!L13,Camden!L13,'Cape May'!L13,Cumberland!L13,Essex!L13,Gloucester!L13,Hudson!L13,Hunterdon!L13,Mercer!L13,Middlesex!L13,Monmouth!L13,Morris!L13,Ocean!L13,Passaic!L13,Salem!L13,Somerset!L13,Sussex!L13,Union!L13,Warren!L13)</f>
        <v>0</v>
      </c>
      <c r="M16" s="16">
        <f>SUM(Atlantic!M13,Bergen!M13,Burlington!M13,Camden!M13,'Cape May'!M13,Cumberland!M13,Essex!M13,Gloucester!M13,Hudson!M13,Hunterdon!M13,Mercer!M13,Middlesex!M13,Monmouth!M13,Morris!M13,Ocean!M13,Passaic!M13,Salem!M13,Somerset!M13,Sussex!M13,Union!M13,Warren!M13)</f>
        <v>0</v>
      </c>
      <c r="N16" s="16">
        <f>SUM(Atlantic!N13,Bergen!N13,Burlington!N13,Camden!N13,'Cape May'!N13,Cumberland!N13,Essex!N13,Gloucester!N13,Hudson!N13,Hunterdon!N13,Mercer!N13,Middlesex!N13,Monmouth!N13,Morris!N13,Ocean!N13,Passaic!N13,Salem!N13,Somerset!N13,Sussex!N13,Union!N13,Warren!N13)</f>
        <v>0</v>
      </c>
      <c r="O16" s="16">
        <f>SUM(Atlantic!O13,Bergen!O13,Burlington!O13,Camden!O13,'Cape May'!O13,Cumberland!O13,Essex!O13,Gloucester!O13,Hudson!O13,Hunterdon!O13,Mercer!O13,Middlesex!O13,Monmouth!O13,Morris!O13,Ocean!O13,Passaic!O13,Salem!O13,Somerset!O13,Sussex!O13,Union!O13,Warren!O13)</f>
        <v>0</v>
      </c>
      <c r="P16" s="16">
        <f>SUM(Atlantic!P13,Bergen!P13,Burlington!P13,Camden!P13,'Cape May'!P13,Cumberland!P13,Essex!P13,Gloucester!P13,Hudson!P13,Hunterdon!P13,Mercer!P13,Middlesex!P13,Monmouth!P13,Morris!P13,Ocean!P13,Passaic!P13,Salem!P13,Somerset!P13,Sussex!P13,Union!P13,Warren!P13)</f>
        <v>0</v>
      </c>
      <c r="Q16" s="16">
        <f>IF($B$4=$X$19,M16*'Technology Assumptions'!B$34,IF('Bioenergy Calculator'!$B$4='Bioenergy Calculator'!$X$21,M16*'Technology Assumptions'!B$34,IF('Bioenergy Calculator'!$B$4='Bioenergy Calculator'!$X$20,'Bioenergy Calculator'!M16*'Technology Assumptions'!B$36,IF('Bioenergy Calculator'!$B$4='Bioenergy Calculator'!$X$23,'Bioenergy Calculator'!M16*'Technology Assumptions'!B$35,IF('Bioenergy Calculator'!$B$4='Bioenergy Calculator'!$X$22,'Bioenergy Calculator'!M16*'Technology Assumptions'!B$37,'Bioenergy Calculator'!M16)))))</f>
        <v>0</v>
      </c>
      <c r="R16" s="16">
        <f>IF($B$4=$X$19,N16*'Technology Assumptions'!C$34,IF('Bioenergy Calculator'!$B$4='Bioenergy Calculator'!$X$21,N16*'Technology Assumptions'!C$34,IF('Bioenergy Calculator'!$B$4='Bioenergy Calculator'!$X$20,'Bioenergy Calculator'!N16*'Technology Assumptions'!C$36,IF('Bioenergy Calculator'!$B$4='Bioenergy Calculator'!$X$23,'Bioenergy Calculator'!N16*'Technology Assumptions'!C$35,IF('Bioenergy Calculator'!$B$4='Bioenergy Calculator'!$X$22,'Bioenergy Calculator'!N16*'Technology Assumptions'!C$37,'Bioenergy Calculator'!N16)))))</f>
        <v>0</v>
      </c>
      <c r="S16" s="16">
        <f>IF($B$4=$X$19,O16*'Technology Assumptions'!D$34,IF('Bioenergy Calculator'!$B$4='Bioenergy Calculator'!$X$21,O16*'Technology Assumptions'!D$34,IF('Bioenergy Calculator'!$B$4='Bioenergy Calculator'!$X$20,'Bioenergy Calculator'!O16*'Technology Assumptions'!D$36,IF('Bioenergy Calculator'!$B$4='Bioenergy Calculator'!$X$23,'Bioenergy Calculator'!O16*'Technology Assumptions'!D$35,IF('Bioenergy Calculator'!$B$4='Bioenergy Calculator'!$X$22,'Bioenergy Calculator'!O16*'Technology Assumptions'!D$37,'Bioenergy Calculator'!O16)))))</f>
        <v>0</v>
      </c>
      <c r="T16" s="16">
        <f>IF($B$4=$X$19,P16*'Technology Assumptions'!E$34,IF('Bioenergy Calculator'!$B$4='Bioenergy Calculator'!$X$21,P16*'Technology Assumptions'!E$34,IF('Bioenergy Calculator'!$B$4='Bioenergy Calculator'!$X$20,'Bioenergy Calculator'!P16*'Technology Assumptions'!E$36,IF('Bioenergy Calculator'!$B$4='Bioenergy Calculator'!$X$23,'Bioenergy Calculator'!P16*'Technology Assumptions'!E$35,IF('Bioenergy Calculator'!$B$4='Bioenergy Calculator'!$X$22,'Bioenergy Calculator'!P16*'Technology Assumptions'!E$37,'Bioenergy Calculator'!P16)))))</f>
        <v>0</v>
      </c>
      <c r="X16" t="s">
        <v>277</v>
      </c>
    </row>
    <row r="17" spans="1:24" x14ac:dyDescent="0.25">
      <c r="A17" s="1065"/>
      <c r="B17" s="130" t="s">
        <v>1314</v>
      </c>
      <c r="C17" s="294"/>
      <c r="D17" s="294"/>
      <c r="E17" s="294"/>
      <c r="F17" s="294"/>
      <c r="G17" s="294"/>
      <c r="H17" s="294"/>
      <c r="I17" s="16"/>
      <c r="J17" s="16"/>
      <c r="K17" s="16"/>
      <c r="L17" s="16"/>
      <c r="M17" s="16"/>
      <c r="N17" s="16"/>
      <c r="O17" s="16"/>
      <c r="P17" s="16"/>
      <c r="Q17" s="16"/>
      <c r="R17" s="16"/>
      <c r="S17" s="16"/>
      <c r="T17" s="16"/>
    </row>
    <row r="18" spans="1:24" x14ac:dyDescent="0.25">
      <c r="A18" s="1065"/>
      <c r="B18" s="11" t="str">
        <f>Atlantic!B15</f>
        <v>Sweet Corn</v>
      </c>
      <c r="C18" s="294">
        <f>SUM(Atlantic!C15,Bergen!C15,Burlington!C15,Camden!C15,'Cape May'!C15,Cumberland!C15,Essex!C15,Gloucester!C15,Hudson!C15,Hunterdon!C15,Mercer!C15,Middlesex!C15,Monmouth!C15,Morris!C15,Ocean!C15,Passaic!C15,Salem!C15,Somerset!C15,Sussex!C15,Union!C15,Warren!C15)</f>
        <v>5257.25</v>
      </c>
      <c r="D18" s="294">
        <f>E18*'Conversion Tables'!C14</f>
        <v>66165.645600000003</v>
      </c>
      <c r="E18" s="294">
        <f>SUM(Atlantic!E15,Bergen!E15,Burlington!E15,Camden!E15,'Cape May'!E15,Cumberland!E15,Essex!E15,Gloucester!E15,Hudson!E15,Hunterdon!E15,Mercer!E15,Middlesex!E15,Monmouth!E15,Morris!E15,Ocean!E15,Passaic!E15,Salem!E15,Somerset!E15,Sussex!E15,Union!E15,Warren!E15)</f>
        <v>4205.8</v>
      </c>
      <c r="F18" s="294">
        <f>SUM(Atlantic!F15,Bergen!F15,Burlington!F15,Camden!F15,'Cape May'!F15,Cumberland!F15,Essex!F15,Gloucester!F15,Hudson!F15,Hunterdon!F15,Mercer!F15,Middlesex!F15,Monmouth!F15,Morris!F15,Ocean!F15,Passaic!F15,Salem!F15,Somerset!F15,Sussex!F15,Union!F15,Warren!F15)</f>
        <v>4205.8</v>
      </c>
      <c r="G18" s="294">
        <f>SUM(Atlantic!G15,Bergen!G15,Burlington!G15,Camden!G15,'Cape May'!G15,Cumberland!G15,Essex!G15,Gloucester!G15,Hudson!G15,Hunterdon!G15,Mercer!G15,Middlesex!G15,Monmouth!G15,Morris!G15,Ocean!G15,Passaic!G15,Salem!G15,Somerset!G15,Sussex!G15,Union!G15,Warren!G15)</f>
        <v>4205.8</v>
      </c>
      <c r="H18" s="294">
        <f>SUM(Atlantic!H15,Bergen!H15,Burlington!H15,Camden!H15,'Cape May'!H15,Cumberland!H15,Essex!H15,Gloucester!H15,Hudson!H15,Hunterdon!H15,Mercer!H15,Middlesex!H15,Monmouth!H15,Morris!H15,Ocean!H15,Passaic!H15,Salem!H15,Somerset!H15,Sussex!H15,Union!H15,Warren!H15)</f>
        <v>4205.8</v>
      </c>
      <c r="I18" s="16">
        <f>SUM(Atlantic!I15,Bergen!I15,Burlington!I15,Camden!I15,'Cape May'!I15,Cumberland!I15,Essex!I15,Gloucester!I15,Hudson!I15,Hunterdon!I15,Mercer!I15,Middlesex!I15,Monmouth!I15,Morris!I15,Ocean!I15,Passaic!I15,Salem!I15,Somerset!I15,Sussex!I15,Union!I15,Warren!I15)</f>
        <v>0</v>
      </c>
      <c r="J18" s="16">
        <f>SUM(Atlantic!J15,Bergen!J15,Burlington!J15,Camden!J15,'Cape May'!J15,Cumberland!J15,Essex!J15,Gloucester!J15,Hudson!J15,Hunterdon!J15,Mercer!J15,Middlesex!J15,Monmouth!J15,Morris!J15,Ocean!J15,Passaic!J15,Salem!J15,Somerset!J15,Sussex!J15,Union!J15,Warren!J15)</f>
        <v>0</v>
      </c>
      <c r="K18" s="16">
        <f>SUM(Atlantic!K15,Bergen!K15,Burlington!K15,Camden!K15,'Cape May'!K15,Cumberland!K15,Essex!K15,Gloucester!K15,Hudson!K15,Hunterdon!K15,Mercer!K15,Middlesex!K15,Monmouth!K15,Morris!K15,Ocean!K15,Passaic!K15,Salem!K15,Somerset!K15,Sussex!K15,Union!K15,Warren!K15)</f>
        <v>0</v>
      </c>
      <c r="L18" s="16">
        <f>SUM(Atlantic!L15,Bergen!L15,Burlington!L15,Camden!L15,'Cape May'!L15,Cumberland!L15,Essex!L15,Gloucester!L15,Hudson!L15,Hunterdon!L15,Mercer!L15,Middlesex!L15,Monmouth!L15,Morris!L15,Ocean!L15,Passaic!L15,Salem!L15,Somerset!L15,Sussex!L15,Union!L15,Warren!L15)</f>
        <v>0</v>
      </c>
      <c r="M18" s="16">
        <f>SUM(Atlantic!M15,Bergen!M15,Burlington!M15,Camden!M15,'Cape May'!M15,Cumberland!M15,Essex!M15,Gloucester!M15,Hudson!M15,Hunterdon!M15,Mercer!M15,Middlesex!M15,Monmouth!M15,Morris!M15,Ocean!M15,Passaic!M15,Salem!M15,Somerset!M15,Sussex!M15,Union!M15,Warren!M15)</f>
        <v>0</v>
      </c>
      <c r="N18" s="16">
        <f>SUM(Atlantic!N15,Bergen!N15,Burlington!N15,Camden!N15,'Cape May'!N15,Cumberland!N15,Essex!N15,Gloucester!N15,Hudson!N15,Hunterdon!N15,Mercer!N15,Middlesex!N15,Monmouth!N15,Morris!N15,Ocean!N15,Passaic!N15,Salem!N15,Somerset!N15,Sussex!N15,Union!N15,Warren!N15)</f>
        <v>0</v>
      </c>
      <c r="O18" s="16">
        <f>SUM(Atlantic!O15,Bergen!O15,Burlington!O15,Camden!O15,'Cape May'!O15,Cumberland!O15,Essex!O15,Gloucester!O15,Hudson!O15,Hunterdon!O15,Mercer!O15,Middlesex!O15,Monmouth!O15,Morris!O15,Ocean!O15,Passaic!O15,Salem!O15,Somerset!O15,Sussex!O15,Union!O15,Warren!O15)</f>
        <v>0</v>
      </c>
      <c r="P18" s="16">
        <f>SUM(Atlantic!P15,Bergen!P15,Burlington!P15,Camden!P15,'Cape May'!P15,Cumberland!P15,Essex!P15,Gloucester!P15,Hudson!P15,Hunterdon!P15,Mercer!P15,Middlesex!P15,Monmouth!P15,Morris!P15,Ocean!P15,Passaic!P15,Salem!P15,Somerset!P15,Sussex!P15,Union!P15,Warren!P15)</f>
        <v>0</v>
      </c>
      <c r="Q18" s="16">
        <f>IF($B$4=$X$19,M18*'Technology Assumptions'!B$34,IF('Bioenergy Calculator'!$B$4='Bioenergy Calculator'!$X$21,M18*'Technology Assumptions'!B$34,IF('Bioenergy Calculator'!$B$4='Bioenergy Calculator'!$X$20,'Bioenergy Calculator'!M18*'Technology Assumptions'!B$36,IF('Bioenergy Calculator'!$B$4='Bioenergy Calculator'!$X$23,'Bioenergy Calculator'!M18*'Technology Assumptions'!B$35,IF('Bioenergy Calculator'!$B$4='Bioenergy Calculator'!$X$22,'Bioenergy Calculator'!M18*'Technology Assumptions'!B$37,'Bioenergy Calculator'!M18)))))</f>
        <v>0</v>
      </c>
      <c r="R18" s="16">
        <f>IF($B$4=$X$19,N18*'Technology Assumptions'!C$34,IF('Bioenergy Calculator'!$B$4='Bioenergy Calculator'!$X$21,N18*'Technology Assumptions'!C$34,IF('Bioenergy Calculator'!$B$4='Bioenergy Calculator'!$X$20,'Bioenergy Calculator'!N18*'Technology Assumptions'!C$36,IF('Bioenergy Calculator'!$B$4='Bioenergy Calculator'!$X$23,'Bioenergy Calculator'!N18*'Technology Assumptions'!C$35,IF('Bioenergy Calculator'!$B$4='Bioenergy Calculator'!$X$22,'Bioenergy Calculator'!N18*'Technology Assumptions'!C$37,'Bioenergy Calculator'!N18)))))</f>
        <v>0</v>
      </c>
      <c r="S18" s="16">
        <f>IF($B$4=$X$19,O18*'Technology Assumptions'!D$34,IF('Bioenergy Calculator'!$B$4='Bioenergy Calculator'!$X$21,O18*'Technology Assumptions'!D$34,IF('Bioenergy Calculator'!$B$4='Bioenergy Calculator'!$X$20,'Bioenergy Calculator'!O18*'Technology Assumptions'!D$36,IF('Bioenergy Calculator'!$B$4='Bioenergy Calculator'!$X$23,'Bioenergy Calculator'!O18*'Technology Assumptions'!D$35,IF('Bioenergy Calculator'!$B$4='Bioenergy Calculator'!$X$22,'Bioenergy Calculator'!O18*'Technology Assumptions'!D$37,'Bioenergy Calculator'!O18)))))</f>
        <v>0</v>
      </c>
      <c r="T18" s="16">
        <f>IF($B$4=$X$19,P18*'Technology Assumptions'!E$34,IF('Bioenergy Calculator'!$B$4='Bioenergy Calculator'!$X$21,P18*'Technology Assumptions'!E$34,IF('Bioenergy Calculator'!$B$4='Bioenergy Calculator'!$X$20,'Bioenergy Calculator'!P18*'Technology Assumptions'!E$36,IF('Bioenergy Calculator'!$B$4='Bioenergy Calculator'!$X$23,'Bioenergy Calculator'!P18*'Technology Assumptions'!E$35,IF('Bioenergy Calculator'!$B$4='Bioenergy Calculator'!$X$22,'Bioenergy Calculator'!P18*'Technology Assumptions'!E$37,'Bioenergy Calculator'!P18)))))</f>
        <v>0</v>
      </c>
      <c r="X18" s="56" t="s">
        <v>458</v>
      </c>
    </row>
    <row r="19" spans="1:24" ht="12.75" customHeight="1" x14ac:dyDescent="0.25">
      <c r="A19" s="1065"/>
      <c r="B19" s="11" t="str">
        <f>Atlantic!B16</f>
        <v>Rye</v>
      </c>
      <c r="C19" s="294">
        <f>SUM(Atlantic!C16,Bergen!C16,Burlington!C16,Camden!C16,'Cape May'!C16,Cumberland!C16,Essex!C16,Gloucester!C16,Hudson!C16,Hunterdon!C16,Mercer!C16,Middlesex!C16,Monmouth!C16,Morris!C16,Ocean!C16,Passaic!C16,Salem!C16,Somerset!C16,Sussex!C16,Union!C16,Warren!C16)</f>
        <v>28106.1</v>
      </c>
      <c r="D19" s="294">
        <f>E19*'Conversion Tables'!C15</f>
        <v>0</v>
      </c>
      <c r="E19" s="294">
        <f>SUM(Atlantic!E16,Bergen!E16,Burlington!E16,Camden!E16,'Cape May'!E16,Cumberland!E16,Essex!E16,Gloucester!E16,Hudson!E16,Hunterdon!E16,Mercer!E16,Middlesex!E16,Monmouth!E16,Morris!E16,Ocean!E16,Passaic!E16,Salem!E16,Somerset!E16,Sussex!E16,Union!E16,Warren!E16)</f>
        <v>0</v>
      </c>
      <c r="F19" s="294">
        <f>SUM(Atlantic!F16,Bergen!F16,Burlington!F16,Camden!F16,'Cape May'!F16,Cumberland!F16,Essex!F16,Gloucester!F16,Hudson!F16,Hunterdon!F16,Mercer!F16,Middlesex!F16,Monmouth!F16,Morris!F16,Ocean!F16,Passaic!F16,Salem!F16,Somerset!F16,Sussex!F16,Union!F16,Warren!F16)</f>
        <v>0</v>
      </c>
      <c r="G19" s="294">
        <f>SUM(Atlantic!G16,Bergen!G16,Burlington!G16,Camden!G16,'Cape May'!G16,Cumberland!G16,Essex!G16,Gloucester!G16,Hudson!G16,Hunterdon!G16,Mercer!G16,Middlesex!G16,Monmouth!G16,Morris!G16,Ocean!G16,Passaic!G16,Salem!G16,Somerset!G16,Sussex!G16,Union!G16,Warren!G16)</f>
        <v>0</v>
      </c>
      <c r="H19" s="294">
        <f>SUM(Atlantic!H16,Bergen!H16,Burlington!H16,Camden!H16,'Cape May'!H16,Cumberland!H16,Essex!H16,Gloucester!H16,Hudson!H16,Hunterdon!H16,Mercer!H16,Middlesex!H16,Monmouth!H16,Morris!H16,Ocean!H16,Passaic!H16,Salem!H16,Somerset!H16,Sussex!H16,Union!H16,Warren!H16)</f>
        <v>0</v>
      </c>
      <c r="I19" s="16">
        <f>SUM(Atlantic!I16,Bergen!I16,Burlington!I16,Camden!I16,'Cape May'!I16,Cumberland!I16,Essex!I16,Gloucester!I16,Hudson!I16,Hunterdon!I16,Mercer!I16,Middlesex!I16,Monmouth!I16,Morris!I16,Ocean!I16,Passaic!I16,Salem!I16,Somerset!I16,Sussex!I16,Union!I16,Warren!I16)</f>
        <v>0</v>
      </c>
      <c r="J19" s="16">
        <f>SUM(Atlantic!J16,Bergen!J16,Burlington!J16,Camden!J16,'Cape May'!J16,Cumberland!J16,Essex!J16,Gloucester!J16,Hudson!J16,Hunterdon!J16,Mercer!J16,Middlesex!J16,Monmouth!J16,Morris!J16,Ocean!J16,Passaic!J16,Salem!J16,Somerset!J16,Sussex!J16,Union!J16,Warren!J16)</f>
        <v>0</v>
      </c>
      <c r="K19" s="16">
        <f>SUM(Atlantic!K16,Bergen!K16,Burlington!K16,Camden!K16,'Cape May'!K16,Cumberland!K16,Essex!K16,Gloucester!K16,Hudson!K16,Hunterdon!K16,Mercer!K16,Middlesex!K16,Monmouth!K16,Morris!K16,Ocean!K16,Passaic!K16,Salem!K16,Somerset!K16,Sussex!K16,Union!K16,Warren!K16)</f>
        <v>0</v>
      </c>
      <c r="L19" s="16">
        <f>SUM(Atlantic!L16,Bergen!L16,Burlington!L16,Camden!L16,'Cape May'!L16,Cumberland!L16,Essex!L16,Gloucester!L16,Hudson!L16,Hunterdon!L16,Mercer!L16,Middlesex!L16,Monmouth!L16,Morris!L16,Ocean!L16,Passaic!L16,Salem!L16,Somerset!L16,Sussex!L16,Union!L16,Warren!L16)</f>
        <v>0</v>
      </c>
      <c r="M19" s="16">
        <f>SUM(Atlantic!M16,Bergen!M16,Burlington!M16,Camden!M16,'Cape May'!M16,Cumberland!M16,Essex!M16,Gloucester!M16,Hudson!M16,Hunterdon!M16,Mercer!M16,Middlesex!M16,Monmouth!M16,Morris!M16,Ocean!M16,Passaic!M16,Salem!M16,Somerset!M16,Sussex!M16,Union!M16,Warren!M16)</f>
        <v>0</v>
      </c>
      <c r="N19" s="16">
        <f>SUM(Atlantic!N16,Bergen!N16,Burlington!N16,Camden!N16,'Cape May'!N16,Cumberland!N16,Essex!N16,Gloucester!N16,Hudson!N16,Hunterdon!N16,Mercer!N16,Middlesex!N16,Monmouth!N16,Morris!N16,Ocean!N16,Passaic!N16,Salem!N16,Somerset!N16,Sussex!N16,Union!N16,Warren!N16)</f>
        <v>0</v>
      </c>
      <c r="O19" s="16">
        <f>SUM(Atlantic!O16,Bergen!O16,Burlington!O16,Camden!O16,'Cape May'!O16,Cumberland!O16,Essex!O16,Gloucester!O16,Hudson!O16,Hunterdon!O16,Mercer!O16,Middlesex!O16,Monmouth!O16,Morris!O16,Ocean!O16,Passaic!O16,Salem!O16,Somerset!O16,Sussex!O16,Union!O16,Warren!O16)</f>
        <v>0</v>
      </c>
      <c r="P19" s="16">
        <f>SUM(Atlantic!P16,Bergen!P16,Burlington!P16,Camden!P16,'Cape May'!P16,Cumberland!P16,Essex!P16,Gloucester!P16,Hudson!P16,Hunterdon!P16,Mercer!P16,Middlesex!P16,Monmouth!P16,Morris!P16,Ocean!P16,Passaic!P16,Salem!P16,Somerset!P16,Sussex!P16,Union!P16,Warren!P16)</f>
        <v>0</v>
      </c>
      <c r="Q19" s="16">
        <f>IF($B$4=$X$19,M19*'Technology Assumptions'!B$34,IF('Bioenergy Calculator'!$B$4='Bioenergy Calculator'!$X$21,M19*'Technology Assumptions'!B$34,IF('Bioenergy Calculator'!$B$4='Bioenergy Calculator'!$X$20,'Bioenergy Calculator'!M19*'Technology Assumptions'!B$36,IF('Bioenergy Calculator'!$B$4='Bioenergy Calculator'!$X$23,'Bioenergy Calculator'!M19*'Technology Assumptions'!B$35,IF('Bioenergy Calculator'!$B$4='Bioenergy Calculator'!$X$22,'Bioenergy Calculator'!M19*'Technology Assumptions'!B$37,'Bioenergy Calculator'!M19)))))</f>
        <v>0</v>
      </c>
      <c r="R19" s="16">
        <f>IF($B$4=$X$19,N19*'Technology Assumptions'!C$34,IF('Bioenergy Calculator'!$B$4='Bioenergy Calculator'!$X$21,N19*'Technology Assumptions'!C$34,IF('Bioenergy Calculator'!$B$4='Bioenergy Calculator'!$X$20,'Bioenergy Calculator'!N19*'Technology Assumptions'!C$36,IF('Bioenergy Calculator'!$B$4='Bioenergy Calculator'!$X$23,'Bioenergy Calculator'!N19*'Technology Assumptions'!C$35,IF('Bioenergy Calculator'!$B$4='Bioenergy Calculator'!$X$22,'Bioenergy Calculator'!N19*'Technology Assumptions'!C$37,'Bioenergy Calculator'!N19)))))</f>
        <v>0</v>
      </c>
      <c r="S19" s="16">
        <f>IF($B$4=$X$19,O19*'Technology Assumptions'!D$34,IF('Bioenergy Calculator'!$B$4='Bioenergy Calculator'!$X$21,O19*'Technology Assumptions'!D$34,IF('Bioenergy Calculator'!$B$4='Bioenergy Calculator'!$X$20,'Bioenergy Calculator'!O19*'Technology Assumptions'!D$36,IF('Bioenergy Calculator'!$B$4='Bioenergy Calculator'!$X$23,'Bioenergy Calculator'!O19*'Technology Assumptions'!D$35,IF('Bioenergy Calculator'!$B$4='Bioenergy Calculator'!$X$22,'Bioenergy Calculator'!O19*'Technology Assumptions'!D$37,'Bioenergy Calculator'!O19)))))</f>
        <v>0</v>
      </c>
      <c r="T19" s="16">
        <f>IF($B$4=$X$19,P19*'Technology Assumptions'!E$34,IF('Bioenergy Calculator'!$B$4='Bioenergy Calculator'!$X$21,P19*'Technology Assumptions'!E$34,IF('Bioenergy Calculator'!$B$4='Bioenergy Calculator'!$X$20,'Bioenergy Calculator'!P19*'Technology Assumptions'!E$36,IF('Bioenergy Calculator'!$B$4='Bioenergy Calculator'!$X$23,'Bioenergy Calculator'!P19*'Technology Assumptions'!E$35,IF('Bioenergy Calculator'!$B$4='Bioenergy Calculator'!$X$22,'Bioenergy Calculator'!P19*'Technology Assumptions'!E$37,'Bioenergy Calculator'!P19)))))</f>
        <v>0</v>
      </c>
      <c r="X19" t="s">
        <v>270</v>
      </c>
    </row>
    <row r="20" spans="1:24" ht="12.75" customHeight="1" x14ac:dyDescent="0.25">
      <c r="A20" s="1065"/>
      <c r="B20" s="11" t="str">
        <f>Atlantic!B17</f>
        <v>Corn for Grain</v>
      </c>
      <c r="C20" s="294">
        <f>SUM(Atlantic!C17,Bergen!C17,Burlington!C17,Camden!C17,'Cape May'!C17,Cumberland!C17,Essex!C17,Gloucester!C17,Hudson!C17,Hunterdon!C17,Mercer!C17,Middlesex!C17,Monmouth!C17,Morris!C17,Ocean!C17,Passaic!C17,Salem!C17,Somerset!C17,Sussex!C17,Union!C17,Warren!C17)</f>
        <v>132134.625</v>
      </c>
      <c r="D20" s="294">
        <f>E20*'Conversion Tables'!C16</f>
        <v>1766930.6324249997</v>
      </c>
      <c r="E20" s="294">
        <f>SUM(Atlantic!E17,Bergen!E17,Burlington!E17,Camden!E17,'Cape May'!E17,Cumberland!E17,Essex!E17,Gloucester!E17,Hudson!E17,Hunterdon!E17,Mercer!E17,Middlesex!E17,Monmouth!E17,Morris!E17,Ocean!E17,Passaic!E17,Salem!E17,Somerset!E17,Sussex!E17,Union!E17,Warren!E17)</f>
        <v>112314.43124999999</v>
      </c>
      <c r="F20" s="294">
        <f>SUM(Atlantic!F17,Bergen!F17,Burlington!F17,Camden!F17,'Cape May'!F17,Cumberland!F17,Essex!F17,Gloucester!F17,Hudson!F17,Hunterdon!F17,Mercer!F17,Middlesex!F17,Monmouth!F17,Morris!F17,Ocean!F17,Passaic!F17,Salem!F17,Somerset!F17,Sussex!F17,Union!F17,Warren!F17)</f>
        <v>112314.43124999999</v>
      </c>
      <c r="G20" s="294">
        <f>SUM(Atlantic!G17,Bergen!G17,Burlington!G17,Camden!G17,'Cape May'!G17,Cumberland!G17,Essex!G17,Gloucester!G17,Hudson!G17,Hunterdon!G17,Mercer!G17,Middlesex!G17,Monmouth!G17,Morris!G17,Ocean!G17,Passaic!G17,Salem!G17,Somerset!G17,Sussex!G17,Union!G17,Warren!G17)</f>
        <v>112314.43124999999</v>
      </c>
      <c r="H20" s="294">
        <f>SUM(Atlantic!H17,Bergen!H17,Burlington!H17,Camden!H17,'Cape May'!H17,Cumberland!H17,Essex!H17,Gloucester!H17,Hudson!H17,Hunterdon!H17,Mercer!H17,Middlesex!H17,Monmouth!H17,Morris!H17,Ocean!H17,Passaic!H17,Salem!H17,Somerset!H17,Sussex!H17,Union!H17,Warren!H17)</f>
        <v>112314.43124999999</v>
      </c>
      <c r="I20" s="16">
        <f>SUM(Atlantic!I17,Bergen!I17,Burlington!I17,Camden!I17,'Cape May'!I17,Cumberland!I17,Essex!I17,Gloucester!I17,Hudson!I17,Hunterdon!I17,Mercer!I17,Middlesex!I17,Monmouth!I17,Morris!I17,Ocean!I17,Passaic!I17,Salem!I17,Somerset!I17,Sussex!I17,Union!I17,Warren!I17)</f>
        <v>0</v>
      </c>
      <c r="J20" s="16">
        <f>SUM(Atlantic!J17,Bergen!J17,Burlington!J17,Camden!J17,'Cape May'!J17,Cumberland!J17,Essex!J17,Gloucester!J17,Hudson!J17,Hunterdon!J17,Mercer!J17,Middlesex!J17,Monmouth!J17,Morris!J17,Ocean!J17,Passaic!J17,Salem!J17,Somerset!J17,Sussex!J17,Union!J17,Warren!J17)</f>
        <v>0</v>
      </c>
      <c r="K20" s="16">
        <f>SUM(Atlantic!K17,Bergen!K17,Burlington!K17,Camden!K17,'Cape May'!K17,Cumberland!K17,Essex!K17,Gloucester!K17,Hudson!K17,Hunterdon!K17,Mercer!K17,Middlesex!K17,Monmouth!K17,Morris!K17,Ocean!K17,Passaic!K17,Salem!K17,Somerset!K17,Sussex!K17,Union!K17,Warren!K17)</f>
        <v>0</v>
      </c>
      <c r="L20" s="16">
        <f>SUM(Atlantic!L17,Bergen!L17,Burlington!L17,Camden!L17,'Cape May'!L17,Cumberland!L17,Essex!L17,Gloucester!L17,Hudson!L17,Hunterdon!L17,Mercer!L17,Middlesex!L17,Monmouth!L17,Morris!L17,Ocean!L17,Passaic!L17,Salem!L17,Somerset!L17,Sussex!L17,Union!L17,Warren!L17)</f>
        <v>0</v>
      </c>
      <c r="M20" s="16">
        <f>SUM(Atlantic!M17,Bergen!M17,Burlington!M17,Camden!M17,'Cape May'!M17,Cumberland!M17,Essex!M17,Gloucester!M17,Hudson!M17,Hunterdon!M17,Mercer!M17,Middlesex!M17,Monmouth!M17,Morris!M17,Ocean!M17,Passaic!M17,Salem!M17,Somerset!M17,Sussex!M17,Union!M17,Warren!M17)</f>
        <v>0</v>
      </c>
      <c r="N20" s="16">
        <f>SUM(Atlantic!N17,Bergen!N17,Burlington!N17,Camden!N17,'Cape May'!N17,Cumberland!N17,Essex!N17,Gloucester!N17,Hudson!N17,Hunterdon!N17,Mercer!N17,Middlesex!N17,Monmouth!N17,Morris!N17,Ocean!N17,Passaic!N17,Salem!N17,Somerset!N17,Sussex!N17,Union!N17,Warren!N17)</f>
        <v>0</v>
      </c>
      <c r="O20" s="16">
        <f>SUM(Atlantic!O17,Bergen!O17,Burlington!O17,Camden!O17,'Cape May'!O17,Cumberland!O17,Essex!O17,Gloucester!O17,Hudson!O17,Hunterdon!O17,Mercer!O17,Middlesex!O17,Monmouth!O17,Morris!O17,Ocean!O17,Passaic!O17,Salem!O17,Somerset!O17,Sussex!O17,Union!O17,Warren!O17)</f>
        <v>0</v>
      </c>
      <c r="P20" s="16">
        <f>SUM(Atlantic!P17,Bergen!P17,Burlington!P17,Camden!P17,'Cape May'!P17,Cumberland!P17,Essex!P17,Gloucester!P17,Hudson!P17,Hunterdon!P17,Mercer!P17,Middlesex!P17,Monmouth!P17,Morris!P17,Ocean!P17,Passaic!P17,Salem!P17,Somerset!P17,Sussex!P17,Union!P17,Warren!P17)</f>
        <v>0</v>
      </c>
      <c r="Q20" s="16">
        <f>IF($B$4=$X$19,M20*'Technology Assumptions'!B$34,IF('Bioenergy Calculator'!$B$4='Bioenergy Calculator'!$X$21,M20*'Technology Assumptions'!B$34,IF('Bioenergy Calculator'!$B$4='Bioenergy Calculator'!$X$20,'Bioenergy Calculator'!M20*'Technology Assumptions'!B$36,IF('Bioenergy Calculator'!$B$4='Bioenergy Calculator'!$X$23,'Bioenergy Calculator'!M20*'Technology Assumptions'!B$35,IF('Bioenergy Calculator'!$B$4='Bioenergy Calculator'!$X$22,'Bioenergy Calculator'!M20*'Technology Assumptions'!B$37,'Bioenergy Calculator'!M20)))))</f>
        <v>0</v>
      </c>
      <c r="R20" s="16">
        <f>IF($B$4=$X$19,N20*'Technology Assumptions'!C$34,IF('Bioenergy Calculator'!$B$4='Bioenergy Calculator'!$X$21,N20*'Technology Assumptions'!C$34,IF('Bioenergy Calculator'!$B$4='Bioenergy Calculator'!$X$20,'Bioenergy Calculator'!N20*'Technology Assumptions'!C$36,IF('Bioenergy Calculator'!$B$4='Bioenergy Calculator'!$X$23,'Bioenergy Calculator'!N20*'Technology Assumptions'!C$35,IF('Bioenergy Calculator'!$B$4='Bioenergy Calculator'!$X$22,'Bioenergy Calculator'!N20*'Technology Assumptions'!C$37,'Bioenergy Calculator'!N20)))))</f>
        <v>0</v>
      </c>
      <c r="S20" s="16">
        <f>IF($B$4=$X$19,O20*'Technology Assumptions'!D$34,IF('Bioenergy Calculator'!$B$4='Bioenergy Calculator'!$X$21,O20*'Technology Assumptions'!D$34,IF('Bioenergy Calculator'!$B$4='Bioenergy Calculator'!$X$20,'Bioenergy Calculator'!O20*'Technology Assumptions'!D$36,IF('Bioenergy Calculator'!$B$4='Bioenergy Calculator'!$X$23,'Bioenergy Calculator'!O20*'Technology Assumptions'!D$35,IF('Bioenergy Calculator'!$B$4='Bioenergy Calculator'!$X$22,'Bioenergy Calculator'!O20*'Technology Assumptions'!D$37,'Bioenergy Calculator'!O20)))))</f>
        <v>0</v>
      </c>
      <c r="T20" s="16">
        <f>IF($B$4=$X$19,P20*'Technology Assumptions'!E$34,IF('Bioenergy Calculator'!$B$4='Bioenergy Calculator'!$X$21,P20*'Technology Assumptions'!E$34,IF('Bioenergy Calculator'!$B$4='Bioenergy Calculator'!$X$20,'Bioenergy Calculator'!P20*'Technology Assumptions'!E$36,IF('Bioenergy Calculator'!$B$4='Bioenergy Calculator'!$X$23,'Bioenergy Calculator'!P20*'Technology Assumptions'!E$35,IF('Bioenergy Calculator'!$B$4='Bioenergy Calculator'!$X$22,'Bioenergy Calculator'!P20*'Technology Assumptions'!E$37,'Bioenergy Calculator'!P20)))))</f>
        <v>0</v>
      </c>
      <c r="X20" t="s">
        <v>246</v>
      </c>
    </row>
    <row r="21" spans="1:24" x14ac:dyDescent="0.25">
      <c r="A21" s="1065"/>
      <c r="B21" s="11" t="str">
        <f>Atlantic!B18</f>
        <v>Corn for Silage</v>
      </c>
      <c r="C21" s="294">
        <f>SUM(Atlantic!C18,Bergen!C18,Burlington!C18,Camden!C18,'Cape May'!C18,Cumberland!C18,Essex!C18,Gloucester!C18,Hudson!C18,Hunterdon!C18,Mercer!C18,Middlesex!C18,Monmouth!C18,Morris!C18,Ocean!C18,Passaic!C18,Salem!C18,Somerset!C18,Sussex!C18,Union!C18,Warren!C18)</f>
        <v>69075.159999999989</v>
      </c>
      <c r="D21" s="294">
        <f>E21*'Conversion Tables'!C17</f>
        <v>815017.81283999979</v>
      </c>
      <c r="E21" s="294">
        <f>SUM(Atlantic!E18,Bergen!E18,Burlington!E18,Camden!E18,'Cape May'!E18,Cumberland!E18,Essex!E18,Gloucester!E18,Hudson!E18,Hunterdon!E18,Mercer!E18,Middlesex!E18,Monmouth!E18,Morris!E18,Ocean!E18,Passaic!E18,Salem!E18,Somerset!E18,Sussex!E18,Union!E18,Warren!E18)</f>
        <v>51806.369999999988</v>
      </c>
      <c r="F21" s="294">
        <f>SUM(Atlantic!F18,Bergen!F18,Burlington!F18,Camden!F18,'Cape May'!F18,Cumberland!F18,Essex!F18,Gloucester!F18,Hudson!F18,Hunterdon!F18,Mercer!F18,Middlesex!F18,Monmouth!F18,Morris!F18,Ocean!F18,Passaic!F18,Salem!F18,Somerset!F18,Sussex!F18,Union!F18,Warren!F18)</f>
        <v>51806.369999999988</v>
      </c>
      <c r="G21" s="294">
        <f>SUM(Atlantic!G18,Bergen!G18,Burlington!G18,Camden!G18,'Cape May'!G18,Cumberland!G18,Essex!G18,Gloucester!G18,Hudson!G18,Hunterdon!G18,Mercer!G18,Middlesex!G18,Monmouth!G18,Morris!G18,Ocean!G18,Passaic!G18,Salem!G18,Somerset!G18,Sussex!G18,Union!G18,Warren!G18)</f>
        <v>51806.369999999988</v>
      </c>
      <c r="H21" s="294">
        <f>SUM(Atlantic!H18,Bergen!H18,Burlington!H18,Camden!H18,'Cape May'!H18,Cumberland!H18,Essex!H18,Gloucester!H18,Hudson!H18,Hunterdon!H18,Mercer!H18,Middlesex!H18,Monmouth!H18,Morris!H18,Ocean!H18,Passaic!H18,Salem!H18,Somerset!H18,Sussex!H18,Union!H18,Warren!H18)</f>
        <v>51806.369999999988</v>
      </c>
      <c r="I21" s="16">
        <f>SUM(Atlantic!I18,Bergen!I18,Burlington!I18,Camden!I18,'Cape May'!I18,Cumberland!I18,Essex!I18,Gloucester!I18,Hudson!I18,Hunterdon!I18,Mercer!I18,Middlesex!I18,Monmouth!I18,Morris!I18,Ocean!I18,Passaic!I18,Salem!I18,Somerset!I18,Sussex!I18,Union!I18,Warren!I18)</f>
        <v>0</v>
      </c>
      <c r="J21" s="16">
        <f>SUM(Atlantic!J18,Bergen!J18,Burlington!J18,Camden!J18,'Cape May'!J18,Cumberland!J18,Essex!J18,Gloucester!J18,Hudson!J18,Hunterdon!J18,Mercer!J18,Middlesex!J18,Monmouth!J18,Morris!J18,Ocean!J18,Passaic!J18,Salem!J18,Somerset!J18,Sussex!J18,Union!J18,Warren!J18)</f>
        <v>0</v>
      </c>
      <c r="K21" s="16">
        <f>SUM(Atlantic!K18,Bergen!K18,Burlington!K18,Camden!K18,'Cape May'!K18,Cumberland!K18,Essex!K18,Gloucester!K18,Hudson!K18,Hunterdon!K18,Mercer!K18,Middlesex!K18,Monmouth!K18,Morris!K18,Ocean!K18,Passaic!K18,Salem!K18,Somerset!K18,Sussex!K18,Union!K18,Warren!K18)</f>
        <v>0</v>
      </c>
      <c r="L21" s="16">
        <f>SUM(Atlantic!L18,Bergen!L18,Burlington!L18,Camden!L18,'Cape May'!L18,Cumberland!L18,Essex!L18,Gloucester!L18,Hudson!L18,Hunterdon!L18,Mercer!L18,Middlesex!L18,Monmouth!L18,Morris!L18,Ocean!L18,Passaic!L18,Salem!L18,Somerset!L18,Sussex!L18,Union!L18,Warren!L18)</f>
        <v>0</v>
      </c>
      <c r="M21" s="16">
        <f>SUM(Atlantic!M18,Bergen!M18,Burlington!M18,Camden!M18,'Cape May'!M18,Cumberland!M18,Essex!M18,Gloucester!M18,Hudson!M18,Hunterdon!M18,Mercer!M18,Middlesex!M18,Monmouth!M18,Morris!M18,Ocean!M18,Passaic!M18,Salem!M18,Somerset!M18,Sussex!M18,Union!M18,Warren!M18)</f>
        <v>0</v>
      </c>
      <c r="N21" s="16">
        <f>SUM(Atlantic!N18,Bergen!N18,Burlington!N18,Camden!N18,'Cape May'!N18,Cumberland!N18,Essex!N18,Gloucester!N18,Hudson!N18,Hunterdon!N18,Mercer!N18,Middlesex!N18,Monmouth!N18,Morris!N18,Ocean!N18,Passaic!N18,Salem!N18,Somerset!N18,Sussex!N18,Union!N18,Warren!N18)</f>
        <v>0</v>
      </c>
      <c r="O21" s="16">
        <f>SUM(Atlantic!O18,Bergen!O18,Burlington!O18,Camden!O18,'Cape May'!O18,Cumberland!O18,Essex!O18,Gloucester!O18,Hudson!O18,Hunterdon!O18,Mercer!O18,Middlesex!O18,Monmouth!O18,Morris!O18,Ocean!O18,Passaic!O18,Salem!O18,Somerset!O18,Sussex!O18,Union!O18,Warren!O18)</f>
        <v>0</v>
      </c>
      <c r="P21" s="16">
        <f>SUM(Atlantic!P18,Bergen!P18,Burlington!P18,Camden!P18,'Cape May'!P18,Cumberland!P18,Essex!P18,Gloucester!P18,Hudson!P18,Hunterdon!P18,Mercer!P18,Middlesex!P18,Monmouth!P18,Morris!P18,Ocean!P18,Passaic!P18,Salem!P18,Somerset!P18,Sussex!P18,Union!P18,Warren!P18)</f>
        <v>0</v>
      </c>
      <c r="Q21" s="16">
        <f>IF($B$4=$X$19,M21*'Technology Assumptions'!B$34,IF('Bioenergy Calculator'!$B$4='Bioenergy Calculator'!$X$21,M21*'Technology Assumptions'!B$34,IF('Bioenergy Calculator'!$B$4='Bioenergy Calculator'!$X$20,'Bioenergy Calculator'!M21*'Technology Assumptions'!B$36,IF('Bioenergy Calculator'!$B$4='Bioenergy Calculator'!$X$23,'Bioenergy Calculator'!M21*'Technology Assumptions'!B$35,IF('Bioenergy Calculator'!$B$4='Bioenergy Calculator'!$X$22,'Bioenergy Calculator'!M21*'Technology Assumptions'!B$37,'Bioenergy Calculator'!M21)))))</f>
        <v>0</v>
      </c>
      <c r="R21" s="16">
        <f>IF($B$4=$X$19,N21*'Technology Assumptions'!C$34,IF('Bioenergy Calculator'!$B$4='Bioenergy Calculator'!$X$21,N21*'Technology Assumptions'!C$34,IF('Bioenergy Calculator'!$B$4='Bioenergy Calculator'!$X$20,'Bioenergy Calculator'!N21*'Technology Assumptions'!C$36,IF('Bioenergy Calculator'!$B$4='Bioenergy Calculator'!$X$23,'Bioenergy Calculator'!N21*'Technology Assumptions'!C$35,IF('Bioenergy Calculator'!$B$4='Bioenergy Calculator'!$X$22,'Bioenergy Calculator'!N21*'Technology Assumptions'!C$37,'Bioenergy Calculator'!N21)))))</f>
        <v>0</v>
      </c>
      <c r="S21" s="16">
        <f>IF($B$4=$X$19,O21*'Technology Assumptions'!D$34,IF('Bioenergy Calculator'!$B$4='Bioenergy Calculator'!$X$21,O21*'Technology Assumptions'!D$34,IF('Bioenergy Calculator'!$B$4='Bioenergy Calculator'!$X$20,'Bioenergy Calculator'!O21*'Technology Assumptions'!D$36,IF('Bioenergy Calculator'!$B$4='Bioenergy Calculator'!$X$23,'Bioenergy Calculator'!O21*'Technology Assumptions'!D$35,IF('Bioenergy Calculator'!$B$4='Bioenergy Calculator'!$X$22,'Bioenergy Calculator'!O21*'Technology Assumptions'!D$37,'Bioenergy Calculator'!O21)))))</f>
        <v>0</v>
      </c>
      <c r="T21" s="16">
        <f>IF($B$4=$X$19,P21*'Technology Assumptions'!E$34,IF('Bioenergy Calculator'!$B$4='Bioenergy Calculator'!$X$21,P21*'Technology Assumptions'!E$34,IF('Bioenergy Calculator'!$B$4='Bioenergy Calculator'!$X$20,'Bioenergy Calculator'!P21*'Technology Assumptions'!E$36,IF('Bioenergy Calculator'!$B$4='Bioenergy Calculator'!$X$23,'Bioenergy Calculator'!P21*'Technology Assumptions'!E$35,IF('Bioenergy Calculator'!$B$4='Bioenergy Calculator'!$X$22,'Bioenergy Calculator'!P21*'Technology Assumptions'!E$37,'Bioenergy Calculator'!P21)))))</f>
        <v>0</v>
      </c>
      <c r="X21" t="s">
        <v>461</v>
      </c>
    </row>
    <row r="22" spans="1:24" x14ac:dyDescent="0.25">
      <c r="A22" s="1065"/>
      <c r="B22" s="11" t="str">
        <f>Atlantic!B19</f>
        <v>Alfalfa Hay</v>
      </c>
      <c r="C22" s="294">
        <f>SUM(Atlantic!C19,Bergen!C19,Burlington!C19,Camden!C19,'Cape May'!C19,Cumberland!C19,Essex!C19,Gloucester!C19,Hudson!C19,Hunterdon!C19,Mercer!C19,Middlesex!C19,Monmouth!C19,Morris!C19,Ocean!C19,Passaic!C19,Salem!C19,Somerset!C19,Sussex!C19,Union!C19,Warren!C19)</f>
        <v>84725.28</v>
      </c>
      <c r="D22" s="294">
        <f>E22*'Conversion Tables'!C18</f>
        <v>0</v>
      </c>
      <c r="E22" s="294">
        <f>SUM(Atlantic!E19,Bergen!E19,Burlington!E19,Camden!E19,'Cape May'!E19,Cumberland!E19,Essex!E19,Gloucester!E19,Hudson!E19,Hunterdon!E19,Mercer!E19,Middlesex!E19,Monmouth!E19,Morris!E19,Ocean!E19,Passaic!E19,Salem!E19,Somerset!E19,Sussex!E19,Union!E19,Warren!E19)</f>
        <v>0</v>
      </c>
      <c r="F22" s="294">
        <f>SUM(Atlantic!F19,Bergen!F19,Burlington!F19,Camden!F19,'Cape May'!F19,Cumberland!F19,Essex!F19,Gloucester!F19,Hudson!F19,Hunterdon!F19,Mercer!F19,Middlesex!F19,Monmouth!F19,Morris!F19,Ocean!F19,Passaic!F19,Salem!F19,Somerset!F19,Sussex!F19,Union!F19,Warren!F19)</f>
        <v>0</v>
      </c>
      <c r="G22" s="294">
        <f>SUM(Atlantic!G19,Bergen!G19,Burlington!G19,Camden!G19,'Cape May'!G19,Cumberland!G19,Essex!G19,Gloucester!G19,Hudson!G19,Hunterdon!G19,Mercer!G19,Middlesex!G19,Monmouth!G19,Morris!G19,Ocean!G19,Passaic!G19,Salem!G19,Somerset!G19,Sussex!G19,Union!G19,Warren!G19)</f>
        <v>0</v>
      </c>
      <c r="H22" s="294">
        <f>SUM(Atlantic!H19,Bergen!H19,Burlington!H19,Camden!H19,'Cape May'!H19,Cumberland!H19,Essex!H19,Gloucester!H19,Hudson!H19,Hunterdon!H19,Mercer!H19,Middlesex!H19,Monmouth!H19,Morris!H19,Ocean!H19,Passaic!H19,Salem!H19,Somerset!H19,Sussex!H19,Union!H19,Warren!H19)</f>
        <v>0</v>
      </c>
      <c r="I22" s="16">
        <f>SUM(Atlantic!I19,Bergen!I19,Burlington!I19,Camden!I19,'Cape May'!I19,Cumberland!I19,Essex!I19,Gloucester!I19,Hudson!I19,Hunterdon!I19,Mercer!I19,Middlesex!I19,Monmouth!I19,Morris!I19,Ocean!I19,Passaic!I19,Salem!I19,Somerset!I19,Sussex!I19,Union!I19,Warren!I19)</f>
        <v>0</v>
      </c>
      <c r="J22" s="16">
        <f>SUM(Atlantic!J19,Bergen!J19,Burlington!J19,Camden!J19,'Cape May'!J19,Cumberland!J19,Essex!J19,Gloucester!J19,Hudson!J19,Hunterdon!J19,Mercer!J19,Middlesex!J19,Monmouth!J19,Morris!J19,Ocean!J19,Passaic!J19,Salem!J19,Somerset!J19,Sussex!J19,Union!J19,Warren!J19)</f>
        <v>0</v>
      </c>
      <c r="K22" s="16">
        <f>SUM(Atlantic!K19,Bergen!K19,Burlington!K19,Camden!K19,'Cape May'!K19,Cumberland!K19,Essex!K19,Gloucester!K19,Hudson!K19,Hunterdon!K19,Mercer!K19,Middlesex!K19,Monmouth!K19,Morris!K19,Ocean!K19,Passaic!K19,Salem!K19,Somerset!K19,Sussex!K19,Union!K19,Warren!K19)</f>
        <v>0</v>
      </c>
      <c r="L22" s="16">
        <f>SUM(Atlantic!L19,Bergen!L19,Burlington!L19,Camden!L19,'Cape May'!L19,Cumberland!L19,Essex!L19,Gloucester!L19,Hudson!L19,Hunterdon!L19,Mercer!L19,Middlesex!L19,Monmouth!L19,Morris!L19,Ocean!L19,Passaic!L19,Salem!L19,Somerset!L19,Sussex!L19,Union!L19,Warren!L19)</f>
        <v>0</v>
      </c>
      <c r="M22" s="16">
        <f>SUM(Atlantic!M19,Bergen!M19,Burlington!M19,Camden!M19,'Cape May'!M19,Cumberland!M19,Essex!M19,Gloucester!M19,Hudson!M19,Hunterdon!M19,Mercer!M19,Middlesex!M19,Monmouth!M19,Morris!M19,Ocean!M19,Passaic!M19,Salem!M19,Somerset!M19,Sussex!M19,Union!M19,Warren!M19)</f>
        <v>0</v>
      </c>
      <c r="N22" s="16">
        <f>SUM(Atlantic!N19,Bergen!N19,Burlington!N19,Camden!N19,'Cape May'!N19,Cumberland!N19,Essex!N19,Gloucester!N19,Hudson!N19,Hunterdon!N19,Mercer!N19,Middlesex!N19,Monmouth!N19,Morris!N19,Ocean!N19,Passaic!N19,Salem!N19,Somerset!N19,Sussex!N19,Union!N19,Warren!N19)</f>
        <v>0</v>
      </c>
      <c r="O22" s="16">
        <f>SUM(Atlantic!O19,Bergen!O19,Burlington!O19,Camden!O19,'Cape May'!O19,Cumberland!O19,Essex!O19,Gloucester!O19,Hudson!O19,Hunterdon!O19,Mercer!O19,Middlesex!O19,Monmouth!O19,Morris!O19,Ocean!O19,Passaic!O19,Salem!O19,Somerset!O19,Sussex!O19,Union!O19,Warren!O19)</f>
        <v>0</v>
      </c>
      <c r="P22" s="16">
        <f>SUM(Atlantic!P19,Bergen!P19,Burlington!P19,Camden!P19,'Cape May'!P19,Cumberland!P19,Essex!P19,Gloucester!P19,Hudson!P19,Hunterdon!P19,Mercer!P19,Middlesex!P19,Monmouth!P19,Morris!P19,Ocean!P19,Passaic!P19,Salem!P19,Somerset!P19,Sussex!P19,Union!P19,Warren!P19)</f>
        <v>0</v>
      </c>
      <c r="Q22" s="16">
        <f>IF($B$4=$X$19,M22*'Technology Assumptions'!B$34,IF('Bioenergy Calculator'!$B$4='Bioenergy Calculator'!$X$21,M22*'Technology Assumptions'!B$34,IF('Bioenergy Calculator'!$B$4='Bioenergy Calculator'!$X$20,'Bioenergy Calculator'!M22*'Technology Assumptions'!B$36,IF('Bioenergy Calculator'!$B$4='Bioenergy Calculator'!$X$23,'Bioenergy Calculator'!M22*'Technology Assumptions'!B$35,IF('Bioenergy Calculator'!$B$4='Bioenergy Calculator'!$X$22,'Bioenergy Calculator'!M22*'Technology Assumptions'!B$37,'Bioenergy Calculator'!M22)))))</f>
        <v>0</v>
      </c>
      <c r="R22" s="16">
        <f>IF($B$4=$X$19,N22*'Technology Assumptions'!C$34,IF('Bioenergy Calculator'!$B$4='Bioenergy Calculator'!$X$21,N22*'Technology Assumptions'!C$34,IF('Bioenergy Calculator'!$B$4='Bioenergy Calculator'!$X$20,'Bioenergy Calculator'!N22*'Technology Assumptions'!C$36,IF('Bioenergy Calculator'!$B$4='Bioenergy Calculator'!$X$23,'Bioenergy Calculator'!N22*'Technology Assumptions'!C$35,IF('Bioenergy Calculator'!$B$4='Bioenergy Calculator'!$X$22,'Bioenergy Calculator'!N22*'Technology Assumptions'!C$37,'Bioenergy Calculator'!N22)))))</f>
        <v>0</v>
      </c>
      <c r="S22" s="16">
        <f>IF($B$4=$X$19,O22*'Technology Assumptions'!D$34,IF('Bioenergy Calculator'!$B$4='Bioenergy Calculator'!$X$21,O22*'Technology Assumptions'!D$34,IF('Bioenergy Calculator'!$B$4='Bioenergy Calculator'!$X$20,'Bioenergy Calculator'!O22*'Technology Assumptions'!D$36,IF('Bioenergy Calculator'!$B$4='Bioenergy Calculator'!$X$23,'Bioenergy Calculator'!O22*'Technology Assumptions'!D$35,IF('Bioenergy Calculator'!$B$4='Bioenergy Calculator'!$X$22,'Bioenergy Calculator'!O22*'Technology Assumptions'!D$37,'Bioenergy Calculator'!O22)))))</f>
        <v>0</v>
      </c>
      <c r="T22" s="16">
        <f>IF($B$4=$X$19,P22*'Technology Assumptions'!E$34,IF('Bioenergy Calculator'!$B$4='Bioenergy Calculator'!$X$21,P22*'Technology Assumptions'!E$34,IF('Bioenergy Calculator'!$B$4='Bioenergy Calculator'!$X$20,'Bioenergy Calculator'!P22*'Technology Assumptions'!E$36,IF('Bioenergy Calculator'!$B$4='Bioenergy Calculator'!$X$23,'Bioenergy Calculator'!P22*'Technology Assumptions'!E$35,IF('Bioenergy Calculator'!$B$4='Bioenergy Calculator'!$X$22,'Bioenergy Calculator'!P22*'Technology Assumptions'!E$37,'Bioenergy Calculator'!P22)))))</f>
        <v>0</v>
      </c>
      <c r="X22" t="s">
        <v>279</v>
      </c>
    </row>
    <row r="23" spans="1:24" x14ac:dyDescent="0.25">
      <c r="A23" s="1065"/>
      <c r="B23" s="11" t="str">
        <f>Atlantic!B20</f>
        <v>Other Hay</v>
      </c>
      <c r="C23" s="294">
        <f>SUM(Atlantic!C20,Bergen!C20,Burlington!C20,Camden!C20,'Cape May'!C20,Cumberland!C20,Essex!C20,Gloucester!C20,Hudson!C20,Hunterdon!C20,Mercer!C20,Middlesex!C20,Monmouth!C20,Morris!C20,Ocean!C20,Passaic!C20,Salem!C20,Somerset!C20,Sussex!C20,Union!C20,Warren!C20)</f>
        <v>135337.25499999998</v>
      </c>
      <c r="D23" s="294">
        <f>E23*'Conversion Tables'!C19</f>
        <v>1055630.5889999997</v>
      </c>
      <c r="E23" s="294">
        <f>SUM(Atlantic!E20,Bergen!E20,Burlington!E20,Camden!E20,'Cape May'!E20,Cumberland!E20,Essex!E20,Gloucester!E20,Hudson!E20,Hunterdon!E20,Mercer!E20,Middlesex!E20,Monmouth!E20,Morris!E20,Ocean!E20,Passaic!E20,Salem!E20,Somerset!E20,Sussex!E20,Union!E20,Warren!E20)</f>
        <v>67668.627499999988</v>
      </c>
      <c r="F23" s="294">
        <f>SUM(Atlantic!F20,Bergen!F20,Burlington!F20,Camden!F20,'Cape May'!F20,Cumberland!F20,Essex!F20,Gloucester!F20,Hudson!F20,Hunterdon!F20,Mercer!F20,Middlesex!F20,Monmouth!F20,Morris!F20,Ocean!F20,Passaic!F20,Salem!F20,Somerset!F20,Sussex!F20,Union!F20,Warren!F20)</f>
        <v>67668.627499999988</v>
      </c>
      <c r="G23" s="294">
        <f>SUM(Atlantic!G20,Bergen!G20,Burlington!G20,Camden!G20,'Cape May'!G20,Cumberland!G20,Essex!G20,Gloucester!G20,Hudson!G20,Hunterdon!G20,Mercer!G20,Middlesex!G20,Monmouth!G20,Morris!G20,Ocean!G20,Passaic!G20,Salem!G20,Somerset!G20,Sussex!G20,Union!G20,Warren!G20)</f>
        <v>67668.627499999988</v>
      </c>
      <c r="H23" s="294">
        <f>SUM(Atlantic!H20,Bergen!H20,Burlington!H20,Camden!H20,'Cape May'!H20,Cumberland!H20,Essex!H20,Gloucester!H20,Hudson!H20,Hunterdon!H20,Mercer!H20,Middlesex!H20,Monmouth!H20,Morris!H20,Ocean!H20,Passaic!H20,Salem!H20,Somerset!H20,Sussex!H20,Union!H20,Warren!H20)</f>
        <v>67668.627499999988</v>
      </c>
      <c r="I23" s="16">
        <f>SUM(Atlantic!I20,Bergen!I20,Burlington!I20,Camden!I20,'Cape May'!I20,Cumberland!I20,Essex!I20,Gloucester!I20,Hudson!I20,Hunterdon!I20,Mercer!I20,Middlesex!I20,Monmouth!I20,Morris!I20,Ocean!I20,Passaic!I20,Salem!I20,Somerset!I20,Sussex!I20,Union!I20,Warren!I20)</f>
        <v>0</v>
      </c>
      <c r="J23" s="16">
        <f>SUM(Atlantic!J20,Bergen!J20,Burlington!J20,Camden!J20,'Cape May'!J20,Cumberland!J20,Essex!J20,Gloucester!J20,Hudson!J20,Hunterdon!J20,Mercer!J20,Middlesex!J20,Monmouth!J20,Morris!J20,Ocean!J20,Passaic!J20,Salem!J20,Somerset!J20,Sussex!J20,Union!J20,Warren!J20)</f>
        <v>0</v>
      </c>
      <c r="K23" s="16">
        <f>SUM(Atlantic!K20,Bergen!K20,Burlington!K20,Camden!K20,'Cape May'!K20,Cumberland!K20,Essex!K20,Gloucester!K20,Hudson!K20,Hunterdon!K20,Mercer!K20,Middlesex!K20,Monmouth!K20,Morris!K20,Ocean!K20,Passaic!K20,Salem!K20,Somerset!K20,Sussex!K20,Union!K20,Warren!K20)</f>
        <v>0</v>
      </c>
      <c r="L23" s="16">
        <f>SUM(Atlantic!L20,Bergen!L20,Burlington!L20,Camden!L20,'Cape May'!L20,Cumberland!L20,Essex!L20,Gloucester!L20,Hudson!L20,Hunterdon!L20,Mercer!L20,Middlesex!L20,Monmouth!L20,Morris!L20,Ocean!L20,Passaic!L20,Salem!L20,Somerset!L20,Sussex!L20,Union!L20,Warren!L20)</f>
        <v>0</v>
      </c>
      <c r="M23" s="16">
        <f>SUM(Atlantic!M20,Bergen!M20,Burlington!M20,Camden!M20,'Cape May'!M20,Cumberland!M20,Essex!M20,Gloucester!M20,Hudson!M20,Hunterdon!M20,Mercer!M20,Middlesex!M20,Monmouth!M20,Morris!M20,Ocean!M20,Passaic!M20,Salem!M20,Somerset!M20,Sussex!M20,Union!M20,Warren!M20)</f>
        <v>0</v>
      </c>
      <c r="N23" s="16">
        <f>SUM(Atlantic!N20,Bergen!N20,Burlington!N20,Camden!N20,'Cape May'!N20,Cumberland!N20,Essex!N20,Gloucester!N20,Hudson!N20,Hunterdon!N20,Mercer!N20,Middlesex!N20,Monmouth!N20,Morris!N20,Ocean!N20,Passaic!N20,Salem!N20,Somerset!N20,Sussex!N20,Union!N20,Warren!N20)</f>
        <v>0</v>
      </c>
      <c r="O23" s="16">
        <f>SUM(Atlantic!O20,Bergen!O20,Burlington!O20,Camden!O20,'Cape May'!O20,Cumberland!O20,Essex!O20,Gloucester!O20,Hudson!O20,Hunterdon!O20,Mercer!O20,Middlesex!O20,Monmouth!O20,Morris!O20,Ocean!O20,Passaic!O20,Salem!O20,Somerset!O20,Sussex!O20,Union!O20,Warren!O20)</f>
        <v>0</v>
      </c>
      <c r="P23" s="16">
        <f>SUM(Atlantic!P20,Bergen!P20,Burlington!P20,Camden!P20,'Cape May'!P20,Cumberland!P20,Essex!P20,Gloucester!P20,Hudson!P20,Hunterdon!P20,Mercer!P20,Middlesex!P20,Monmouth!P20,Morris!P20,Ocean!P20,Passaic!P20,Salem!P20,Somerset!P20,Sussex!P20,Union!P20,Warren!P20)</f>
        <v>0</v>
      </c>
      <c r="Q23" s="16">
        <f>IF($B$4=$X$19,M23*'Technology Assumptions'!B$34,IF('Bioenergy Calculator'!$B$4='Bioenergy Calculator'!$X$21,M23*'Technology Assumptions'!B$34,IF('Bioenergy Calculator'!$B$4='Bioenergy Calculator'!$X$20,'Bioenergy Calculator'!M23*'Technology Assumptions'!B$36,IF('Bioenergy Calculator'!$B$4='Bioenergy Calculator'!$X$23,'Bioenergy Calculator'!M23*'Technology Assumptions'!B$35,IF('Bioenergy Calculator'!$B$4='Bioenergy Calculator'!$X$22,'Bioenergy Calculator'!M23*'Technology Assumptions'!B$37,'Bioenergy Calculator'!M23)))))</f>
        <v>0</v>
      </c>
      <c r="R23" s="16">
        <f>IF($B$4=$X$19,N23*'Technology Assumptions'!C$34,IF('Bioenergy Calculator'!$B$4='Bioenergy Calculator'!$X$21,N23*'Technology Assumptions'!C$34,IF('Bioenergy Calculator'!$B$4='Bioenergy Calculator'!$X$20,'Bioenergy Calculator'!N23*'Technology Assumptions'!C$36,IF('Bioenergy Calculator'!$B$4='Bioenergy Calculator'!$X$23,'Bioenergy Calculator'!N23*'Technology Assumptions'!C$35,IF('Bioenergy Calculator'!$B$4='Bioenergy Calculator'!$X$22,'Bioenergy Calculator'!N23*'Technology Assumptions'!C$37,'Bioenergy Calculator'!N23)))))</f>
        <v>0</v>
      </c>
      <c r="S23" s="16">
        <f>IF($B$4=$X$19,O23*'Technology Assumptions'!D$34,IF('Bioenergy Calculator'!$B$4='Bioenergy Calculator'!$X$21,O23*'Technology Assumptions'!D$34,IF('Bioenergy Calculator'!$B$4='Bioenergy Calculator'!$X$20,'Bioenergy Calculator'!O23*'Technology Assumptions'!D$36,IF('Bioenergy Calculator'!$B$4='Bioenergy Calculator'!$X$23,'Bioenergy Calculator'!O23*'Technology Assumptions'!D$35,IF('Bioenergy Calculator'!$B$4='Bioenergy Calculator'!$X$22,'Bioenergy Calculator'!O23*'Technology Assumptions'!D$37,'Bioenergy Calculator'!O23)))))</f>
        <v>0</v>
      </c>
      <c r="T23" s="16">
        <f>IF($B$4=$X$19,P23*'Technology Assumptions'!E$34,IF('Bioenergy Calculator'!$B$4='Bioenergy Calculator'!$X$21,P23*'Technology Assumptions'!E$34,IF('Bioenergy Calculator'!$B$4='Bioenergy Calculator'!$X$20,'Bioenergy Calculator'!P23*'Technology Assumptions'!E$36,IF('Bioenergy Calculator'!$B$4='Bioenergy Calculator'!$X$23,'Bioenergy Calculator'!P23*'Technology Assumptions'!E$35,IF('Bioenergy Calculator'!$B$4='Bioenergy Calculator'!$X$22,'Bioenergy Calculator'!P23*'Technology Assumptions'!E$37,'Bioenergy Calculator'!P23)))))</f>
        <v>0</v>
      </c>
      <c r="X23" t="s">
        <v>459</v>
      </c>
    </row>
    <row r="24" spans="1:24" x14ac:dyDescent="0.25">
      <c r="A24" s="1065"/>
      <c r="B24" s="11" t="str">
        <f>Atlantic!B21</f>
        <v>Wheat</v>
      </c>
      <c r="C24" s="294">
        <f>SUM(Atlantic!C21,Bergen!C21,Burlington!C21,Camden!C21,'Cape May'!C21,Cumberland!C21,Essex!C21,Gloucester!C21,Hudson!C21,Hunterdon!C21,Mercer!C21,Middlesex!C21,Monmouth!C21,Morris!C21,Ocean!C21,Passaic!C21,Salem!C21,Somerset!C21,Sussex!C21,Union!C21,Warren!C21)</f>
        <v>38846.062499999993</v>
      </c>
      <c r="D24" s="294">
        <f>E24*'Conversion Tables'!C20</f>
        <v>0</v>
      </c>
      <c r="E24" s="294">
        <f>SUM(Atlantic!E21,Bergen!E21,Burlington!E21,Camden!E21,'Cape May'!E21,Cumberland!E21,Essex!E21,Gloucester!E21,Hudson!E21,Hunterdon!E21,Mercer!E21,Middlesex!E21,Monmouth!E21,Morris!E21,Ocean!E21,Passaic!E21,Salem!E21,Somerset!E21,Sussex!E21,Union!E21,Warren!E21)</f>
        <v>0</v>
      </c>
      <c r="F24" s="294">
        <f>SUM(Atlantic!F21,Bergen!F21,Burlington!F21,Camden!F21,'Cape May'!F21,Cumberland!F21,Essex!F21,Gloucester!F21,Hudson!F21,Hunterdon!F21,Mercer!F21,Middlesex!F21,Monmouth!F21,Morris!F21,Ocean!F21,Passaic!F21,Salem!F21,Somerset!F21,Sussex!F21,Union!F21,Warren!F21)</f>
        <v>0</v>
      </c>
      <c r="G24" s="294">
        <f>SUM(Atlantic!G21,Bergen!G21,Burlington!G21,Camden!G21,'Cape May'!G21,Cumberland!G21,Essex!G21,Gloucester!G21,Hudson!G21,Hunterdon!G21,Mercer!G21,Middlesex!G21,Monmouth!G21,Morris!G21,Ocean!G21,Passaic!G21,Salem!G21,Somerset!G21,Sussex!G21,Union!G21,Warren!G21)</f>
        <v>0</v>
      </c>
      <c r="H24" s="294">
        <f>SUM(Atlantic!H21,Bergen!H21,Burlington!H21,Camden!H21,'Cape May'!H21,Cumberland!H21,Essex!H21,Gloucester!H21,Hudson!H21,Hunterdon!H21,Mercer!H21,Middlesex!H21,Monmouth!H21,Morris!H21,Ocean!H21,Passaic!H21,Salem!H21,Somerset!H21,Sussex!H21,Union!H21,Warren!H21)</f>
        <v>0</v>
      </c>
      <c r="I24" s="16">
        <f>SUM(Atlantic!I21,Bergen!I21,Burlington!I21,Camden!I21,'Cape May'!I21,Cumberland!I21,Essex!I21,Gloucester!I21,Hudson!I21,Hunterdon!I21,Mercer!I21,Middlesex!I21,Monmouth!I21,Morris!I21,Ocean!I21,Passaic!I21,Salem!I21,Somerset!I21,Sussex!I21,Union!I21,Warren!I21)</f>
        <v>0</v>
      </c>
      <c r="J24" s="16">
        <f>SUM(Atlantic!J21,Bergen!J21,Burlington!J21,Camden!J21,'Cape May'!J21,Cumberland!J21,Essex!J21,Gloucester!J21,Hudson!J21,Hunterdon!J21,Mercer!J21,Middlesex!J21,Monmouth!J21,Morris!J21,Ocean!J21,Passaic!J21,Salem!J21,Somerset!J21,Sussex!J21,Union!J21,Warren!J21)</f>
        <v>0</v>
      </c>
      <c r="K24" s="16">
        <f>SUM(Atlantic!K21,Bergen!K21,Burlington!K21,Camden!K21,'Cape May'!K21,Cumberland!K21,Essex!K21,Gloucester!K21,Hudson!K21,Hunterdon!K21,Mercer!K21,Middlesex!K21,Monmouth!K21,Morris!K21,Ocean!K21,Passaic!K21,Salem!K21,Somerset!K21,Sussex!K21,Union!K21,Warren!K21)</f>
        <v>0</v>
      </c>
      <c r="L24" s="16">
        <f>SUM(Atlantic!L21,Bergen!L21,Burlington!L21,Camden!L21,'Cape May'!L21,Cumberland!L21,Essex!L21,Gloucester!L21,Hudson!L21,Hunterdon!L21,Mercer!L21,Middlesex!L21,Monmouth!L21,Morris!L21,Ocean!L21,Passaic!L21,Salem!L21,Somerset!L21,Sussex!L21,Union!L21,Warren!L21)</f>
        <v>0</v>
      </c>
      <c r="M24" s="16">
        <f>SUM(Atlantic!M21,Bergen!M21,Burlington!M21,Camden!M21,'Cape May'!M21,Cumberland!M21,Essex!M21,Gloucester!M21,Hudson!M21,Hunterdon!M21,Mercer!M21,Middlesex!M21,Monmouth!M21,Morris!M21,Ocean!M21,Passaic!M21,Salem!M21,Somerset!M21,Sussex!M21,Union!M21,Warren!M21)</f>
        <v>0</v>
      </c>
      <c r="N24" s="16">
        <f>SUM(Atlantic!N21,Bergen!N21,Burlington!N21,Camden!N21,'Cape May'!N21,Cumberland!N21,Essex!N21,Gloucester!N21,Hudson!N21,Hunterdon!N21,Mercer!N21,Middlesex!N21,Monmouth!N21,Morris!N21,Ocean!N21,Passaic!N21,Salem!N21,Somerset!N21,Sussex!N21,Union!N21,Warren!N21)</f>
        <v>0</v>
      </c>
      <c r="O24" s="16">
        <f>SUM(Atlantic!O21,Bergen!O21,Burlington!O21,Camden!O21,'Cape May'!O21,Cumberland!O21,Essex!O21,Gloucester!O21,Hudson!O21,Hunterdon!O21,Mercer!O21,Middlesex!O21,Monmouth!O21,Morris!O21,Ocean!O21,Passaic!O21,Salem!O21,Somerset!O21,Sussex!O21,Union!O21,Warren!O21)</f>
        <v>0</v>
      </c>
      <c r="P24" s="16">
        <f>SUM(Atlantic!P21,Bergen!P21,Burlington!P21,Camden!P21,'Cape May'!P21,Cumberland!P21,Essex!P21,Gloucester!P21,Hudson!P21,Hunterdon!P21,Mercer!P21,Middlesex!P21,Monmouth!P21,Morris!P21,Ocean!P21,Passaic!P21,Salem!P21,Somerset!P21,Sussex!P21,Union!P21,Warren!P21)</f>
        <v>0</v>
      </c>
      <c r="Q24" s="16">
        <f>IF($B$4=$X$19,M24*'Technology Assumptions'!B$34,IF('Bioenergy Calculator'!$B$4='Bioenergy Calculator'!$X$21,M24*'Technology Assumptions'!B$34,IF('Bioenergy Calculator'!$B$4='Bioenergy Calculator'!$X$20,'Bioenergy Calculator'!M24*'Technology Assumptions'!B$36,IF('Bioenergy Calculator'!$B$4='Bioenergy Calculator'!$X$23,'Bioenergy Calculator'!M24*'Technology Assumptions'!B$35,IF('Bioenergy Calculator'!$B$4='Bioenergy Calculator'!$X$22,'Bioenergy Calculator'!M24*'Technology Assumptions'!B$37,'Bioenergy Calculator'!M24)))))</f>
        <v>0</v>
      </c>
      <c r="R24" s="16">
        <f>IF($B$4=$X$19,N24*'Technology Assumptions'!C$34,IF('Bioenergy Calculator'!$B$4='Bioenergy Calculator'!$X$21,N24*'Technology Assumptions'!C$34,IF('Bioenergy Calculator'!$B$4='Bioenergy Calculator'!$X$20,'Bioenergy Calculator'!N24*'Technology Assumptions'!C$36,IF('Bioenergy Calculator'!$B$4='Bioenergy Calculator'!$X$23,'Bioenergy Calculator'!N24*'Technology Assumptions'!C$35,IF('Bioenergy Calculator'!$B$4='Bioenergy Calculator'!$X$22,'Bioenergy Calculator'!N24*'Technology Assumptions'!C$37,'Bioenergy Calculator'!N24)))))</f>
        <v>0</v>
      </c>
      <c r="S24" s="16">
        <f>IF($B$4=$X$19,O24*'Technology Assumptions'!D$34,IF('Bioenergy Calculator'!$B$4='Bioenergy Calculator'!$X$21,O24*'Technology Assumptions'!D$34,IF('Bioenergy Calculator'!$B$4='Bioenergy Calculator'!$X$20,'Bioenergy Calculator'!O24*'Technology Assumptions'!D$36,IF('Bioenergy Calculator'!$B$4='Bioenergy Calculator'!$X$23,'Bioenergy Calculator'!O24*'Technology Assumptions'!D$35,IF('Bioenergy Calculator'!$B$4='Bioenergy Calculator'!$X$22,'Bioenergy Calculator'!O24*'Technology Assumptions'!D$37,'Bioenergy Calculator'!O24)))))</f>
        <v>0</v>
      </c>
      <c r="T24" s="16">
        <f>IF($B$4=$X$19,P24*'Technology Assumptions'!E$34,IF('Bioenergy Calculator'!$B$4='Bioenergy Calculator'!$X$21,P24*'Technology Assumptions'!E$34,IF('Bioenergy Calculator'!$B$4='Bioenergy Calculator'!$X$20,'Bioenergy Calculator'!P24*'Technology Assumptions'!E$36,IF('Bioenergy Calculator'!$B$4='Bioenergy Calculator'!$X$23,'Bioenergy Calculator'!P24*'Technology Assumptions'!E$35,IF('Bioenergy Calculator'!$B$4='Bioenergy Calculator'!$X$22,'Bioenergy Calculator'!P24*'Technology Assumptions'!E$37,'Bioenergy Calculator'!P24)))))</f>
        <v>0</v>
      </c>
      <c r="X24" t="s">
        <v>278</v>
      </c>
    </row>
    <row r="25" spans="1:24" x14ac:dyDescent="0.25">
      <c r="A25" s="1065"/>
      <c r="B25" s="839" t="str">
        <f>Atlantic!B22</f>
        <v>Forestry Residues</v>
      </c>
      <c r="C25" s="294">
        <f>SUM(Atlantic!C22,Bergen!C22,Burlington!C22,Camden!C22,'Cape May'!C22,Cumberland!C22,Essex!C22,Gloucester!C22,Hudson!C22,Hunterdon!C22,Mercer!C22,Middlesex!C22,Monmouth!C22,Morris!C22,Ocean!C22,Passaic!C22,Salem!C22,Somerset!C22,Sussex!C22,Union!C22,Warren!C22)</f>
        <v>916426</v>
      </c>
      <c r="D25" s="294">
        <f>E25*'Conversion Tables'!C21</f>
        <v>7148122.7999999998</v>
      </c>
      <c r="E25" s="294">
        <f>SUM(Atlantic!E22,Bergen!E22,Burlington!E22,Camden!E22,'Cape May'!E22,Cumberland!E22,Essex!E22,Gloucester!E22,Hudson!E22,Hunterdon!E22,Mercer!E22,Middlesex!E22,Monmouth!E22,Morris!E22,Ocean!E22,Passaic!E22,Salem!E22,Somerset!E22,Sussex!E22,Union!E22,Warren!E22)</f>
        <v>458213</v>
      </c>
      <c r="F25" s="294">
        <f>SUM(Atlantic!F22,Bergen!F22,Burlington!F22,Camden!F22,'Cape May'!F22,Cumberland!F22,Essex!F22,Gloucester!F22,Hudson!F22,Hunterdon!F22,Mercer!F22,Middlesex!F22,Monmouth!F22,Morris!F22,Ocean!F22,Passaic!F22,Salem!F22,Somerset!F22,Sussex!F22,Union!F22,Warren!F22)</f>
        <v>458213</v>
      </c>
      <c r="G25" s="294">
        <f>SUM(Atlantic!G22,Bergen!G22,Burlington!G22,Camden!G22,'Cape May'!G22,Cumberland!G22,Essex!G22,Gloucester!G22,Hudson!G22,Hunterdon!G22,Mercer!G22,Middlesex!G22,Monmouth!G22,Morris!G22,Ocean!G22,Passaic!G22,Salem!G22,Somerset!G22,Sussex!G22,Union!G22,Warren!G22)</f>
        <v>458213</v>
      </c>
      <c r="H25" s="294">
        <f>SUM(Atlantic!H22,Bergen!H22,Burlington!H22,Camden!H22,'Cape May'!H22,Cumberland!H22,Essex!H22,Gloucester!H22,Hudson!H22,Hunterdon!H22,Mercer!H22,Middlesex!H22,Monmouth!H22,Morris!H22,Ocean!H22,Passaic!H22,Salem!H22,Somerset!H22,Sussex!H22,Union!H22,Warren!H22)</f>
        <v>458213</v>
      </c>
      <c r="I25" s="16">
        <f>SUM(Atlantic!I22,Bergen!I22,Burlington!I22,Camden!I22,'Cape May'!I22,Cumberland!I22,Essex!I22,Gloucester!I22,Hudson!I22,Hunterdon!I22,Mercer!I22,Middlesex!I22,Monmouth!I22,Morris!I22,Ocean!I22,Passaic!I22,Salem!I22,Somerset!I22,Sussex!I22,Union!I22,Warren!I22)</f>
        <v>0</v>
      </c>
      <c r="J25" s="16">
        <f>SUM(Atlantic!J22,Bergen!J22,Burlington!J22,Camden!J22,'Cape May'!J22,Cumberland!J22,Essex!J22,Gloucester!J22,Hudson!J22,Hunterdon!J22,Mercer!J22,Middlesex!J22,Monmouth!J22,Morris!J22,Ocean!J22,Passaic!J22,Salem!J22,Somerset!J22,Sussex!J22,Union!J22,Warren!J22)</f>
        <v>0</v>
      </c>
      <c r="K25" s="16">
        <f>SUM(Atlantic!K22,Bergen!K22,Burlington!K22,Camden!K22,'Cape May'!K22,Cumberland!K22,Essex!K22,Gloucester!K22,Hudson!K22,Hunterdon!K22,Mercer!K22,Middlesex!K22,Monmouth!K22,Morris!K22,Ocean!K22,Passaic!K22,Salem!K22,Somerset!K22,Sussex!K22,Union!K22,Warren!K22)</f>
        <v>0</v>
      </c>
      <c r="L25" s="16">
        <f>SUM(Atlantic!L22,Bergen!L22,Burlington!L22,Camden!L22,'Cape May'!L22,Cumberland!L22,Essex!L22,Gloucester!L22,Hudson!L22,Hunterdon!L22,Mercer!L22,Middlesex!L22,Monmouth!L22,Morris!L22,Ocean!L22,Passaic!L22,Salem!L22,Somerset!L22,Sussex!L22,Union!L22,Warren!L22)</f>
        <v>0</v>
      </c>
      <c r="M25" s="16">
        <f>SUM(Atlantic!M22,Bergen!M22,Burlington!M22,Camden!M22,'Cape May'!M22,Cumberland!M22,Essex!M22,Gloucester!M22,Hudson!M22,Hunterdon!M22,Mercer!M22,Middlesex!M22,Monmouth!M22,Morris!M22,Ocean!M22,Passaic!M22,Salem!M22,Somerset!M22,Sussex!M22,Union!M22,Warren!M22)</f>
        <v>0</v>
      </c>
      <c r="N25" s="16">
        <f>SUM(Atlantic!N22,Bergen!N22,Burlington!N22,Camden!N22,'Cape May'!N22,Cumberland!N22,Essex!N22,Gloucester!N22,Hudson!N22,Hunterdon!N22,Mercer!N22,Middlesex!N22,Monmouth!N22,Morris!N22,Ocean!N22,Passaic!N22,Salem!N22,Somerset!N22,Sussex!N22,Union!N22,Warren!N22)</f>
        <v>0</v>
      </c>
      <c r="O25" s="16">
        <f>SUM(Atlantic!O22,Bergen!O22,Burlington!O22,Camden!O22,'Cape May'!O22,Cumberland!O22,Essex!O22,Gloucester!O22,Hudson!O22,Hunterdon!O22,Mercer!O22,Middlesex!O22,Monmouth!O22,Morris!O22,Ocean!O22,Passaic!O22,Salem!O22,Somerset!O22,Sussex!O22,Union!O22,Warren!O22)</f>
        <v>0</v>
      </c>
      <c r="P25" s="16">
        <f>SUM(Atlantic!P22,Bergen!P22,Burlington!P22,Camden!P22,'Cape May'!P22,Cumberland!P22,Essex!P22,Gloucester!P22,Hudson!P22,Hunterdon!P22,Mercer!P22,Middlesex!P22,Monmouth!P22,Morris!P22,Ocean!P22,Passaic!P22,Salem!P22,Somerset!P22,Sussex!P22,Union!P22,Warren!P22)</f>
        <v>0</v>
      </c>
      <c r="Q25" s="16">
        <f>IF($B$4=$X$19,M25*'Technology Assumptions'!B$34,IF('Bioenergy Calculator'!$B$4='Bioenergy Calculator'!$X$21,M25*'Technology Assumptions'!B$34,IF('Bioenergy Calculator'!$B$4='Bioenergy Calculator'!$X$20,'Bioenergy Calculator'!M25*'Technology Assumptions'!B$36,IF('Bioenergy Calculator'!$B$4='Bioenergy Calculator'!$X$23,'Bioenergy Calculator'!M25*'Technology Assumptions'!B$35,IF('Bioenergy Calculator'!$B$4='Bioenergy Calculator'!$X$22,'Bioenergy Calculator'!M25*'Technology Assumptions'!B$37,'Bioenergy Calculator'!M25)))))</f>
        <v>0</v>
      </c>
      <c r="R25" s="16">
        <f>IF($B$4=$X$19,N25*'Technology Assumptions'!C$34,IF('Bioenergy Calculator'!$B$4='Bioenergy Calculator'!$X$21,N25*'Technology Assumptions'!C$34,IF('Bioenergy Calculator'!$B$4='Bioenergy Calculator'!$X$20,'Bioenergy Calculator'!N25*'Technology Assumptions'!C$36,IF('Bioenergy Calculator'!$B$4='Bioenergy Calculator'!$X$23,'Bioenergy Calculator'!N25*'Technology Assumptions'!C$35,IF('Bioenergy Calculator'!$B$4='Bioenergy Calculator'!$X$22,'Bioenergy Calculator'!N25*'Technology Assumptions'!C$37,'Bioenergy Calculator'!N25)))))</f>
        <v>0</v>
      </c>
      <c r="S25" s="16">
        <f>IF($B$4=$X$19,O25*'Technology Assumptions'!D$34,IF('Bioenergy Calculator'!$B$4='Bioenergy Calculator'!$X$21,O25*'Technology Assumptions'!D$34,IF('Bioenergy Calculator'!$B$4='Bioenergy Calculator'!$X$20,'Bioenergy Calculator'!O25*'Technology Assumptions'!D$36,IF('Bioenergy Calculator'!$B$4='Bioenergy Calculator'!$X$23,'Bioenergy Calculator'!O25*'Technology Assumptions'!D$35,IF('Bioenergy Calculator'!$B$4='Bioenergy Calculator'!$X$22,'Bioenergy Calculator'!O25*'Technology Assumptions'!D$37,'Bioenergy Calculator'!O25)))))</f>
        <v>0</v>
      </c>
      <c r="T25" s="16">
        <f>IF($B$4=$X$19,P25*'Technology Assumptions'!E$34,IF('Bioenergy Calculator'!$B$4='Bioenergy Calculator'!$X$21,P25*'Technology Assumptions'!E$34,IF('Bioenergy Calculator'!$B$4='Bioenergy Calculator'!$X$20,'Bioenergy Calculator'!P25*'Technology Assumptions'!E$36,IF('Bioenergy Calculator'!$B$4='Bioenergy Calculator'!$X$23,'Bioenergy Calculator'!P25*'Technology Assumptions'!E$35,IF('Bioenergy Calculator'!$B$4='Bioenergy Calculator'!$X$22,'Bioenergy Calculator'!P25*'Technology Assumptions'!E$37,'Bioenergy Calculator'!P25)))))</f>
        <v>0</v>
      </c>
      <c r="X25" t="s">
        <v>277</v>
      </c>
    </row>
    <row r="26" spans="1:24" x14ac:dyDescent="0.25">
      <c r="A26" s="1065"/>
      <c r="B26" s="129" t="s">
        <v>302</v>
      </c>
      <c r="C26" s="294">
        <f>SUM(Atlantic!C23,Bergen!C23,Burlington!C23,Camden!C23,'Cape May'!C23,Cumberland!C23,Essex!C23,Gloucester!C23,Hudson!C23,Hunterdon!C23,Mercer!C23,Middlesex!C23,Monmouth!C23,Morris!C23,Ocean!C23,Passaic!C23,Salem!C23,Somerset!C23,Sussex!C23,Union!C23,Warren!C23)</f>
        <v>125562.10000000002</v>
      </c>
      <c r="D26" s="294">
        <f>E26*'Conversion Tables'!C22</f>
        <v>2051182.4656000002</v>
      </c>
      <c r="E26" s="294">
        <f>SUM(Atlantic!E23,Bergen!E23,Burlington!E23,Camden!E23,'Cape May'!E23,Cumberland!E23,Essex!E23,Gloucester!E23,Hudson!E23,Hunterdon!E23,Mercer!E23,Middlesex!E23,Monmouth!E23,Morris!E23,Ocean!E23,Passaic!E23,Salem!E23,Somerset!E23,Sussex!E23,Union!E23,Warren!E23)</f>
        <v>125562.10000000002</v>
      </c>
      <c r="F26" s="294">
        <f>SUM(Atlantic!F23,Bergen!F23,Burlington!F23,Camden!F23,'Cape May'!F23,Cumberland!F23,Essex!F23,Gloucester!F23,Hudson!F23,Hunterdon!F23,Mercer!F23,Middlesex!F23,Monmouth!F23,Morris!F23,Ocean!F23,Passaic!F23,Salem!F23,Somerset!F23,Sussex!F23,Union!F23,Warren!F23)</f>
        <v>125562.10000000002</v>
      </c>
      <c r="G26" s="294">
        <f>SUM(Atlantic!G23,Bergen!G23,Burlington!G23,Camden!G23,'Cape May'!G23,Cumberland!G23,Essex!G23,Gloucester!G23,Hudson!G23,Hunterdon!G23,Mercer!G23,Middlesex!G23,Monmouth!G23,Morris!G23,Ocean!G23,Passaic!G23,Salem!G23,Somerset!G23,Sussex!G23,Union!G23,Warren!G23)</f>
        <v>125562.10000000002</v>
      </c>
      <c r="H26" s="294">
        <f>SUM(Atlantic!H23,Bergen!H23,Burlington!H23,Camden!H23,'Cape May'!H23,Cumberland!H23,Essex!H23,Gloucester!H23,Hudson!H23,Hunterdon!H23,Mercer!H23,Middlesex!H23,Monmouth!H23,Morris!H23,Ocean!H23,Passaic!H23,Salem!H23,Somerset!H23,Sussex!H23,Union!H23,Warren!H23)</f>
        <v>125562.10000000002</v>
      </c>
      <c r="I26" s="16">
        <f>SUM(Atlantic!I23,Bergen!I23,Burlington!I23,Camden!I23,'Cape May'!I23,Cumberland!I23,Essex!I23,Gloucester!I23,Hudson!I23,Hunterdon!I23,Mercer!I23,Middlesex!I23,Monmouth!I23,Morris!I23,Ocean!I23,Passaic!I23,Salem!I23,Somerset!I23,Sussex!I23,Union!I23,Warren!I23)</f>
        <v>0</v>
      </c>
      <c r="J26" s="16">
        <f>SUM(Atlantic!J23,Bergen!J23,Burlington!J23,Camden!J23,'Cape May'!J23,Cumberland!J23,Essex!J23,Gloucester!J23,Hudson!J23,Hunterdon!J23,Mercer!J23,Middlesex!J23,Monmouth!J23,Morris!J23,Ocean!J23,Passaic!J23,Salem!J23,Somerset!J23,Sussex!J23,Union!J23,Warren!J23)</f>
        <v>0</v>
      </c>
      <c r="K26" s="16">
        <f>SUM(Atlantic!K23,Bergen!K23,Burlington!K23,Camden!K23,'Cape May'!K23,Cumberland!K23,Essex!K23,Gloucester!K23,Hudson!K23,Hunterdon!K23,Mercer!K23,Middlesex!K23,Monmouth!K23,Morris!K23,Ocean!K23,Passaic!K23,Salem!K23,Somerset!K23,Sussex!K23,Union!K23,Warren!K23)</f>
        <v>0</v>
      </c>
      <c r="L26" s="16">
        <f>SUM(Atlantic!L23,Bergen!L23,Burlington!L23,Camden!L23,'Cape May'!L23,Cumberland!L23,Essex!L23,Gloucester!L23,Hudson!L23,Hunterdon!L23,Mercer!L23,Middlesex!L23,Monmouth!L23,Morris!L23,Ocean!L23,Passaic!L23,Salem!L23,Somerset!L23,Sussex!L23,Union!L23,Warren!L23)</f>
        <v>0</v>
      </c>
      <c r="M26" s="16">
        <f>SUM(Atlantic!M23,Bergen!M23,Burlington!M23,Camden!M23,'Cape May'!M23,Cumberland!M23,Essex!M23,Gloucester!M23,Hudson!M23,Hunterdon!M23,Mercer!M23,Middlesex!M23,Monmouth!M23,Morris!M23,Ocean!M23,Passaic!M23,Salem!M23,Somerset!M23,Sussex!M23,Union!M23,Warren!M23)</f>
        <v>0</v>
      </c>
      <c r="N26" s="16">
        <f>SUM(Atlantic!N23,Bergen!N23,Burlington!N23,Camden!N23,'Cape May'!N23,Cumberland!N23,Essex!N23,Gloucester!N23,Hudson!N23,Hunterdon!N23,Mercer!N23,Middlesex!N23,Monmouth!N23,Morris!N23,Ocean!N23,Passaic!N23,Salem!N23,Somerset!N23,Sussex!N23,Union!N23,Warren!N23)</f>
        <v>0</v>
      </c>
      <c r="O26" s="16">
        <f>SUM(Atlantic!O23,Bergen!O23,Burlington!O23,Camden!O23,'Cape May'!O23,Cumberland!O23,Essex!O23,Gloucester!O23,Hudson!O23,Hunterdon!O23,Mercer!O23,Middlesex!O23,Monmouth!O23,Morris!O23,Ocean!O23,Passaic!O23,Salem!O23,Somerset!O23,Sussex!O23,Union!O23,Warren!O23)</f>
        <v>0</v>
      </c>
      <c r="P26" s="16">
        <f>SUM(Atlantic!P23,Bergen!P23,Burlington!P23,Camden!P23,'Cape May'!P23,Cumberland!P23,Essex!P23,Gloucester!P23,Hudson!P23,Hunterdon!P23,Mercer!P23,Middlesex!P23,Monmouth!P23,Morris!P23,Ocean!P23,Passaic!P23,Salem!P23,Somerset!P23,Sussex!P23,Union!P23,Warren!P23)</f>
        <v>0</v>
      </c>
      <c r="Q26" s="16">
        <f>IF($B$4=$X$19,M26*'Technology Assumptions'!B$34,IF('Bioenergy Calculator'!$B$4='Bioenergy Calculator'!$X$21,M26*'Technology Assumptions'!B$34,IF('Bioenergy Calculator'!$B$4='Bioenergy Calculator'!$X$20,'Bioenergy Calculator'!M26*'Technology Assumptions'!B$36,IF('Bioenergy Calculator'!$B$4='Bioenergy Calculator'!$X$23,'Bioenergy Calculator'!M26*'Technology Assumptions'!B$35,IF('Bioenergy Calculator'!$B$4='Bioenergy Calculator'!$X$22,'Bioenergy Calculator'!M26*'Technology Assumptions'!B$37,'Bioenergy Calculator'!M26)))))</f>
        <v>0</v>
      </c>
      <c r="R26" s="16">
        <f>IF($B$4=$X$19,N26*'Technology Assumptions'!C$34,IF('Bioenergy Calculator'!$B$4='Bioenergy Calculator'!$X$21,N26*'Technology Assumptions'!C$34,IF('Bioenergy Calculator'!$B$4='Bioenergy Calculator'!$X$20,'Bioenergy Calculator'!N26*'Technology Assumptions'!C$36,IF('Bioenergy Calculator'!$B$4='Bioenergy Calculator'!$X$23,'Bioenergy Calculator'!N26*'Technology Assumptions'!C$35,IF('Bioenergy Calculator'!$B$4='Bioenergy Calculator'!$X$22,'Bioenergy Calculator'!N26*'Technology Assumptions'!C$37,'Bioenergy Calculator'!N26)))))</f>
        <v>0</v>
      </c>
      <c r="S26" s="16">
        <f>IF($B$4=$X$19,O26*'Technology Assumptions'!D$34,IF('Bioenergy Calculator'!$B$4='Bioenergy Calculator'!$X$21,O26*'Technology Assumptions'!D$34,IF('Bioenergy Calculator'!$B$4='Bioenergy Calculator'!$X$20,'Bioenergy Calculator'!O26*'Technology Assumptions'!D$36,IF('Bioenergy Calculator'!$B$4='Bioenergy Calculator'!$X$23,'Bioenergy Calculator'!O26*'Technology Assumptions'!D$35,IF('Bioenergy Calculator'!$B$4='Bioenergy Calculator'!$X$22,'Bioenergy Calculator'!O26*'Technology Assumptions'!D$37,'Bioenergy Calculator'!O26)))))</f>
        <v>0</v>
      </c>
      <c r="T26" s="16">
        <f>IF($B$4=$X$19,P26*'Technology Assumptions'!E$34,IF('Bioenergy Calculator'!$B$4='Bioenergy Calculator'!$X$21,P26*'Technology Assumptions'!E$34,IF('Bioenergy Calculator'!$B$4='Bioenergy Calculator'!$X$20,'Bioenergy Calculator'!P26*'Technology Assumptions'!E$36,IF('Bioenergy Calculator'!$B$4='Bioenergy Calculator'!$X$23,'Bioenergy Calculator'!P26*'Technology Assumptions'!E$35,IF('Bioenergy Calculator'!$B$4='Bioenergy Calculator'!$X$22,'Bioenergy Calculator'!P26*'Technology Assumptions'!E$37,'Bioenergy Calculator'!P26)))))</f>
        <v>0</v>
      </c>
    </row>
    <row r="27" spans="1:24" x14ac:dyDescent="0.25">
      <c r="A27" s="1065"/>
      <c r="B27" s="1" t="s">
        <v>518</v>
      </c>
      <c r="C27" s="294" t="s">
        <v>154</v>
      </c>
      <c r="D27" s="294"/>
      <c r="E27" s="294" t="s">
        <v>154</v>
      </c>
      <c r="F27" s="294" t="s">
        <v>154</v>
      </c>
      <c r="G27" s="294" t="s">
        <v>154</v>
      </c>
      <c r="H27" s="294" t="s">
        <v>154</v>
      </c>
      <c r="I27" s="16"/>
      <c r="J27" s="16"/>
      <c r="K27" s="16"/>
      <c r="L27" s="16"/>
      <c r="M27" s="16"/>
      <c r="N27" s="16"/>
      <c r="O27" s="16"/>
      <c r="P27" s="16"/>
      <c r="Q27" s="16"/>
      <c r="R27" s="16"/>
      <c r="S27" s="16"/>
      <c r="T27" s="16"/>
    </row>
    <row r="28" spans="1:24" x14ac:dyDescent="0.25">
      <c r="A28" s="1065"/>
      <c r="B28" s="11" t="s">
        <v>559</v>
      </c>
      <c r="C28" s="294">
        <f>SUM(Atlantic!C25,Bergen!C25,Burlington!C25,Camden!C25,'Cape May'!C25,Cumberland!C25,Essex!C25,Gloucester!C25,Hudson!C25,Hunterdon!C25,Mercer!C25,Middlesex!C25,Monmouth!C25,Morris!C25,Ocean!C25,Passaic!C25,Salem!C25,Somerset!C25,Sussex!C25,Union!C25,Warren!C25)</f>
        <v>268796.86500000005</v>
      </c>
      <c r="D28" s="294">
        <f>E28*'Conversion Tables'!C24</f>
        <v>4757704.5105000008</v>
      </c>
      <c r="E28" s="294">
        <f>SUM(Atlantic!E25,Bergen!E25,Burlington!E25,Camden!E25,'Cape May'!E25,Cumberland!E25,Essex!E25,Gloucester!E25,Hudson!E25,Hunterdon!E25,Mercer!E25,Middlesex!E25,Monmouth!E25,Morris!E25,Ocean!E25,Passaic!E25,Salem!E25,Somerset!E25,Sussex!E25,Union!E25,Warren!E25)</f>
        <v>268796.86500000005</v>
      </c>
      <c r="F28" s="294">
        <f>SUM(Atlantic!F25,Bergen!F25,Burlington!F25,Camden!F25,'Cape May'!F25,Cumberland!F25,Essex!F25,Gloucester!F25,Hudson!F25,Hunterdon!F25,Mercer!F25,Middlesex!F25,Monmouth!F25,Morris!F25,Ocean!F25,Passaic!F25,Salem!F25,Somerset!F25,Sussex!F25,Union!F25,Warren!F25)</f>
        <v>273976.75781543646</v>
      </c>
      <c r="G28" s="294">
        <f>SUM(Atlantic!G25,Bergen!G25,Burlington!G25,Camden!G25,'Cape May'!G25,Cumberland!G25,Essex!G25,Gloucester!G25,Hudson!G25,Hunterdon!G25,Mercer!G25,Middlesex!G25,Monmouth!G25,Morris!G25,Ocean!G25,Passaic!G25,Salem!G25,Somerset!G25,Sussex!G25,Union!G25,Warren!G25)</f>
        <v>281093.44761372416</v>
      </c>
      <c r="H28" s="294">
        <f>SUM(Atlantic!H25,Bergen!H25,Burlington!H25,Camden!H25,'Cape May'!H25,Cumberland!H25,Essex!H25,Gloucester!H25,Hudson!H25,Hunterdon!H25,Mercer!H25,Middlesex!H25,Monmouth!H25,Morris!H25,Ocean!H25,Passaic!H25,Salem!H25,Somerset!H25,Sussex!H25,Union!H25,Warren!H25)</f>
        <v>287250.12444237375</v>
      </c>
      <c r="I28" s="16">
        <f>SUM(Atlantic!I25,Bergen!I25,Burlington!I25,Camden!I25,'Cape May'!I25,Cumberland!I25,Essex!I25,Gloucester!I25,Hudson!I25,Hunterdon!I25,Mercer!I25,Middlesex!I25,Monmouth!I25,Morris!I25,Ocean!I25,Passaic!I25,Salem!I25,Somerset!I25,Sussex!I25,Union!I25,Warren!I25)</f>
        <v>0</v>
      </c>
      <c r="J28" s="16">
        <f>SUM(Atlantic!J25,Bergen!J25,Burlington!J25,Camden!J25,'Cape May'!J25,Cumberland!J25,Essex!J25,Gloucester!J25,Hudson!J25,Hunterdon!J25,Mercer!J25,Middlesex!J25,Monmouth!J25,Morris!J25,Ocean!J25,Passaic!J25,Salem!J25,Somerset!J25,Sussex!J25,Union!J25,Warren!J25)</f>
        <v>0</v>
      </c>
      <c r="K28" s="16">
        <f>SUM(Atlantic!K25,Bergen!K25,Burlington!K25,Camden!K25,'Cape May'!K25,Cumberland!K25,Essex!K25,Gloucester!K25,Hudson!K25,Hunterdon!K25,Mercer!K25,Middlesex!K25,Monmouth!K25,Morris!K25,Ocean!K25,Passaic!K25,Salem!K25,Somerset!K25,Sussex!K25,Union!K25,Warren!K25)</f>
        <v>0</v>
      </c>
      <c r="L28" s="16">
        <f>SUM(Atlantic!L25,Bergen!L25,Burlington!L25,Camden!L25,'Cape May'!L25,Cumberland!L25,Essex!L25,Gloucester!L25,Hudson!L25,Hunterdon!L25,Mercer!L25,Middlesex!L25,Monmouth!L25,Morris!L25,Ocean!L25,Passaic!L25,Salem!L25,Somerset!L25,Sussex!L25,Union!L25,Warren!L25)</f>
        <v>0</v>
      </c>
      <c r="M28" s="16">
        <f>SUM(Atlantic!M25,Bergen!M25,Burlington!M25,Camden!M25,'Cape May'!M25,Cumberland!M25,Essex!M25,Gloucester!M25,Hudson!M25,Hunterdon!M25,Mercer!M25,Middlesex!M25,Monmouth!M25,Morris!M25,Ocean!M25,Passaic!M25,Salem!M25,Somerset!M25,Sussex!M25,Union!M25,Warren!M25)</f>
        <v>0</v>
      </c>
      <c r="N28" s="16">
        <f>SUM(Atlantic!N25,Bergen!N25,Burlington!N25,Camden!N25,'Cape May'!N25,Cumberland!N25,Essex!N25,Gloucester!N25,Hudson!N25,Hunterdon!N25,Mercer!N25,Middlesex!N25,Monmouth!N25,Morris!N25,Ocean!N25,Passaic!N25,Salem!N25,Somerset!N25,Sussex!N25,Union!N25,Warren!N25)</f>
        <v>0</v>
      </c>
      <c r="O28" s="16">
        <f>SUM(Atlantic!O25,Bergen!O25,Burlington!O25,Camden!O25,'Cape May'!O25,Cumberland!O25,Essex!O25,Gloucester!O25,Hudson!O25,Hunterdon!O25,Mercer!O25,Middlesex!O25,Monmouth!O25,Morris!O25,Ocean!O25,Passaic!O25,Salem!O25,Somerset!O25,Sussex!O25,Union!O25,Warren!O25)</f>
        <v>0</v>
      </c>
      <c r="P28" s="16">
        <f>SUM(Atlantic!P25,Bergen!P25,Burlington!P25,Camden!P25,'Cape May'!P25,Cumberland!P25,Essex!P25,Gloucester!P25,Hudson!P25,Hunterdon!P25,Mercer!P25,Middlesex!P25,Monmouth!P25,Morris!P25,Ocean!P25,Passaic!P25,Salem!P25,Somerset!P25,Sussex!P25,Union!P25,Warren!P25)</f>
        <v>0</v>
      </c>
      <c r="Q28" s="16">
        <f>IF($B$4=$X$19,M28*'Technology Assumptions'!B$34,IF('Bioenergy Calculator'!$B$4='Bioenergy Calculator'!$X$21,M28*'Technology Assumptions'!B$34,IF('Bioenergy Calculator'!$B$4='Bioenergy Calculator'!$X$20,'Bioenergy Calculator'!M28*'Technology Assumptions'!B$36,IF('Bioenergy Calculator'!$B$4='Bioenergy Calculator'!$X$23,'Bioenergy Calculator'!M28*'Technology Assumptions'!B$35,IF('Bioenergy Calculator'!$B$4='Bioenergy Calculator'!$X$22,'Bioenergy Calculator'!M28*'Technology Assumptions'!B$37,'Bioenergy Calculator'!M28)))))</f>
        <v>0</v>
      </c>
      <c r="R28" s="16">
        <f>IF($B$4=$X$19,N28*'Technology Assumptions'!C$34,IF('Bioenergy Calculator'!$B$4='Bioenergy Calculator'!$X$21,N28*'Technology Assumptions'!C$34,IF('Bioenergy Calculator'!$B$4='Bioenergy Calculator'!$X$20,'Bioenergy Calculator'!N28*'Technology Assumptions'!C$36,IF('Bioenergy Calculator'!$B$4='Bioenergy Calculator'!$X$23,'Bioenergy Calculator'!N28*'Technology Assumptions'!C$35,IF('Bioenergy Calculator'!$B$4='Bioenergy Calculator'!$X$22,'Bioenergy Calculator'!N28*'Technology Assumptions'!C$37,'Bioenergy Calculator'!N28)))))</f>
        <v>0</v>
      </c>
      <c r="S28" s="16">
        <f>IF($B$4=$X$19,O28*'Technology Assumptions'!D$34,IF('Bioenergy Calculator'!$B$4='Bioenergy Calculator'!$X$21,O28*'Technology Assumptions'!D$34,IF('Bioenergy Calculator'!$B$4='Bioenergy Calculator'!$X$20,'Bioenergy Calculator'!O28*'Technology Assumptions'!D$36,IF('Bioenergy Calculator'!$B$4='Bioenergy Calculator'!$X$23,'Bioenergy Calculator'!O28*'Technology Assumptions'!D$35,IF('Bioenergy Calculator'!$B$4='Bioenergy Calculator'!$X$22,'Bioenergy Calculator'!O28*'Technology Assumptions'!D$37,'Bioenergy Calculator'!O28)))))</f>
        <v>0</v>
      </c>
      <c r="T28" s="16">
        <f>IF($B$4=$X$19,P28*'Technology Assumptions'!E$34,IF('Bioenergy Calculator'!$B$4='Bioenergy Calculator'!$X$21,P28*'Technology Assumptions'!E$34,IF('Bioenergy Calculator'!$B$4='Bioenergy Calculator'!$X$20,'Bioenergy Calculator'!P28*'Technology Assumptions'!E$36,IF('Bioenergy Calculator'!$B$4='Bioenergy Calculator'!$X$23,'Bioenergy Calculator'!P28*'Technology Assumptions'!E$35,IF('Bioenergy Calculator'!$B$4='Bioenergy Calculator'!$X$22,'Bioenergy Calculator'!P28*'Technology Assumptions'!E$37,'Bioenergy Calculator'!P28)))))</f>
        <v>0</v>
      </c>
    </row>
    <row r="29" spans="1:24" x14ac:dyDescent="0.25">
      <c r="A29" s="1065"/>
      <c r="B29" s="11" t="s">
        <v>560</v>
      </c>
      <c r="C29" s="294">
        <f>SUM(Atlantic!C26,Bergen!C26,Burlington!C26,Camden!C26,'Cape May'!C26,Cumberland!C26,Essex!C26,Gloucester!C26,Hudson!C26,Hunterdon!C26,Mercer!C26,Middlesex!C26,Monmouth!C26,Morris!C26,Ocean!C26,Passaic!C26,Salem!C26,Somerset!C26,Sussex!C26,Union!C26,Warren!C26)</f>
        <v>41283.739999999991</v>
      </c>
      <c r="D29" s="294">
        <f>E29*'Conversion Tables'!C25</f>
        <v>644026.34399999981</v>
      </c>
      <c r="E29" s="294">
        <f>SUM(Atlantic!E26,Bergen!E26,Burlington!E26,Camden!E26,'Cape May'!E26,Cumberland!E26,Essex!E26,Gloucester!E26,Hudson!E26,Hunterdon!E26,Mercer!E26,Middlesex!E26,Monmouth!E26,Morris!E26,Ocean!E26,Passaic!E26,Salem!E26,Somerset!E26,Sussex!E26,Union!E26,Warren!E26)</f>
        <v>41283.739999999991</v>
      </c>
      <c r="F29" s="294">
        <f>SUM(Atlantic!F26,Bergen!F26,Burlington!F26,Camden!F26,'Cape May'!F26,Cumberland!F26,Essex!F26,Gloucester!F26,Hudson!F26,Hunterdon!F26,Mercer!F26,Middlesex!F26,Monmouth!F26,Morris!F26,Ocean!F26,Passaic!F26,Salem!F26,Somerset!F26,Sussex!F26,Union!F26,Warren!F26)</f>
        <v>41857.475055046496</v>
      </c>
      <c r="G29" s="294">
        <f>SUM(Atlantic!G26,Bergen!G26,Burlington!G26,Camden!G26,'Cape May'!G26,Cumberland!G26,Essex!G26,Gloucester!G26,Hudson!G26,Hunterdon!G26,Mercer!G26,Middlesex!G26,Monmouth!G26,Morris!G26,Ocean!G26,Passaic!G26,Salem!G26,Somerset!G26,Sussex!G26,Union!G26,Warren!G26)</f>
        <v>42649.494119307506</v>
      </c>
      <c r="H29" s="294">
        <f>SUM(Atlantic!H26,Bergen!H26,Burlington!H26,Camden!H26,'Cape May'!H26,Cumberland!H26,Essex!H26,Gloucester!H26,Hudson!H26,Hunterdon!H26,Mercer!H26,Middlesex!H26,Monmouth!H26,Morris!H26,Ocean!H26,Passaic!H26,Salem!H26,Somerset!H26,Sussex!H26,Union!H26,Warren!H26)</f>
        <v>43398.321026855716</v>
      </c>
      <c r="I29" s="16">
        <f>SUM(Atlantic!I26,Bergen!I26,Burlington!I26,Camden!I26,'Cape May'!I26,Cumberland!I26,Essex!I26,Gloucester!I26,Hudson!I26,Hunterdon!I26,Mercer!I26,Middlesex!I26,Monmouth!I26,Morris!I26,Ocean!I26,Passaic!I26,Salem!I26,Somerset!I26,Sussex!I26,Union!I26,Warren!I26)</f>
        <v>0</v>
      </c>
      <c r="J29" s="16">
        <f>SUM(Atlantic!J26,Bergen!J26,Burlington!J26,Camden!J26,'Cape May'!J26,Cumberland!J26,Essex!J26,Gloucester!J26,Hudson!J26,Hunterdon!J26,Mercer!J26,Middlesex!J26,Monmouth!J26,Morris!J26,Ocean!J26,Passaic!J26,Salem!J26,Somerset!J26,Sussex!J26,Union!J26,Warren!J26)</f>
        <v>0</v>
      </c>
      <c r="K29" s="16">
        <f>SUM(Atlantic!K26,Bergen!K26,Burlington!K26,Camden!K26,'Cape May'!K26,Cumberland!K26,Essex!K26,Gloucester!K26,Hudson!K26,Hunterdon!K26,Mercer!K26,Middlesex!K26,Monmouth!K26,Morris!K26,Ocean!K26,Passaic!K26,Salem!K26,Somerset!K26,Sussex!K26,Union!K26,Warren!K26)</f>
        <v>0</v>
      </c>
      <c r="L29" s="16">
        <f>SUM(Atlantic!L26,Bergen!L26,Burlington!L26,Camden!L26,'Cape May'!L26,Cumberland!L26,Essex!L26,Gloucester!L26,Hudson!L26,Hunterdon!L26,Mercer!L26,Middlesex!L26,Monmouth!L26,Morris!L26,Ocean!L26,Passaic!L26,Salem!L26,Somerset!L26,Sussex!L26,Union!L26,Warren!L26)</f>
        <v>0</v>
      </c>
      <c r="M29" s="16">
        <f>SUM(Atlantic!M26,Bergen!M26,Burlington!M26,Camden!M26,'Cape May'!M26,Cumberland!M26,Essex!M26,Gloucester!M26,Hudson!M26,Hunterdon!M26,Mercer!M26,Middlesex!M26,Monmouth!M26,Morris!M26,Ocean!M26,Passaic!M26,Salem!M26,Somerset!M26,Sussex!M26,Union!M26,Warren!M26)</f>
        <v>0</v>
      </c>
      <c r="N29" s="16">
        <f>SUM(Atlantic!N26,Bergen!N26,Burlington!N26,Camden!N26,'Cape May'!N26,Cumberland!N26,Essex!N26,Gloucester!N26,Hudson!N26,Hunterdon!N26,Mercer!N26,Middlesex!N26,Monmouth!N26,Morris!N26,Ocean!N26,Passaic!N26,Salem!N26,Somerset!N26,Sussex!N26,Union!N26,Warren!N26)</f>
        <v>0</v>
      </c>
      <c r="O29" s="16">
        <f>SUM(Atlantic!O26,Bergen!O26,Burlington!O26,Camden!O26,'Cape May'!O26,Cumberland!O26,Essex!O26,Gloucester!O26,Hudson!O26,Hunterdon!O26,Mercer!O26,Middlesex!O26,Monmouth!O26,Morris!O26,Ocean!O26,Passaic!O26,Salem!O26,Somerset!O26,Sussex!O26,Union!O26,Warren!O26)</f>
        <v>0</v>
      </c>
      <c r="P29" s="16">
        <f>SUM(Atlantic!P26,Bergen!P26,Burlington!P26,Camden!P26,'Cape May'!P26,Cumberland!P26,Essex!P26,Gloucester!P26,Hudson!P26,Hunterdon!P26,Mercer!P26,Middlesex!P26,Monmouth!P26,Morris!P26,Ocean!P26,Passaic!P26,Salem!P26,Somerset!P26,Sussex!P26,Union!P26,Warren!P26)</f>
        <v>0</v>
      </c>
      <c r="Q29" s="16">
        <f>IF($B$4=$X$19,M29*'Technology Assumptions'!B$34,IF('Bioenergy Calculator'!$B$4='Bioenergy Calculator'!$X$21,M29*'Technology Assumptions'!B$34,IF('Bioenergy Calculator'!$B$4='Bioenergy Calculator'!$X$20,'Bioenergy Calculator'!M29*'Technology Assumptions'!B$36,IF('Bioenergy Calculator'!$B$4='Bioenergy Calculator'!$X$23,'Bioenergy Calculator'!M29*'Technology Assumptions'!B$35,IF('Bioenergy Calculator'!$B$4='Bioenergy Calculator'!$X$22,'Bioenergy Calculator'!M29*'Technology Assumptions'!B$37,'Bioenergy Calculator'!M29)))))</f>
        <v>0</v>
      </c>
      <c r="R29" s="16">
        <f>IF($B$4=$X$19,N29*'Technology Assumptions'!C$34,IF('Bioenergy Calculator'!$B$4='Bioenergy Calculator'!$X$21,N29*'Technology Assumptions'!C$34,IF('Bioenergy Calculator'!$B$4='Bioenergy Calculator'!$X$20,'Bioenergy Calculator'!N29*'Technology Assumptions'!C$36,IF('Bioenergy Calculator'!$B$4='Bioenergy Calculator'!$X$23,'Bioenergy Calculator'!N29*'Technology Assumptions'!C$35,IF('Bioenergy Calculator'!$B$4='Bioenergy Calculator'!$X$22,'Bioenergy Calculator'!N29*'Technology Assumptions'!C$37,'Bioenergy Calculator'!N29)))))</f>
        <v>0</v>
      </c>
      <c r="S29" s="16">
        <f>IF($B$4=$X$19,O29*'Technology Assumptions'!D$34,IF('Bioenergy Calculator'!$B$4='Bioenergy Calculator'!$X$21,O29*'Technology Assumptions'!D$34,IF('Bioenergy Calculator'!$B$4='Bioenergy Calculator'!$X$20,'Bioenergy Calculator'!O29*'Technology Assumptions'!D$36,IF('Bioenergy Calculator'!$B$4='Bioenergy Calculator'!$X$23,'Bioenergy Calculator'!O29*'Technology Assumptions'!D$35,IF('Bioenergy Calculator'!$B$4='Bioenergy Calculator'!$X$22,'Bioenergy Calculator'!O29*'Technology Assumptions'!D$37,'Bioenergy Calculator'!O29)))))</f>
        <v>0</v>
      </c>
      <c r="T29" s="16">
        <f>IF($B$4=$X$19,P29*'Technology Assumptions'!E$34,IF('Bioenergy Calculator'!$B$4='Bioenergy Calculator'!$X$21,P29*'Technology Assumptions'!E$34,IF('Bioenergy Calculator'!$B$4='Bioenergy Calculator'!$X$20,'Bioenergy Calculator'!P29*'Technology Assumptions'!E$36,IF('Bioenergy Calculator'!$B$4='Bioenergy Calculator'!$X$23,'Bioenergy Calculator'!P29*'Technology Assumptions'!E$35,IF('Bioenergy Calculator'!$B$4='Bioenergy Calculator'!$X$22,'Bioenergy Calculator'!P29*'Technology Assumptions'!E$37,'Bioenergy Calculator'!P29)))))</f>
        <v>0</v>
      </c>
    </row>
    <row r="30" spans="1:24" x14ac:dyDescent="0.25">
      <c r="A30" s="1065"/>
      <c r="B30" s="11" t="s">
        <v>561</v>
      </c>
      <c r="C30" s="294">
        <f>SUM(Atlantic!C27,Bergen!C27,Burlington!C27,Camden!C27,'Cape May'!C27,Cumberland!C27,Essex!C27,Gloucester!C27,Hudson!C27,Hunterdon!C27,Mercer!C27,Middlesex!C27,Monmouth!C27,Morris!C27,Ocean!C27,Passaic!C27,Salem!C27,Somerset!C27,Sussex!C27,Union!C27,Warren!C27)</f>
        <v>253054.92333333328</v>
      </c>
      <c r="D30" s="294">
        <f>E30*'Conversion Tables'!C26</f>
        <v>3947656.8039999991</v>
      </c>
      <c r="E30" s="294">
        <f>SUM(Atlantic!E27,Bergen!E27,Burlington!E27,Camden!E27,'Cape May'!E27,Cumberland!E27,Essex!E27,Gloucester!E27,Hudson!E27,Hunterdon!E27,Mercer!E27,Middlesex!E27,Monmouth!E27,Morris!E27,Ocean!E27,Passaic!E27,Salem!E27,Somerset!E27,Sussex!E27,Union!E27,Warren!E27)</f>
        <v>253054.92333333328</v>
      </c>
      <c r="F30" s="294">
        <f>SUM(Atlantic!F27,Bergen!F27,Burlington!F27,Camden!F27,'Cape May'!F27,Cumberland!F27,Essex!F27,Gloucester!F27,Hudson!F27,Hunterdon!F27,Mercer!F27,Middlesex!F27,Monmouth!F27,Morris!F27,Ocean!F27,Passaic!F27,Salem!F27,Somerset!F27,Sussex!F27,Union!F27,Warren!F27)</f>
        <v>256945.95941214697</v>
      </c>
      <c r="G30" s="294">
        <f>SUM(Atlantic!G27,Bergen!G27,Burlington!G27,Camden!G27,'Cape May'!G27,Cumberland!G27,Essex!G27,Gloucester!G27,Hudson!G27,Hunterdon!G27,Mercer!G27,Middlesex!G27,Monmouth!G27,Morris!G27,Ocean!G27,Passaic!G27,Salem!G27,Somerset!G27,Sussex!G27,Union!G27,Warren!G27)</f>
        <v>262324.21715461637</v>
      </c>
      <c r="H30" s="294">
        <f>SUM(Atlantic!H27,Bergen!H27,Burlington!H27,Camden!H27,'Cape May'!H27,Cumberland!H27,Essex!H27,Gloucester!H27,Hudson!H27,Hunterdon!H27,Mercer!H27,Middlesex!H27,Monmouth!H27,Morris!H27,Ocean!H27,Passaic!H27,Salem!H27,Somerset!H27,Sussex!H27,Union!H27,Warren!H27)</f>
        <v>267120.66805779672</v>
      </c>
      <c r="I30" s="16">
        <f>SUM(Atlantic!I27,Bergen!I27,Burlington!I27,Camden!I27,'Cape May'!I27,Cumberland!I27,Essex!I27,Gloucester!I27,Hudson!I27,Hunterdon!I27,Mercer!I27,Middlesex!I27,Monmouth!I27,Morris!I27,Ocean!I27,Passaic!I27,Salem!I27,Somerset!I27,Sussex!I27,Union!I27,Warren!I27)</f>
        <v>0</v>
      </c>
      <c r="J30" s="16">
        <f>SUM(Atlantic!J27,Bergen!J27,Burlington!J27,Camden!J27,'Cape May'!J27,Cumberland!J27,Essex!J27,Gloucester!J27,Hudson!J27,Hunterdon!J27,Mercer!J27,Middlesex!J27,Monmouth!J27,Morris!J27,Ocean!J27,Passaic!J27,Salem!J27,Somerset!J27,Sussex!J27,Union!J27,Warren!J27)</f>
        <v>0</v>
      </c>
      <c r="K30" s="16">
        <f>SUM(Atlantic!K27,Bergen!K27,Burlington!K27,Camden!K27,'Cape May'!K27,Cumberland!K27,Essex!K27,Gloucester!K27,Hudson!K27,Hunterdon!K27,Mercer!K27,Middlesex!K27,Monmouth!K27,Morris!K27,Ocean!K27,Passaic!K27,Salem!K27,Somerset!K27,Sussex!K27,Union!K27,Warren!K27)</f>
        <v>0</v>
      </c>
      <c r="L30" s="16">
        <f>SUM(Atlantic!L27,Bergen!L27,Burlington!L27,Camden!L27,'Cape May'!L27,Cumberland!L27,Essex!L27,Gloucester!L27,Hudson!L27,Hunterdon!L27,Mercer!L27,Middlesex!L27,Monmouth!L27,Morris!L27,Ocean!L27,Passaic!L27,Salem!L27,Somerset!L27,Sussex!L27,Union!L27,Warren!L27)</f>
        <v>0</v>
      </c>
      <c r="M30" s="16">
        <f>SUM(Atlantic!M27,Bergen!M27,Burlington!M27,Camden!M27,'Cape May'!M27,Cumberland!M27,Essex!M27,Gloucester!M27,Hudson!M27,Hunterdon!M27,Mercer!M27,Middlesex!M27,Monmouth!M27,Morris!M27,Ocean!M27,Passaic!M27,Salem!M27,Somerset!M27,Sussex!M27,Union!M27,Warren!M27)</f>
        <v>0</v>
      </c>
      <c r="N30" s="16">
        <f>SUM(Atlantic!N27,Bergen!N27,Burlington!N27,Camden!N27,'Cape May'!N27,Cumberland!N27,Essex!N27,Gloucester!N27,Hudson!N27,Hunterdon!N27,Mercer!N27,Middlesex!N27,Monmouth!N27,Morris!N27,Ocean!N27,Passaic!N27,Salem!N27,Somerset!N27,Sussex!N27,Union!N27,Warren!N27)</f>
        <v>0</v>
      </c>
      <c r="O30" s="16">
        <f>SUM(Atlantic!O27,Bergen!O27,Burlington!O27,Camden!O27,'Cape May'!O27,Cumberland!O27,Essex!O27,Gloucester!O27,Hudson!O27,Hunterdon!O27,Mercer!O27,Middlesex!O27,Monmouth!O27,Morris!O27,Ocean!O27,Passaic!O27,Salem!O27,Somerset!O27,Sussex!O27,Union!O27,Warren!O27)</f>
        <v>0</v>
      </c>
      <c r="P30" s="16">
        <f>SUM(Atlantic!P27,Bergen!P27,Burlington!P27,Camden!P27,'Cape May'!P27,Cumberland!P27,Essex!P27,Gloucester!P27,Hudson!P27,Hunterdon!P27,Mercer!P27,Middlesex!P27,Monmouth!P27,Morris!P27,Ocean!P27,Passaic!P27,Salem!P27,Somerset!P27,Sussex!P27,Union!P27,Warren!P27)</f>
        <v>0</v>
      </c>
      <c r="Q30" s="16">
        <f>IF($B$4=$X$19,M30*'Technology Assumptions'!B$34,IF('Bioenergy Calculator'!$B$4='Bioenergy Calculator'!$X$21,M30*'Technology Assumptions'!B$34,IF('Bioenergy Calculator'!$B$4='Bioenergy Calculator'!$X$20,'Bioenergy Calculator'!M30*'Technology Assumptions'!B$36,IF('Bioenergy Calculator'!$B$4='Bioenergy Calculator'!$X$23,'Bioenergy Calculator'!M30*'Technology Assumptions'!B$35,IF('Bioenergy Calculator'!$B$4='Bioenergy Calculator'!$X$22,'Bioenergy Calculator'!M30*'Technology Assumptions'!B$37,'Bioenergy Calculator'!M30)))))</f>
        <v>0</v>
      </c>
      <c r="R30" s="16">
        <f>IF($B$4=$X$19,N30*'Technology Assumptions'!C$34,IF('Bioenergy Calculator'!$B$4='Bioenergy Calculator'!$X$21,N30*'Technology Assumptions'!C$34,IF('Bioenergy Calculator'!$B$4='Bioenergy Calculator'!$X$20,'Bioenergy Calculator'!N30*'Technology Assumptions'!C$36,IF('Bioenergy Calculator'!$B$4='Bioenergy Calculator'!$X$23,'Bioenergy Calculator'!N30*'Technology Assumptions'!C$35,IF('Bioenergy Calculator'!$B$4='Bioenergy Calculator'!$X$22,'Bioenergy Calculator'!N30*'Technology Assumptions'!C$37,'Bioenergy Calculator'!N30)))))</f>
        <v>0</v>
      </c>
      <c r="S30" s="16">
        <f>IF($B$4=$X$19,O30*'Technology Assumptions'!D$34,IF('Bioenergy Calculator'!$B$4='Bioenergy Calculator'!$X$21,O30*'Technology Assumptions'!D$34,IF('Bioenergy Calculator'!$B$4='Bioenergy Calculator'!$X$20,'Bioenergy Calculator'!O30*'Technology Assumptions'!D$36,IF('Bioenergy Calculator'!$B$4='Bioenergy Calculator'!$X$23,'Bioenergy Calculator'!O30*'Technology Assumptions'!D$35,IF('Bioenergy Calculator'!$B$4='Bioenergy Calculator'!$X$22,'Bioenergy Calculator'!O30*'Technology Assumptions'!D$37,'Bioenergy Calculator'!O30)))))</f>
        <v>0</v>
      </c>
      <c r="T30" s="16">
        <f>IF($B$4=$X$19,P30*'Technology Assumptions'!E$34,IF('Bioenergy Calculator'!$B$4='Bioenergy Calculator'!$X$21,P30*'Technology Assumptions'!E$34,IF('Bioenergy Calculator'!$B$4='Bioenergy Calculator'!$X$20,'Bioenergy Calculator'!P30*'Technology Assumptions'!E$36,IF('Bioenergy Calculator'!$B$4='Bioenergy Calculator'!$X$23,'Bioenergy Calculator'!P30*'Technology Assumptions'!E$35,IF('Bioenergy Calculator'!$B$4='Bioenergy Calculator'!$X$22,'Bioenergy Calculator'!P30*'Technology Assumptions'!E$37,'Bioenergy Calculator'!P30)))))</f>
        <v>0</v>
      </c>
      <c r="U30" s="51"/>
    </row>
    <row r="31" spans="1:24" x14ac:dyDescent="0.25">
      <c r="A31" s="1065"/>
      <c r="B31" s="11" t="s">
        <v>562</v>
      </c>
      <c r="C31" s="294">
        <f>SUM(Atlantic!C28,Bergen!C28,Burlington!C28,Camden!C28,'Cape May'!C28,Cumberland!C28,Essex!C28,Gloucester!C28,Hudson!C28,Hunterdon!C28,Mercer!C28,Middlesex!C28,Monmouth!C28,Morris!C28,Ocean!C28,Passaic!C28,Salem!C28,Somerset!C28,Sussex!C28,Union!C28,Warren!C28)</f>
        <v>25855.429999999997</v>
      </c>
      <c r="D31" s="294">
        <f>E31*'Conversion Tables'!C27</f>
        <v>457641.11099999992</v>
      </c>
      <c r="E31" s="294">
        <f>SUM(Atlantic!E28,Bergen!E28,Burlington!E28,Camden!E28,'Cape May'!E28,Cumberland!E28,Essex!E28,Gloucester!E28,Hudson!E28,Hunterdon!E28,Mercer!E28,Middlesex!E28,Monmouth!E28,Morris!E28,Ocean!E28,Passaic!E28,Salem!E28,Somerset!E28,Sussex!E28,Union!E28,Warren!E28)</f>
        <v>25855.429999999997</v>
      </c>
      <c r="F31" s="294">
        <f>SUM(Atlantic!F28,Bergen!F28,Burlington!F28,Camden!F28,'Cape May'!F28,Cumberland!F28,Essex!F28,Gloucester!F28,Hudson!F28,Hunterdon!F28,Mercer!F28,Middlesex!F28,Monmouth!F28,Morris!F28,Ocean!F28,Passaic!F28,Salem!F28,Somerset!F28,Sussex!F28,Union!F28,Warren!F28)</f>
        <v>26485.059641911554</v>
      </c>
      <c r="G31" s="294">
        <f>SUM(Atlantic!G28,Bergen!G28,Burlington!G28,Camden!G28,'Cape May'!G28,Cumberland!G28,Essex!G28,Gloucester!G28,Hudson!G28,Hunterdon!G28,Mercer!G28,Middlesex!G28,Monmouth!G28,Morris!G28,Ocean!G28,Passaic!G28,Salem!G28,Somerset!G28,Sussex!G28,Union!G28,Warren!G28)</f>
        <v>27427.270894071462</v>
      </c>
      <c r="H31" s="294">
        <f>SUM(Atlantic!H28,Bergen!H28,Burlington!H28,Camden!H28,'Cape May'!H28,Cumberland!H28,Essex!H28,Gloucester!H28,Hudson!H28,Hunterdon!H28,Mercer!H28,Middlesex!H28,Monmouth!H28,Morris!H28,Ocean!H28,Passaic!H28,Salem!H28,Somerset!H28,Sussex!H28,Union!H28,Warren!H28)</f>
        <v>28209.371740836868</v>
      </c>
      <c r="I31" s="16">
        <f>SUM(Atlantic!I28,Bergen!I28,Burlington!I28,Camden!I28,'Cape May'!I28,Cumberland!I28,Essex!I28,Gloucester!I28,Hudson!I28,Hunterdon!I28,Mercer!I28,Middlesex!I28,Monmouth!I28,Morris!I28,Ocean!I28,Passaic!I28,Salem!I28,Somerset!I28,Sussex!I28,Union!I28,Warren!I28)</f>
        <v>0</v>
      </c>
      <c r="J31" s="16">
        <f>SUM(Atlantic!J28,Bergen!J28,Burlington!J28,Camden!J28,'Cape May'!J28,Cumberland!J28,Essex!J28,Gloucester!J28,Hudson!J28,Hunterdon!J28,Mercer!J28,Middlesex!J28,Monmouth!J28,Morris!J28,Ocean!J28,Passaic!J28,Salem!J28,Somerset!J28,Sussex!J28,Union!J28,Warren!J28)</f>
        <v>0</v>
      </c>
      <c r="K31" s="16">
        <f>SUM(Atlantic!K28,Bergen!K28,Burlington!K28,Camden!K28,'Cape May'!K28,Cumberland!K28,Essex!K28,Gloucester!K28,Hudson!K28,Hunterdon!K28,Mercer!K28,Middlesex!K28,Monmouth!K28,Morris!K28,Ocean!K28,Passaic!K28,Salem!K28,Somerset!K28,Sussex!K28,Union!K28,Warren!K28)</f>
        <v>0</v>
      </c>
      <c r="L31" s="16">
        <f>SUM(Atlantic!L28,Bergen!L28,Burlington!L28,Camden!L28,'Cape May'!L28,Cumberland!L28,Essex!L28,Gloucester!L28,Hudson!L28,Hunterdon!L28,Mercer!L28,Middlesex!L28,Monmouth!L28,Morris!L28,Ocean!L28,Passaic!L28,Salem!L28,Somerset!L28,Sussex!L28,Union!L28,Warren!L28)</f>
        <v>0</v>
      </c>
      <c r="M31" s="16">
        <f>SUM(Atlantic!M28,Bergen!M28,Burlington!M28,Camden!M28,'Cape May'!M28,Cumberland!M28,Essex!M28,Gloucester!M28,Hudson!M28,Hunterdon!M28,Mercer!M28,Middlesex!M28,Monmouth!M28,Morris!M28,Ocean!M28,Passaic!M28,Salem!M28,Somerset!M28,Sussex!M28,Union!M28,Warren!M28)</f>
        <v>0</v>
      </c>
      <c r="N31" s="16">
        <f>SUM(Atlantic!N28,Bergen!N28,Burlington!N28,Camden!N28,'Cape May'!N28,Cumberland!N28,Essex!N28,Gloucester!N28,Hudson!N28,Hunterdon!N28,Mercer!N28,Middlesex!N28,Monmouth!N28,Morris!N28,Ocean!N28,Passaic!N28,Salem!N28,Somerset!N28,Sussex!N28,Union!N28,Warren!N28)</f>
        <v>0</v>
      </c>
      <c r="O31" s="16">
        <f>SUM(Atlantic!O28,Bergen!O28,Burlington!O28,Camden!O28,'Cape May'!O28,Cumberland!O28,Essex!O28,Gloucester!O28,Hudson!O28,Hunterdon!O28,Mercer!O28,Middlesex!O28,Monmouth!O28,Morris!O28,Ocean!O28,Passaic!O28,Salem!O28,Somerset!O28,Sussex!O28,Union!O28,Warren!O28)</f>
        <v>0</v>
      </c>
      <c r="P31" s="16">
        <f>SUM(Atlantic!P28,Bergen!P28,Burlington!P28,Camden!P28,'Cape May'!P28,Cumberland!P28,Essex!P28,Gloucester!P28,Hudson!P28,Hunterdon!P28,Mercer!P28,Middlesex!P28,Monmouth!P28,Morris!P28,Ocean!P28,Passaic!P28,Salem!P28,Somerset!P28,Sussex!P28,Union!P28,Warren!P28)</f>
        <v>0</v>
      </c>
      <c r="Q31" s="16">
        <f>IF($B$4=$X$19,M31*'Technology Assumptions'!B$34,IF('Bioenergy Calculator'!$B$4='Bioenergy Calculator'!$X$21,M31*'Technology Assumptions'!B$34,IF('Bioenergy Calculator'!$B$4='Bioenergy Calculator'!$X$20,'Bioenergy Calculator'!M31*'Technology Assumptions'!B$36,IF('Bioenergy Calculator'!$B$4='Bioenergy Calculator'!$X$23,'Bioenergy Calculator'!M31*'Technology Assumptions'!B$35,IF('Bioenergy Calculator'!$B$4='Bioenergy Calculator'!$X$22,'Bioenergy Calculator'!M31*'Technology Assumptions'!B$37,'Bioenergy Calculator'!M31)))))</f>
        <v>0</v>
      </c>
      <c r="R31" s="16">
        <f>IF($B$4=$X$19,N31*'Technology Assumptions'!C$34,IF('Bioenergy Calculator'!$B$4='Bioenergy Calculator'!$X$21,N31*'Technology Assumptions'!C$34,IF('Bioenergy Calculator'!$B$4='Bioenergy Calculator'!$X$20,'Bioenergy Calculator'!N31*'Technology Assumptions'!C$36,IF('Bioenergy Calculator'!$B$4='Bioenergy Calculator'!$X$23,'Bioenergy Calculator'!N31*'Technology Assumptions'!C$35,IF('Bioenergy Calculator'!$B$4='Bioenergy Calculator'!$X$22,'Bioenergy Calculator'!N31*'Technology Assumptions'!C$37,'Bioenergy Calculator'!N31)))))</f>
        <v>0</v>
      </c>
      <c r="S31" s="16">
        <f>IF($B$4=$X$19,O31*'Technology Assumptions'!D$34,IF('Bioenergy Calculator'!$B$4='Bioenergy Calculator'!$X$21,O31*'Technology Assumptions'!D$34,IF('Bioenergy Calculator'!$B$4='Bioenergy Calculator'!$X$20,'Bioenergy Calculator'!O31*'Technology Assumptions'!D$36,IF('Bioenergy Calculator'!$B$4='Bioenergy Calculator'!$X$23,'Bioenergy Calculator'!O31*'Technology Assumptions'!D$35,IF('Bioenergy Calculator'!$B$4='Bioenergy Calculator'!$X$22,'Bioenergy Calculator'!O31*'Technology Assumptions'!D$37,'Bioenergy Calculator'!O31)))))</f>
        <v>0</v>
      </c>
      <c r="T31" s="16">
        <f>IF($B$4=$X$19,P31*'Technology Assumptions'!E$34,IF('Bioenergy Calculator'!$B$4='Bioenergy Calculator'!$X$21,P31*'Technology Assumptions'!E$34,IF('Bioenergy Calculator'!$B$4='Bioenergy Calculator'!$X$20,'Bioenergy Calculator'!P31*'Technology Assumptions'!E$36,IF('Bioenergy Calculator'!$B$4='Bioenergy Calculator'!$X$23,'Bioenergy Calculator'!P31*'Technology Assumptions'!E$35,IF('Bioenergy Calculator'!$B$4='Bioenergy Calculator'!$X$22,'Bioenergy Calculator'!P31*'Technology Assumptions'!E$37,'Bioenergy Calculator'!P31)))))</f>
        <v>0</v>
      </c>
      <c r="U31" s="3"/>
    </row>
    <row r="32" spans="1:24" x14ac:dyDescent="0.25">
      <c r="A32" s="1065"/>
      <c r="B32" s="9" t="s">
        <v>524</v>
      </c>
      <c r="C32" s="295">
        <f t="shared" ref="C32:P32" si="1">SUM(C16:C31)</f>
        <v>2124460.7908333335</v>
      </c>
      <c r="D32" s="295">
        <f>SUM(D16:D31)</f>
        <v>22710078.714965001</v>
      </c>
      <c r="E32" s="295">
        <f t="shared" si="1"/>
        <v>1408761.2870833334</v>
      </c>
      <c r="F32" s="295">
        <f>SUM(F16:F31)</f>
        <v>1419035.5806745414</v>
      </c>
      <c r="G32" s="295">
        <f>SUM(G16:G31)</f>
        <v>1433264.7585317194</v>
      </c>
      <c r="H32" s="295">
        <f>SUM(H16:H31)</f>
        <v>1445748.814017863</v>
      </c>
      <c r="I32" s="19">
        <f t="shared" si="1"/>
        <v>0</v>
      </c>
      <c r="J32" s="19">
        <f t="shared" si="1"/>
        <v>0</v>
      </c>
      <c r="K32" s="19">
        <f t="shared" si="1"/>
        <v>0</v>
      </c>
      <c r="L32" s="19">
        <f t="shared" si="1"/>
        <v>0</v>
      </c>
      <c r="M32" s="19">
        <f t="shared" si="1"/>
        <v>0</v>
      </c>
      <c r="N32" s="19">
        <f t="shared" si="1"/>
        <v>0</v>
      </c>
      <c r="O32" s="19">
        <f t="shared" si="1"/>
        <v>0</v>
      </c>
      <c r="P32" s="19">
        <f t="shared" si="1"/>
        <v>0</v>
      </c>
      <c r="Q32" s="19">
        <f>SUM(Q16:Q31)</f>
        <v>0</v>
      </c>
      <c r="R32" s="19">
        <f>SUM(R16:R31)</f>
        <v>0</v>
      </c>
      <c r="S32" s="19">
        <f>SUM(S16:S31)</f>
        <v>0</v>
      </c>
      <c r="T32" s="19">
        <f>SUM(T16:T31)</f>
        <v>0</v>
      </c>
      <c r="U32" s="594"/>
    </row>
    <row r="33" spans="1:21" x14ac:dyDescent="0.25">
      <c r="A33" s="8"/>
      <c r="B33" s="5"/>
      <c r="C33" s="296"/>
      <c r="D33" s="296"/>
      <c r="E33" s="296"/>
      <c r="F33" s="296"/>
      <c r="G33" s="296"/>
      <c r="H33" s="296"/>
      <c r="I33" s="28"/>
      <c r="J33" s="28"/>
      <c r="K33" s="28"/>
      <c r="L33" s="28"/>
      <c r="M33" s="28"/>
      <c r="N33" s="28"/>
      <c r="O33" s="28"/>
      <c r="P33" s="28"/>
      <c r="Q33" s="28"/>
      <c r="R33" s="28"/>
      <c r="S33" s="28"/>
      <c r="T33" s="28"/>
      <c r="U33" s="3"/>
    </row>
    <row r="34" spans="1:21" x14ac:dyDescent="0.25">
      <c r="A34" s="1064" t="s">
        <v>516</v>
      </c>
      <c r="B34" s="130" t="str">
        <f>IF('Bioenergy Calculator'!H75="No","Solid wastes - Landfilled","Solid wastes: Landfilled and Incinerated")</f>
        <v>Solid wastes - Landfilled</v>
      </c>
      <c r="C34" s="294"/>
      <c r="D34" s="294"/>
      <c r="E34" s="294"/>
      <c r="F34" s="294"/>
      <c r="G34" s="294"/>
      <c r="H34" s="294"/>
      <c r="I34" s="16"/>
      <c r="J34" s="16"/>
      <c r="K34" s="16"/>
      <c r="L34" s="16"/>
      <c r="M34" s="354"/>
      <c r="N34" s="16"/>
      <c r="O34" s="16"/>
      <c r="P34" s="16"/>
      <c r="Q34" s="16"/>
      <c r="R34" s="16"/>
      <c r="S34" s="16"/>
      <c r="T34" s="16"/>
      <c r="U34" s="51"/>
    </row>
    <row r="35" spans="1:21" x14ac:dyDescent="0.25">
      <c r="A35" s="1064"/>
      <c r="B35" s="11" t="str">
        <f>IF('Bioenergy Calculator'!H75="No","Food waste, Landfilled","Food waste: Landfilled and Incinerated")</f>
        <v>Food waste, Landfilled</v>
      </c>
      <c r="C35" s="294">
        <f>SUM(Atlantic!C32,Bergen!C32,Burlington!C32,Camden!C32,'Cape May'!C32,Cumberland!C32,Essex!C32,Gloucester!C32,Hudson!C32,Hunterdon!C32,Mercer!C32,Middlesex!C32,Monmouth!C32,Morris!C32,Ocean!C32,Passaic!C32,Salem!C32,Somerset!C32,Sussex!C32,Union!C32,Warren!C32)</f>
        <v>214286.55948329999</v>
      </c>
      <c r="D35" s="294">
        <f>E35*'Conversion Tables'!C29</f>
        <v>2057150.9710396801</v>
      </c>
      <c r="E35" s="294">
        <f>SUM(Atlantic!E32,Bergen!E32,Burlington!E32,Camden!E32,'Cape May'!E32,Cumberland!E32,Essex!E32,Gloucester!E32,Hudson!E32,Hunterdon!E32,Mercer!E32,Middlesex!E32,Monmouth!E32,Morris!E32,Ocean!E32,Passaic!E32,Salem!E32,Somerset!E32,Sussex!E32,Union!E32,Warren!E32)</f>
        <v>128571.93568998</v>
      </c>
      <c r="F35" s="294">
        <f>SUM(Atlantic!F32,Bergen!F32,Burlington!F32,Camden!F32,'Cape May'!F32,Cumberland!F32,Essex!F32,Gloucester!F32,Hudson!F32,Hunterdon!F32,Mercer!F32,Middlesex!F32,Monmouth!F32,Morris!F32,Ocean!F32,Passaic!F32,Salem!F32,Somerset!F32,Sussex!F32,Union!F32,Warren!F32)</f>
        <v>130810.3738704766</v>
      </c>
      <c r="G35" s="294">
        <f>SUM(Atlantic!G32,Bergen!G32,Burlington!G32,Camden!G32,'Cape May'!G32,Cumberland!G32,Essex!G32,Gloucester!G32,Hudson!G32,Hunterdon!G32,Mercer!G32,Middlesex!G32,Monmouth!G32,Morris!G32,Ocean!G32,Passaic!G32,Salem!G32,Somerset!G32,Sussex!G32,Union!G32,Warren!G32)</f>
        <v>133924.9078026528</v>
      </c>
      <c r="H35" s="294">
        <f>SUM(Atlantic!H32,Bergen!H32,Burlington!H32,Camden!H32,'Cape May'!H32,Cumberland!H32,Essex!H32,Gloucester!H32,Hudson!H32,Hunterdon!H32,Mercer!H32,Middlesex!H32,Monmouth!H32,Morris!H32,Ocean!H32,Passaic!H32,Salem!H32,Somerset!H32,Sussex!H32,Union!H32,Warren!H32)</f>
        <v>136549.30232451923</v>
      </c>
      <c r="I35" s="16">
        <f>SUM(Atlantic!I32,Bergen!I32,Burlington!I32,Camden!I32,'Cape May'!I32,Cumberland!I32,Essex!I32,Gloucester!I32,Hudson!I32,Hunterdon!I32,Mercer!I32,Middlesex!I32,Monmouth!I32,Morris!I32,Ocean!I32,Passaic!I32,Salem!I32,Somerset!I32,Sussex!I32,Union!I32,Warren!I32)</f>
        <v>0</v>
      </c>
      <c r="J35" s="16">
        <f>SUM(Atlantic!J32,Bergen!J32,Burlington!J32,Camden!J32,'Cape May'!J32,Cumberland!J32,Essex!J32,Gloucester!J32,Hudson!J32,Hunterdon!J32,Mercer!J32,Middlesex!J32,Monmouth!J32,Morris!J32,Ocean!J32,Passaic!J32,Salem!J32,Somerset!J32,Sussex!J32,Union!J32,Warren!J32)</f>
        <v>0</v>
      </c>
      <c r="K35" s="16">
        <f>SUM(Atlantic!K32,Bergen!K32,Burlington!K32,Camden!K32,'Cape May'!K32,Cumberland!K32,Essex!K32,Gloucester!K32,Hudson!K32,Hunterdon!K32,Mercer!K32,Middlesex!K32,Monmouth!K32,Morris!K32,Ocean!K32,Passaic!K32,Salem!K32,Somerset!K32,Sussex!K32,Union!K32,Warren!K32)</f>
        <v>0</v>
      </c>
      <c r="L35" s="16">
        <f>SUM(Atlantic!L32,Bergen!L32,Burlington!L32,Camden!L32,'Cape May'!L32,Cumberland!L32,Essex!L32,Gloucester!L32,Hudson!L32,Hunterdon!L32,Mercer!L32,Middlesex!L32,Monmouth!L32,Morris!L32,Ocean!L32,Passaic!L32,Salem!L32,Somerset!L32,Sussex!L32,Union!L32,Warren!L32)</f>
        <v>0</v>
      </c>
      <c r="M35" s="354">
        <f>SUM(Atlantic!M32,Bergen!M32,Burlington!M32,Camden!M32,'Cape May'!M32,Cumberland!M32,Essex!M32,Gloucester!M32,Hudson!M32,Hunterdon!M32,Mercer!M32,Middlesex!M32,Monmouth!M32,Morris!M32,Ocean!M32,Passaic!M32,Salem!M32,Somerset!M32,Sussex!M32,Union!M32,Warren!M32)</f>
        <v>0</v>
      </c>
      <c r="N35" s="16">
        <f>SUM(Atlantic!N32,Bergen!N32,Burlington!N32,Camden!N32,'Cape May'!N32,Cumberland!N32,Essex!N32,Gloucester!N32,Hudson!N32,Hunterdon!N32,Mercer!N32,Middlesex!N32,Monmouth!N32,Morris!N32,Ocean!N32,Passaic!N32,Salem!N32,Somerset!N32,Sussex!N32,Union!N32,Warren!N32)</f>
        <v>0</v>
      </c>
      <c r="O35" s="16">
        <f>SUM(Atlantic!O32,Bergen!O32,Burlington!O32,Camden!O32,'Cape May'!O32,Cumberland!O32,Essex!O32,Gloucester!O32,Hudson!O32,Hunterdon!O32,Mercer!O32,Middlesex!O32,Monmouth!O32,Morris!O32,Ocean!O32,Passaic!O32,Salem!O32,Somerset!O32,Sussex!O32,Union!O32,Warren!O32)</f>
        <v>0</v>
      </c>
      <c r="P35" s="16">
        <f>SUM(Atlantic!P32,Bergen!P32,Burlington!P32,Camden!P32,'Cape May'!P32,Cumberland!P32,Essex!P32,Gloucester!P32,Hudson!P32,Hunterdon!P32,Mercer!P32,Middlesex!P32,Monmouth!P32,Morris!P32,Ocean!P32,Passaic!P32,Salem!P32,Somerset!P32,Sussex!P32,Union!P32,Warren!P32)</f>
        <v>0</v>
      </c>
      <c r="Q35" s="16">
        <f>IF($B$4=$X$19,M35*'Technology Assumptions'!B$34,IF('Bioenergy Calculator'!$B$4='Bioenergy Calculator'!$X$21,M35*'Technology Assumptions'!B$34,IF('Bioenergy Calculator'!$B$4='Bioenergy Calculator'!$X$20,'Bioenergy Calculator'!M35*'Technology Assumptions'!B$36,IF('Bioenergy Calculator'!$B$4='Bioenergy Calculator'!$X$23,'Bioenergy Calculator'!M35*'Technology Assumptions'!B$35,IF('Bioenergy Calculator'!$B$4='Bioenergy Calculator'!$X$22,'Bioenergy Calculator'!M35*'Technology Assumptions'!B$37,'Bioenergy Calculator'!M35)))))</f>
        <v>0</v>
      </c>
      <c r="R35" s="16">
        <f>IF($B$4=$X$19,N35*'Technology Assumptions'!C$34,IF('Bioenergy Calculator'!$B$4='Bioenergy Calculator'!$X$21,N35*'Technology Assumptions'!C$34,IF('Bioenergy Calculator'!$B$4='Bioenergy Calculator'!$X$20,'Bioenergy Calculator'!N35*'Technology Assumptions'!C$36,IF('Bioenergy Calculator'!$B$4='Bioenergy Calculator'!$X$23,'Bioenergy Calculator'!N35*'Technology Assumptions'!C$35,IF('Bioenergy Calculator'!$B$4='Bioenergy Calculator'!$X$22,'Bioenergy Calculator'!N35*'Technology Assumptions'!C$37,'Bioenergy Calculator'!N35)))))</f>
        <v>0</v>
      </c>
      <c r="S35" s="16">
        <f>IF($B$4=$X$19,O35*'Technology Assumptions'!D$34,IF('Bioenergy Calculator'!$B$4='Bioenergy Calculator'!$X$21,O35*'Technology Assumptions'!D$34,IF('Bioenergy Calculator'!$B$4='Bioenergy Calculator'!$X$20,'Bioenergy Calculator'!O35*'Technology Assumptions'!D$36,IF('Bioenergy Calculator'!$B$4='Bioenergy Calculator'!$X$23,'Bioenergy Calculator'!O35*'Technology Assumptions'!D$35,IF('Bioenergy Calculator'!$B$4='Bioenergy Calculator'!$X$22,'Bioenergy Calculator'!O35*'Technology Assumptions'!D$37,'Bioenergy Calculator'!O35)))))</f>
        <v>0</v>
      </c>
      <c r="T35" s="16">
        <f>IF($B$4=$X$19,P35*'Technology Assumptions'!E$34,IF('Bioenergy Calculator'!$B$4='Bioenergy Calculator'!$X$21,P35*'Technology Assumptions'!E$34,IF('Bioenergy Calculator'!$B$4='Bioenergy Calculator'!$X$20,'Bioenergy Calculator'!P35*'Technology Assumptions'!E$36,IF('Bioenergy Calculator'!$B$4='Bioenergy Calculator'!$X$23,'Bioenergy Calculator'!P35*'Technology Assumptions'!E$35,IF('Bioenergy Calculator'!$B$4='Bioenergy Calculator'!$X$22,'Bioenergy Calculator'!P35*'Technology Assumptions'!E$37,'Bioenergy Calculator'!P35)))))</f>
        <v>0</v>
      </c>
    </row>
    <row r="36" spans="1:21" x14ac:dyDescent="0.25">
      <c r="A36" s="1064"/>
      <c r="B36" s="11" t="str">
        <f>IF('Bioenergy Calculator'!H75="No","Waste paper, Landfilled","Waste paper: Landfilled and Incinerated")</f>
        <v>Waste paper, Landfilled</v>
      </c>
      <c r="C36" s="294">
        <f>SUM(Atlantic!C33,Bergen!C33,Burlington!C33,Camden!C33,'Cape May'!C33,Cumberland!C33,Essex!C33,Gloucester!C33,Hudson!C33,Hunterdon!C33,Mercer!C33,Middlesex!C33,Monmouth!C33,Morris!C33,Ocean!C33,Passaic!C33,Salem!C33,Somerset!C33,Sussex!C33,Union!C33,Warren!C33)</f>
        <v>779660.5427775</v>
      </c>
      <c r="D36" s="294">
        <f>E36*'Conversion Tables'!C30</f>
        <v>9057784.3217718843</v>
      </c>
      <c r="E36" s="294">
        <f>SUM(Atlantic!E33,Bergen!E33,Burlington!E33,Camden!E33,'Cape May'!E33,Cumberland!E33,Essex!E33,Gloucester!E33,Hudson!E33,Hunterdon!E33,Mercer!E33,Middlesex!E33,Monmouth!E33,Morris!E33,Ocean!E33,Passaic!E33,Salem!E33,Somerset!E33,Sussex!E33,Union!E33,Warren!E33)</f>
        <v>623728.43422199995</v>
      </c>
      <c r="F36" s="294">
        <f>SUM(Atlantic!F33,Bergen!F33,Burlington!F33,Camden!F33,'Cape May'!F33,Cumberland!F33,Essex!F33,Gloucester!F33,Hudson!F33,Hunterdon!F33,Mercer!F33,Middlesex!F33,Monmouth!F33,Morris!F33,Ocean!F33,Passaic!F33,Salem!F33,Somerset!F33,Sussex!F33,Union!F33,Warren!F33)</f>
        <v>634504.23787394841</v>
      </c>
      <c r="G36" s="294">
        <f>SUM(Atlantic!G33,Bergen!G33,Burlington!G33,Camden!G33,'Cape May'!G33,Cumberland!G33,Essex!G33,Gloucester!G33,Hudson!G33,Hunterdon!G33,Mercer!G33,Middlesex!G33,Monmouth!G33,Morris!G33,Ocean!G33,Passaic!G33,Salem!G33,Somerset!G33,Sussex!G33,Union!G33,Warren!G33)</f>
        <v>649527.40225660615</v>
      </c>
      <c r="H36" s="294">
        <f>SUM(Atlantic!H33,Bergen!H33,Burlington!H33,Camden!H33,'Cape May'!H33,Cumberland!H33,Essex!H33,Gloucester!H33,Hudson!H33,Hunterdon!H33,Mercer!H33,Middlesex!H33,Monmouth!H33,Morris!H33,Ocean!H33,Passaic!H33,Salem!H33,Somerset!H33,Sussex!H33,Union!H33,Warren!H33)</f>
        <v>662232.65405727492</v>
      </c>
      <c r="I36" s="16">
        <f>SUM(Atlantic!I33,Bergen!I33,Burlington!I33,Camden!I33,'Cape May'!I33,Cumberland!I33,Essex!I33,Gloucester!I33,Hudson!I33,Hunterdon!I33,Mercer!I33,Middlesex!I33,Monmouth!I33,Morris!I33,Ocean!I33,Passaic!I33,Salem!I33,Somerset!I33,Sussex!I33,Union!I33,Warren!I33)</f>
        <v>0</v>
      </c>
      <c r="J36" s="16">
        <f>SUM(Atlantic!J33,Bergen!J33,Burlington!J33,Camden!J33,'Cape May'!J33,Cumberland!J33,Essex!J33,Gloucester!J33,Hudson!J33,Hunterdon!J33,Mercer!J33,Middlesex!J33,Monmouth!J33,Morris!J33,Ocean!J33,Passaic!J33,Salem!J33,Somerset!J33,Sussex!J33,Union!J33,Warren!J33)</f>
        <v>0</v>
      </c>
      <c r="K36" s="16">
        <f>SUM(Atlantic!K33,Bergen!K33,Burlington!K33,Camden!K33,'Cape May'!K33,Cumberland!K33,Essex!K33,Gloucester!K33,Hudson!K33,Hunterdon!K33,Mercer!K33,Middlesex!K33,Monmouth!K33,Morris!K33,Ocean!K33,Passaic!K33,Salem!K33,Somerset!K33,Sussex!K33,Union!K33,Warren!K33)</f>
        <v>0</v>
      </c>
      <c r="L36" s="16">
        <f>SUM(Atlantic!L33,Bergen!L33,Burlington!L33,Camden!L33,'Cape May'!L33,Cumberland!L33,Essex!L33,Gloucester!L33,Hudson!L33,Hunterdon!L33,Mercer!L33,Middlesex!L33,Monmouth!L33,Morris!L33,Ocean!L33,Passaic!L33,Salem!L33,Somerset!L33,Sussex!L33,Union!L33,Warren!L33)</f>
        <v>0</v>
      </c>
      <c r="M36" s="354">
        <f>SUM(Atlantic!M33,Bergen!M33,Burlington!M33,Camden!M33,'Cape May'!M33,Cumberland!M33,Essex!M33,Gloucester!M33,Hudson!M33,Hunterdon!M33,Mercer!M33,Middlesex!M33,Monmouth!M33,Morris!M33,Ocean!M33,Passaic!M33,Salem!M33,Somerset!M33,Sussex!M33,Union!M33,Warren!M33)</f>
        <v>0</v>
      </c>
      <c r="N36" s="16">
        <f>SUM(Atlantic!N33,Bergen!N33,Burlington!N33,Camden!N33,'Cape May'!N33,Cumberland!N33,Essex!N33,Gloucester!N33,Hudson!N33,Hunterdon!N33,Mercer!N33,Middlesex!N33,Monmouth!N33,Morris!N33,Ocean!N33,Passaic!N33,Salem!N33,Somerset!N33,Sussex!N33,Union!N33,Warren!N33)</f>
        <v>0</v>
      </c>
      <c r="O36" s="16">
        <f>SUM(Atlantic!O33,Bergen!O33,Burlington!O33,Camden!O33,'Cape May'!O33,Cumberland!O33,Essex!O33,Gloucester!O33,Hudson!O33,Hunterdon!O33,Mercer!O33,Middlesex!O33,Monmouth!O33,Morris!O33,Ocean!O33,Passaic!O33,Salem!O33,Somerset!O33,Sussex!O33,Union!O33,Warren!O33)</f>
        <v>0</v>
      </c>
      <c r="P36" s="16">
        <f>SUM(Atlantic!P33,Bergen!P33,Burlington!P33,Camden!P33,'Cape May'!P33,Cumberland!P33,Essex!P33,Gloucester!P33,Hudson!P33,Hunterdon!P33,Mercer!P33,Middlesex!P33,Monmouth!P33,Morris!P33,Ocean!P33,Passaic!P33,Salem!P33,Somerset!P33,Sussex!P33,Union!P33,Warren!P33)</f>
        <v>0</v>
      </c>
      <c r="Q36" s="16">
        <f>IF($B$4=$X$19,M36*'Technology Assumptions'!B$34,IF('Bioenergy Calculator'!$B$4='Bioenergy Calculator'!$X$21,M36*'Technology Assumptions'!B$34,IF('Bioenergy Calculator'!$B$4='Bioenergy Calculator'!$X$20,'Bioenergy Calculator'!M36*'Technology Assumptions'!B$36,IF('Bioenergy Calculator'!$B$4='Bioenergy Calculator'!$X$23,'Bioenergy Calculator'!M36*'Technology Assumptions'!B$35,IF('Bioenergy Calculator'!$B$4='Bioenergy Calculator'!$X$22,'Bioenergy Calculator'!M36*'Technology Assumptions'!B$37,'Bioenergy Calculator'!M36)))))</f>
        <v>0</v>
      </c>
      <c r="R36" s="16">
        <f>IF($B$4=$X$19,N36*'Technology Assumptions'!C$34,IF('Bioenergy Calculator'!$B$4='Bioenergy Calculator'!$X$21,N36*'Technology Assumptions'!C$34,IF('Bioenergy Calculator'!$B$4='Bioenergy Calculator'!$X$20,'Bioenergy Calculator'!N36*'Technology Assumptions'!C$36,IF('Bioenergy Calculator'!$B$4='Bioenergy Calculator'!$X$23,'Bioenergy Calculator'!N36*'Technology Assumptions'!C$35,IF('Bioenergy Calculator'!$B$4='Bioenergy Calculator'!$X$22,'Bioenergy Calculator'!N36*'Technology Assumptions'!C$37,'Bioenergy Calculator'!N36)))))</f>
        <v>0</v>
      </c>
      <c r="S36" s="16">
        <f>IF($B$4=$X$19,O36*'Technology Assumptions'!D$34,IF('Bioenergy Calculator'!$B$4='Bioenergy Calculator'!$X$21,O36*'Technology Assumptions'!D$34,IF('Bioenergy Calculator'!$B$4='Bioenergy Calculator'!$X$20,'Bioenergy Calculator'!O36*'Technology Assumptions'!D$36,IF('Bioenergy Calculator'!$B$4='Bioenergy Calculator'!$X$23,'Bioenergy Calculator'!O36*'Technology Assumptions'!D$35,IF('Bioenergy Calculator'!$B$4='Bioenergy Calculator'!$X$22,'Bioenergy Calculator'!O36*'Technology Assumptions'!D$37,'Bioenergy Calculator'!O36)))))</f>
        <v>0</v>
      </c>
      <c r="T36" s="16">
        <f>IF($B$4=$X$19,P36*'Technology Assumptions'!E$34,IF('Bioenergy Calculator'!$B$4='Bioenergy Calculator'!$X$21,P36*'Technology Assumptions'!E$34,IF('Bioenergy Calculator'!$B$4='Bioenergy Calculator'!$X$20,'Bioenergy Calculator'!P36*'Technology Assumptions'!E$36,IF('Bioenergy Calculator'!$B$4='Bioenergy Calculator'!$X$23,'Bioenergy Calculator'!P36*'Technology Assumptions'!E$35,IF('Bioenergy Calculator'!$B$4='Bioenergy Calculator'!$X$22,'Bioenergy Calculator'!P36*'Technology Assumptions'!E$37,'Bioenergy Calculator'!P36)))))</f>
        <v>0</v>
      </c>
    </row>
    <row r="37" spans="1:21" x14ac:dyDescent="0.25">
      <c r="A37" s="1064"/>
      <c r="B37" s="11" t="str">
        <f>IF('Bioenergy Calculator'!H75="No","Other Biomass, Landfilled","Other Biomass: Landfilled and Incinerated")</f>
        <v>Other Biomass, Landfilled</v>
      </c>
      <c r="C37" s="294">
        <f>SUM(Atlantic!C34,Bergen!C34,Burlington!C34,Camden!C34,'Cape May'!C34,Cumberland!C34,Essex!C34,Gloucester!C34,Hudson!C34,Hunterdon!C34,Mercer!C34,Middlesex!C34,Monmouth!C34,Morris!C34,Ocean!C34,Passaic!C34,Salem!C34,Somerset!C34,Sussex!C34,Union!C34,Warren!C34)</f>
        <v>599721.74855750019</v>
      </c>
      <c r="D37" s="294">
        <f>E37*'Conversion Tables'!C31</f>
        <v>6270594.6474374505</v>
      </c>
      <c r="E37" s="294">
        <f>SUM(Atlantic!E34,Bergen!E34,Burlington!E34,Camden!E34,'Cape May'!E34,Cumberland!E34,Essex!E34,Gloucester!E34,Hudson!E34,Hunterdon!E34,Mercer!E34,Middlesex!E34,Monmouth!E34,Morris!E34,Ocean!E34,Passaic!E34,Salem!E34,Somerset!E34,Sussex!E34,Union!E34,Warren!E34)</f>
        <v>431799.65896139998</v>
      </c>
      <c r="F37" s="294">
        <f>SUM(Atlantic!F34,Bergen!F34,Burlington!F34,Camden!F34,'Cape May'!F34,Cumberland!F34,Essex!F34,Gloucester!F34,Hudson!F34,Hunterdon!F34,Mercer!F34,Middlesex!F34,Monmouth!F34,Morris!F34,Ocean!F34,Passaic!F34,Salem!F34,Somerset!F34,Sussex!F34,Union!F34,Warren!F34)</f>
        <v>439259.61763355869</v>
      </c>
      <c r="G37" s="294">
        <f>SUM(Atlantic!G34,Bergen!G34,Burlington!G34,Camden!G34,'Cape May'!G34,Cumberland!G34,Essex!G34,Gloucester!G34,Hudson!G34,Hunterdon!G34,Mercer!G34,Middlesex!G34,Monmouth!G34,Morris!G34,Ocean!G34,Passaic!G34,Salem!G34,Somerset!G34,Sussex!G34,Union!G34,Warren!G34)</f>
        <v>449659.97282186116</v>
      </c>
      <c r="H37" s="294">
        <f>SUM(Atlantic!H34,Bergen!H34,Burlington!H34,Camden!H34,'Cape May'!H34,Cumberland!H34,Essex!H34,Gloucester!H34,Hudson!H34,Hunterdon!H34,Mercer!H34,Middlesex!H34,Monmouth!H34,Morris!H34,Ocean!H34,Passaic!H34,Salem!H34,Somerset!H34,Sussex!H34,Union!H34,Warren!H34)</f>
        <v>458455.66513528064</v>
      </c>
      <c r="I37" s="16">
        <f>SUM(Atlantic!I34,Bergen!I34,Burlington!I34,Camden!I34,'Cape May'!I34,Cumberland!I34,Essex!I34,Gloucester!I34,Hudson!I34,Hunterdon!I34,Mercer!I34,Middlesex!I34,Monmouth!I34,Morris!I34,Ocean!I34,Passaic!I34,Salem!I34,Somerset!I34,Sussex!I34,Union!I34,Warren!I34)</f>
        <v>0</v>
      </c>
      <c r="J37" s="16">
        <f>SUM(Atlantic!J34,Bergen!J34,Burlington!J34,Camden!J34,'Cape May'!J34,Cumberland!J34,Essex!J34,Gloucester!J34,Hudson!J34,Hunterdon!J34,Mercer!J34,Middlesex!J34,Monmouth!J34,Morris!J34,Ocean!J34,Passaic!J34,Salem!J34,Somerset!J34,Sussex!J34,Union!J34,Warren!J34)</f>
        <v>0</v>
      </c>
      <c r="K37" s="16">
        <f>SUM(Atlantic!K34,Bergen!K34,Burlington!K34,Camden!K34,'Cape May'!K34,Cumberland!K34,Essex!K34,Gloucester!K34,Hudson!K34,Hunterdon!K34,Mercer!K34,Middlesex!K34,Monmouth!K34,Morris!K34,Ocean!K34,Passaic!K34,Salem!K34,Somerset!K34,Sussex!K34,Union!K34,Warren!K34)</f>
        <v>0</v>
      </c>
      <c r="L37" s="16">
        <f>SUM(Atlantic!L34,Bergen!L34,Burlington!L34,Camden!L34,'Cape May'!L34,Cumberland!L34,Essex!L34,Gloucester!L34,Hudson!L34,Hunterdon!L34,Mercer!L34,Middlesex!L34,Monmouth!L34,Morris!L34,Ocean!L34,Passaic!L34,Salem!L34,Somerset!L34,Sussex!L34,Union!L34,Warren!L34)</f>
        <v>0</v>
      </c>
      <c r="M37" s="354">
        <f>SUM(Atlantic!M34,Bergen!M34,Burlington!M34,Camden!M34,'Cape May'!M34,Cumberland!M34,Essex!M34,Gloucester!M34,Hudson!M34,Hunterdon!M34,Mercer!M34,Middlesex!M34,Monmouth!M34,Morris!M34,Ocean!M34,Passaic!M34,Salem!M34,Somerset!M34,Sussex!M34,Union!M34,Warren!M34)</f>
        <v>0</v>
      </c>
      <c r="N37" s="16">
        <f>SUM(Atlantic!N34,Bergen!N34,Burlington!N34,Camden!N34,'Cape May'!N34,Cumberland!N34,Essex!N34,Gloucester!N34,Hudson!N34,Hunterdon!N34,Mercer!N34,Middlesex!N34,Monmouth!N34,Morris!N34,Ocean!N34,Passaic!N34,Salem!N34,Somerset!N34,Sussex!N34,Union!N34,Warren!N34)</f>
        <v>0</v>
      </c>
      <c r="O37" s="16">
        <f>SUM(Atlantic!O34,Bergen!O34,Burlington!O34,Camden!O34,'Cape May'!O34,Cumberland!O34,Essex!O34,Gloucester!O34,Hudson!O34,Hunterdon!O34,Mercer!O34,Middlesex!O34,Monmouth!O34,Morris!O34,Ocean!O34,Passaic!O34,Salem!O34,Somerset!O34,Sussex!O34,Union!O34,Warren!O34)</f>
        <v>0</v>
      </c>
      <c r="P37" s="16">
        <f>SUM(Atlantic!P34,Bergen!P34,Burlington!P34,Camden!P34,'Cape May'!P34,Cumberland!P34,Essex!P34,Gloucester!P34,Hudson!P34,Hunterdon!P34,Mercer!P34,Middlesex!P34,Monmouth!P34,Morris!P34,Ocean!P34,Passaic!P34,Salem!P34,Somerset!P34,Sussex!P34,Union!P34,Warren!P34)</f>
        <v>0</v>
      </c>
      <c r="Q37" s="16">
        <f>IF($B$4=$X$19,M37*'Technology Assumptions'!B$34,IF('Bioenergy Calculator'!$B$4='Bioenergy Calculator'!$X$21,M37*'Technology Assumptions'!B$34,IF('Bioenergy Calculator'!$B$4='Bioenergy Calculator'!$X$20,'Bioenergy Calculator'!M37*'Technology Assumptions'!B$36,IF('Bioenergy Calculator'!$B$4='Bioenergy Calculator'!$X$23,'Bioenergy Calculator'!M37*'Technology Assumptions'!B$35,IF('Bioenergy Calculator'!$B$4='Bioenergy Calculator'!$X$22,'Bioenergy Calculator'!M37*'Technology Assumptions'!B$37,'Bioenergy Calculator'!M37)))))</f>
        <v>0</v>
      </c>
      <c r="R37" s="16">
        <f>IF($B$4=$X$19,N37*'Technology Assumptions'!C$34,IF('Bioenergy Calculator'!$B$4='Bioenergy Calculator'!$X$21,N37*'Technology Assumptions'!C$34,IF('Bioenergy Calculator'!$B$4='Bioenergy Calculator'!$X$20,'Bioenergy Calculator'!N37*'Technology Assumptions'!C$36,IF('Bioenergy Calculator'!$B$4='Bioenergy Calculator'!$X$23,'Bioenergy Calculator'!N37*'Technology Assumptions'!C$35,IF('Bioenergy Calculator'!$B$4='Bioenergy Calculator'!$X$22,'Bioenergy Calculator'!N37*'Technology Assumptions'!C$37,'Bioenergy Calculator'!N37)))))</f>
        <v>0</v>
      </c>
      <c r="S37" s="16">
        <f>IF($B$4=$X$19,O37*'Technology Assumptions'!D$34,IF('Bioenergy Calculator'!$B$4='Bioenergy Calculator'!$X$21,O37*'Technology Assumptions'!D$34,IF('Bioenergy Calculator'!$B$4='Bioenergy Calculator'!$X$20,'Bioenergy Calculator'!O37*'Technology Assumptions'!D$36,IF('Bioenergy Calculator'!$B$4='Bioenergy Calculator'!$X$23,'Bioenergy Calculator'!O37*'Technology Assumptions'!D$35,IF('Bioenergy Calculator'!$B$4='Bioenergy Calculator'!$X$22,'Bioenergy Calculator'!O37*'Technology Assumptions'!D$37,'Bioenergy Calculator'!O37)))))</f>
        <v>0</v>
      </c>
      <c r="T37" s="16">
        <f>IF($B$4=$X$19,P37*'Technology Assumptions'!E$34,IF('Bioenergy Calculator'!$B$4='Bioenergy Calculator'!$X$21,P37*'Technology Assumptions'!E$34,IF('Bioenergy Calculator'!$B$4='Bioenergy Calculator'!$X$20,'Bioenergy Calculator'!P37*'Technology Assumptions'!E$36,IF('Bioenergy Calculator'!$B$4='Bioenergy Calculator'!$X$23,'Bioenergy Calculator'!P37*'Technology Assumptions'!E$35,IF('Bioenergy Calculator'!$B$4='Bioenergy Calculator'!$X$22,'Bioenergy Calculator'!P37*'Technology Assumptions'!E$37,'Bioenergy Calculator'!P37)))))</f>
        <v>0</v>
      </c>
    </row>
    <row r="38" spans="1:21" x14ac:dyDescent="0.25">
      <c r="A38" s="1065"/>
      <c r="B38" s="677" t="s">
        <v>1330</v>
      </c>
      <c r="C38" s="294">
        <f>SUM(Atlantic!C35,Bergen!C35,Burlington!C35,Camden!C35,'Cape May'!C35,Cumberland!C35,Essex!C35,Gloucester!C35,Hudson!C35,Hunterdon!C35,Mercer!C35,Middlesex!C35,Monmouth!C35,Morris!C35,Ocean!C35,Passaic!C35,Salem!C35,Somerset!C35,Sussex!C35,Union!C35,Warren!C35)</f>
        <v>582995.8208000001</v>
      </c>
      <c r="D38" s="294">
        <f>E38*'Conversion Tables'!C32</f>
        <v>6604176.6580224019</v>
      </c>
      <c r="E38" s="294">
        <f>SUM(Atlantic!E35,Bergen!E35,Burlington!E35,Camden!E35,'Cape May'!E35,Cumberland!E35,Essex!E35,Gloucester!E35,Hudson!E35,Hunterdon!E35,Mercer!E35,Middlesex!E35,Monmouth!E35,Morris!E35,Ocean!E35,Passaic!E35,Salem!E35,Somerset!E35,Sussex!E35,Union!E35,Warren!E35)</f>
        <v>373117.32531200012</v>
      </c>
      <c r="F38" s="294">
        <f>SUM(Atlantic!F35,Bergen!F35,Burlington!F35,Camden!F35,'Cape May'!F35,Cumberland!F35,Essex!F35,Gloucester!F35,Hudson!F35,Hunterdon!F35,Mercer!F35,Middlesex!F35,Monmouth!F35,Morris!F35,Ocean!F35,Passaic!F35,Salem!F35,Somerset!F35,Sussex!F35,Union!F35,Warren!F35)</f>
        <v>398543.74342195783</v>
      </c>
      <c r="G38" s="294">
        <f>SUM(Atlantic!G35,Bergen!G35,Burlington!G35,Camden!G35,'Cape May'!G35,Cumberland!G35,Essex!G35,Gloucester!G35,Hudson!G35,Hunterdon!G35,Mercer!G35,Middlesex!G35,Monmouth!G35,Morris!G35,Ocean!G35,Passaic!G35,Salem!G35,Somerset!G35,Sussex!G35,Union!G35,Warren!G35)</f>
        <v>429127.3853965677</v>
      </c>
      <c r="H38" s="294">
        <f>SUM(Atlantic!H35,Bergen!H35,Burlington!H35,Camden!H35,'Cape May'!H35,Cumberland!H35,Essex!H35,Gloucester!H35,Hudson!H35,Hunterdon!H35,Mercer!H35,Middlesex!H35,Monmouth!H35,Morris!H35,Ocean!H35,Passaic!H35,Salem!H35,Somerset!H35,Sussex!H35,Union!H35,Warren!H35)</f>
        <v>460233.94506212231</v>
      </c>
      <c r="I38" s="16">
        <f>SUM(Atlantic!I35,Bergen!I35,Burlington!I35,Camden!I35,'Cape May'!I35,Cumberland!I35,Essex!I35,Gloucester!I35,Hudson!I35,Hunterdon!I35,Mercer!I35,Middlesex!I35,Monmouth!I35,Morris!I35,Ocean!I35,Passaic!I35,Salem!I35,Somerset!I35,Sussex!I35,Union!I35,Warren!I35)</f>
        <v>0</v>
      </c>
      <c r="J38" s="16">
        <f>SUM(Atlantic!J35,Bergen!J35,Burlington!J35,Camden!J35,'Cape May'!J35,Cumberland!J35,Essex!J35,Gloucester!J35,Hudson!J35,Hunterdon!J35,Mercer!J35,Middlesex!J35,Monmouth!J35,Morris!J35,Ocean!J35,Passaic!J35,Salem!J35,Somerset!J35,Sussex!J35,Union!J35,Warren!J35)</f>
        <v>0</v>
      </c>
      <c r="K38" s="16">
        <f>SUM(Atlantic!K35,Bergen!K35,Burlington!K35,Camden!K35,'Cape May'!K35,Cumberland!K35,Essex!K35,Gloucester!K35,Hudson!K35,Hunterdon!K35,Mercer!K35,Middlesex!K35,Monmouth!K35,Morris!K35,Ocean!K35,Passaic!K35,Salem!K35,Somerset!K35,Sussex!K35,Union!K35,Warren!K35)</f>
        <v>0</v>
      </c>
      <c r="L38" s="16">
        <f>SUM(Atlantic!L35,Bergen!L35,Burlington!L35,Camden!L35,'Cape May'!L35,Cumberland!L35,Essex!L35,Gloucester!L35,Hudson!L35,Hunterdon!L35,Mercer!L35,Middlesex!L35,Monmouth!L35,Morris!L35,Ocean!L35,Passaic!L35,Salem!L35,Somerset!L35,Sussex!L35,Union!L35,Warren!L35)</f>
        <v>0</v>
      </c>
      <c r="M38" s="354">
        <f>SUM(Atlantic!M35,Bergen!M35,Burlington!M35,Camden!M35,'Cape May'!M35,Cumberland!M35,Essex!M35,Gloucester!M35,Hudson!M35,Hunterdon!M35,Mercer!M35,Middlesex!M35,Monmouth!M35,Morris!M35,Ocean!M35,Passaic!M35,Salem!M35,Somerset!M35,Sussex!M35,Union!M35,Warren!M35)</f>
        <v>0</v>
      </c>
      <c r="N38" s="16">
        <f>SUM(Atlantic!N35,Bergen!N35,Burlington!N35,Camden!N35,'Cape May'!N35,Cumberland!N35,Essex!N35,Gloucester!N35,Hudson!N35,Hunterdon!N35,Mercer!N35,Middlesex!N35,Monmouth!N35,Morris!N35,Ocean!N35,Passaic!N35,Salem!N35,Somerset!N35,Sussex!N35,Union!N35,Warren!N35)</f>
        <v>0</v>
      </c>
      <c r="O38" s="16">
        <f>SUM(Atlantic!O35,Bergen!O35,Burlington!O35,Camden!O35,'Cape May'!O35,Cumberland!O35,Essex!O35,Gloucester!O35,Hudson!O35,Hunterdon!O35,Mercer!O35,Middlesex!O35,Monmouth!O35,Morris!O35,Ocean!O35,Passaic!O35,Salem!O35,Somerset!O35,Sussex!O35,Union!O35,Warren!O35)</f>
        <v>0</v>
      </c>
      <c r="P38" s="16">
        <f>SUM(Atlantic!P35,Bergen!P35,Burlington!P35,Camden!P35,'Cape May'!P35,Cumberland!P35,Essex!P35,Gloucester!P35,Hudson!P35,Hunterdon!P35,Mercer!P35,Middlesex!P35,Monmouth!P35,Morris!P35,Ocean!P35,Passaic!P35,Salem!P35,Somerset!P35,Sussex!P35,Union!P35,Warren!P35)</f>
        <v>0</v>
      </c>
      <c r="Q38" s="16">
        <f>IF($B$4=$X$19,M38*'Technology Assumptions'!B$34,IF('Bioenergy Calculator'!$B$4='Bioenergy Calculator'!$X$21,M38*'Technology Assumptions'!B$34,IF('Bioenergy Calculator'!$B$4='Bioenergy Calculator'!$X$20,'Bioenergy Calculator'!M38*'Technology Assumptions'!B$36,IF('Bioenergy Calculator'!$B$4='Bioenergy Calculator'!$X$23,'Bioenergy Calculator'!M38*'Technology Assumptions'!B$35,IF('Bioenergy Calculator'!$B$4='Bioenergy Calculator'!$X$22,'Bioenergy Calculator'!M38*'Technology Assumptions'!B$37,'Bioenergy Calculator'!M38)))))</f>
        <v>0</v>
      </c>
      <c r="R38" s="16">
        <f>IF($B$4=$X$19,N38*'Technology Assumptions'!C$34,IF('Bioenergy Calculator'!$B$4='Bioenergy Calculator'!$X$21,N38*'Technology Assumptions'!C$34,IF('Bioenergy Calculator'!$B$4='Bioenergy Calculator'!$X$20,'Bioenergy Calculator'!N38*'Technology Assumptions'!C$36,IF('Bioenergy Calculator'!$B$4='Bioenergy Calculator'!$X$23,'Bioenergy Calculator'!N38*'Technology Assumptions'!C$35,IF('Bioenergy Calculator'!$B$4='Bioenergy Calculator'!$X$22,'Bioenergy Calculator'!N38*'Technology Assumptions'!C$37,'Bioenergy Calculator'!N38)))))</f>
        <v>0</v>
      </c>
      <c r="S38" s="16">
        <f>IF($B$4=$X$19,O38*'Technology Assumptions'!D$34,IF('Bioenergy Calculator'!$B$4='Bioenergy Calculator'!$X$21,O38*'Technology Assumptions'!D$34,IF('Bioenergy Calculator'!$B$4='Bioenergy Calculator'!$X$20,'Bioenergy Calculator'!O38*'Technology Assumptions'!D$36,IF('Bioenergy Calculator'!$B$4='Bioenergy Calculator'!$X$23,'Bioenergy Calculator'!O38*'Technology Assumptions'!D$35,IF('Bioenergy Calculator'!$B$4='Bioenergy Calculator'!$X$22,'Bioenergy Calculator'!O38*'Technology Assumptions'!D$37,'Bioenergy Calculator'!O38)))))</f>
        <v>0</v>
      </c>
      <c r="T38" s="16">
        <f>IF($B$4=$X$19,P38*'Technology Assumptions'!E$34,IF('Bioenergy Calculator'!$B$4='Bioenergy Calculator'!$X$21,P38*'Technology Assumptions'!E$34,IF('Bioenergy Calculator'!$B$4='Bioenergy Calculator'!$X$20,'Bioenergy Calculator'!P38*'Technology Assumptions'!E$36,IF('Bioenergy Calculator'!$B$4='Bioenergy Calculator'!$X$23,'Bioenergy Calculator'!P38*'Technology Assumptions'!E$35,IF('Bioenergy Calculator'!$B$4='Bioenergy Calculator'!$X$22,'Bioenergy Calculator'!P38*'Technology Assumptions'!E$37,'Bioenergy Calculator'!P38)))))</f>
        <v>0</v>
      </c>
    </row>
    <row r="39" spans="1:21" x14ac:dyDescent="0.25">
      <c r="A39" s="1065"/>
      <c r="B39" s="4" t="s">
        <v>303</v>
      </c>
      <c r="C39" s="294"/>
      <c r="D39" s="294"/>
      <c r="E39" s="294"/>
      <c r="F39" s="294"/>
      <c r="G39" s="294"/>
      <c r="H39" s="294"/>
      <c r="I39" s="16"/>
      <c r="J39" s="16"/>
      <c r="K39" s="16"/>
      <c r="L39" s="16"/>
      <c r="M39" s="354"/>
      <c r="N39" s="16"/>
      <c r="O39" s="16"/>
      <c r="P39" s="16"/>
      <c r="Q39" s="16"/>
      <c r="R39" s="16"/>
      <c r="S39" s="16"/>
      <c r="T39" s="16"/>
    </row>
    <row r="40" spans="1:21" x14ac:dyDescent="0.25">
      <c r="A40" s="1065"/>
      <c r="B40" s="11" t="s">
        <v>563</v>
      </c>
      <c r="C40" s="294">
        <f>SUM(Atlantic!C37,Bergen!C37,Burlington!C37,Camden!C37,'Cape May'!C37,Cumberland!C37,Essex!C37,Gloucester!C37,Hudson!C37,Hunterdon!C37,Mercer!C37,Middlesex!C37,Monmouth!C37,Morris!C37,Ocean!C37,Passaic!C37,Salem!C37,Somerset!C37,Sussex!C37,Union!C37,Warren!C37)</f>
        <v>66877.455000000016</v>
      </c>
      <c r="D40" s="294">
        <f>E40*'Conversion Tables'!C34</f>
        <v>1070039.2800000003</v>
      </c>
      <c r="E40" s="294">
        <f>SUM(Atlantic!E37,Bergen!E37,Burlington!E37,Camden!E37,'Cape May'!E37,Cumberland!E37,Essex!E37,Gloucester!E37,Hudson!E37,Hunterdon!E37,Mercer!E37,Middlesex!E37,Monmouth!E37,Morris!E37,Ocean!E37,Passaic!E37,Salem!E37,Somerset!E37,Sussex!E37,Union!E37,Warren!E37)</f>
        <v>66877.455000000016</v>
      </c>
      <c r="F40" s="294">
        <f>SUM(Atlantic!F37,Bergen!F37,Burlington!F37,Camden!F37,'Cape May'!F37,Cumberland!F37,Essex!F37,Gloucester!F37,Hudson!F37,Hunterdon!F37,Mercer!F37,Middlesex!F37,Monmouth!F37,Morris!F37,Ocean!F37,Passaic!F37,Salem!F37,Somerset!F37,Sussex!F37,Union!F37,Warren!F37)</f>
        <v>74005.394705036408</v>
      </c>
      <c r="G40" s="294">
        <f>SUM(Atlantic!G37,Bergen!G37,Burlington!G37,Camden!G37,'Cape May'!G37,Cumberland!G37,Essex!G37,Gloucester!G37,Hudson!G37,Hunterdon!G37,Mercer!G37,Middlesex!G37,Monmouth!G37,Morris!G37,Ocean!G37,Passaic!G37,Salem!G37,Somerset!G37,Sussex!G37,Union!G37,Warren!G37)</f>
        <v>82121.072273085476</v>
      </c>
      <c r="H40" s="294">
        <f>SUM(Atlantic!H37,Bergen!H37,Burlington!H37,Camden!H37,'Cape May'!H37,Cumberland!H37,Essex!H37,Gloucester!H37,Hudson!H37,Hunterdon!H37,Mercer!H37,Middlesex!H37,Monmouth!H37,Morris!H37,Ocean!H37,Passaic!H37,Salem!H37,Somerset!H37,Sussex!H37,Union!H37,Warren!H37)</f>
        <v>91026.35672982152</v>
      </c>
      <c r="I40" s="16">
        <f>SUM(Atlantic!I37,Bergen!I37,Burlington!I37,Camden!I37,'Cape May'!I37,Cumberland!I37,Essex!I37,Gloucester!I37,Hudson!I37,Hunterdon!I37,Mercer!I37,Middlesex!I37,Monmouth!I37,Morris!I37,Ocean!I37,Passaic!I37,Salem!I37,Somerset!I37,Sussex!I37,Union!I37,Warren!I37)</f>
        <v>0</v>
      </c>
      <c r="J40" s="16">
        <f>SUM(Atlantic!J37,Bergen!J37,Burlington!J37,Camden!J37,'Cape May'!J37,Cumberland!J37,Essex!J37,Gloucester!J37,Hudson!J37,Hunterdon!J37,Mercer!J37,Middlesex!J37,Monmouth!J37,Morris!J37,Ocean!J37,Passaic!J37,Salem!J37,Somerset!J37,Sussex!J37,Union!J37,Warren!J37)</f>
        <v>0</v>
      </c>
      <c r="K40" s="16">
        <f>SUM(Atlantic!K37,Bergen!K37,Burlington!K37,Camden!K37,'Cape May'!K37,Cumberland!K37,Essex!K37,Gloucester!K37,Hudson!K37,Hunterdon!K37,Mercer!K37,Middlesex!K37,Monmouth!K37,Morris!K37,Ocean!K37,Passaic!K37,Salem!K37,Somerset!K37,Sussex!K37,Union!K37,Warren!K37)</f>
        <v>0</v>
      </c>
      <c r="L40" s="16">
        <f>SUM(Atlantic!L37,Bergen!L37,Burlington!L37,Camden!L37,'Cape May'!L37,Cumberland!L37,Essex!L37,Gloucester!L37,Hudson!L37,Hunterdon!L37,Mercer!L37,Middlesex!L37,Monmouth!L37,Morris!L37,Ocean!L37,Passaic!L37,Salem!L37,Somerset!L37,Sussex!L37,Union!L37,Warren!L37)</f>
        <v>0</v>
      </c>
      <c r="M40" s="354">
        <f>SUM(Atlantic!M37,Bergen!M37,Burlington!M37,Camden!M37,'Cape May'!M37,Cumberland!M37,Essex!M37,Gloucester!M37,Hudson!M37,Hunterdon!M37,Mercer!M37,Middlesex!M37,Monmouth!M37,Morris!M37,Ocean!M37,Passaic!M37,Salem!M37,Somerset!M37,Sussex!M37,Union!M37,Warren!M37)</f>
        <v>0</v>
      </c>
      <c r="N40" s="16">
        <f>SUM(Atlantic!N37,Bergen!N37,Burlington!N37,Camden!N37,'Cape May'!N37,Cumberland!N37,Essex!N37,Gloucester!N37,Hudson!N37,Hunterdon!N37,Mercer!N37,Middlesex!N37,Monmouth!N37,Morris!N37,Ocean!N37,Passaic!N37,Salem!N37,Somerset!N37,Sussex!N37,Union!N37,Warren!N37)</f>
        <v>0</v>
      </c>
      <c r="O40" s="16">
        <f>SUM(Atlantic!O37,Bergen!O37,Burlington!O37,Camden!O37,'Cape May'!O37,Cumberland!O37,Essex!O37,Gloucester!O37,Hudson!O37,Hunterdon!O37,Mercer!O37,Middlesex!O37,Monmouth!O37,Morris!O37,Ocean!O37,Passaic!O37,Salem!O37,Somerset!O37,Sussex!O37,Union!O37,Warren!O37)</f>
        <v>0</v>
      </c>
      <c r="P40" s="16">
        <f>SUM(Atlantic!P37,Bergen!P37,Burlington!P37,Camden!P37,'Cape May'!P37,Cumberland!P37,Essex!P37,Gloucester!P37,Hudson!P37,Hunterdon!P37,Mercer!P37,Middlesex!P37,Monmouth!P37,Morris!P37,Ocean!P37,Passaic!P37,Salem!P37,Somerset!P37,Sussex!P37,Union!P37,Warren!P37)</f>
        <v>0</v>
      </c>
      <c r="Q40" s="16">
        <f>IF($B$4=$X$19,M40*'Technology Assumptions'!B$34,IF('Bioenergy Calculator'!$B$4='Bioenergy Calculator'!$X$21,M40*'Technology Assumptions'!B$34,IF('Bioenergy Calculator'!$B$4='Bioenergy Calculator'!$X$20,'Bioenergy Calculator'!M40*'Technology Assumptions'!B$36,IF('Bioenergy Calculator'!$B$4='Bioenergy Calculator'!$X$23,'Bioenergy Calculator'!M40*'Technology Assumptions'!B$35,IF('Bioenergy Calculator'!$B$4='Bioenergy Calculator'!$X$22,'Bioenergy Calculator'!M40*'Technology Assumptions'!B$37,'Bioenergy Calculator'!M40)))))</f>
        <v>0</v>
      </c>
      <c r="R40" s="16">
        <f>IF($B$4=$X$19,N40*'Technology Assumptions'!C$34,IF('Bioenergy Calculator'!$B$4='Bioenergy Calculator'!$X$21,N40*'Technology Assumptions'!C$34,IF('Bioenergy Calculator'!$B$4='Bioenergy Calculator'!$X$20,'Bioenergy Calculator'!N40*'Technology Assumptions'!C$36,IF('Bioenergy Calculator'!$B$4='Bioenergy Calculator'!$X$23,'Bioenergy Calculator'!N40*'Technology Assumptions'!C$35,IF('Bioenergy Calculator'!$B$4='Bioenergy Calculator'!$X$22,'Bioenergy Calculator'!N40*'Technology Assumptions'!C$37,'Bioenergy Calculator'!N40)))))</f>
        <v>0</v>
      </c>
      <c r="S40" s="16">
        <f>IF($B$4=$X$19,O40*'Technology Assumptions'!D$34,IF('Bioenergy Calculator'!$B$4='Bioenergy Calculator'!$X$21,O40*'Technology Assumptions'!D$34,IF('Bioenergy Calculator'!$B$4='Bioenergy Calculator'!$X$20,'Bioenergy Calculator'!O40*'Technology Assumptions'!D$36,IF('Bioenergy Calculator'!$B$4='Bioenergy Calculator'!$X$23,'Bioenergy Calculator'!O40*'Technology Assumptions'!D$35,IF('Bioenergy Calculator'!$B$4='Bioenergy Calculator'!$X$22,'Bioenergy Calculator'!O40*'Technology Assumptions'!D$37,'Bioenergy Calculator'!O40)))))</f>
        <v>0</v>
      </c>
      <c r="T40" s="16">
        <f>IF($B$4=$X$19,P40*'Technology Assumptions'!E$34,IF('Bioenergy Calculator'!$B$4='Bioenergy Calculator'!$X$21,P40*'Technology Assumptions'!E$34,IF('Bioenergy Calculator'!$B$4='Bioenergy Calculator'!$X$20,'Bioenergy Calculator'!P40*'Technology Assumptions'!E$36,IF('Bioenergy Calculator'!$B$4='Bioenergy Calculator'!$X$23,'Bioenergy Calculator'!P40*'Technology Assumptions'!E$35,IF('Bioenergy Calculator'!$B$4='Bioenergy Calculator'!$X$22,'Bioenergy Calculator'!P40*'Technology Assumptions'!E$37,'Bioenergy Calculator'!P40)))))</f>
        <v>0</v>
      </c>
    </row>
    <row r="41" spans="1:21" x14ac:dyDescent="0.25">
      <c r="A41" s="1065"/>
      <c r="B41" s="11" t="s">
        <v>565</v>
      </c>
      <c r="C41" s="294">
        <f>SUM(Atlantic!C38,Bergen!C38,Burlington!C38,Camden!C38,'Cape May'!C38,Cumberland!C38,Essex!C38,Gloucester!C38,Hudson!C38,Hunterdon!C38,Mercer!C38,Middlesex!C38,Monmouth!C38,Morris!C38,Ocean!C38,Passaic!C38,Salem!C38,Somerset!C38,Sussex!C38,Union!C38,Warren!C38)</f>
        <v>129506.64000000003</v>
      </c>
      <c r="D41" s="294">
        <f>E41*'Conversion Tables'!C35</f>
        <v>1146133.7640000002</v>
      </c>
      <c r="E41" s="294">
        <f>SUM(Atlantic!E38,Bergen!E38,Burlington!E38,Camden!E38,'Cape May'!E38,Cumberland!E38,Essex!E38,Gloucester!E38,Hudson!E38,Hunterdon!E38,Mercer!E38,Middlesex!E38,Monmouth!E38,Morris!E38,Ocean!E38,Passaic!E38,Salem!E38,Somerset!E38,Sussex!E38,Union!E38,Warren!E38)</f>
        <v>64753.320000000014</v>
      </c>
      <c r="F41" s="294">
        <f>SUM(Atlantic!F38,Bergen!F38,Burlington!F38,Camden!F38,'Cape May'!F38,Cumberland!F38,Essex!F38,Gloucester!F38,Hudson!F38,Hunterdon!F38,Mercer!F38,Middlesex!F38,Monmouth!F38,Morris!F38,Ocean!F38,Passaic!F38,Salem!F38,Somerset!F38,Sussex!F38,Union!F38,Warren!F38)</f>
        <v>71977.568035515258</v>
      </c>
      <c r="G41" s="294">
        <f>SUM(Atlantic!G38,Bergen!G38,Burlington!G38,Camden!G38,'Cape May'!G38,Cumberland!G38,Essex!G38,Gloucester!G38,Hudson!G38,Hunterdon!G38,Mercer!G38,Middlesex!G38,Monmouth!G38,Morris!G38,Ocean!G38,Passaic!G38,Salem!G38,Somerset!G38,Sussex!G38,Union!G38,Warren!G38)</f>
        <v>80427.9819182098</v>
      </c>
      <c r="H41" s="294">
        <f>SUM(Atlantic!H38,Bergen!H38,Burlington!H38,Camden!H38,'Cape May'!H38,Cumberland!H38,Essex!H38,Gloucester!H38,Hudson!H38,Hunterdon!H38,Mercer!H38,Middlesex!H38,Monmouth!H38,Morris!H38,Ocean!H38,Passaic!H38,Salem!H38,Somerset!H38,Sussex!H38,Union!H38,Warren!H38)</f>
        <v>89646.396858445543</v>
      </c>
      <c r="I41" s="16">
        <f>SUM(Atlantic!I38,Bergen!I38,Burlington!I38,Camden!I38,'Cape May'!I38,Cumberland!I38,Essex!I38,Gloucester!I38,Hudson!I38,Hunterdon!I38,Mercer!I38,Middlesex!I38,Monmouth!I38,Morris!I38,Ocean!I38,Passaic!I38,Salem!I38,Somerset!I38,Sussex!I38,Union!I38,Warren!I38)</f>
        <v>0</v>
      </c>
      <c r="J41" s="16">
        <f>SUM(Atlantic!J38,Bergen!J38,Burlington!J38,Camden!J38,'Cape May'!J38,Cumberland!J38,Essex!J38,Gloucester!J38,Hudson!J38,Hunterdon!J38,Mercer!J38,Middlesex!J38,Monmouth!J38,Morris!J38,Ocean!J38,Passaic!J38,Salem!J38,Somerset!J38,Sussex!J38,Union!J38,Warren!J38)</f>
        <v>0</v>
      </c>
      <c r="K41" s="16">
        <f>SUM(Atlantic!K38,Bergen!K38,Burlington!K38,Camden!K38,'Cape May'!K38,Cumberland!K38,Essex!K38,Gloucester!K38,Hudson!K38,Hunterdon!K38,Mercer!K38,Middlesex!K38,Monmouth!K38,Morris!K38,Ocean!K38,Passaic!K38,Salem!K38,Somerset!K38,Sussex!K38,Union!K38,Warren!K38)</f>
        <v>0</v>
      </c>
      <c r="L41" s="16">
        <f>SUM(Atlantic!L38,Bergen!L38,Burlington!L38,Camden!L38,'Cape May'!L38,Cumberland!L38,Essex!L38,Gloucester!L38,Hudson!L38,Hunterdon!L38,Mercer!L38,Middlesex!L38,Monmouth!L38,Morris!L38,Ocean!L38,Passaic!L38,Salem!L38,Somerset!L38,Sussex!L38,Union!L38,Warren!L38)</f>
        <v>0</v>
      </c>
      <c r="M41" s="354">
        <f>SUM(Atlantic!M38,Bergen!M38,Burlington!M38,Camden!M38,'Cape May'!M38,Cumberland!M38,Essex!M38,Gloucester!M38,Hudson!M38,Hunterdon!M38,Mercer!M38,Middlesex!M38,Monmouth!M38,Morris!M38,Ocean!M38,Passaic!M38,Salem!M38,Somerset!M38,Sussex!M38,Union!M38,Warren!M38)</f>
        <v>0</v>
      </c>
      <c r="N41" s="16">
        <f>SUM(Atlantic!N38,Bergen!N38,Burlington!N38,Camden!N38,'Cape May'!N38,Cumberland!N38,Essex!N38,Gloucester!N38,Hudson!N38,Hunterdon!N38,Mercer!N38,Middlesex!N38,Monmouth!N38,Morris!N38,Ocean!N38,Passaic!N38,Salem!N38,Somerset!N38,Sussex!N38,Union!N38,Warren!N38)</f>
        <v>0</v>
      </c>
      <c r="O41" s="16">
        <f>SUM(Atlantic!O38,Bergen!O38,Burlington!O38,Camden!O38,'Cape May'!O38,Cumberland!O38,Essex!O38,Gloucester!O38,Hudson!O38,Hunterdon!O38,Mercer!O38,Middlesex!O38,Monmouth!O38,Morris!O38,Ocean!O38,Passaic!O38,Salem!O38,Somerset!O38,Sussex!O38,Union!O38,Warren!O38)</f>
        <v>0</v>
      </c>
      <c r="P41" s="16">
        <f>SUM(Atlantic!P38,Bergen!P38,Burlington!P38,Camden!P38,'Cape May'!P38,Cumberland!P38,Essex!P38,Gloucester!P38,Hudson!P38,Hunterdon!P38,Mercer!P38,Middlesex!P38,Monmouth!P38,Morris!P38,Ocean!P38,Passaic!P38,Salem!P38,Somerset!P38,Sussex!P38,Union!P38,Warren!P38)</f>
        <v>0</v>
      </c>
      <c r="Q41" s="16">
        <f>IF($B$4=$X$19,M41*'Technology Assumptions'!B$34,IF('Bioenergy Calculator'!$B$4='Bioenergy Calculator'!$X$21,M41*'Technology Assumptions'!B$34,IF('Bioenergy Calculator'!$B$4='Bioenergy Calculator'!$X$20,'Bioenergy Calculator'!M41*'Technology Assumptions'!B$36,IF('Bioenergy Calculator'!$B$4='Bioenergy Calculator'!$X$23,'Bioenergy Calculator'!M41*'Technology Assumptions'!B$35,IF('Bioenergy Calculator'!$B$4='Bioenergy Calculator'!$X$22,'Bioenergy Calculator'!M41*'Technology Assumptions'!B$37,'Bioenergy Calculator'!M41)))))</f>
        <v>0</v>
      </c>
      <c r="R41" s="16">
        <f>IF($B$4=$X$19,N41*'Technology Assumptions'!C$34,IF('Bioenergy Calculator'!$B$4='Bioenergy Calculator'!$X$21,N41*'Technology Assumptions'!C$34,IF('Bioenergy Calculator'!$B$4='Bioenergy Calculator'!$X$20,'Bioenergy Calculator'!N41*'Technology Assumptions'!C$36,IF('Bioenergy Calculator'!$B$4='Bioenergy Calculator'!$X$23,'Bioenergy Calculator'!N41*'Technology Assumptions'!C$35,IF('Bioenergy Calculator'!$B$4='Bioenergy Calculator'!$X$22,'Bioenergy Calculator'!N41*'Technology Assumptions'!C$37,'Bioenergy Calculator'!N41)))))</f>
        <v>0</v>
      </c>
      <c r="S41" s="16">
        <f>IF($B$4=$X$19,O41*'Technology Assumptions'!D$34,IF('Bioenergy Calculator'!$B$4='Bioenergy Calculator'!$X$21,O41*'Technology Assumptions'!D$34,IF('Bioenergy Calculator'!$B$4='Bioenergy Calculator'!$X$20,'Bioenergy Calculator'!O41*'Technology Assumptions'!D$36,IF('Bioenergy Calculator'!$B$4='Bioenergy Calculator'!$X$23,'Bioenergy Calculator'!O41*'Technology Assumptions'!D$35,IF('Bioenergy Calculator'!$B$4='Bioenergy Calculator'!$X$22,'Bioenergy Calculator'!O41*'Technology Assumptions'!D$37,'Bioenergy Calculator'!O41)))))</f>
        <v>0</v>
      </c>
      <c r="T41" s="16">
        <f>IF($B$4=$X$19,P41*'Technology Assumptions'!E$34,IF('Bioenergy Calculator'!$B$4='Bioenergy Calculator'!$X$21,P41*'Technology Assumptions'!E$34,IF('Bioenergy Calculator'!$B$4='Bioenergy Calculator'!$X$20,'Bioenergy Calculator'!P41*'Technology Assumptions'!E$36,IF('Bioenergy Calculator'!$B$4='Bioenergy Calculator'!$X$23,'Bioenergy Calculator'!P41*'Technology Assumptions'!E$35,IF('Bioenergy Calculator'!$B$4='Bioenergy Calculator'!$X$22,'Bioenergy Calculator'!P41*'Technology Assumptions'!E$37,'Bioenergy Calculator'!P41)))))</f>
        <v>0</v>
      </c>
    </row>
    <row r="42" spans="1:21" x14ac:dyDescent="0.25">
      <c r="A42" s="1065"/>
      <c r="B42" s="17" t="s">
        <v>555</v>
      </c>
      <c r="C42" s="294">
        <f>SUM(Atlantic!C39,Bergen!C39,Burlington!C39,Camden!C39,'Cape May'!C39,Cumberland!C39,Essex!C39,Gloucester!C39,Hudson!C39,Hunterdon!C39,Mercer!C39,Middlesex!C39,Monmouth!C39,Morris!C39,Ocean!C39,Passaic!C39,Salem!C39,Somerset!C39,Sussex!C39,Union!C39,Warren!C39)</f>
        <v>736575.51599999995</v>
      </c>
      <c r="D42" s="294">
        <f>E42*'Conversion Tables'!C36</f>
        <v>0</v>
      </c>
      <c r="E42" s="294">
        <f>SUM(Atlantic!E39,Bergen!E39,Burlington!E39,Camden!E39,'Cape May'!E39,Cumberland!E39,Essex!E39,Gloucester!E39,Hudson!E39,Hunterdon!E39,Mercer!E39,Middlesex!E39,Monmouth!E39,Morris!E39,Ocean!E39,Passaic!E39,Salem!E39,Somerset!E39,Sussex!E39,Union!E39,Warren!E39)</f>
        <v>0</v>
      </c>
      <c r="F42" s="294">
        <f>SUM(Atlantic!F39,Bergen!F39,Burlington!F39,Camden!F39,'Cape May'!F39,Cumberland!F39,Essex!F39,Gloucester!F39,Hudson!F39,Hunterdon!F39,Mercer!F39,Middlesex!F39,Monmouth!F39,Morris!F39,Ocean!F39,Passaic!F39,Salem!F39,Somerset!F39,Sussex!F39,Union!F39,Warren!F39)</f>
        <v>0</v>
      </c>
      <c r="G42" s="294">
        <f>SUM(Atlantic!G39,Bergen!G39,Burlington!G39,Camden!G39,'Cape May'!G39,Cumberland!G39,Essex!G39,Gloucester!G39,Hudson!G39,Hunterdon!G39,Mercer!G39,Middlesex!G39,Monmouth!G39,Morris!G39,Ocean!G39,Passaic!G39,Salem!G39,Somerset!G39,Sussex!G39,Union!G39,Warren!G39)</f>
        <v>0</v>
      </c>
      <c r="H42" s="294">
        <f>SUM(Atlantic!H39,Bergen!H39,Burlington!H39,Camden!H39,'Cape May'!H39,Cumberland!H39,Essex!H39,Gloucester!H39,Hudson!H39,Hunterdon!H39,Mercer!H39,Middlesex!H39,Monmouth!H39,Morris!H39,Ocean!H39,Passaic!H39,Salem!H39,Somerset!H39,Sussex!H39,Union!H39,Warren!H39)</f>
        <v>0</v>
      </c>
      <c r="I42" s="16">
        <f>SUM(Atlantic!I39,Bergen!I39,Burlington!I39,Camden!I39,'Cape May'!I39,Cumberland!I39,Essex!I39,Gloucester!I39,Hudson!I39,Hunterdon!I39,Mercer!I39,Middlesex!I39,Monmouth!I39,Morris!I39,Ocean!I39,Passaic!I39,Salem!I39,Somerset!I39,Sussex!I39,Union!I39,Warren!I39)</f>
        <v>0</v>
      </c>
      <c r="J42" s="16">
        <f>SUM(Atlantic!J39,Bergen!J39,Burlington!J39,Camden!J39,'Cape May'!J39,Cumberland!J39,Essex!J39,Gloucester!J39,Hudson!J39,Hunterdon!J39,Mercer!J39,Middlesex!J39,Monmouth!J39,Morris!J39,Ocean!J39,Passaic!J39,Salem!J39,Somerset!J39,Sussex!J39,Union!J39,Warren!J39)</f>
        <v>0</v>
      </c>
      <c r="K42" s="16">
        <f>SUM(Atlantic!K39,Bergen!K39,Burlington!K39,Camden!K39,'Cape May'!K39,Cumberland!K39,Essex!K39,Gloucester!K39,Hudson!K39,Hunterdon!K39,Mercer!K39,Middlesex!K39,Monmouth!K39,Morris!K39,Ocean!K39,Passaic!K39,Salem!K39,Somerset!K39,Sussex!K39,Union!K39,Warren!K39)</f>
        <v>0</v>
      </c>
      <c r="L42" s="16">
        <f>SUM(Atlantic!L39,Bergen!L39,Burlington!L39,Camden!L39,'Cape May'!L39,Cumberland!L39,Essex!L39,Gloucester!L39,Hudson!L39,Hunterdon!L39,Mercer!L39,Middlesex!L39,Monmouth!L39,Morris!L39,Ocean!L39,Passaic!L39,Salem!L39,Somerset!L39,Sussex!L39,Union!L39,Warren!L39)</f>
        <v>0</v>
      </c>
      <c r="M42" s="354">
        <f>SUM(Atlantic!M39,Bergen!M39,Burlington!M39,Camden!M39,'Cape May'!M39,Cumberland!M39,Essex!M39,Gloucester!M39,Hudson!M39,Hunterdon!M39,Mercer!M39,Middlesex!M39,Monmouth!M39,Morris!M39,Ocean!M39,Passaic!M39,Salem!M39,Somerset!M39,Sussex!M39,Union!M39,Warren!M39)</f>
        <v>0</v>
      </c>
      <c r="N42" s="16">
        <f>SUM(Atlantic!N39,Bergen!N39,Burlington!N39,Camden!N39,'Cape May'!N39,Cumberland!N39,Essex!N39,Gloucester!N39,Hudson!N39,Hunterdon!N39,Mercer!N39,Middlesex!N39,Monmouth!N39,Morris!N39,Ocean!N39,Passaic!N39,Salem!N39,Somerset!N39,Sussex!N39,Union!N39,Warren!N39)</f>
        <v>0</v>
      </c>
      <c r="O42" s="16">
        <f>SUM(Atlantic!O39,Bergen!O39,Burlington!O39,Camden!O39,'Cape May'!O39,Cumberland!O39,Essex!O39,Gloucester!O39,Hudson!O39,Hunterdon!O39,Mercer!O39,Middlesex!O39,Monmouth!O39,Morris!O39,Ocean!O39,Passaic!O39,Salem!O39,Somerset!O39,Sussex!O39,Union!O39,Warren!O39)</f>
        <v>0</v>
      </c>
      <c r="P42" s="16">
        <f>SUM(Atlantic!P39,Bergen!P39,Burlington!P39,Camden!P39,'Cape May'!P39,Cumberland!P39,Essex!P39,Gloucester!P39,Hudson!P39,Hunterdon!P39,Mercer!P39,Middlesex!P39,Monmouth!P39,Morris!P39,Ocean!P39,Passaic!P39,Salem!P39,Somerset!P39,Sussex!P39,Union!P39,Warren!P39)</f>
        <v>0</v>
      </c>
      <c r="Q42" s="16">
        <f>IF($B$4=$X$19,M42*'Technology Assumptions'!B$34,IF('Bioenergy Calculator'!$B$4='Bioenergy Calculator'!$X$21,M42*'Technology Assumptions'!B$34,IF('Bioenergy Calculator'!$B$4='Bioenergy Calculator'!$X$20,'Bioenergy Calculator'!M42*'Technology Assumptions'!B$36,IF('Bioenergy Calculator'!$B$4='Bioenergy Calculator'!$X$23,'Bioenergy Calculator'!M42*'Technology Assumptions'!B$35,IF('Bioenergy Calculator'!$B$4='Bioenergy Calculator'!$X$22,'Bioenergy Calculator'!M42*'Technology Assumptions'!B$37,'Bioenergy Calculator'!M42)))))</f>
        <v>0</v>
      </c>
      <c r="R42" s="16">
        <f>IF($B$4=$X$19,N42*'Technology Assumptions'!C$34,IF('Bioenergy Calculator'!$B$4='Bioenergy Calculator'!$X$21,N42*'Technology Assumptions'!C$34,IF('Bioenergy Calculator'!$B$4='Bioenergy Calculator'!$X$20,'Bioenergy Calculator'!N42*'Technology Assumptions'!C$36,IF('Bioenergy Calculator'!$B$4='Bioenergy Calculator'!$X$23,'Bioenergy Calculator'!N42*'Technology Assumptions'!C$35,IF('Bioenergy Calculator'!$B$4='Bioenergy Calculator'!$X$22,'Bioenergy Calculator'!N42*'Technology Assumptions'!C$37,'Bioenergy Calculator'!N42)))))</f>
        <v>0</v>
      </c>
      <c r="S42" s="16">
        <f>IF($B$4=$X$19,O42*'Technology Assumptions'!D$34,IF('Bioenergy Calculator'!$B$4='Bioenergy Calculator'!$X$21,O42*'Technology Assumptions'!D$34,IF('Bioenergy Calculator'!$B$4='Bioenergy Calculator'!$X$20,'Bioenergy Calculator'!O42*'Technology Assumptions'!D$36,IF('Bioenergy Calculator'!$B$4='Bioenergy Calculator'!$X$23,'Bioenergy Calculator'!O42*'Technology Assumptions'!D$35,IF('Bioenergy Calculator'!$B$4='Bioenergy Calculator'!$X$22,'Bioenergy Calculator'!O42*'Technology Assumptions'!D$37,'Bioenergy Calculator'!O42)))))</f>
        <v>0</v>
      </c>
      <c r="T42" s="16">
        <f>IF($B$4=$X$19,P42*'Technology Assumptions'!E$34,IF('Bioenergy Calculator'!$B$4='Bioenergy Calculator'!$X$21,P42*'Technology Assumptions'!E$34,IF('Bioenergy Calculator'!$B$4='Bioenergy Calculator'!$X$20,'Bioenergy Calculator'!P42*'Technology Assumptions'!E$36,IF('Bioenergy Calculator'!$B$4='Bioenergy Calculator'!$X$23,'Bioenergy Calculator'!P42*'Technology Assumptions'!E$35,IF('Bioenergy Calculator'!$B$4='Bioenergy Calculator'!$X$22,'Bioenergy Calculator'!P42*'Technology Assumptions'!E$37,'Bioenergy Calculator'!P42)))))</f>
        <v>0</v>
      </c>
    </row>
    <row r="43" spans="1:21" x14ac:dyDescent="0.25">
      <c r="A43" s="1065"/>
      <c r="B43" s="17" t="s">
        <v>556</v>
      </c>
      <c r="C43" s="294">
        <f>SUM(Atlantic!C40,Bergen!C40,Burlington!C40,Camden!C40,'Cape May'!C40,Cumberland!C40,Essex!C40,Gloucester!C40,Hudson!C40,Hunterdon!C40,Mercer!C40,Middlesex!C40,Monmouth!C40,Morris!C40,Ocean!C40,Passaic!C40,Salem!C40,Somerset!C40,Sussex!C40,Union!C40,Warren!C40)</f>
        <v>174898.71000000002</v>
      </c>
      <c r="D43" s="294">
        <f>E43*'Conversion Tables'!C37</f>
        <v>0</v>
      </c>
      <c r="E43" s="294">
        <f>SUM(Atlantic!E40,Bergen!E40,Burlington!E40,Camden!E40,'Cape May'!E40,Cumberland!E40,Essex!E40,Gloucester!E40,Hudson!E40,Hunterdon!E40,Mercer!E40,Middlesex!E40,Monmouth!E40,Morris!E40,Ocean!E40,Passaic!E40,Salem!E40,Somerset!E40,Sussex!E40,Union!E40,Warren!E40)</f>
        <v>0</v>
      </c>
      <c r="F43" s="294">
        <f>SUM(Atlantic!F40,Bergen!F40,Burlington!F40,Camden!F40,'Cape May'!F40,Cumberland!F40,Essex!F40,Gloucester!F40,Hudson!F40,Hunterdon!F40,Mercer!F40,Middlesex!F40,Monmouth!F40,Morris!F40,Ocean!F40,Passaic!F40,Salem!F40,Somerset!F40,Sussex!F40,Union!F40,Warren!F40)</f>
        <v>0</v>
      </c>
      <c r="G43" s="294">
        <f>SUM(Atlantic!G40,Bergen!G40,Burlington!G40,Camden!G40,'Cape May'!G40,Cumberland!G40,Essex!G40,Gloucester!G40,Hudson!G40,Hunterdon!G40,Mercer!G40,Middlesex!G40,Monmouth!G40,Morris!G40,Ocean!G40,Passaic!G40,Salem!G40,Somerset!G40,Sussex!G40,Union!G40,Warren!G40)</f>
        <v>0</v>
      </c>
      <c r="H43" s="294">
        <f>SUM(Atlantic!H40,Bergen!H40,Burlington!H40,Camden!H40,'Cape May'!H40,Cumberland!H40,Essex!H40,Gloucester!H40,Hudson!H40,Hunterdon!H40,Mercer!H40,Middlesex!H40,Monmouth!H40,Morris!H40,Ocean!H40,Passaic!H40,Salem!H40,Somerset!H40,Sussex!H40,Union!H40,Warren!H40)</f>
        <v>0</v>
      </c>
      <c r="I43" s="16">
        <f>SUM(Atlantic!I40,Bergen!I40,Burlington!I40,Camden!I40,'Cape May'!I40,Cumberland!I40,Essex!I40,Gloucester!I40,Hudson!I40,Hunterdon!I40,Mercer!I40,Middlesex!I40,Monmouth!I40,Morris!I40,Ocean!I40,Passaic!I40,Salem!I40,Somerset!I40,Sussex!I40,Union!I40,Warren!I40)</f>
        <v>0</v>
      </c>
      <c r="J43" s="16">
        <f>SUM(Atlantic!J40,Bergen!J40,Burlington!J40,Camden!J40,'Cape May'!J40,Cumberland!J40,Essex!J40,Gloucester!J40,Hudson!J40,Hunterdon!J40,Mercer!J40,Middlesex!J40,Monmouth!J40,Morris!J40,Ocean!J40,Passaic!J40,Salem!J40,Somerset!J40,Sussex!J40,Union!J40,Warren!J40)</f>
        <v>0</v>
      </c>
      <c r="K43" s="16">
        <f>SUM(Atlantic!K40,Bergen!K40,Burlington!K40,Camden!K40,'Cape May'!K40,Cumberland!K40,Essex!K40,Gloucester!K40,Hudson!K40,Hunterdon!K40,Mercer!K40,Middlesex!K40,Monmouth!K40,Morris!K40,Ocean!K40,Passaic!K40,Salem!K40,Somerset!K40,Sussex!K40,Union!K40,Warren!K40)</f>
        <v>0</v>
      </c>
      <c r="L43" s="16">
        <f>SUM(Atlantic!L40,Bergen!L40,Burlington!L40,Camden!L40,'Cape May'!L40,Cumberland!L40,Essex!L40,Gloucester!L40,Hudson!L40,Hunterdon!L40,Mercer!L40,Middlesex!L40,Monmouth!L40,Morris!L40,Ocean!L40,Passaic!L40,Salem!L40,Somerset!L40,Sussex!L40,Union!L40,Warren!L40)</f>
        <v>0</v>
      </c>
      <c r="M43" s="354">
        <f>SUM(Atlantic!M40,Bergen!M40,Burlington!M40,Camden!M40,'Cape May'!M40,Cumberland!M40,Essex!M40,Gloucester!M40,Hudson!M40,Hunterdon!M40,Mercer!M40,Middlesex!M40,Monmouth!M40,Morris!M40,Ocean!M40,Passaic!M40,Salem!M40,Somerset!M40,Sussex!M40,Union!M40,Warren!M40)</f>
        <v>0</v>
      </c>
      <c r="N43" s="16">
        <f>SUM(Atlantic!N40,Bergen!N40,Burlington!N40,Camden!N40,'Cape May'!N40,Cumberland!N40,Essex!N40,Gloucester!N40,Hudson!N40,Hunterdon!N40,Mercer!N40,Middlesex!N40,Monmouth!N40,Morris!N40,Ocean!N40,Passaic!N40,Salem!N40,Somerset!N40,Sussex!N40,Union!N40,Warren!N40)</f>
        <v>0</v>
      </c>
      <c r="O43" s="16">
        <f>SUM(Atlantic!O40,Bergen!O40,Burlington!O40,Camden!O40,'Cape May'!O40,Cumberland!O40,Essex!O40,Gloucester!O40,Hudson!O40,Hunterdon!O40,Mercer!O40,Middlesex!O40,Monmouth!O40,Morris!O40,Ocean!O40,Passaic!O40,Salem!O40,Somerset!O40,Sussex!O40,Union!O40,Warren!O40)</f>
        <v>0</v>
      </c>
      <c r="P43" s="16">
        <f>SUM(Atlantic!P40,Bergen!P40,Burlington!P40,Camden!P40,'Cape May'!P40,Cumberland!P40,Essex!P40,Gloucester!P40,Hudson!P40,Hunterdon!P40,Mercer!P40,Middlesex!P40,Monmouth!P40,Morris!P40,Ocean!P40,Passaic!P40,Salem!P40,Somerset!P40,Sussex!P40,Union!P40,Warren!P40)</f>
        <v>0</v>
      </c>
      <c r="Q43" s="16">
        <f>IF($B$4=$X$19,M43*'Technology Assumptions'!B$34,IF('Bioenergy Calculator'!$B$4='Bioenergy Calculator'!$X$21,M43*'Technology Assumptions'!B$34,IF('Bioenergy Calculator'!$B$4='Bioenergy Calculator'!$X$20,'Bioenergy Calculator'!M43*'Technology Assumptions'!B$36,IF('Bioenergy Calculator'!$B$4='Bioenergy Calculator'!$X$23,'Bioenergy Calculator'!M43*'Technology Assumptions'!B$35,IF('Bioenergy Calculator'!$B$4='Bioenergy Calculator'!$X$22,'Bioenergy Calculator'!M43*'Technology Assumptions'!B$37,'Bioenergy Calculator'!M43)))))</f>
        <v>0</v>
      </c>
      <c r="R43" s="16">
        <f>IF($B$4=$X$19,N43*'Technology Assumptions'!C$34,IF('Bioenergy Calculator'!$B$4='Bioenergy Calculator'!$X$21,N43*'Technology Assumptions'!C$34,IF('Bioenergy Calculator'!$B$4='Bioenergy Calculator'!$X$20,'Bioenergy Calculator'!N43*'Technology Assumptions'!C$36,IF('Bioenergy Calculator'!$B$4='Bioenergy Calculator'!$X$23,'Bioenergy Calculator'!N43*'Technology Assumptions'!C$35,IF('Bioenergy Calculator'!$B$4='Bioenergy Calculator'!$X$22,'Bioenergy Calculator'!N43*'Technology Assumptions'!C$37,'Bioenergy Calculator'!N43)))))</f>
        <v>0</v>
      </c>
      <c r="S43" s="16">
        <f>IF($B$4=$X$19,O43*'Technology Assumptions'!D$34,IF('Bioenergy Calculator'!$B$4='Bioenergy Calculator'!$X$21,O43*'Technology Assumptions'!D$34,IF('Bioenergy Calculator'!$B$4='Bioenergy Calculator'!$X$20,'Bioenergy Calculator'!O43*'Technology Assumptions'!D$36,IF('Bioenergy Calculator'!$B$4='Bioenergy Calculator'!$X$23,'Bioenergy Calculator'!O43*'Technology Assumptions'!D$35,IF('Bioenergy Calculator'!$B$4='Bioenergy Calculator'!$X$22,'Bioenergy Calculator'!O43*'Technology Assumptions'!D$37,'Bioenergy Calculator'!O43)))))</f>
        <v>0</v>
      </c>
      <c r="T43" s="16">
        <f>IF($B$4=$X$19,P43*'Technology Assumptions'!E$34,IF('Bioenergy Calculator'!$B$4='Bioenergy Calculator'!$X$21,P43*'Technology Assumptions'!E$34,IF('Bioenergy Calculator'!$B$4='Bioenergy Calculator'!$X$20,'Bioenergy Calculator'!P43*'Technology Assumptions'!E$36,IF('Bioenergy Calculator'!$B$4='Bioenergy Calculator'!$X$23,'Bioenergy Calculator'!P43*'Technology Assumptions'!E$35,IF('Bioenergy Calculator'!$B$4='Bioenergy Calculator'!$X$22,'Bioenergy Calculator'!P43*'Technology Assumptions'!E$37,'Bioenergy Calculator'!P43)))))</f>
        <v>0</v>
      </c>
    </row>
    <row r="44" spans="1:21" x14ac:dyDescent="0.25">
      <c r="A44" s="1065"/>
      <c r="B44" s="17" t="s">
        <v>557</v>
      </c>
      <c r="C44" s="294">
        <f>SUM(Atlantic!C41,Bergen!C41,Burlington!C41,Camden!C41,'Cape May'!C41,Cumberland!C41,Essex!C41,Gloucester!C41,Hudson!C41,Hunterdon!C41,Mercer!C41,Middlesex!C41,Monmouth!C41,Morris!C41,Ocean!C41,Passaic!C41,Salem!C41,Somerset!C41,Sussex!C41,Union!C41,Warren!C41)</f>
        <v>269912.304</v>
      </c>
      <c r="D44" s="294">
        <f>E44*'Conversion Tables'!C38</f>
        <v>0</v>
      </c>
      <c r="E44" s="294">
        <f>SUM(Atlantic!E41,Bergen!E41,Burlington!E41,Camden!E41,'Cape May'!E41,Cumberland!E41,Essex!E41,Gloucester!E41,Hudson!E41,Hunterdon!E41,Mercer!E41,Middlesex!E41,Monmouth!E41,Morris!E41,Ocean!E41,Passaic!E41,Salem!E41,Somerset!E41,Sussex!E41,Union!E41,Warren!E41)</f>
        <v>0</v>
      </c>
      <c r="F44" s="294">
        <f>SUM(Atlantic!F41,Bergen!F41,Burlington!F41,Camden!F41,'Cape May'!F41,Cumberland!F41,Essex!F41,Gloucester!F41,Hudson!F41,Hunterdon!F41,Mercer!F41,Middlesex!F41,Monmouth!F41,Morris!F41,Ocean!F41,Passaic!F41,Salem!F41,Somerset!F41,Sussex!F41,Union!F41,Warren!F41)</f>
        <v>0</v>
      </c>
      <c r="G44" s="294">
        <f>SUM(Atlantic!G41,Bergen!G41,Burlington!G41,Camden!G41,'Cape May'!G41,Cumberland!G41,Essex!G41,Gloucester!G41,Hudson!G41,Hunterdon!G41,Mercer!G41,Middlesex!G41,Monmouth!G41,Morris!G41,Ocean!G41,Passaic!G41,Salem!G41,Somerset!G41,Sussex!G41,Union!G41,Warren!G41)</f>
        <v>0</v>
      </c>
      <c r="H44" s="294">
        <f>SUM(Atlantic!H41,Bergen!H41,Burlington!H41,Camden!H41,'Cape May'!H41,Cumberland!H41,Essex!H41,Gloucester!H41,Hudson!H41,Hunterdon!H41,Mercer!H41,Middlesex!H41,Monmouth!H41,Morris!H41,Ocean!H41,Passaic!H41,Salem!H41,Somerset!H41,Sussex!H41,Union!H41,Warren!H41)</f>
        <v>0</v>
      </c>
      <c r="I44" s="16">
        <f>SUM(Atlantic!I41,Bergen!I41,Burlington!I41,Camden!I41,'Cape May'!I41,Cumberland!I41,Essex!I41,Gloucester!I41,Hudson!I41,Hunterdon!I41,Mercer!I41,Middlesex!I41,Monmouth!I41,Morris!I41,Ocean!I41,Passaic!I41,Salem!I41,Somerset!I41,Sussex!I41,Union!I41,Warren!I41)</f>
        <v>0</v>
      </c>
      <c r="J44" s="16">
        <f>SUM(Atlantic!J41,Bergen!J41,Burlington!J41,Camden!J41,'Cape May'!J41,Cumberland!J41,Essex!J41,Gloucester!J41,Hudson!J41,Hunterdon!J41,Mercer!J41,Middlesex!J41,Monmouth!J41,Morris!J41,Ocean!J41,Passaic!J41,Salem!J41,Somerset!J41,Sussex!J41,Union!J41,Warren!J41)</f>
        <v>0</v>
      </c>
      <c r="K44" s="16">
        <f>SUM(Atlantic!K41,Bergen!K41,Burlington!K41,Camden!K41,'Cape May'!K41,Cumberland!K41,Essex!K41,Gloucester!K41,Hudson!K41,Hunterdon!K41,Mercer!K41,Middlesex!K41,Monmouth!K41,Morris!K41,Ocean!K41,Passaic!K41,Salem!K41,Somerset!K41,Sussex!K41,Union!K41,Warren!K41)</f>
        <v>0</v>
      </c>
      <c r="L44" s="16">
        <f>SUM(Atlantic!L41,Bergen!L41,Burlington!L41,Camden!L41,'Cape May'!L41,Cumberland!L41,Essex!L41,Gloucester!L41,Hudson!L41,Hunterdon!L41,Mercer!L41,Middlesex!L41,Monmouth!L41,Morris!L41,Ocean!L41,Passaic!L41,Salem!L41,Somerset!L41,Sussex!L41,Union!L41,Warren!L41)</f>
        <v>0</v>
      </c>
      <c r="M44" s="354">
        <f>SUM(Atlantic!M41,Bergen!M41,Burlington!M41,Camden!M41,'Cape May'!M41,Cumberland!M41,Essex!M41,Gloucester!M41,Hudson!M41,Hunterdon!M41,Mercer!M41,Middlesex!M41,Monmouth!M41,Morris!M41,Ocean!M41,Passaic!M41,Salem!M41,Somerset!M41,Sussex!M41,Union!M41,Warren!M41)</f>
        <v>0</v>
      </c>
      <c r="N44" s="16">
        <f>SUM(Atlantic!N41,Bergen!N41,Burlington!N41,Camden!N41,'Cape May'!N41,Cumberland!N41,Essex!N41,Gloucester!N41,Hudson!N41,Hunterdon!N41,Mercer!N41,Middlesex!N41,Monmouth!N41,Morris!N41,Ocean!N41,Passaic!N41,Salem!N41,Somerset!N41,Sussex!N41,Union!N41,Warren!N41)</f>
        <v>0</v>
      </c>
      <c r="O44" s="16">
        <f>SUM(Atlantic!O41,Bergen!O41,Burlington!O41,Camden!O41,'Cape May'!O41,Cumberland!O41,Essex!O41,Gloucester!O41,Hudson!O41,Hunterdon!O41,Mercer!O41,Middlesex!O41,Monmouth!O41,Morris!O41,Ocean!O41,Passaic!O41,Salem!O41,Somerset!O41,Sussex!O41,Union!O41,Warren!O41)</f>
        <v>0</v>
      </c>
      <c r="P44" s="16">
        <f>SUM(Atlantic!P41,Bergen!P41,Burlington!P41,Camden!P41,'Cape May'!P41,Cumberland!P41,Essex!P41,Gloucester!P41,Hudson!P41,Hunterdon!P41,Mercer!P41,Middlesex!P41,Monmouth!P41,Morris!P41,Ocean!P41,Passaic!P41,Salem!P41,Somerset!P41,Sussex!P41,Union!P41,Warren!P41)</f>
        <v>0</v>
      </c>
      <c r="Q44" s="16">
        <f>IF($B$4=$X$19,M44*'Technology Assumptions'!B$34,IF('Bioenergy Calculator'!$B$4='Bioenergy Calculator'!$X$21,M44*'Technology Assumptions'!B$34,IF('Bioenergy Calculator'!$B$4='Bioenergy Calculator'!$X$20,'Bioenergy Calculator'!M44*'Technology Assumptions'!B$36,IF('Bioenergy Calculator'!$B$4='Bioenergy Calculator'!$X$23,'Bioenergy Calculator'!M44*'Technology Assumptions'!B$35,IF('Bioenergy Calculator'!$B$4='Bioenergy Calculator'!$X$22,'Bioenergy Calculator'!M44*'Technology Assumptions'!B$37,'Bioenergy Calculator'!M44)))))</f>
        <v>0</v>
      </c>
      <c r="R44" s="16">
        <f>IF($B$4=$X$19,N44*'Technology Assumptions'!C$34,IF('Bioenergy Calculator'!$B$4='Bioenergy Calculator'!$X$21,N44*'Technology Assumptions'!C$34,IF('Bioenergy Calculator'!$B$4='Bioenergy Calculator'!$X$20,'Bioenergy Calculator'!N44*'Technology Assumptions'!C$36,IF('Bioenergy Calculator'!$B$4='Bioenergy Calculator'!$X$23,'Bioenergy Calculator'!N44*'Technology Assumptions'!C$35,IF('Bioenergy Calculator'!$B$4='Bioenergy Calculator'!$X$22,'Bioenergy Calculator'!N44*'Technology Assumptions'!C$37,'Bioenergy Calculator'!N44)))))</f>
        <v>0</v>
      </c>
      <c r="S44" s="16">
        <f>IF($B$4=$X$19,O44*'Technology Assumptions'!D$34,IF('Bioenergy Calculator'!$B$4='Bioenergy Calculator'!$X$21,O44*'Technology Assumptions'!D$34,IF('Bioenergy Calculator'!$B$4='Bioenergy Calculator'!$X$20,'Bioenergy Calculator'!O44*'Technology Assumptions'!D$36,IF('Bioenergy Calculator'!$B$4='Bioenergy Calculator'!$X$23,'Bioenergy Calculator'!O44*'Technology Assumptions'!D$35,IF('Bioenergy Calculator'!$B$4='Bioenergy Calculator'!$X$22,'Bioenergy Calculator'!O44*'Technology Assumptions'!D$37,'Bioenergy Calculator'!O44)))))</f>
        <v>0</v>
      </c>
      <c r="T44" s="16">
        <f>IF($B$4=$X$19,P44*'Technology Assumptions'!E$34,IF('Bioenergy Calculator'!$B$4='Bioenergy Calculator'!$X$21,P44*'Technology Assumptions'!E$34,IF('Bioenergy Calculator'!$B$4='Bioenergy Calculator'!$X$20,'Bioenergy Calculator'!P44*'Technology Assumptions'!E$36,IF('Bioenergy Calculator'!$B$4='Bioenergy Calculator'!$X$23,'Bioenergy Calculator'!P44*'Technology Assumptions'!E$35,IF('Bioenergy Calculator'!$B$4='Bioenergy Calculator'!$X$22,'Bioenergy Calculator'!P44*'Technology Assumptions'!E$37,'Bioenergy Calculator'!P44)))))</f>
        <v>0</v>
      </c>
    </row>
    <row r="45" spans="1:21" x14ac:dyDescent="0.25">
      <c r="A45" s="1065"/>
      <c r="B45" s="17" t="s">
        <v>558</v>
      </c>
      <c r="C45" s="294">
        <f>SUM(Atlantic!C42,Bergen!C42,Burlington!C42,Camden!C42,'Cape May'!C42,Cumberland!C42,Essex!C42,Gloucester!C42,Hudson!C42,Hunterdon!C42,Mercer!C42,Middlesex!C42,Monmouth!C42,Morris!C42,Ocean!C42,Passaic!C42,Salem!C42,Somerset!C42,Sussex!C42,Union!C42,Warren!C42)</f>
        <v>147228.67800000004</v>
      </c>
      <c r="D45" s="294">
        <f>E45*'Conversion Tables'!C39</f>
        <v>2138054.8619160005</v>
      </c>
      <c r="E45" s="294">
        <f>SUM(Atlantic!E42,Bergen!E42,Burlington!E42,Camden!E42,'Cape May'!E42,Cumberland!E42,Essex!E42,Gloucester!E42,Hudson!E42,Hunterdon!E42,Mercer!E42,Middlesex!E42,Monmouth!E42,Morris!E42,Ocean!E42,Passaic!E42,Salem!E42,Somerset!E42,Sussex!E42,Union!E42,Warren!E42)</f>
        <v>147228.67800000004</v>
      </c>
      <c r="F45" s="294">
        <f>SUM(Atlantic!F42,Bergen!F42,Burlington!F42,Camden!F42,'Cape May'!F42,Cumberland!F42,Essex!F42,Gloucester!F42,Hudson!F42,Hunterdon!F42,Mercer!F42,Middlesex!F42,Monmouth!F42,Morris!F42,Ocean!F42,Passaic!F42,Salem!F42,Somerset!F42,Sussex!F42,Union!F42,Warren!F42)</f>
        <v>163600.93623804822</v>
      </c>
      <c r="G45" s="294">
        <f>SUM(Atlantic!G42,Bergen!G42,Burlington!G42,Camden!G42,'Cape May'!G42,Cumberland!G42,Essex!G42,Gloucester!G42,Hudson!G42,Hunterdon!G42,Mercer!G42,Middlesex!G42,Monmouth!G42,Morris!G42,Ocean!G42,Passaic!G42,Salem!G42,Somerset!G42,Sussex!G42,Union!G42,Warren!G42)</f>
        <v>182715.06058352647</v>
      </c>
      <c r="H45" s="294">
        <f>SUM(Atlantic!H42,Bergen!H42,Burlington!H42,Camden!H42,'Cape May'!H42,Cumberland!H42,Essex!H42,Gloucester!H42,Hudson!H42,Hunterdon!H42,Mercer!H42,Middlesex!H42,Monmouth!H42,Morris!H42,Ocean!H42,Passaic!H42,Salem!H42,Somerset!H42,Sussex!H42,Union!H42,Warren!H42)</f>
        <v>203445.75691804651</v>
      </c>
      <c r="I45" s="16">
        <f>SUM(Atlantic!I42,Bergen!I42,Burlington!I42,Camden!I42,'Cape May'!I42,Cumberland!I42,Essex!I42,Gloucester!I42,Hudson!I42,Hunterdon!I42,Mercer!I42,Middlesex!I42,Monmouth!I42,Morris!I42,Ocean!I42,Passaic!I42,Salem!I42,Somerset!I42,Sussex!I42,Union!I42,Warren!I42)</f>
        <v>0</v>
      </c>
      <c r="J45" s="16">
        <f>SUM(Atlantic!J42,Bergen!J42,Burlington!J42,Camden!J42,'Cape May'!J42,Cumberland!J42,Essex!J42,Gloucester!J42,Hudson!J42,Hunterdon!J42,Mercer!J42,Middlesex!J42,Monmouth!J42,Morris!J42,Ocean!J42,Passaic!J42,Salem!J42,Somerset!J42,Sussex!J42,Union!J42,Warren!J42)</f>
        <v>0</v>
      </c>
      <c r="K45" s="16">
        <f>SUM(Atlantic!K42,Bergen!K42,Burlington!K42,Camden!K42,'Cape May'!K42,Cumberland!K42,Essex!K42,Gloucester!K42,Hudson!K42,Hunterdon!K42,Mercer!K42,Middlesex!K42,Monmouth!K42,Morris!K42,Ocean!K42,Passaic!K42,Salem!K42,Somerset!K42,Sussex!K42,Union!K42,Warren!K42)</f>
        <v>0</v>
      </c>
      <c r="L45" s="16">
        <f>SUM(Atlantic!L42,Bergen!L42,Burlington!L42,Camden!L42,'Cape May'!L42,Cumberland!L42,Essex!L42,Gloucester!L42,Hudson!L42,Hunterdon!L42,Mercer!L42,Middlesex!L42,Monmouth!L42,Morris!L42,Ocean!L42,Passaic!L42,Salem!L42,Somerset!L42,Sussex!L42,Union!L42,Warren!L42)</f>
        <v>0</v>
      </c>
      <c r="M45" s="354">
        <f>SUM(Atlantic!M42,Bergen!M42,Burlington!M42,Camden!M42,'Cape May'!M42,Cumberland!M42,Essex!M42,Gloucester!M42,Hudson!M42,Hunterdon!M42,Mercer!M42,Middlesex!M42,Monmouth!M42,Morris!M42,Ocean!M42,Passaic!M42,Salem!M42,Somerset!M42,Sussex!M42,Union!M42,Warren!M42)</f>
        <v>0</v>
      </c>
      <c r="N45" s="16">
        <f>SUM(Atlantic!N42,Bergen!N42,Burlington!N42,Camden!N42,'Cape May'!N42,Cumberland!N42,Essex!N42,Gloucester!N42,Hudson!N42,Hunterdon!N42,Mercer!N42,Middlesex!N42,Monmouth!N42,Morris!N42,Ocean!N42,Passaic!N42,Salem!N42,Somerset!N42,Sussex!N42,Union!N42,Warren!N42)</f>
        <v>0</v>
      </c>
      <c r="O45" s="16">
        <f>SUM(Atlantic!O42,Bergen!O42,Burlington!O42,Camden!O42,'Cape May'!O42,Cumberland!O42,Essex!O42,Gloucester!O42,Hudson!O42,Hunterdon!O42,Mercer!O42,Middlesex!O42,Monmouth!O42,Morris!O42,Ocean!O42,Passaic!O42,Salem!O42,Somerset!O42,Sussex!O42,Union!O42,Warren!O42)</f>
        <v>0</v>
      </c>
      <c r="P45" s="16">
        <f>SUM(Atlantic!P42,Bergen!P42,Burlington!P42,Camden!P42,'Cape May'!P42,Cumberland!P42,Essex!P42,Gloucester!P42,Hudson!P42,Hunterdon!P42,Mercer!P42,Middlesex!P42,Monmouth!P42,Morris!P42,Ocean!P42,Passaic!P42,Salem!P42,Somerset!P42,Sussex!P42,Union!P42,Warren!P42)</f>
        <v>0</v>
      </c>
      <c r="Q45" s="16">
        <f>IF($B$4=$X$19,M45*'Technology Assumptions'!B$34,IF('Bioenergy Calculator'!$B$4='Bioenergy Calculator'!$X$21,M45*'Technology Assumptions'!B$34,IF('Bioenergy Calculator'!$B$4='Bioenergy Calculator'!$X$20,'Bioenergy Calculator'!M45*'Technology Assumptions'!B$36,IF('Bioenergy Calculator'!$B$4='Bioenergy Calculator'!$X$23,'Bioenergy Calculator'!M45*'Technology Assumptions'!B$35,IF('Bioenergy Calculator'!$B$4='Bioenergy Calculator'!$X$22,'Bioenergy Calculator'!M45*'Technology Assumptions'!B$37,'Bioenergy Calculator'!M45)))))</f>
        <v>0</v>
      </c>
      <c r="R45" s="16">
        <f>IF($B$4=$X$19,N45*'Technology Assumptions'!C$34,IF('Bioenergy Calculator'!$B$4='Bioenergy Calculator'!$X$21,N45*'Technology Assumptions'!C$34,IF('Bioenergy Calculator'!$B$4='Bioenergy Calculator'!$X$20,'Bioenergy Calculator'!N45*'Technology Assumptions'!C$36,IF('Bioenergy Calculator'!$B$4='Bioenergy Calculator'!$X$23,'Bioenergy Calculator'!N45*'Technology Assumptions'!C$35,IF('Bioenergy Calculator'!$B$4='Bioenergy Calculator'!$X$22,'Bioenergy Calculator'!N45*'Technology Assumptions'!C$37,'Bioenergy Calculator'!N45)))))</f>
        <v>0</v>
      </c>
      <c r="S45" s="16">
        <f>IF($B$4=$X$19,O45*'Technology Assumptions'!D$34,IF('Bioenergy Calculator'!$B$4='Bioenergy Calculator'!$X$21,O45*'Technology Assumptions'!D$34,IF('Bioenergy Calculator'!$B$4='Bioenergy Calculator'!$X$20,'Bioenergy Calculator'!O45*'Technology Assumptions'!D$36,IF('Bioenergy Calculator'!$B$4='Bioenergy Calculator'!$X$23,'Bioenergy Calculator'!O45*'Technology Assumptions'!D$35,IF('Bioenergy Calculator'!$B$4='Bioenergy Calculator'!$X$22,'Bioenergy Calculator'!O45*'Technology Assumptions'!D$37,'Bioenergy Calculator'!O45)))))</f>
        <v>0</v>
      </c>
      <c r="T45" s="16">
        <f>IF($B$4=$X$19,P45*'Technology Assumptions'!E$34,IF('Bioenergy Calculator'!$B$4='Bioenergy Calculator'!$X$21,P45*'Technology Assumptions'!E$34,IF('Bioenergy Calculator'!$B$4='Bioenergy Calculator'!$X$20,'Bioenergy Calculator'!P45*'Technology Assumptions'!E$36,IF('Bioenergy Calculator'!$B$4='Bioenergy Calculator'!$X$23,'Bioenergy Calculator'!P45*'Technology Assumptions'!E$35,IF('Bioenergy Calculator'!$B$4='Bioenergy Calculator'!$X$22,'Bioenergy Calculator'!P45*'Technology Assumptions'!E$37,'Bioenergy Calculator'!P45)))))</f>
        <v>0</v>
      </c>
    </row>
    <row r="46" spans="1:21" x14ac:dyDescent="0.25">
      <c r="A46" s="1065"/>
      <c r="B46" s="9" t="s">
        <v>524</v>
      </c>
      <c r="C46" s="295">
        <f t="shared" ref="C46:T46" si="2">SUM(C34:C45)</f>
        <v>3701663.9746183003</v>
      </c>
      <c r="D46" s="295">
        <f t="shared" si="2"/>
        <v>28343934.504187416</v>
      </c>
      <c r="E46" s="295">
        <f t="shared" si="2"/>
        <v>1836076.8071853803</v>
      </c>
      <c r="F46" s="295">
        <f t="shared" si="2"/>
        <v>1912701.8717785412</v>
      </c>
      <c r="G46" s="295">
        <f t="shared" si="2"/>
        <v>2007503.7830525094</v>
      </c>
      <c r="H46" s="295">
        <f t="shared" si="2"/>
        <v>2101590.0770855108</v>
      </c>
      <c r="I46" s="19">
        <f t="shared" si="2"/>
        <v>0</v>
      </c>
      <c r="J46" s="19">
        <f t="shared" si="2"/>
        <v>0</v>
      </c>
      <c r="K46" s="19">
        <f t="shared" si="2"/>
        <v>0</v>
      </c>
      <c r="L46" s="19">
        <f t="shared" si="2"/>
        <v>0</v>
      </c>
      <c r="M46" s="355">
        <f t="shared" si="2"/>
        <v>0</v>
      </c>
      <c r="N46" s="19">
        <f t="shared" si="2"/>
        <v>0</v>
      </c>
      <c r="O46" s="19">
        <f t="shared" si="2"/>
        <v>0</v>
      </c>
      <c r="P46" s="19">
        <f t="shared" si="2"/>
        <v>0</v>
      </c>
      <c r="Q46" s="19">
        <f>SUM(Q34:Q45)</f>
        <v>0</v>
      </c>
      <c r="R46" s="19">
        <f t="shared" si="2"/>
        <v>0</v>
      </c>
      <c r="S46" s="19">
        <f t="shared" si="2"/>
        <v>0</v>
      </c>
      <c r="T46" s="19">
        <f t="shared" si="2"/>
        <v>0</v>
      </c>
    </row>
    <row r="47" spans="1:21" x14ac:dyDescent="0.25">
      <c r="A47" s="8"/>
      <c r="B47" s="5"/>
      <c r="C47" s="296"/>
      <c r="D47" s="296"/>
      <c r="E47" s="296"/>
      <c r="F47" s="296"/>
      <c r="G47" s="296"/>
      <c r="H47" s="296"/>
      <c r="I47" s="28"/>
      <c r="J47" s="28"/>
      <c r="K47" s="28"/>
      <c r="L47" s="28"/>
      <c r="M47" s="28"/>
      <c r="N47" s="28"/>
      <c r="O47" s="28"/>
      <c r="P47" s="28"/>
      <c r="Q47" s="28"/>
      <c r="R47" s="28"/>
      <c r="S47" s="28"/>
      <c r="T47" s="28"/>
    </row>
    <row r="48" spans="1:21" x14ac:dyDescent="0.25">
      <c r="A48" s="1064" t="s">
        <v>515</v>
      </c>
      <c r="B48" s="2" t="s">
        <v>510</v>
      </c>
      <c r="C48" s="294"/>
      <c r="D48" s="294"/>
      <c r="E48" s="294"/>
      <c r="F48" s="294"/>
      <c r="G48" s="294"/>
      <c r="H48" s="294"/>
      <c r="I48" s="16"/>
      <c r="J48" s="16"/>
      <c r="K48" s="16"/>
      <c r="L48" s="16"/>
      <c r="M48" s="16"/>
      <c r="N48" s="16"/>
      <c r="O48" s="16"/>
      <c r="P48" s="16"/>
      <c r="Q48" s="16"/>
      <c r="R48" s="16"/>
      <c r="S48" s="16"/>
      <c r="T48" s="16"/>
    </row>
    <row r="49" spans="1:20" x14ac:dyDescent="0.25">
      <c r="A49" s="1064"/>
      <c r="B49" s="12" t="s">
        <v>525</v>
      </c>
      <c r="C49" s="294">
        <f>SUM(Atlantic!C46,Bergen!C46,Burlington!C46,Camden!C46,'Cape May'!C46,Cumberland!C46,Essex!C46,Gloucester!C46,Hudson!C46,Hunterdon!C46,Mercer!C46,Middlesex!C46,Monmouth!C46,Morris!C46,Ocean!C46,Passaic!C46,Salem!C46,Somerset!C46,Sussex!C46,Union!C46,Warren!C46)</f>
        <v>78859.199999999997</v>
      </c>
      <c r="D49" s="294">
        <f>E49*'Conversion Tables'!C41</f>
        <v>0</v>
      </c>
      <c r="E49" s="294">
        <f>SUM(Atlantic!E46,Bergen!E46,Burlington!E46,Camden!E46,'Cape May'!E46,Cumberland!E46,Essex!E46,Gloucester!E46,Hudson!E46,Hunterdon!E46,Mercer!E46,Middlesex!E46,Monmouth!E46,Morris!E46,Ocean!E46,Passaic!E46,Salem!E46,Somerset!E46,Sussex!E46,Union!E46,Warren!E46)</f>
        <v>78859.199999999997</v>
      </c>
      <c r="F49" s="294">
        <f>SUM(Atlantic!F46,Bergen!F46,Burlington!F46,Camden!F46,'Cape May'!F46,Cumberland!F46,Essex!F46,Gloucester!F46,Hudson!F46,Hunterdon!F46,Mercer!F46,Middlesex!F46,Monmouth!F46,Morris!F46,Ocean!F46,Passaic!F46,Salem!F46,Somerset!F46,Sussex!F46,Union!F46,Warren!F46)</f>
        <v>78859.199999999997</v>
      </c>
      <c r="G49" s="294">
        <f>SUM(Atlantic!G46,Bergen!G46,Burlington!G46,Camden!G46,'Cape May'!G46,Cumberland!G46,Essex!G46,Gloucester!G46,Hudson!G46,Hunterdon!G46,Mercer!G46,Middlesex!G46,Monmouth!G46,Morris!G46,Ocean!G46,Passaic!G46,Salem!G46,Somerset!G46,Sussex!G46,Union!G46,Warren!G46)</f>
        <v>78859.199999999997</v>
      </c>
      <c r="H49" s="294">
        <f>SUM(Atlantic!H46,Bergen!H46,Burlington!H46,Camden!H46,'Cape May'!H46,Cumberland!H46,Essex!H46,Gloucester!H46,Hudson!H46,Hunterdon!H46,Mercer!H46,Middlesex!H46,Monmouth!H46,Morris!H46,Ocean!H46,Passaic!H46,Salem!H46,Somerset!H46,Sussex!H46,Union!H46,Warren!H46)</f>
        <v>78859.199999999997</v>
      </c>
      <c r="I49" s="16">
        <f>SUM(Atlantic!I46,Bergen!I46,Burlington!I46,Camden!I46,'Cape May'!I46,Cumberland!I46,Essex!I46,Gloucester!I46,Hudson!I46,Hunterdon!I46,Mercer!I46,Middlesex!I46,Monmouth!I46,Morris!I46,Ocean!I46,Passaic!I46,Salem!I46,Somerset!I46,Sussex!I46,Union!I46,Warren!I46)</f>
        <v>0</v>
      </c>
      <c r="J49" s="16">
        <f>SUM(Atlantic!J46,Bergen!J46,Burlington!J46,Camden!J46,'Cape May'!J46,Cumberland!J46,Essex!J46,Gloucester!J46,Hudson!J46,Hunterdon!J46,Mercer!J46,Middlesex!J46,Monmouth!J46,Morris!J46,Ocean!J46,Passaic!J46,Salem!J46,Somerset!J46,Sussex!J46,Union!J46,Warren!J46)</f>
        <v>0</v>
      </c>
      <c r="K49" s="16">
        <f>SUM(Atlantic!K46,Bergen!K46,Burlington!K46,Camden!K46,'Cape May'!K46,Cumberland!K46,Essex!K46,Gloucester!K46,Hudson!K46,Hunterdon!K46,Mercer!K46,Middlesex!K46,Monmouth!K46,Morris!K46,Ocean!K46,Passaic!K46,Salem!K46,Somerset!K46,Sussex!K46,Union!K46,Warren!K46)</f>
        <v>0</v>
      </c>
      <c r="L49" s="16">
        <f>SUM(Atlantic!L46,Bergen!L46,Burlington!L46,Camden!L46,'Cape May'!L46,Cumberland!L46,Essex!L46,Gloucester!L46,Hudson!L46,Hunterdon!L46,Mercer!L46,Middlesex!L46,Monmouth!L46,Morris!L46,Ocean!L46,Passaic!L46,Salem!L46,Somerset!L46,Sussex!L46,Union!L46,Warren!L46)</f>
        <v>0</v>
      </c>
      <c r="M49" s="16">
        <f>SUM(Atlantic!M46,Bergen!M46,Burlington!M46,Camden!M46,'Cape May'!M46,Cumberland!M46,Essex!M46,Gloucester!M46,Hudson!M46,Hunterdon!M46,Mercer!M46,Middlesex!M46,Monmouth!M46,Morris!M46,Ocean!M46,Passaic!M46,Salem!M46,Somerset!M46,Sussex!M46,Union!M46,Warren!M46)</f>
        <v>0</v>
      </c>
      <c r="N49" s="16">
        <f>SUM(Atlantic!N46,Bergen!N46,Burlington!N46,Camden!N46,'Cape May'!N46,Cumberland!N46,Essex!N46,Gloucester!N46,Hudson!N46,Hunterdon!N46,Mercer!N46,Middlesex!N46,Monmouth!N46,Morris!N46,Ocean!N46,Passaic!N46,Salem!N46,Somerset!N46,Sussex!N46,Union!N46,Warren!N46)</f>
        <v>0</v>
      </c>
      <c r="O49" s="16">
        <f>SUM(Atlantic!O46,Bergen!O46,Burlington!O46,Camden!O46,'Cape May'!O46,Cumberland!O46,Essex!O46,Gloucester!O46,Hudson!O46,Hunterdon!O46,Mercer!O46,Middlesex!O46,Monmouth!O46,Morris!O46,Ocean!O46,Passaic!O46,Salem!O46,Somerset!O46,Sussex!O46,Union!O46,Warren!O46)</f>
        <v>0</v>
      </c>
      <c r="P49" s="16">
        <f>SUM(Atlantic!P46,Bergen!P46,Burlington!P46,Camden!P46,'Cape May'!P46,Cumberland!P46,Essex!P46,Gloucester!P46,Hudson!P46,Hunterdon!P46,Mercer!P46,Middlesex!P46,Monmouth!P46,Morris!P46,Ocean!P46,Passaic!P46,Salem!P46,Somerset!P46,Sussex!P46,Union!P46,Warren!P46)</f>
        <v>0</v>
      </c>
      <c r="Q49" s="16">
        <f>IF($B$4=$X$19,M49*'Technology Assumptions'!B$34,IF('Bioenergy Calculator'!$B$4='Bioenergy Calculator'!$X$21,M49*'Technology Assumptions'!B$34,IF('Bioenergy Calculator'!$B$4='Bioenergy Calculator'!$X$20,'Bioenergy Calculator'!M49*'Technology Assumptions'!B$36,IF('Bioenergy Calculator'!$B$4='Bioenergy Calculator'!$X$23,'Bioenergy Calculator'!M49*'Technology Assumptions'!B$35,IF('Bioenergy Calculator'!$B$4='Bioenergy Calculator'!$X$22,'Bioenergy Calculator'!M49*'Technology Assumptions'!B$37,'Bioenergy Calculator'!M49)))))</f>
        <v>0</v>
      </c>
      <c r="R49" s="16">
        <f>IF($B$4=$X$19,N49*'Technology Assumptions'!C$34,IF('Bioenergy Calculator'!$B$4='Bioenergy Calculator'!$X$21,N49*'Technology Assumptions'!C$34,IF('Bioenergy Calculator'!$B$4='Bioenergy Calculator'!$X$20,'Bioenergy Calculator'!N49*'Technology Assumptions'!C$36,IF('Bioenergy Calculator'!$B$4='Bioenergy Calculator'!$X$23,'Bioenergy Calculator'!N49*'Technology Assumptions'!C$35,IF('Bioenergy Calculator'!$B$4='Bioenergy Calculator'!$X$22,'Bioenergy Calculator'!N49*'Technology Assumptions'!C$37,'Bioenergy Calculator'!N49)))))</f>
        <v>0</v>
      </c>
      <c r="S49" s="16">
        <f>IF($B$4=$X$19,O49*'Technology Assumptions'!D$34,IF('Bioenergy Calculator'!$B$4='Bioenergy Calculator'!$X$21,O49*'Technology Assumptions'!D$34,IF('Bioenergy Calculator'!$B$4='Bioenergy Calculator'!$X$20,'Bioenergy Calculator'!O49*'Technology Assumptions'!D$36,IF('Bioenergy Calculator'!$B$4='Bioenergy Calculator'!$X$23,'Bioenergy Calculator'!O49*'Technology Assumptions'!D$35,IF('Bioenergy Calculator'!$B$4='Bioenergy Calculator'!$X$22,'Bioenergy Calculator'!O49*'Technology Assumptions'!D$37,'Bioenergy Calculator'!O49)))))</f>
        <v>0</v>
      </c>
      <c r="T49" s="16">
        <f>IF($B$4=$X$19,P49*'Technology Assumptions'!E$34,IF('Bioenergy Calculator'!$B$4='Bioenergy Calculator'!$X$21,P49*'Technology Assumptions'!E$34,IF('Bioenergy Calculator'!$B$4='Bioenergy Calculator'!$X$20,'Bioenergy Calculator'!P49*'Technology Assumptions'!E$36,IF('Bioenergy Calculator'!$B$4='Bioenergy Calculator'!$X$23,'Bioenergy Calculator'!P49*'Technology Assumptions'!E$35,IF('Bioenergy Calculator'!$B$4='Bioenergy Calculator'!$X$22,'Bioenergy Calculator'!P49*'Technology Assumptions'!E$37,'Bioenergy Calculator'!P49)))))</f>
        <v>0</v>
      </c>
    </row>
    <row r="50" spans="1:20" x14ac:dyDescent="0.25">
      <c r="A50" s="1065"/>
      <c r="B50" s="2" t="s">
        <v>508</v>
      </c>
      <c r="C50" s="294">
        <f>SUM(Atlantic!C47,Bergen!C47,Burlington!C47,Camden!C47,'Cape May'!C47,Cumberland!C47,Essex!C47,Gloucester!C47,Hudson!C47,Hunterdon!C47,Mercer!C47,Middlesex!C47,Monmouth!C47,Morris!C47,Ocean!C47,Passaic!C47,Salem!C47,Somerset!C47,Sussex!C47,Union!C47,Warren!C47)</f>
        <v>32881.683560000005</v>
      </c>
      <c r="D50" s="294">
        <f>E50*'Conversion Tables'!C42</f>
        <v>493225.25340000005</v>
      </c>
      <c r="E50" s="294">
        <f>SUM(Atlantic!E47,Bergen!E47,Burlington!E47,Camden!E47,'Cape May'!E47,Cumberland!E47,Essex!E47,Gloucester!E47,Hudson!E47,Hunterdon!E47,Mercer!E47,Middlesex!E47,Monmouth!E47,Morris!E47,Ocean!E47,Passaic!E47,Salem!E47,Somerset!E47,Sussex!E47,Union!E47,Warren!E47)</f>
        <v>16440.841780000002</v>
      </c>
      <c r="F50" s="294">
        <f>SUM(Atlantic!F47,Bergen!F47,Burlington!F47,Camden!F47,'Cape May'!F47,Cumberland!F47,Essex!F47,Gloucester!F47,Hudson!F47,Hunterdon!F47,Mercer!F47,Middlesex!F47,Monmouth!F47,Morris!F47,Ocean!F47,Passaic!F47,Salem!F47,Somerset!F47,Sussex!F47,Union!F47,Warren!F47)</f>
        <v>16706.293250487783</v>
      </c>
      <c r="G50" s="294">
        <f>SUM(Atlantic!G47,Bergen!G47,Burlington!G47,Camden!G47,'Cape May'!G47,Cumberland!G47,Essex!G47,Gloucester!G47,Hudson!G47,Hunterdon!G47,Mercer!G47,Middlesex!G47,Monmouth!G47,Morris!G47,Ocean!G47,Passaic!G47,Salem!G47,Somerset!G47,Sussex!G47,Union!G47,Warren!G47)</f>
        <v>17074.243541670974</v>
      </c>
      <c r="H50" s="294">
        <f>SUM(Atlantic!H47,Bergen!H47,Burlington!H47,Camden!H47,'Cape May'!H47,Cumberland!H47,Essex!H47,Gloucester!H47,Hudson!H47,Hunterdon!H47,Mercer!H47,Middlesex!H47,Monmouth!H47,Morris!H47,Ocean!H47,Passaic!H47,Salem!H47,Somerset!H47,Sussex!H47,Union!H47,Warren!H47)</f>
        <v>17388.795105362024</v>
      </c>
      <c r="I50" s="16">
        <f>SUM(Atlantic!I47,Bergen!I47,Burlington!I47,Camden!I47,'Cape May'!I47,Cumberland!I47,Essex!I47,Gloucester!I47,Hudson!I47,Hunterdon!I47,Mercer!I47,Middlesex!I47,Monmouth!I47,Morris!I47,Ocean!I47,Passaic!I47,Salem!I47,Somerset!I47,Sussex!I47,Union!I47,Warren!I47)</f>
        <v>0</v>
      </c>
      <c r="J50" s="16">
        <f>SUM(Atlantic!J47,Bergen!J47,Burlington!J47,Camden!J47,'Cape May'!J47,Cumberland!J47,Essex!J47,Gloucester!J47,Hudson!J47,Hunterdon!J47,Mercer!J47,Middlesex!J47,Monmouth!J47,Morris!J47,Ocean!J47,Passaic!J47,Salem!J47,Somerset!J47,Sussex!J47,Union!J47,Warren!J47)</f>
        <v>0</v>
      </c>
      <c r="K50" s="16">
        <f>SUM(Atlantic!K47,Bergen!K47,Burlington!K47,Camden!K47,'Cape May'!K47,Cumberland!K47,Essex!K47,Gloucester!K47,Hudson!K47,Hunterdon!K47,Mercer!K47,Middlesex!K47,Monmouth!K47,Morris!K47,Ocean!K47,Passaic!K47,Salem!K47,Somerset!K47,Sussex!K47,Union!K47,Warren!K47)</f>
        <v>0</v>
      </c>
      <c r="L50" s="16">
        <f>SUM(Atlantic!L47,Bergen!L47,Burlington!L47,Camden!L47,'Cape May'!L47,Cumberland!L47,Essex!L47,Gloucester!L47,Hudson!L47,Hunterdon!L47,Mercer!L47,Middlesex!L47,Monmouth!L47,Morris!L47,Ocean!L47,Passaic!L47,Salem!L47,Somerset!L47,Sussex!L47,Union!L47,Warren!L47)</f>
        <v>0</v>
      </c>
      <c r="M50" s="16">
        <f>SUM(Atlantic!M47,Bergen!M47,Burlington!M47,Camden!M47,'Cape May'!M47,Cumberland!M47,Essex!M47,Gloucester!M47,Hudson!M47,Hunterdon!M47,Mercer!M47,Middlesex!M47,Monmouth!M47,Morris!M47,Ocean!M47,Passaic!M47,Salem!M47,Somerset!M47,Sussex!M47,Union!M47,Warren!M47)</f>
        <v>0</v>
      </c>
      <c r="N50" s="16">
        <f>SUM(Atlantic!N47,Bergen!N47,Burlington!N47,Camden!N47,'Cape May'!N47,Cumberland!N47,Essex!N47,Gloucester!N47,Hudson!N47,Hunterdon!N47,Mercer!N47,Middlesex!N47,Monmouth!N47,Morris!N47,Ocean!N47,Passaic!N47,Salem!N47,Somerset!N47,Sussex!N47,Union!N47,Warren!N47)</f>
        <v>0</v>
      </c>
      <c r="O50" s="16">
        <f>SUM(Atlantic!O47,Bergen!O47,Burlington!O47,Camden!O47,'Cape May'!O47,Cumberland!O47,Essex!O47,Gloucester!O47,Hudson!O47,Hunterdon!O47,Mercer!O47,Middlesex!O47,Monmouth!O47,Morris!O47,Ocean!O47,Passaic!O47,Salem!O47,Somerset!O47,Sussex!O47,Union!O47,Warren!O47)</f>
        <v>0</v>
      </c>
      <c r="P50" s="16">
        <f>SUM(Atlantic!P47,Bergen!P47,Burlington!P47,Camden!P47,'Cape May'!P47,Cumberland!P47,Essex!P47,Gloucester!P47,Hudson!P47,Hunterdon!P47,Mercer!P47,Middlesex!P47,Monmouth!P47,Morris!P47,Ocean!P47,Passaic!P47,Salem!P47,Somerset!P47,Sussex!P47,Union!P47,Warren!P47)</f>
        <v>0</v>
      </c>
      <c r="Q50" s="16">
        <f>IF($B$4=$X$19,M50*'Technology Assumptions'!B$34,IF('Bioenergy Calculator'!$B$4='Bioenergy Calculator'!$X$21,M50*'Technology Assumptions'!B$34,IF('Bioenergy Calculator'!$B$4='Bioenergy Calculator'!$X$20,'Bioenergy Calculator'!M50*'Technology Assumptions'!B$36,IF('Bioenergy Calculator'!$B$4='Bioenergy Calculator'!$X$23,'Bioenergy Calculator'!M50*'Technology Assumptions'!B$35,IF('Bioenergy Calculator'!$B$4='Bioenergy Calculator'!$X$22,'Bioenergy Calculator'!M50*'Technology Assumptions'!B$37,'Bioenergy Calculator'!M50)))))</f>
        <v>0</v>
      </c>
      <c r="R50" s="16">
        <f>IF($B$4=$X$19,N50*'Technology Assumptions'!C$34,IF('Bioenergy Calculator'!$B$4='Bioenergy Calculator'!$X$21,N50*'Technology Assumptions'!C$34,IF('Bioenergy Calculator'!$B$4='Bioenergy Calculator'!$X$20,'Bioenergy Calculator'!N50*'Technology Assumptions'!C$36,IF('Bioenergy Calculator'!$B$4='Bioenergy Calculator'!$X$23,'Bioenergy Calculator'!N50*'Technology Assumptions'!C$35,IF('Bioenergy Calculator'!$B$4='Bioenergy Calculator'!$X$22,'Bioenergy Calculator'!N50*'Technology Assumptions'!C$37,'Bioenergy Calculator'!N50)))))</f>
        <v>0</v>
      </c>
      <c r="S50" s="16">
        <f>IF($B$4=$X$19,O50*'Technology Assumptions'!D$34,IF('Bioenergy Calculator'!$B$4='Bioenergy Calculator'!$X$21,O50*'Technology Assumptions'!D$34,IF('Bioenergy Calculator'!$B$4='Bioenergy Calculator'!$X$20,'Bioenergy Calculator'!O50*'Technology Assumptions'!D$36,IF('Bioenergy Calculator'!$B$4='Bioenergy Calculator'!$X$23,'Bioenergy Calculator'!O50*'Technology Assumptions'!D$35,IF('Bioenergy Calculator'!$B$4='Bioenergy Calculator'!$X$22,'Bioenergy Calculator'!O50*'Technology Assumptions'!D$37,'Bioenergy Calculator'!O50)))))</f>
        <v>0</v>
      </c>
      <c r="T50" s="16">
        <f>IF($B$4=$X$19,P50*'Technology Assumptions'!E$34,IF('Bioenergy Calculator'!$B$4='Bioenergy Calculator'!$X$21,P50*'Technology Assumptions'!E$34,IF('Bioenergy Calculator'!$B$4='Bioenergy Calculator'!$X$20,'Bioenergy Calculator'!P50*'Technology Assumptions'!E$36,IF('Bioenergy Calculator'!$B$4='Bioenergy Calculator'!$X$23,'Bioenergy Calculator'!P50*'Technology Assumptions'!E$35,IF('Bioenergy Calculator'!$B$4='Bioenergy Calculator'!$X$22,'Bioenergy Calculator'!P50*'Technology Assumptions'!E$37,'Bioenergy Calculator'!P50)))))</f>
        <v>0</v>
      </c>
    </row>
    <row r="51" spans="1:20" x14ac:dyDescent="0.25">
      <c r="A51" s="1065"/>
      <c r="B51" s="1" t="s">
        <v>509</v>
      </c>
      <c r="C51" s="294">
        <f>SUM(Atlantic!C48,Bergen!C48,Burlington!C48,Camden!C48,'Cape May'!C48,Cumberland!C48,Essex!C48,Gloucester!C48,Hudson!C48,Hunterdon!C48,Mercer!C48,Middlesex!C48,Monmouth!C48,Morris!C48,Ocean!C48,Passaic!C48,Salem!C48,Somerset!C48,Sussex!C48,Union!C48,Warren!C48)</f>
        <v>2938.6905694999996</v>
      </c>
      <c r="D51" s="294">
        <f>E51*'Conversion Tables'!C43</f>
        <v>88160.717084999982</v>
      </c>
      <c r="E51" s="294">
        <f>SUM(Atlantic!E48,Bergen!E48,Burlington!E48,Camden!E48,'Cape May'!E48,Cumberland!E48,Essex!E48,Gloucester!E48,Hudson!E48,Hunterdon!E48,Mercer!E48,Middlesex!E48,Monmouth!E48,Morris!E48,Ocean!E48,Passaic!E48,Salem!E48,Somerset!E48,Sussex!E48,Union!E48,Warren!E48)</f>
        <v>2938.6905694999996</v>
      </c>
      <c r="F51" s="294">
        <f>SUM(Atlantic!F48,Bergen!F48,Burlington!F48,Camden!F48,'Cape May'!F48,Cumberland!F48,Essex!F48,Gloucester!F48,Hudson!F48,Hunterdon!F48,Mercer!F48,Middlesex!F48,Monmouth!F48,Morris!F48,Ocean!F48,Passaic!F48,Salem!F48,Somerset!F48,Sussex!F48,Union!F48,Warren!F48)</f>
        <v>2986.1382454414652</v>
      </c>
      <c r="G51" s="294">
        <f>SUM(Atlantic!G48,Bergen!G48,Burlington!G48,Camden!G48,'Cape May'!G48,Cumberland!G48,Essex!G48,Gloucester!G48,Hudson!G48,Hunterdon!G48,Mercer!G48,Middlesex!G48,Monmouth!G48,Morris!G48,Ocean!G48,Passaic!G48,Salem!G48,Somerset!G48,Sussex!G48,Union!G48,Warren!G48)</f>
        <v>3051.9069004296903</v>
      </c>
      <c r="H51" s="294">
        <f>SUM(Atlantic!H48,Bergen!H48,Burlington!H48,Camden!H48,'Cape May'!H48,Cumberland!H48,Essex!H48,Gloucester!H48,Hudson!H48,Hunterdon!H48,Mercer!H48,Middlesex!H48,Monmouth!H48,Morris!H48,Ocean!H48,Passaic!H48,Salem!H48,Somerset!H48,Sussex!H48,Union!H48,Warren!H48)</f>
        <v>3108.1308898220618</v>
      </c>
      <c r="I51" s="16">
        <f>SUM(Atlantic!I48,Bergen!I48,Burlington!I48,Camden!I48,'Cape May'!I48,Cumberland!I48,Essex!I48,Gloucester!I48,Hudson!I48,Hunterdon!I48,Mercer!I48,Middlesex!I48,Monmouth!I48,Morris!I48,Ocean!I48,Passaic!I48,Salem!I48,Somerset!I48,Sussex!I48,Union!I48,Warren!I48)</f>
        <v>0</v>
      </c>
      <c r="J51" s="16">
        <f>SUM(Atlantic!J48,Bergen!J48,Burlington!J48,Camden!J48,'Cape May'!J48,Cumberland!J48,Essex!J48,Gloucester!J48,Hudson!J48,Hunterdon!J48,Mercer!J48,Middlesex!J48,Monmouth!J48,Morris!J48,Ocean!J48,Passaic!J48,Salem!J48,Somerset!J48,Sussex!J48,Union!J48,Warren!J48)</f>
        <v>0</v>
      </c>
      <c r="K51" s="16">
        <f>SUM(Atlantic!K48,Bergen!K48,Burlington!K48,Camden!K48,'Cape May'!K48,Cumberland!K48,Essex!K48,Gloucester!K48,Hudson!K48,Hunterdon!K48,Mercer!K48,Middlesex!K48,Monmouth!K48,Morris!K48,Ocean!K48,Passaic!K48,Salem!K48,Somerset!K48,Sussex!K48,Union!K48,Warren!K48)</f>
        <v>0</v>
      </c>
      <c r="L51" s="16">
        <f>SUM(Atlantic!L48,Bergen!L48,Burlington!L48,Camden!L48,'Cape May'!L48,Cumberland!L48,Essex!L48,Gloucester!L48,Hudson!L48,Hunterdon!L48,Mercer!L48,Middlesex!L48,Monmouth!L48,Morris!L48,Ocean!L48,Passaic!L48,Salem!L48,Somerset!L48,Sussex!L48,Union!L48,Warren!L48)</f>
        <v>0</v>
      </c>
      <c r="M51" s="16">
        <f>SUM(Atlantic!M48,Bergen!M48,Burlington!M48,Camden!M48,'Cape May'!M48,Cumberland!M48,Essex!M48,Gloucester!M48,Hudson!M48,Hunterdon!M48,Mercer!M48,Middlesex!M48,Monmouth!M48,Morris!M48,Ocean!M48,Passaic!M48,Salem!M48,Somerset!M48,Sussex!M48,Union!M48,Warren!M48)</f>
        <v>0</v>
      </c>
      <c r="N51" s="16">
        <f>SUM(Atlantic!N48,Bergen!N48,Burlington!N48,Camden!N48,'Cape May'!N48,Cumberland!N48,Essex!N48,Gloucester!N48,Hudson!N48,Hunterdon!N48,Mercer!N48,Middlesex!N48,Monmouth!N48,Morris!N48,Ocean!N48,Passaic!N48,Salem!N48,Somerset!N48,Sussex!N48,Union!N48,Warren!N48)</f>
        <v>0</v>
      </c>
      <c r="O51" s="16">
        <f>SUM(Atlantic!O48,Bergen!O48,Burlington!O48,Camden!O48,'Cape May'!O48,Cumberland!O48,Essex!O48,Gloucester!O48,Hudson!O48,Hunterdon!O48,Mercer!O48,Middlesex!O48,Monmouth!O48,Morris!O48,Ocean!O48,Passaic!O48,Salem!O48,Somerset!O48,Sussex!O48,Union!O48,Warren!O48)</f>
        <v>0</v>
      </c>
      <c r="P51" s="16">
        <f>SUM(Atlantic!P48,Bergen!P48,Burlington!P48,Camden!P48,'Cape May'!P48,Cumberland!P48,Essex!P48,Gloucester!P48,Hudson!P48,Hunterdon!P48,Mercer!P48,Middlesex!P48,Monmouth!P48,Morris!P48,Ocean!P48,Passaic!P48,Salem!P48,Somerset!P48,Sussex!P48,Union!P48,Warren!P48)</f>
        <v>0</v>
      </c>
      <c r="Q51" s="16">
        <f>IF($B$4=$X$19,M51*'Technology Assumptions'!B$34,IF('Bioenergy Calculator'!$B$4='Bioenergy Calculator'!$X$21,M51*'Technology Assumptions'!B$34,IF('Bioenergy Calculator'!$B$4='Bioenergy Calculator'!$X$20,'Bioenergy Calculator'!M51*'Technology Assumptions'!B$36,IF('Bioenergy Calculator'!$B$4='Bioenergy Calculator'!$X$23,'Bioenergy Calculator'!M51*'Technology Assumptions'!B$35,IF('Bioenergy Calculator'!$B$4='Bioenergy Calculator'!$X$22,'Bioenergy Calculator'!M51*'Technology Assumptions'!B$37,'Bioenergy Calculator'!M51)))))</f>
        <v>0</v>
      </c>
      <c r="R51" s="16">
        <f>IF($B$4=$X$19,N51*'Technology Assumptions'!C$34,IF('Bioenergy Calculator'!$B$4='Bioenergy Calculator'!$X$21,N51*'Technology Assumptions'!C$34,IF('Bioenergy Calculator'!$B$4='Bioenergy Calculator'!$X$20,'Bioenergy Calculator'!N51*'Technology Assumptions'!C$36,IF('Bioenergy Calculator'!$B$4='Bioenergy Calculator'!$X$23,'Bioenergy Calculator'!N51*'Technology Assumptions'!C$35,IF('Bioenergy Calculator'!$B$4='Bioenergy Calculator'!$X$22,'Bioenergy Calculator'!N51*'Technology Assumptions'!C$37,'Bioenergy Calculator'!N51)))))</f>
        <v>0</v>
      </c>
      <c r="S51" s="16">
        <f>IF($B$4=$X$19,O51*'Technology Assumptions'!D$34,IF('Bioenergy Calculator'!$B$4='Bioenergy Calculator'!$X$21,O51*'Technology Assumptions'!D$34,IF('Bioenergy Calculator'!$B$4='Bioenergy Calculator'!$X$20,'Bioenergy Calculator'!O51*'Technology Assumptions'!D$36,IF('Bioenergy Calculator'!$B$4='Bioenergy Calculator'!$X$23,'Bioenergy Calculator'!O51*'Technology Assumptions'!D$35,IF('Bioenergy Calculator'!$B$4='Bioenergy Calculator'!$X$22,'Bioenergy Calculator'!O51*'Technology Assumptions'!D$37,'Bioenergy Calculator'!O51)))))</f>
        <v>0</v>
      </c>
      <c r="T51" s="16">
        <f>IF($B$4=$X$19,P51*'Technology Assumptions'!E$34,IF('Bioenergy Calculator'!$B$4='Bioenergy Calculator'!$X$21,P51*'Technology Assumptions'!E$34,IF('Bioenergy Calculator'!$B$4='Bioenergy Calculator'!$X$20,'Bioenergy Calculator'!P51*'Technology Assumptions'!E$36,IF('Bioenergy Calculator'!$B$4='Bioenergy Calculator'!$X$23,'Bioenergy Calculator'!P51*'Technology Assumptions'!E$35,IF('Bioenergy Calculator'!$B$4='Bioenergy Calculator'!$X$22,'Bioenergy Calculator'!P51*'Technology Assumptions'!E$37,'Bioenergy Calculator'!P51)))))</f>
        <v>0</v>
      </c>
    </row>
    <row r="52" spans="1:20" x14ac:dyDescent="0.25">
      <c r="A52" s="1065"/>
      <c r="B52" s="9" t="s">
        <v>524</v>
      </c>
      <c r="C52" s="295">
        <f t="shared" ref="C52:P52" si="3">SUM(C48:C51)</f>
        <v>114679.5741295</v>
      </c>
      <c r="D52" s="295">
        <f>SUM(D48:D51)</f>
        <v>581385.97048500006</v>
      </c>
      <c r="E52" s="295">
        <f t="shared" si="3"/>
        <v>98238.732349500002</v>
      </c>
      <c r="F52" s="295">
        <f>SUM(F48:F51)</f>
        <v>98551.63149592925</v>
      </c>
      <c r="G52" s="295">
        <f>SUM(G48:G51)</f>
        <v>98985.350442100666</v>
      </c>
      <c r="H52" s="295">
        <f>SUM(H48:H51)</f>
        <v>99356.125995184077</v>
      </c>
      <c r="I52" s="19">
        <f t="shared" si="3"/>
        <v>0</v>
      </c>
      <c r="J52" s="19">
        <f t="shared" si="3"/>
        <v>0</v>
      </c>
      <c r="K52" s="19">
        <f t="shared" si="3"/>
        <v>0</v>
      </c>
      <c r="L52" s="19">
        <f t="shared" si="3"/>
        <v>0</v>
      </c>
      <c r="M52" s="19">
        <f t="shared" si="3"/>
        <v>0</v>
      </c>
      <c r="N52" s="19">
        <f t="shared" si="3"/>
        <v>0</v>
      </c>
      <c r="O52" s="19">
        <f t="shared" si="3"/>
        <v>0</v>
      </c>
      <c r="P52" s="19">
        <f t="shared" si="3"/>
        <v>0</v>
      </c>
      <c r="Q52" s="19">
        <f>SUM(Q48:Q51)</f>
        <v>0</v>
      </c>
      <c r="R52" s="19">
        <f>SUM(R48:R51)</f>
        <v>0</v>
      </c>
      <c r="S52" s="19">
        <f>SUM(S48:S51)</f>
        <v>0</v>
      </c>
      <c r="T52" s="19">
        <f>SUM(T48:T51)</f>
        <v>0</v>
      </c>
    </row>
    <row r="53" spans="1:20" x14ac:dyDescent="0.25">
      <c r="A53" s="8"/>
      <c r="B53" s="5"/>
      <c r="C53" s="296"/>
      <c r="D53" s="296"/>
      <c r="E53" s="296"/>
      <c r="F53" s="296"/>
      <c r="G53" s="296"/>
      <c r="H53" s="296"/>
      <c r="I53" s="28"/>
      <c r="J53" s="28"/>
      <c r="K53" s="28"/>
      <c r="L53" s="28"/>
      <c r="M53" s="28"/>
      <c r="N53" s="28"/>
      <c r="O53" s="28"/>
      <c r="P53" s="28"/>
      <c r="Q53" s="28"/>
      <c r="R53" s="28"/>
      <c r="S53" s="28"/>
      <c r="T53" s="28"/>
    </row>
    <row r="54" spans="1:20" x14ac:dyDescent="0.25">
      <c r="A54" s="1064" t="s">
        <v>517</v>
      </c>
      <c r="B54" s="2" t="s">
        <v>505</v>
      </c>
      <c r="C54" s="294"/>
      <c r="D54" s="294"/>
      <c r="E54" s="294"/>
      <c r="F54" s="294"/>
      <c r="G54" s="294"/>
      <c r="H54" s="294"/>
      <c r="I54" s="16"/>
      <c r="J54" s="16"/>
      <c r="K54" s="16"/>
      <c r="L54" s="16"/>
      <c r="M54" s="16"/>
      <c r="N54" s="16"/>
      <c r="O54" s="16"/>
      <c r="P54" s="16"/>
      <c r="Q54" s="16"/>
      <c r="R54" s="16"/>
      <c r="S54" s="16"/>
      <c r="T54" s="16"/>
    </row>
    <row r="55" spans="1:20" x14ac:dyDescent="0.25">
      <c r="A55" s="1064"/>
      <c r="B55" s="12" t="s">
        <v>535</v>
      </c>
      <c r="C55" s="294">
        <f>SUM(Atlantic!C52,Bergen!C52,Burlington!C52,Camden!C52,'Cape May'!C52,Cumberland!C52,Essex!C52,Gloucester!C52,Hudson!C52,Hunterdon!C52,Mercer!C52,Middlesex!C52,Monmouth!C52,Morris!C52,Ocean!C52,Passaic!C52,Salem!C52,Somerset!C52,Sussex!C52,Union!C52,Warren!C52)</f>
        <v>20937.1008</v>
      </c>
      <c r="D55" s="294">
        <f>E55*'Conversion Tables'!C45</f>
        <v>61823.071242239996</v>
      </c>
      <c r="E55" s="294">
        <f>SUM(Atlantic!E52,Bergen!E52,Burlington!E52,Camden!E52,'Cape May'!E52,Cumberland!E52,Essex!E52,Gloucester!E52,Hudson!E52,Hunterdon!E52,Mercer!E52,Middlesex!E52,Monmouth!E52,Morris!E52,Ocean!E52,Passaic!E52,Salem!E52,Somerset!E52,Sussex!E52,Union!E52,Warren!E52)</f>
        <v>4187.4201599999997</v>
      </c>
      <c r="F55" s="294">
        <f>SUM(Atlantic!F52,Bergen!F52,Burlington!F52,Camden!F52,'Cape May'!F52,Cumberland!F52,Essex!F52,Gloucester!F52,Hudson!F52,Hunterdon!F52,Mercer!F52,Middlesex!F52,Monmouth!F52,Morris!F52,Ocean!F52,Passaic!F52,Salem!F52,Somerset!F52,Sussex!F52,Union!F52,Warren!F52)</f>
        <v>4187.4201599999997</v>
      </c>
      <c r="G55" s="294">
        <f>SUM(Atlantic!G52,Bergen!G52,Burlington!G52,Camden!G52,'Cape May'!G52,Cumberland!G52,Essex!G52,Gloucester!G52,Hudson!G52,Hunterdon!G52,Mercer!G52,Middlesex!G52,Monmouth!G52,Morris!G52,Ocean!G52,Passaic!G52,Salem!G52,Somerset!G52,Sussex!G52,Union!G52,Warren!G52)</f>
        <v>4187.4201599999997</v>
      </c>
      <c r="H55" s="294">
        <f>SUM(Atlantic!H52,Bergen!H52,Burlington!H52,Camden!H52,'Cape May'!H52,Cumberland!H52,Essex!H52,Gloucester!H52,Hudson!H52,Hunterdon!H52,Mercer!H52,Middlesex!H52,Monmouth!H52,Morris!H52,Ocean!H52,Passaic!H52,Salem!H52,Somerset!H52,Sussex!H52,Union!H52,Warren!H52)</f>
        <v>4187.4201599999997</v>
      </c>
      <c r="I55" s="16">
        <f>SUM(Atlantic!I52,Bergen!I52,Burlington!I52,Camden!I52,'Cape May'!I52,Cumberland!I52,Essex!I52,Gloucester!I52,Hudson!I52,Hunterdon!I52,Mercer!I52,Middlesex!I52,Monmouth!I52,Morris!I52,Ocean!I52,Passaic!I52,Salem!I52,Somerset!I52,Sussex!I52,Union!I52,Warren!I52)</f>
        <v>0</v>
      </c>
      <c r="J55" s="16">
        <f>SUM(Atlantic!J52,Bergen!J52,Burlington!J52,Camden!J52,'Cape May'!J52,Cumberland!J52,Essex!J52,Gloucester!J52,Hudson!J52,Hunterdon!J52,Mercer!J52,Middlesex!J52,Monmouth!J52,Morris!J52,Ocean!J52,Passaic!J52,Salem!J52,Somerset!J52,Sussex!J52,Union!J52,Warren!J52)</f>
        <v>0</v>
      </c>
      <c r="K55" s="16">
        <f>SUM(Atlantic!K52,Bergen!K52,Burlington!K52,Camden!K52,'Cape May'!K52,Cumberland!K52,Essex!K52,Gloucester!K52,Hudson!K52,Hunterdon!K52,Mercer!K52,Middlesex!K52,Monmouth!K52,Morris!K52,Ocean!K52,Passaic!K52,Salem!K52,Somerset!K52,Sussex!K52,Union!K52,Warren!K52)</f>
        <v>0</v>
      </c>
      <c r="L55" s="16">
        <f>SUM(Atlantic!L52,Bergen!L52,Burlington!L52,Camden!L52,'Cape May'!L52,Cumberland!L52,Essex!L52,Gloucester!L52,Hudson!L52,Hunterdon!L52,Mercer!L52,Middlesex!L52,Monmouth!L52,Morris!L52,Ocean!L52,Passaic!L52,Salem!L52,Somerset!L52,Sussex!L52,Union!L52,Warren!L52)</f>
        <v>0</v>
      </c>
      <c r="M55" s="16">
        <f>SUM(Atlantic!M52,Bergen!M52,Burlington!M52,Camden!M52,'Cape May'!M52,Cumberland!M52,Essex!M52,Gloucester!M52,Hudson!M52,Hunterdon!M52,Mercer!M52,Middlesex!M52,Monmouth!M52,Morris!M52,Ocean!M52,Passaic!M52,Salem!M52,Somerset!M52,Sussex!M52,Union!M52,Warren!M52)</f>
        <v>0</v>
      </c>
      <c r="N55" s="16">
        <f>SUM(Atlantic!N52,Bergen!N52,Burlington!N52,Camden!N52,'Cape May'!N52,Cumberland!N52,Essex!N52,Gloucester!N52,Hudson!N52,Hunterdon!N52,Mercer!N52,Middlesex!N52,Monmouth!N52,Morris!N52,Ocean!N52,Passaic!N52,Salem!N52,Somerset!N52,Sussex!N52,Union!N52,Warren!N52)</f>
        <v>0</v>
      </c>
      <c r="O55" s="16">
        <f>SUM(Atlantic!O52,Bergen!O52,Burlington!O52,Camden!O52,'Cape May'!O52,Cumberland!O52,Essex!O52,Gloucester!O52,Hudson!O52,Hunterdon!O52,Mercer!O52,Middlesex!O52,Monmouth!O52,Morris!O52,Ocean!O52,Passaic!O52,Salem!O52,Somerset!O52,Sussex!O52,Union!O52,Warren!O52)</f>
        <v>0</v>
      </c>
      <c r="P55" s="16">
        <f>SUM(Atlantic!P52,Bergen!P52,Burlington!P52,Camden!P52,'Cape May'!P52,Cumberland!P52,Essex!P52,Gloucester!P52,Hudson!P52,Hunterdon!P52,Mercer!P52,Middlesex!P52,Monmouth!P52,Morris!P52,Ocean!P52,Passaic!P52,Salem!P52,Somerset!P52,Sussex!P52,Union!P52,Warren!P52)</f>
        <v>0</v>
      </c>
      <c r="Q55" s="16">
        <f>IF($B$4=$X$19,M55*'Technology Assumptions'!B$34,IF('Bioenergy Calculator'!$B$4='Bioenergy Calculator'!$X$21,M55*'Technology Assumptions'!B$34,IF('Bioenergy Calculator'!$B$4='Bioenergy Calculator'!$X$20,'Bioenergy Calculator'!M55*'Technology Assumptions'!B$36,IF('Bioenergy Calculator'!$B$4='Bioenergy Calculator'!$X$23,'Bioenergy Calculator'!M55*'Technology Assumptions'!B$35,IF('Bioenergy Calculator'!$B$4='Bioenergy Calculator'!$X$22,'Bioenergy Calculator'!M55*'Technology Assumptions'!B$37,'Bioenergy Calculator'!M55)))))</f>
        <v>0</v>
      </c>
      <c r="R55" s="16">
        <f>IF($B$4=$X$19,N55*'Technology Assumptions'!C$34,IF('Bioenergy Calculator'!$B$4='Bioenergy Calculator'!$X$21,N55*'Technology Assumptions'!C$34,IF('Bioenergy Calculator'!$B$4='Bioenergy Calculator'!$X$20,'Bioenergy Calculator'!N55*'Technology Assumptions'!C$36,IF('Bioenergy Calculator'!$B$4='Bioenergy Calculator'!$X$23,'Bioenergy Calculator'!N55*'Technology Assumptions'!C$35,IF('Bioenergy Calculator'!$B$4='Bioenergy Calculator'!$X$22,'Bioenergy Calculator'!N55*'Technology Assumptions'!C$37,'Bioenergy Calculator'!N55)))))</f>
        <v>0</v>
      </c>
      <c r="S55" s="16">
        <f>IF($B$4=$X$19,O55*'Technology Assumptions'!D$34,IF('Bioenergy Calculator'!$B$4='Bioenergy Calculator'!$X$21,O55*'Technology Assumptions'!D$34,IF('Bioenergy Calculator'!$B$4='Bioenergy Calculator'!$X$20,'Bioenergy Calculator'!O55*'Technology Assumptions'!D$36,IF('Bioenergy Calculator'!$B$4='Bioenergy Calculator'!$X$23,'Bioenergy Calculator'!O55*'Technology Assumptions'!D$35,IF('Bioenergy Calculator'!$B$4='Bioenergy Calculator'!$X$22,'Bioenergy Calculator'!O55*'Technology Assumptions'!D$37,'Bioenergy Calculator'!O55)))))</f>
        <v>0</v>
      </c>
      <c r="T55" s="16">
        <f>IF($B$4=$X$19,P55*'Technology Assumptions'!E$34,IF('Bioenergy Calculator'!$B$4='Bioenergy Calculator'!$X$21,P55*'Technology Assumptions'!E$34,IF('Bioenergy Calculator'!$B$4='Bioenergy Calculator'!$X$20,'Bioenergy Calculator'!P55*'Technology Assumptions'!E$36,IF('Bioenergy Calculator'!$B$4='Bioenergy Calculator'!$X$23,'Bioenergy Calculator'!P55*'Technology Assumptions'!E$35,IF('Bioenergy Calculator'!$B$4='Bioenergy Calculator'!$X$22,'Bioenergy Calculator'!P55*'Technology Assumptions'!E$37,'Bioenergy Calculator'!P55)))))</f>
        <v>0</v>
      </c>
    </row>
    <row r="56" spans="1:20" x14ac:dyDescent="0.25">
      <c r="A56" s="1064"/>
      <c r="B56" s="12" t="s">
        <v>539</v>
      </c>
      <c r="C56" s="294">
        <f>SUM(Atlantic!C53,Bergen!C53,Burlington!C53,Camden!C53,'Cape May'!C53,Cumberland!C53,Essex!C53,Gloucester!C53,Hudson!C53,Hunterdon!C53,Mercer!C53,Middlesex!C53,Monmouth!C53,Morris!C53,Ocean!C53,Passaic!C53,Salem!C53,Somerset!C53,Sussex!C53,Union!C53,Warren!C53)</f>
        <v>51657.106800000001</v>
      </c>
      <c r="D56" s="294">
        <f>E56*'Conversion Tables'!C46</f>
        <v>457599.3148771199</v>
      </c>
      <c r="E56" s="294">
        <f>SUM(Atlantic!E53,Bergen!E53,Burlington!E53,Camden!E53,'Cape May'!E53,Cumberland!E53,Essex!E53,Gloucester!E53,Hudson!E53,Hunterdon!E53,Mercer!E53,Middlesex!E53,Monmouth!E53,Morris!E53,Ocean!E53,Passaic!E53,Salem!E53,Somerset!E53,Sussex!E53,Union!E53,Warren!E53)</f>
        <v>30994.264079999994</v>
      </c>
      <c r="F56" s="294">
        <f>SUM(Atlantic!F53,Bergen!F53,Burlington!F53,Camden!F53,'Cape May'!F53,Cumberland!F53,Essex!F53,Gloucester!F53,Hudson!F53,Hunterdon!F53,Mercer!F53,Middlesex!F53,Monmouth!F53,Morris!F53,Ocean!F53,Passaic!F53,Salem!F53,Somerset!F53,Sussex!F53,Union!F53,Warren!F53)</f>
        <v>30994.264079999994</v>
      </c>
      <c r="G56" s="294">
        <f>SUM(Atlantic!G53,Bergen!G53,Burlington!G53,Camden!G53,'Cape May'!G53,Cumberland!G53,Essex!G53,Gloucester!G53,Hudson!G53,Hunterdon!G53,Mercer!G53,Middlesex!G53,Monmouth!G53,Morris!G53,Ocean!G53,Passaic!G53,Salem!G53,Somerset!G53,Sussex!G53,Union!G53,Warren!G53)</f>
        <v>30994.264079999994</v>
      </c>
      <c r="H56" s="294">
        <f>SUM(Atlantic!H53,Bergen!H53,Burlington!H53,Camden!H53,'Cape May'!H53,Cumberland!H53,Essex!H53,Gloucester!H53,Hudson!H53,Hunterdon!H53,Mercer!H53,Middlesex!H53,Monmouth!H53,Morris!H53,Ocean!H53,Passaic!H53,Salem!H53,Somerset!H53,Sussex!H53,Union!H53,Warren!H53)</f>
        <v>30994.264079999994</v>
      </c>
      <c r="I56" s="16">
        <f>SUM(Atlantic!I53,Bergen!I53,Burlington!I53,Camden!I53,'Cape May'!I53,Cumberland!I53,Essex!I53,Gloucester!I53,Hudson!I53,Hunterdon!I53,Mercer!I53,Middlesex!I53,Monmouth!I53,Morris!I53,Ocean!I53,Passaic!I53,Salem!I53,Somerset!I53,Sussex!I53,Union!I53,Warren!I53)</f>
        <v>0</v>
      </c>
      <c r="J56" s="16">
        <f>SUM(Atlantic!J53,Bergen!J53,Burlington!J53,Camden!J53,'Cape May'!J53,Cumberland!J53,Essex!J53,Gloucester!J53,Hudson!J53,Hunterdon!J53,Mercer!J53,Middlesex!J53,Monmouth!J53,Morris!J53,Ocean!J53,Passaic!J53,Salem!J53,Somerset!J53,Sussex!J53,Union!J53,Warren!J53)</f>
        <v>0</v>
      </c>
      <c r="K56" s="16">
        <f>SUM(Atlantic!K53,Bergen!K53,Burlington!K53,Camden!K53,'Cape May'!K53,Cumberland!K53,Essex!K53,Gloucester!K53,Hudson!K53,Hunterdon!K53,Mercer!K53,Middlesex!K53,Monmouth!K53,Morris!K53,Ocean!K53,Passaic!K53,Salem!K53,Somerset!K53,Sussex!K53,Union!K53,Warren!K53)</f>
        <v>0</v>
      </c>
      <c r="L56" s="16">
        <f>SUM(Atlantic!L53,Bergen!L53,Burlington!L53,Camden!L53,'Cape May'!L53,Cumberland!L53,Essex!L53,Gloucester!L53,Hudson!L53,Hunterdon!L53,Mercer!L53,Middlesex!L53,Monmouth!L53,Morris!L53,Ocean!L53,Passaic!L53,Salem!L53,Somerset!L53,Sussex!L53,Union!L53,Warren!L53)</f>
        <v>0</v>
      </c>
      <c r="M56" s="16">
        <f>SUM(Atlantic!M53,Bergen!M53,Burlington!M53,Camden!M53,'Cape May'!M53,Cumberland!M53,Essex!M53,Gloucester!M53,Hudson!M53,Hunterdon!M53,Mercer!M53,Middlesex!M53,Monmouth!M53,Morris!M53,Ocean!M53,Passaic!M53,Salem!M53,Somerset!M53,Sussex!M53,Union!M53,Warren!M53)</f>
        <v>0</v>
      </c>
      <c r="N56" s="16">
        <f>SUM(Atlantic!N53,Bergen!N53,Burlington!N53,Camden!N53,'Cape May'!N53,Cumberland!N53,Essex!N53,Gloucester!N53,Hudson!N53,Hunterdon!N53,Mercer!N53,Middlesex!N53,Monmouth!N53,Morris!N53,Ocean!N53,Passaic!N53,Salem!N53,Somerset!N53,Sussex!N53,Union!N53,Warren!N53)</f>
        <v>0</v>
      </c>
      <c r="O56" s="16">
        <f>SUM(Atlantic!O53,Bergen!O53,Burlington!O53,Camden!O53,'Cape May'!O53,Cumberland!O53,Essex!O53,Gloucester!O53,Hudson!O53,Hunterdon!O53,Mercer!O53,Middlesex!O53,Monmouth!O53,Morris!O53,Ocean!O53,Passaic!O53,Salem!O53,Somerset!O53,Sussex!O53,Union!O53,Warren!O53)</f>
        <v>0</v>
      </c>
      <c r="P56" s="16">
        <f>SUM(Atlantic!P53,Bergen!P53,Burlington!P53,Camden!P53,'Cape May'!P53,Cumberland!P53,Essex!P53,Gloucester!P53,Hudson!P53,Hunterdon!P53,Mercer!P53,Middlesex!P53,Monmouth!P53,Morris!P53,Ocean!P53,Passaic!P53,Salem!P53,Somerset!P53,Sussex!P53,Union!P53,Warren!P53)</f>
        <v>0</v>
      </c>
      <c r="Q56" s="16">
        <f>IF($B$4=$X$19,M56*'Technology Assumptions'!B$34,IF('Bioenergy Calculator'!$B$4='Bioenergy Calculator'!$X$21,M56*'Technology Assumptions'!B$34,IF('Bioenergy Calculator'!$B$4='Bioenergy Calculator'!$X$20,'Bioenergy Calculator'!M56*'Technology Assumptions'!B$36,IF('Bioenergy Calculator'!$B$4='Bioenergy Calculator'!$X$23,'Bioenergy Calculator'!M56*'Technology Assumptions'!B$35,IF('Bioenergy Calculator'!$B$4='Bioenergy Calculator'!$X$22,'Bioenergy Calculator'!M56*'Technology Assumptions'!B$37,'Bioenergy Calculator'!M56)))))</f>
        <v>0</v>
      </c>
      <c r="R56" s="16">
        <f>IF($B$4=$X$19,N56*'Technology Assumptions'!C$34,IF('Bioenergy Calculator'!$B$4='Bioenergy Calculator'!$X$21,N56*'Technology Assumptions'!C$34,IF('Bioenergy Calculator'!$B$4='Bioenergy Calculator'!$X$20,'Bioenergy Calculator'!N56*'Technology Assumptions'!C$36,IF('Bioenergy Calculator'!$B$4='Bioenergy Calculator'!$X$23,'Bioenergy Calculator'!N56*'Technology Assumptions'!C$35,IF('Bioenergy Calculator'!$B$4='Bioenergy Calculator'!$X$22,'Bioenergy Calculator'!N56*'Technology Assumptions'!C$37,'Bioenergy Calculator'!N56)))))</f>
        <v>0</v>
      </c>
      <c r="S56" s="16">
        <f>IF($B$4=$X$19,O56*'Technology Assumptions'!D$34,IF('Bioenergy Calculator'!$B$4='Bioenergy Calculator'!$X$21,O56*'Technology Assumptions'!D$34,IF('Bioenergy Calculator'!$B$4='Bioenergy Calculator'!$X$20,'Bioenergy Calculator'!O56*'Technology Assumptions'!D$36,IF('Bioenergy Calculator'!$B$4='Bioenergy Calculator'!$X$23,'Bioenergy Calculator'!O56*'Technology Assumptions'!D$35,IF('Bioenergy Calculator'!$B$4='Bioenergy Calculator'!$X$22,'Bioenergy Calculator'!O56*'Technology Assumptions'!D$37,'Bioenergy Calculator'!O56)))))</f>
        <v>0</v>
      </c>
      <c r="T56" s="16">
        <f>IF($B$4=$X$19,P56*'Technology Assumptions'!E$34,IF('Bioenergy Calculator'!$B$4='Bioenergy Calculator'!$X$21,P56*'Technology Assumptions'!E$34,IF('Bioenergy Calculator'!$B$4='Bioenergy Calculator'!$X$20,'Bioenergy Calculator'!P56*'Technology Assumptions'!E$36,IF('Bioenergy Calculator'!$B$4='Bioenergy Calculator'!$X$23,'Bioenergy Calculator'!P56*'Technology Assumptions'!E$35,IF('Bioenergy Calculator'!$B$4='Bioenergy Calculator'!$X$22,'Bioenergy Calculator'!P56*'Technology Assumptions'!E$37,'Bioenergy Calculator'!P56)))))</f>
        <v>0</v>
      </c>
    </row>
    <row r="57" spans="1:20" x14ac:dyDescent="0.25">
      <c r="A57" s="1064"/>
      <c r="B57" s="12" t="s">
        <v>545</v>
      </c>
      <c r="C57" s="294">
        <f>SUM(Atlantic!C54,Bergen!C54,Burlington!C54,Camden!C54,'Cape May'!C54,Cumberland!C54,Essex!C54,Gloucester!C54,Hudson!C54,Hunterdon!C54,Mercer!C54,Middlesex!C54,Monmouth!C54,Morris!C54,Ocean!C54,Passaic!C54,Salem!C54,Somerset!C54,Sussex!C54,Union!C54,Warren!C54)</f>
        <v>109693.2556375</v>
      </c>
      <c r="D57" s="294">
        <f>E57*'Conversion Tables'!C47</f>
        <v>971706.73573922995</v>
      </c>
      <c r="E57" s="294">
        <f>SUM(Atlantic!E54,Bergen!E54,Burlington!E54,Camden!E54,'Cape May'!E54,Cumberland!E54,Essex!E54,Gloucester!E54,Hudson!E54,Hunterdon!E54,Mercer!E54,Middlesex!E54,Monmouth!E54,Morris!E54,Ocean!E54,Passaic!E54,Salem!E54,Somerset!E54,Sussex!E54,Union!E54,Warren!E54)</f>
        <v>65815.953382499996</v>
      </c>
      <c r="F57" s="294">
        <f>SUM(Atlantic!F54,Bergen!F54,Burlington!F54,Camden!F54,'Cape May'!F54,Cumberland!F54,Essex!F54,Gloucester!F54,Hudson!F54,Hunterdon!F54,Mercer!F54,Middlesex!F54,Monmouth!F54,Morris!F54,Ocean!F54,Passaic!F54,Salem!F54,Somerset!F54,Sussex!F54,Union!F54,Warren!F54)</f>
        <v>65815.953382499996</v>
      </c>
      <c r="G57" s="294">
        <f>SUM(Atlantic!G54,Bergen!G54,Burlington!G54,Camden!G54,'Cape May'!G54,Cumberland!G54,Essex!G54,Gloucester!G54,Hudson!G54,Hunterdon!G54,Mercer!G54,Middlesex!G54,Monmouth!G54,Morris!G54,Ocean!G54,Passaic!G54,Salem!G54,Somerset!G54,Sussex!G54,Union!G54,Warren!G54)</f>
        <v>65815.953382499996</v>
      </c>
      <c r="H57" s="294">
        <f>SUM(Atlantic!H54,Bergen!H54,Burlington!H54,Camden!H54,'Cape May'!H54,Cumberland!H54,Essex!H54,Gloucester!H54,Hudson!H54,Hunterdon!H54,Mercer!H54,Middlesex!H54,Monmouth!H54,Morris!H54,Ocean!H54,Passaic!H54,Salem!H54,Somerset!H54,Sussex!H54,Union!H54,Warren!H54)</f>
        <v>65815.953382499996</v>
      </c>
      <c r="I57" s="16">
        <f>SUM(Atlantic!I54,Bergen!I54,Burlington!I54,Camden!I54,'Cape May'!I54,Cumberland!I54,Essex!I54,Gloucester!I54,Hudson!I54,Hunterdon!I54,Mercer!I54,Middlesex!I54,Monmouth!I54,Morris!I54,Ocean!I54,Passaic!I54,Salem!I54,Somerset!I54,Sussex!I54,Union!I54,Warren!I54)</f>
        <v>0</v>
      </c>
      <c r="J57" s="16">
        <f>SUM(Atlantic!J54,Bergen!J54,Burlington!J54,Camden!J54,'Cape May'!J54,Cumberland!J54,Essex!J54,Gloucester!J54,Hudson!J54,Hunterdon!J54,Mercer!J54,Middlesex!J54,Monmouth!J54,Morris!J54,Ocean!J54,Passaic!J54,Salem!J54,Somerset!J54,Sussex!J54,Union!J54,Warren!J54)</f>
        <v>0</v>
      </c>
      <c r="K57" s="16">
        <f>SUM(Atlantic!K54,Bergen!K54,Burlington!K54,Camden!K54,'Cape May'!K54,Cumberland!K54,Essex!K54,Gloucester!K54,Hudson!K54,Hunterdon!K54,Mercer!K54,Middlesex!K54,Monmouth!K54,Morris!K54,Ocean!K54,Passaic!K54,Salem!K54,Somerset!K54,Sussex!K54,Union!K54,Warren!K54)</f>
        <v>0</v>
      </c>
      <c r="L57" s="16">
        <f>SUM(Atlantic!L54,Bergen!L54,Burlington!L54,Camden!L54,'Cape May'!L54,Cumberland!L54,Essex!L54,Gloucester!L54,Hudson!L54,Hunterdon!L54,Mercer!L54,Middlesex!L54,Monmouth!L54,Morris!L54,Ocean!L54,Passaic!L54,Salem!L54,Somerset!L54,Sussex!L54,Union!L54,Warren!L54)</f>
        <v>0</v>
      </c>
      <c r="M57" s="16">
        <f>SUM(Atlantic!M54,Bergen!M54,Burlington!M54,Camden!M54,'Cape May'!M54,Cumberland!M54,Essex!M54,Gloucester!M54,Hudson!M54,Hunterdon!M54,Mercer!M54,Middlesex!M54,Monmouth!M54,Morris!M54,Ocean!M54,Passaic!M54,Salem!M54,Somerset!M54,Sussex!M54,Union!M54,Warren!M54)</f>
        <v>0</v>
      </c>
      <c r="N57" s="16">
        <f>SUM(Atlantic!N54,Bergen!N54,Burlington!N54,Camden!N54,'Cape May'!N54,Cumberland!N54,Essex!N54,Gloucester!N54,Hudson!N54,Hunterdon!N54,Mercer!N54,Middlesex!N54,Monmouth!N54,Morris!N54,Ocean!N54,Passaic!N54,Salem!N54,Somerset!N54,Sussex!N54,Union!N54,Warren!N54)</f>
        <v>0</v>
      </c>
      <c r="O57" s="16">
        <f>SUM(Atlantic!O54,Bergen!O54,Burlington!O54,Camden!O54,'Cape May'!O54,Cumberland!O54,Essex!O54,Gloucester!O54,Hudson!O54,Hunterdon!O54,Mercer!O54,Middlesex!O54,Monmouth!O54,Morris!O54,Ocean!O54,Passaic!O54,Salem!O54,Somerset!O54,Sussex!O54,Union!O54,Warren!O54)</f>
        <v>0</v>
      </c>
      <c r="P57" s="16">
        <f>SUM(Atlantic!P54,Bergen!P54,Burlington!P54,Camden!P54,'Cape May'!P54,Cumberland!P54,Essex!P54,Gloucester!P54,Hudson!P54,Hunterdon!P54,Mercer!P54,Middlesex!P54,Monmouth!P54,Morris!P54,Ocean!P54,Passaic!P54,Salem!P54,Somerset!P54,Sussex!P54,Union!P54,Warren!P54)</f>
        <v>0</v>
      </c>
      <c r="Q57" s="16">
        <f>IF($B$4=$X$19,M57*'Technology Assumptions'!B$34,IF('Bioenergy Calculator'!$B$4='Bioenergy Calculator'!$X$21,M57*'Technology Assumptions'!B$34,IF('Bioenergy Calculator'!$B$4='Bioenergy Calculator'!$X$20,'Bioenergy Calculator'!M57*'Technology Assumptions'!B$36,IF('Bioenergy Calculator'!$B$4='Bioenergy Calculator'!$X$23,'Bioenergy Calculator'!M57*'Technology Assumptions'!B$35,IF('Bioenergy Calculator'!$B$4='Bioenergy Calculator'!$X$22,'Bioenergy Calculator'!M57*'Technology Assumptions'!B$37,'Bioenergy Calculator'!M57)))))</f>
        <v>0</v>
      </c>
      <c r="R57" s="16">
        <f>IF($B$4=$X$19,N57*'Technology Assumptions'!C$34,IF('Bioenergy Calculator'!$B$4='Bioenergy Calculator'!$X$21,N57*'Technology Assumptions'!C$34,IF('Bioenergy Calculator'!$B$4='Bioenergy Calculator'!$X$20,'Bioenergy Calculator'!N57*'Technology Assumptions'!C$36,IF('Bioenergy Calculator'!$B$4='Bioenergy Calculator'!$X$23,'Bioenergy Calculator'!N57*'Technology Assumptions'!C$35,IF('Bioenergy Calculator'!$B$4='Bioenergy Calculator'!$X$22,'Bioenergy Calculator'!N57*'Technology Assumptions'!C$37,'Bioenergy Calculator'!N57)))))</f>
        <v>0</v>
      </c>
      <c r="S57" s="16">
        <f>IF($B$4=$X$19,O57*'Technology Assumptions'!D$34,IF('Bioenergy Calculator'!$B$4='Bioenergy Calculator'!$X$21,O57*'Technology Assumptions'!D$34,IF('Bioenergy Calculator'!$B$4='Bioenergy Calculator'!$X$20,'Bioenergy Calculator'!O57*'Technology Assumptions'!D$36,IF('Bioenergy Calculator'!$B$4='Bioenergy Calculator'!$X$23,'Bioenergy Calculator'!O57*'Technology Assumptions'!D$35,IF('Bioenergy Calculator'!$B$4='Bioenergy Calculator'!$X$22,'Bioenergy Calculator'!O57*'Technology Assumptions'!D$37,'Bioenergy Calculator'!O57)))))</f>
        <v>0</v>
      </c>
      <c r="T57" s="16">
        <f>IF($B$4=$X$19,P57*'Technology Assumptions'!E$34,IF('Bioenergy Calculator'!$B$4='Bioenergy Calculator'!$X$21,P57*'Technology Assumptions'!E$34,IF('Bioenergy Calculator'!$B$4='Bioenergy Calculator'!$X$20,'Bioenergy Calculator'!P57*'Technology Assumptions'!E$36,IF('Bioenergy Calculator'!$B$4='Bioenergy Calculator'!$X$23,'Bioenergy Calculator'!P57*'Technology Assumptions'!E$35,IF('Bioenergy Calculator'!$B$4='Bioenergy Calculator'!$X$22,'Bioenergy Calculator'!P57*'Technology Assumptions'!E$37,'Bioenergy Calculator'!P57)))))</f>
        <v>0</v>
      </c>
    </row>
    <row r="58" spans="1:20" x14ac:dyDescent="0.25">
      <c r="A58" s="1064"/>
      <c r="B58" s="12" t="s">
        <v>546</v>
      </c>
      <c r="C58" s="294">
        <f>SUM(Atlantic!C55,Bergen!C55,Burlington!C55,Camden!C55,'Cape May'!C55,Cumberland!C55,Essex!C55,Gloucester!C55,Hudson!C55,Hunterdon!C55,Mercer!C55,Middlesex!C55,Monmouth!C55,Morris!C55,Ocean!C55,Passaic!C55,Salem!C55,Somerset!C55,Sussex!C55,Union!C55,Warren!C55)</f>
        <v>5393.7802000000001</v>
      </c>
      <c r="D58" s="294">
        <f>E58*'Conversion Tables'!C48</f>
        <v>15926.754174560003</v>
      </c>
      <c r="E58" s="294">
        <f>SUM(Atlantic!E55,Bergen!E55,Burlington!E55,Camden!E55,'Cape May'!E55,Cumberland!E55,Essex!E55,Gloucester!E55,Hudson!E55,Hunterdon!E55,Mercer!E55,Middlesex!E55,Monmouth!E55,Morris!E55,Ocean!E55,Passaic!E55,Salem!E55,Somerset!E55,Sussex!E55,Union!E55,Warren!E55)</f>
        <v>1078.7560400000002</v>
      </c>
      <c r="F58" s="294">
        <f>SUM(Atlantic!F55,Bergen!F55,Burlington!F55,Camden!F55,'Cape May'!F55,Cumberland!F55,Essex!F55,Gloucester!F55,Hudson!F55,Hunterdon!F55,Mercer!F55,Middlesex!F55,Monmouth!F55,Morris!F55,Ocean!F55,Passaic!F55,Salem!F55,Somerset!F55,Sussex!F55,Union!F55,Warren!F55)</f>
        <v>1078.7560400000002</v>
      </c>
      <c r="G58" s="294">
        <f>SUM(Atlantic!G55,Bergen!G55,Burlington!G55,Camden!G55,'Cape May'!G55,Cumberland!G55,Essex!G55,Gloucester!G55,Hudson!G55,Hunterdon!G55,Mercer!G55,Middlesex!G55,Monmouth!G55,Morris!G55,Ocean!G55,Passaic!G55,Salem!G55,Somerset!G55,Sussex!G55,Union!G55,Warren!G55)</f>
        <v>1078.7560400000002</v>
      </c>
      <c r="H58" s="294">
        <f>SUM(Atlantic!H55,Bergen!H55,Burlington!H55,Camden!H55,'Cape May'!H55,Cumberland!H55,Essex!H55,Gloucester!H55,Hudson!H55,Hunterdon!H55,Mercer!H55,Middlesex!H55,Monmouth!H55,Morris!H55,Ocean!H55,Passaic!H55,Salem!H55,Somerset!H55,Sussex!H55,Union!H55,Warren!H55)</f>
        <v>1078.7560400000002</v>
      </c>
      <c r="I58" s="16">
        <f>SUM(Atlantic!I55,Bergen!I55,Burlington!I55,Camden!I55,'Cape May'!I55,Cumberland!I55,Essex!I55,Gloucester!I55,Hudson!I55,Hunterdon!I55,Mercer!I55,Middlesex!I55,Monmouth!I55,Morris!I55,Ocean!I55,Passaic!I55,Salem!I55,Somerset!I55,Sussex!I55,Union!I55,Warren!I55)</f>
        <v>0</v>
      </c>
      <c r="J58" s="16">
        <f>SUM(Atlantic!J55,Bergen!J55,Burlington!J55,Camden!J55,'Cape May'!J55,Cumberland!J55,Essex!J55,Gloucester!J55,Hudson!J55,Hunterdon!J55,Mercer!J55,Middlesex!J55,Monmouth!J55,Morris!J55,Ocean!J55,Passaic!J55,Salem!J55,Somerset!J55,Sussex!J55,Union!J55,Warren!J55)</f>
        <v>0</v>
      </c>
      <c r="K58" s="16">
        <f>SUM(Atlantic!K55,Bergen!K55,Burlington!K55,Camden!K55,'Cape May'!K55,Cumberland!K55,Essex!K55,Gloucester!K55,Hudson!K55,Hunterdon!K55,Mercer!K55,Middlesex!K55,Monmouth!K55,Morris!K55,Ocean!K55,Passaic!K55,Salem!K55,Somerset!K55,Sussex!K55,Union!K55,Warren!K55)</f>
        <v>0</v>
      </c>
      <c r="L58" s="16">
        <f>SUM(Atlantic!L55,Bergen!L55,Burlington!L55,Camden!L55,'Cape May'!L55,Cumberland!L55,Essex!L55,Gloucester!L55,Hudson!L55,Hunterdon!L55,Mercer!L55,Middlesex!L55,Monmouth!L55,Morris!L55,Ocean!L55,Passaic!L55,Salem!L55,Somerset!L55,Sussex!L55,Union!L55,Warren!L55)</f>
        <v>0</v>
      </c>
      <c r="M58" s="16">
        <f>SUM(Atlantic!M55,Bergen!M55,Burlington!M55,Camden!M55,'Cape May'!M55,Cumberland!M55,Essex!M55,Gloucester!M55,Hudson!M55,Hunterdon!M55,Mercer!M55,Middlesex!M55,Monmouth!M55,Morris!M55,Ocean!M55,Passaic!M55,Salem!M55,Somerset!M55,Sussex!M55,Union!M55,Warren!M55)</f>
        <v>0</v>
      </c>
      <c r="N58" s="16">
        <f>SUM(Atlantic!N55,Bergen!N55,Burlington!N55,Camden!N55,'Cape May'!N55,Cumberland!N55,Essex!N55,Gloucester!N55,Hudson!N55,Hunterdon!N55,Mercer!N55,Middlesex!N55,Monmouth!N55,Morris!N55,Ocean!N55,Passaic!N55,Salem!N55,Somerset!N55,Sussex!N55,Union!N55,Warren!N55)</f>
        <v>0</v>
      </c>
      <c r="O58" s="16">
        <f>SUM(Atlantic!O55,Bergen!O55,Burlington!O55,Camden!O55,'Cape May'!O55,Cumberland!O55,Essex!O55,Gloucester!O55,Hudson!O55,Hunterdon!O55,Mercer!O55,Middlesex!O55,Monmouth!O55,Morris!O55,Ocean!O55,Passaic!O55,Salem!O55,Somerset!O55,Sussex!O55,Union!O55,Warren!O55)</f>
        <v>0</v>
      </c>
      <c r="P58" s="16">
        <f>SUM(Atlantic!P55,Bergen!P55,Burlington!P55,Camden!P55,'Cape May'!P55,Cumberland!P55,Essex!P55,Gloucester!P55,Hudson!P55,Hunterdon!P55,Mercer!P55,Middlesex!P55,Monmouth!P55,Morris!P55,Ocean!P55,Passaic!P55,Salem!P55,Somerset!P55,Sussex!P55,Union!P55,Warren!P55)</f>
        <v>0</v>
      </c>
      <c r="Q58" s="16">
        <f>IF($B$4=$X$19,M58*'Technology Assumptions'!B$34,IF('Bioenergy Calculator'!$B$4='Bioenergy Calculator'!$X$21,M58*'Technology Assumptions'!B$34,IF('Bioenergy Calculator'!$B$4='Bioenergy Calculator'!$X$20,'Bioenergy Calculator'!M58*'Technology Assumptions'!B$36,IF('Bioenergy Calculator'!$B$4='Bioenergy Calculator'!$X$23,'Bioenergy Calculator'!M58*'Technology Assumptions'!B$35,IF('Bioenergy Calculator'!$B$4='Bioenergy Calculator'!$X$22,'Bioenergy Calculator'!M58*'Technology Assumptions'!B$37,'Bioenergy Calculator'!M58)))))</f>
        <v>0</v>
      </c>
      <c r="R58" s="16">
        <f>IF($B$4=$X$19,N58*'Technology Assumptions'!C$34,IF('Bioenergy Calculator'!$B$4='Bioenergy Calculator'!$X$21,N58*'Technology Assumptions'!C$34,IF('Bioenergy Calculator'!$B$4='Bioenergy Calculator'!$X$20,'Bioenergy Calculator'!N58*'Technology Assumptions'!C$36,IF('Bioenergy Calculator'!$B$4='Bioenergy Calculator'!$X$23,'Bioenergy Calculator'!N58*'Technology Assumptions'!C$35,IF('Bioenergy Calculator'!$B$4='Bioenergy Calculator'!$X$22,'Bioenergy Calculator'!N58*'Technology Assumptions'!C$37,'Bioenergy Calculator'!N58)))))</f>
        <v>0</v>
      </c>
      <c r="S58" s="16">
        <f>IF($B$4=$X$19,O58*'Technology Assumptions'!D$34,IF('Bioenergy Calculator'!$B$4='Bioenergy Calculator'!$X$21,O58*'Technology Assumptions'!D$34,IF('Bioenergy Calculator'!$B$4='Bioenergy Calculator'!$X$20,'Bioenergy Calculator'!O58*'Technology Assumptions'!D$36,IF('Bioenergy Calculator'!$B$4='Bioenergy Calculator'!$X$23,'Bioenergy Calculator'!O58*'Technology Assumptions'!D$35,IF('Bioenergy Calculator'!$B$4='Bioenergy Calculator'!$X$22,'Bioenergy Calculator'!O58*'Technology Assumptions'!D$37,'Bioenergy Calculator'!O58)))))</f>
        <v>0</v>
      </c>
      <c r="T58" s="16">
        <f>IF($B$4=$X$19,P58*'Technology Assumptions'!E$34,IF('Bioenergy Calculator'!$B$4='Bioenergy Calculator'!$X$21,P58*'Technology Assumptions'!E$34,IF('Bioenergy Calculator'!$B$4='Bioenergy Calculator'!$X$20,'Bioenergy Calculator'!P58*'Technology Assumptions'!E$36,IF('Bioenergy Calculator'!$B$4='Bioenergy Calculator'!$X$23,'Bioenergy Calculator'!P58*'Technology Assumptions'!E$35,IF('Bioenergy Calculator'!$B$4='Bioenergy Calculator'!$X$22,'Bioenergy Calculator'!P58*'Technology Assumptions'!E$37,'Bioenergy Calculator'!P58)))))</f>
        <v>0</v>
      </c>
    </row>
    <row r="59" spans="1:20" x14ac:dyDescent="0.25">
      <c r="A59" s="1064"/>
      <c r="B59" s="12" t="s">
        <v>547</v>
      </c>
      <c r="C59" s="294">
        <f>SUM(Atlantic!C56,Bergen!C56,Burlington!C56,Camden!C56,'Cape May'!C56,Cumberland!C56,Essex!C56,Gloucester!C56,Hudson!C56,Hunterdon!C56,Mercer!C56,Middlesex!C56,Monmouth!C56,Morris!C56,Ocean!C56,Passaic!C56,Salem!C56,Somerset!C56,Sussex!C56,Union!C56,Warren!C56)</f>
        <v>2818.0098749999997</v>
      </c>
      <c r="D59" s="294">
        <f>E59*'Conversion Tables'!C49</f>
        <v>8321.0195588999995</v>
      </c>
      <c r="E59" s="294">
        <f>SUM(Atlantic!E56,Bergen!E56,Burlington!E56,Camden!E56,'Cape May'!E56,Cumberland!E56,Essex!E56,Gloucester!E56,Hudson!E56,Hunterdon!E56,Mercer!E56,Middlesex!E56,Monmouth!E56,Morris!E56,Ocean!E56,Passaic!E56,Salem!E56,Somerset!E56,Sussex!E56,Union!E56,Warren!E56)</f>
        <v>563.60197500000004</v>
      </c>
      <c r="F59" s="294">
        <f>SUM(Atlantic!F56,Bergen!F56,Burlington!F56,Camden!F56,'Cape May'!F56,Cumberland!F56,Essex!F56,Gloucester!F56,Hudson!F56,Hunterdon!F56,Mercer!F56,Middlesex!F56,Monmouth!F56,Morris!F56,Ocean!F56,Passaic!F56,Salem!F56,Somerset!F56,Sussex!F56,Union!F56,Warren!F56)</f>
        <v>563.60197500000004</v>
      </c>
      <c r="G59" s="294">
        <f>SUM(Atlantic!G56,Bergen!G56,Burlington!G56,Camden!G56,'Cape May'!G56,Cumberland!G56,Essex!G56,Gloucester!G56,Hudson!G56,Hunterdon!G56,Mercer!G56,Middlesex!G56,Monmouth!G56,Morris!G56,Ocean!G56,Passaic!G56,Salem!G56,Somerset!G56,Sussex!G56,Union!G56,Warren!G56)</f>
        <v>563.60197500000004</v>
      </c>
      <c r="H59" s="294">
        <f>SUM(Atlantic!H56,Bergen!H56,Burlington!H56,Camden!H56,'Cape May'!H56,Cumberland!H56,Essex!H56,Gloucester!H56,Hudson!H56,Hunterdon!H56,Mercer!H56,Middlesex!H56,Monmouth!H56,Morris!H56,Ocean!H56,Passaic!H56,Salem!H56,Somerset!H56,Sussex!H56,Union!H56,Warren!H56)</f>
        <v>563.60197500000004</v>
      </c>
      <c r="I59" s="16">
        <f>SUM(Atlantic!I56,Bergen!I56,Burlington!I56,Camden!I56,'Cape May'!I56,Cumberland!I56,Essex!I56,Gloucester!I56,Hudson!I56,Hunterdon!I56,Mercer!I56,Middlesex!I56,Monmouth!I56,Morris!I56,Ocean!I56,Passaic!I56,Salem!I56,Somerset!I56,Sussex!I56,Union!I56,Warren!I56)</f>
        <v>0</v>
      </c>
      <c r="J59" s="16">
        <f>SUM(Atlantic!J56,Bergen!J56,Burlington!J56,Camden!J56,'Cape May'!J56,Cumberland!J56,Essex!J56,Gloucester!J56,Hudson!J56,Hunterdon!J56,Mercer!J56,Middlesex!J56,Monmouth!J56,Morris!J56,Ocean!J56,Passaic!J56,Salem!J56,Somerset!J56,Sussex!J56,Union!J56,Warren!J56)</f>
        <v>0</v>
      </c>
      <c r="K59" s="16">
        <f>SUM(Atlantic!K56,Bergen!K56,Burlington!K56,Camden!K56,'Cape May'!K56,Cumberland!K56,Essex!K56,Gloucester!K56,Hudson!K56,Hunterdon!K56,Mercer!K56,Middlesex!K56,Monmouth!K56,Morris!K56,Ocean!K56,Passaic!K56,Salem!K56,Somerset!K56,Sussex!K56,Union!K56,Warren!K56)</f>
        <v>0</v>
      </c>
      <c r="L59" s="16">
        <f>SUM(Atlantic!L56,Bergen!L56,Burlington!L56,Camden!L56,'Cape May'!L56,Cumberland!L56,Essex!L56,Gloucester!L56,Hudson!L56,Hunterdon!L56,Mercer!L56,Middlesex!L56,Monmouth!L56,Morris!L56,Ocean!L56,Passaic!L56,Salem!L56,Somerset!L56,Sussex!L56,Union!L56,Warren!L56)</f>
        <v>0</v>
      </c>
      <c r="M59" s="16">
        <f>SUM(Atlantic!M56,Bergen!M56,Burlington!M56,Camden!M56,'Cape May'!M56,Cumberland!M56,Essex!M56,Gloucester!M56,Hudson!M56,Hunterdon!M56,Mercer!M56,Middlesex!M56,Monmouth!M56,Morris!M56,Ocean!M56,Passaic!M56,Salem!M56,Somerset!M56,Sussex!M56,Union!M56,Warren!M56)</f>
        <v>0</v>
      </c>
      <c r="N59" s="16">
        <f>SUM(Atlantic!N56,Bergen!N56,Burlington!N56,Camden!N56,'Cape May'!N56,Cumberland!N56,Essex!N56,Gloucester!N56,Hudson!N56,Hunterdon!N56,Mercer!N56,Middlesex!N56,Monmouth!N56,Morris!N56,Ocean!N56,Passaic!N56,Salem!N56,Somerset!N56,Sussex!N56,Union!N56,Warren!N56)</f>
        <v>0</v>
      </c>
      <c r="O59" s="16">
        <f>SUM(Atlantic!O56,Bergen!O56,Burlington!O56,Camden!O56,'Cape May'!O56,Cumberland!O56,Essex!O56,Gloucester!O56,Hudson!O56,Hunterdon!O56,Mercer!O56,Middlesex!O56,Monmouth!O56,Morris!O56,Ocean!O56,Passaic!O56,Salem!O56,Somerset!O56,Sussex!O56,Union!O56,Warren!O56)</f>
        <v>0</v>
      </c>
      <c r="P59" s="16">
        <f>SUM(Atlantic!P56,Bergen!P56,Burlington!P56,Camden!P56,'Cape May'!P56,Cumberland!P56,Essex!P56,Gloucester!P56,Hudson!P56,Hunterdon!P56,Mercer!P56,Middlesex!P56,Monmouth!P56,Morris!P56,Ocean!P56,Passaic!P56,Salem!P56,Somerset!P56,Sussex!P56,Union!P56,Warren!P56)</f>
        <v>0</v>
      </c>
      <c r="Q59" s="16">
        <f>IF($B$4=$X$19,M59*'Technology Assumptions'!B$34,IF('Bioenergy Calculator'!$B$4='Bioenergy Calculator'!$X$21,M59*'Technology Assumptions'!B$34,IF('Bioenergy Calculator'!$B$4='Bioenergy Calculator'!$X$20,'Bioenergy Calculator'!M59*'Technology Assumptions'!B$36,IF('Bioenergy Calculator'!$B$4='Bioenergy Calculator'!$X$23,'Bioenergy Calculator'!M59*'Technology Assumptions'!B$35,IF('Bioenergy Calculator'!$B$4='Bioenergy Calculator'!$X$22,'Bioenergy Calculator'!M59*'Technology Assumptions'!B$37,'Bioenergy Calculator'!M59)))))</f>
        <v>0</v>
      </c>
      <c r="R59" s="16">
        <f>IF($B$4=$X$19,N59*'Technology Assumptions'!C$34,IF('Bioenergy Calculator'!$B$4='Bioenergy Calculator'!$X$21,N59*'Technology Assumptions'!C$34,IF('Bioenergy Calculator'!$B$4='Bioenergy Calculator'!$X$20,'Bioenergy Calculator'!N59*'Technology Assumptions'!C$36,IF('Bioenergy Calculator'!$B$4='Bioenergy Calculator'!$X$23,'Bioenergy Calculator'!N59*'Technology Assumptions'!C$35,IF('Bioenergy Calculator'!$B$4='Bioenergy Calculator'!$X$22,'Bioenergy Calculator'!N59*'Technology Assumptions'!C$37,'Bioenergy Calculator'!N59)))))</f>
        <v>0</v>
      </c>
      <c r="S59" s="16">
        <f>IF($B$4=$X$19,O59*'Technology Assumptions'!D$34,IF('Bioenergy Calculator'!$B$4='Bioenergy Calculator'!$X$21,O59*'Technology Assumptions'!D$34,IF('Bioenergy Calculator'!$B$4='Bioenergy Calculator'!$X$20,'Bioenergy Calculator'!O59*'Technology Assumptions'!D$36,IF('Bioenergy Calculator'!$B$4='Bioenergy Calculator'!$X$23,'Bioenergy Calculator'!O59*'Technology Assumptions'!D$35,IF('Bioenergy Calculator'!$B$4='Bioenergy Calculator'!$X$22,'Bioenergy Calculator'!O59*'Technology Assumptions'!D$37,'Bioenergy Calculator'!O59)))))</f>
        <v>0</v>
      </c>
      <c r="T59" s="16">
        <f>IF($B$4=$X$19,P59*'Technology Assumptions'!E$34,IF('Bioenergy Calculator'!$B$4='Bioenergy Calculator'!$X$21,P59*'Technology Assumptions'!E$34,IF('Bioenergy Calculator'!$B$4='Bioenergy Calculator'!$X$20,'Bioenergy Calculator'!P59*'Technology Assumptions'!E$36,IF('Bioenergy Calculator'!$B$4='Bioenergy Calculator'!$X$23,'Bioenergy Calculator'!P59*'Technology Assumptions'!E$35,IF('Bioenergy Calculator'!$B$4='Bioenergy Calculator'!$X$22,'Bioenergy Calculator'!P59*'Technology Assumptions'!E$37,'Bioenergy Calculator'!P59)))))</f>
        <v>0</v>
      </c>
    </row>
    <row r="60" spans="1:20" x14ac:dyDescent="0.25">
      <c r="A60" s="1064"/>
      <c r="B60" s="133" t="s">
        <v>605</v>
      </c>
      <c r="C60" s="294">
        <f>SUM(Atlantic!C57,Bergen!C57,Burlington!C57,Camden!C57,'Cape May'!C57,Cumberland!C57,Essex!C57,Gloucester!C57,Hudson!C57,Hunterdon!C57,Mercer!C57,Middlesex!C57,Monmouth!C57,Morris!C57,Ocean!C57,Passaic!C57,Salem!C57,Somerset!C57,Sussex!C57,Union!C57,Warren!C57)</f>
        <v>3209.7005000000004</v>
      </c>
      <c r="D60" s="294">
        <f>E60*'Conversion Tables'!C50</f>
        <v>23694.009091</v>
      </c>
      <c r="E60" s="294">
        <f>SUM(Atlantic!E57,Bergen!E57,Burlington!E57,Camden!E57,'Cape May'!E57,Cumberland!E57,Essex!E57,Gloucester!E57,Hudson!E57,Hunterdon!E57,Mercer!E57,Middlesex!E57,Monmouth!E57,Morris!E57,Ocean!E57,Passaic!E57,Salem!E57,Somerset!E57,Sussex!E57,Union!E57,Warren!E57)</f>
        <v>1604.8502500000002</v>
      </c>
      <c r="F60" s="294">
        <f>SUM(Atlantic!F57,Bergen!F57,Burlington!F57,Camden!F57,'Cape May'!F57,Cumberland!F57,Essex!F57,Gloucester!F57,Hudson!F57,Hunterdon!F57,Mercer!F57,Middlesex!F57,Monmouth!F57,Morris!F57,Ocean!F57,Passaic!F57,Salem!F57,Somerset!F57,Sussex!F57,Union!F57,Warren!F57)</f>
        <v>1604.8502500000002</v>
      </c>
      <c r="G60" s="294">
        <f>SUM(Atlantic!G57,Bergen!G57,Burlington!G57,Camden!G57,'Cape May'!G57,Cumberland!G57,Essex!G57,Gloucester!G57,Hudson!G57,Hunterdon!G57,Mercer!G57,Middlesex!G57,Monmouth!G57,Morris!G57,Ocean!G57,Passaic!G57,Salem!G57,Somerset!G57,Sussex!G57,Union!G57,Warren!G57)</f>
        <v>1604.8502500000002</v>
      </c>
      <c r="H60" s="294">
        <f>SUM(Atlantic!H57,Bergen!H57,Burlington!H57,Camden!H57,'Cape May'!H57,Cumberland!H57,Essex!H57,Gloucester!H57,Hudson!H57,Hunterdon!H57,Mercer!H57,Middlesex!H57,Monmouth!H57,Morris!H57,Ocean!H57,Passaic!H57,Salem!H57,Somerset!H57,Sussex!H57,Union!H57,Warren!H57)</f>
        <v>1604.8502500000002</v>
      </c>
      <c r="I60" s="16">
        <f>SUM(Atlantic!I57,Bergen!I57,Burlington!I57,Camden!I57,'Cape May'!I57,Cumberland!I57,Essex!I57,Gloucester!I57,Hudson!I57,Hunterdon!I57,Mercer!I57,Middlesex!I57,Monmouth!I57,Morris!I57,Ocean!I57,Passaic!I57,Salem!I57,Somerset!I57,Sussex!I57,Union!I57,Warren!I57)</f>
        <v>0</v>
      </c>
      <c r="J60" s="16">
        <f>SUM(Atlantic!J57,Bergen!J57,Burlington!J57,Camden!J57,'Cape May'!J57,Cumberland!J57,Essex!J57,Gloucester!J57,Hudson!J57,Hunterdon!J57,Mercer!J57,Middlesex!J57,Monmouth!J57,Morris!J57,Ocean!J57,Passaic!J57,Salem!J57,Somerset!J57,Sussex!J57,Union!J57,Warren!J57)</f>
        <v>0</v>
      </c>
      <c r="K60" s="16">
        <f>SUM(Atlantic!K57,Bergen!K57,Burlington!K57,Camden!K57,'Cape May'!K57,Cumberland!K57,Essex!K57,Gloucester!K57,Hudson!K57,Hunterdon!K57,Mercer!K57,Middlesex!K57,Monmouth!K57,Morris!K57,Ocean!K57,Passaic!K57,Salem!K57,Somerset!K57,Sussex!K57,Union!K57,Warren!K57)</f>
        <v>0</v>
      </c>
      <c r="L60" s="16">
        <f>SUM(Atlantic!L57,Bergen!L57,Burlington!L57,Camden!L57,'Cape May'!L57,Cumberland!L57,Essex!L57,Gloucester!L57,Hudson!L57,Hunterdon!L57,Mercer!L57,Middlesex!L57,Monmouth!L57,Morris!L57,Ocean!L57,Passaic!L57,Salem!L57,Somerset!L57,Sussex!L57,Union!L57,Warren!L57)</f>
        <v>0</v>
      </c>
      <c r="M60" s="16">
        <f>SUM(Atlantic!M57,Bergen!M57,Burlington!M57,Camden!M57,'Cape May'!M57,Cumberland!M57,Essex!M57,Gloucester!M57,Hudson!M57,Hunterdon!M57,Mercer!M57,Middlesex!M57,Monmouth!M57,Morris!M57,Ocean!M57,Passaic!M57,Salem!M57,Somerset!M57,Sussex!M57,Union!M57,Warren!M57)</f>
        <v>0</v>
      </c>
      <c r="N60" s="16">
        <f>SUM(Atlantic!N57,Bergen!N57,Burlington!N57,Camden!N57,'Cape May'!N57,Cumberland!N57,Essex!N57,Gloucester!N57,Hudson!N57,Hunterdon!N57,Mercer!N57,Middlesex!N57,Monmouth!N57,Morris!N57,Ocean!N57,Passaic!N57,Salem!N57,Somerset!N57,Sussex!N57,Union!N57,Warren!N57)</f>
        <v>0</v>
      </c>
      <c r="O60" s="16">
        <f>SUM(Atlantic!O57,Bergen!O57,Burlington!O57,Camden!O57,'Cape May'!O57,Cumberland!O57,Essex!O57,Gloucester!O57,Hudson!O57,Hunterdon!O57,Mercer!O57,Middlesex!O57,Monmouth!O57,Morris!O57,Ocean!O57,Passaic!O57,Salem!O57,Somerset!O57,Sussex!O57,Union!O57,Warren!O57)</f>
        <v>0</v>
      </c>
      <c r="P60" s="16">
        <f>SUM(Atlantic!P57,Bergen!P57,Burlington!P57,Camden!P57,'Cape May'!P57,Cumberland!P57,Essex!P57,Gloucester!P57,Hudson!P57,Hunterdon!P57,Mercer!P57,Middlesex!P57,Monmouth!P57,Morris!P57,Ocean!P57,Passaic!P57,Salem!P57,Somerset!P57,Sussex!P57,Union!P57,Warren!P57)</f>
        <v>0</v>
      </c>
      <c r="Q60" s="16">
        <f>IF($B$4=$X$19,M60*'Technology Assumptions'!B$34,IF('Bioenergy Calculator'!$B$4='Bioenergy Calculator'!$X$21,M60*'Technology Assumptions'!B$34,IF('Bioenergy Calculator'!$B$4='Bioenergy Calculator'!$X$20,'Bioenergy Calculator'!M60*'Technology Assumptions'!B$36,IF('Bioenergy Calculator'!$B$4='Bioenergy Calculator'!$X$23,'Bioenergy Calculator'!M60*'Technology Assumptions'!B$35,IF('Bioenergy Calculator'!$B$4='Bioenergy Calculator'!$X$22,'Bioenergy Calculator'!M60*'Technology Assumptions'!B$37,'Bioenergy Calculator'!M60)))))</f>
        <v>0</v>
      </c>
      <c r="R60" s="16">
        <f>IF($B$4=$X$19,N60*'Technology Assumptions'!C$34,IF('Bioenergy Calculator'!$B$4='Bioenergy Calculator'!$X$21,N60*'Technology Assumptions'!C$34,IF('Bioenergy Calculator'!$B$4='Bioenergy Calculator'!$X$20,'Bioenergy Calculator'!N60*'Technology Assumptions'!C$36,IF('Bioenergy Calculator'!$B$4='Bioenergy Calculator'!$X$23,'Bioenergy Calculator'!N60*'Technology Assumptions'!C$35,IF('Bioenergy Calculator'!$B$4='Bioenergy Calculator'!$X$22,'Bioenergy Calculator'!N60*'Technology Assumptions'!C$37,'Bioenergy Calculator'!N60)))))</f>
        <v>0</v>
      </c>
      <c r="S60" s="16">
        <f>IF($B$4=$X$19,O60*'Technology Assumptions'!D$34,IF('Bioenergy Calculator'!$B$4='Bioenergy Calculator'!$X$21,O60*'Technology Assumptions'!D$34,IF('Bioenergy Calculator'!$B$4='Bioenergy Calculator'!$X$20,'Bioenergy Calculator'!O60*'Technology Assumptions'!D$36,IF('Bioenergy Calculator'!$B$4='Bioenergy Calculator'!$X$23,'Bioenergy Calculator'!O60*'Technology Assumptions'!D$35,IF('Bioenergy Calculator'!$B$4='Bioenergy Calculator'!$X$22,'Bioenergy Calculator'!O60*'Technology Assumptions'!D$37,'Bioenergy Calculator'!O60)))))</f>
        <v>0</v>
      </c>
      <c r="T60" s="16">
        <f>IF($B$4=$X$19,P60*'Technology Assumptions'!E$34,IF('Bioenergy Calculator'!$B$4='Bioenergy Calculator'!$X$21,P60*'Technology Assumptions'!E$34,IF('Bioenergy Calculator'!$B$4='Bioenergy Calculator'!$X$20,'Bioenergy Calculator'!P60*'Technology Assumptions'!E$36,IF('Bioenergy Calculator'!$B$4='Bioenergy Calculator'!$X$23,'Bioenergy Calculator'!P60*'Technology Assumptions'!E$35,IF('Bioenergy Calculator'!$B$4='Bioenergy Calculator'!$X$22,'Bioenergy Calculator'!P60*'Technology Assumptions'!E$37,'Bioenergy Calculator'!P60)))))</f>
        <v>0</v>
      </c>
    </row>
    <row r="61" spans="1:20" x14ac:dyDescent="0.25">
      <c r="A61" s="1064"/>
      <c r="B61" s="12" t="s">
        <v>551</v>
      </c>
      <c r="C61" s="294">
        <f>SUM(Atlantic!C58,Bergen!C58,Burlington!C58,Camden!C58,'Cape May'!C58,Cumberland!C58,Essex!C58,Gloucester!C58,Hudson!C58,Hunterdon!C58,Mercer!C58,Middlesex!C58,Monmouth!C58,Morris!C58,Ocean!C58,Passaic!C58,Salem!C58,Somerset!C58,Sussex!C58,Union!C58,Warren!C58)</f>
        <v>13053.494999999999</v>
      </c>
      <c r="D61" s="294">
        <f>E61*'Conversion Tables'!C51</f>
        <v>156641.94</v>
      </c>
      <c r="E61" s="294">
        <f>SUM(Atlantic!E58,Bergen!E58,Burlington!E58,Camden!E58,'Cape May'!E58,Cumberland!E58,Essex!E58,Gloucester!E58,Hudson!E58,Hunterdon!E58,Mercer!E58,Middlesex!E58,Monmouth!E58,Morris!E58,Ocean!E58,Passaic!E58,Salem!E58,Somerset!E58,Sussex!E58,Union!E58,Warren!E58)</f>
        <v>13053.494999999999</v>
      </c>
      <c r="F61" s="294">
        <f>SUM(Atlantic!F58,Bergen!F58,Burlington!F58,Camden!F58,'Cape May'!F58,Cumberland!F58,Essex!F58,Gloucester!F58,Hudson!F58,Hunterdon!F58,Mercer!F58,Middlesex!F58,Monmouth!F58,Morris!F58,Ocean!F58,Passaic!F58,Salem!F58,Somerset!F58,Sussex!F58,Union!F58,Warren!F58)</f>
        <v>13053.494999999999</v>
      </c>
      <c r="G61" s="294">
        <f>SUM(Atlantic!G58,Bergen!G58,Burlington!G58,Camden!G58,'Cape May'!G58,Cumberland!G58,Essex!G58,Gloucester!G58,Hudson!G58,Hunterdon!G58,Mercer!G58,Middlesex!G58,Monmouth!G58,Morris!G58,Ocean!G58,Passaic!G58,Salem!G58,Somerset!G58,Sussex!G58,Union!G58,Warren!G58)</f>
        <v>13053.494999999999</v>
      </c>
      <c r="H61" s="294">
        <f>SUM(Atlantic!H58,Bergen!H58,Burlington!H58,Camden!H58,'Cape May'!H58,Cumberland!H58,Essex!H58,Gloucester!H58,Hudson!H58,Hunterdon!H58,Mercer!H58,Middlesex!H58,Monmouth!H58,Morris!H58,Ocean!H58,Passaic!H58,Salem!H58,Somerset!H58,Sussex!H58,Union!H58,Warren!H58)</f>
        <v>13053.494999999999</v>
      </c>
      <c r="I61" s="16">
        <f>SUM(Atlantic!I58,Bergen!I58,Burlington!I58,Camden!I58,'Cape May'!I58,Cumberland!I58,Essex!I58,Gloucester!I58,Hudson!I58,Hunterdon!I58,Mercer!I58,Middlesex!I58,Monmouth!I58,Morris!I58,Ocean!I58,Passaic!I58,Salem!I58,Somerset!I58,Sussex!I58,Union!I58,Warren!I58)</f>
        <v>0</v>
      </c>
      <c r="J61" s="16">
        <f>SUM(Atlantic!J58,Bergen!J58,Burlington!J58,Camden!J58,'Cape May'!J58,Cumberland!J58,Essex!J58,Gloucester!J58,Hudson!J58,Hunterdon!J58,Mercer!J58,Middlesex!J58,Monmouth!J58,Morris!J58,Ocean!J58,Passaic!J58,Salem!J58,Somerset!J58,Sussex!J58,Union!J58,Warren!J58)</f>
        <v>0</v>
      </c>
      <c r="K61" s="16">
        <f>SUM(Atlantic!K58,Bergen!K58,Burlington!K58,Camden!K58,'Cape May'!K58,Cumberland!K58,Essex!K58,Gloucester!K58,Hudson!K58,Hunterdon!K58,Mercer!K58,Middlesex!K58,Monmouth!K58,Morris!K58,Ocean!K58,Passaic!K58,Salem!K58,Somerset!K58,Sussex!K58,Union!K58,Warren!K58)</f>
        <v>0</v>
      </c>
      <c r="L61" s="16">
        <f>SUM(Atlantic!L58,Bergen!L58,Burlington!L58,Camden!L58,'Cape May'!L58,Cumberland!L58,Essex!L58,Gloucester!L58,Hudson!L58,Hunterdon!L58,Mercer!L58,Middlesex!L58,Monmouth!L58,Morris!L58,Ocean!L58,Passaic!L58,Salem!L58,Somerset!L58,Sussex!L58,Union!L58,Warren!L58)</f>
        <v>0</v>
      </c>
      <c r="M61" s="16">
        <f>SUM(Atlantic!M58,Bergen!M58,Burlington!M58,Camden!M58,'Cape May'!M58,Cumberland!M58,Essex!M58,Gloucester!M58,Hudson!M58,Hunterdon!M58,Mercer!M58,Middlesex!M58,Monmouth!M58,Morris!M58,Ocean!M58,Passaic!M58,Salem!M58,Somerset!M58,Sussex!M58,Union!M58,Warren!M58)</f>
        <v>0</v>
      </c>
      <c r="N61" s="16">
        <f>SUM(Atlantic!N58,Bergen!N58,Burlington!N58,Camden!N58,'Cape May'!N58,Cumberland!N58,Essex!N58,Gloucester!N58,Hudson!N58,Hunterdon!N58,Mercer!N58,Middlesex!N58,Monmouth!N58,Morris!N58,Ocean!N58,Passaic!N58,Salem!N58,Somerset!N58,Sussex!N58,Union!N58,Warren!N58)</f>
        <v>0</v>
      </c>
      <c r="O61" s="16">
        <f>SUM(Atlantic!O58,Bergen!O58,Burlington!O58,Camden!O58,'Cape May'!O58,Cumberland!O58,Essex!O58,Gloucester!O58,Hudson!O58,Hunterdon!O58,Mercer!O58,Middlesex!O58,Monmouth!O58,Morris!O58,Ocean!O58,Passaic!O58,Salem!O58,Somerset!O58,Sussex!O58,Union!O58,Warren!O58)</f>
        <v>0</v>
      </c>
      <c r="P61" s="16">
        <f>SUM(Atlantic!P58,Bergen!P58,Burlington!P58,Camden!P58,'Cape May'!P58,Cumberland!P58,Essex!P58,Gloucester!P58,Hudson!P58,Hunterdon!P58,Mercer!P58,Middlesex!P58,Monmouth!P58,Morris!P58,Ocean!P58,Passaic!P58,Salem!P58,Somerset!P58,Sussex!P58,Union!P58,Warren!P58)</f>
        <v>0</v>
      </c>
      <c r="Q61" s="16">
        <f>IF($B$4=$X$19,M61*'Technology Assumptions'!B$34,IF('Bioenergy Calculator'!$B$4='Bioenergy Calculator'!$X$21,M61*'Technology Assumptions'!B$34,IF('Bioenergy Calculator'!$B$4='Bioenergy Calculator'!$X$20,'Bioenergy Calculator'!M61*'Technology Assumptions'!B$36,IF('Bioenergy Calculator'!$B$4='Bioenergy Calculator'!$X$23,'Bioenergy Calculator'!M61*'Technology Assumptions'!B$35,IF('Bioenergy Calculator'!$B$4='Bioenergy Calculator'!$X$22,'Bioenergy Calculator'!M61*'Technology Assumptions'!B$37,'Bioenergy Calculator'!M61)))))</f>
        <v>0</v>
      </c>
      <c r="R61" s="16">
        <f>IF($B$4=$X$19,N61*'Technology Assumptions'!C$34,IF('Bioenergy Calculator'!$B$4='Bioenergy Calculator'!$X$21,N61*'Technology Assumptions'!C$34,IF('Bioenergy Calculator'!$B$4='Bioenergy Calculator'!$X$20,'Bioenergy Calculator'!N61*'Technology Assumptions'!C$36,IF('Bioenergy Calculator'!$B$4='Bioenergy Calculator'!$X$23,'Bioenergy Calculator'!N61*'Technology Assumptions'!C$35,IF('Bioenergy Calculator'!$B$4='Bioenergy Calculator'!$X$22,'Bioenergy Calculator'!N61*'Technology Assumptions'!C$37,'Bioenergy Calculator'!N61)))))</f>
        <v>0</v>
      </c>
      <c r="S61" s="16">
        <f>IF($B$4=$X$19,O61*'Technology Assumptions'!D$34,IF('Bioenergy Calculator'!$B$4='Bioenergy Calculator'!$X$21,O61*'Technology Assumptions'!D$34,IF('Bioenergy Calculator'!$B$4='Bioenergy Calculator'!$X$20,'Bioenergy Calculator'!O61*'Technology Assumptions'!D$36,IF('Bioenergy Calculator'!$B$4='Bioenergy Calculator'!$X$23,'Bioenergy Calculator'!O61*'Technology Assumptions'!D$35,IF('Bioenergy Calculator'!$B$4='Bioenergy Calculator'!$X$22,'Bioenergy Calculator'!O61*'Technology Assumptions'!D$37,'Bioenergy Calculator'!O61)))))</f>
        <v>0</v>
      </c>
      <c r="T61" s="16">
        <f>IF($B$4=$X$19,P61*'Technology Assumptions'!E$34,IF('Bioenergy Calculator'!$B$4='Bioenergy Calculator'!$X$21,P61*'Technology Assumptions'!E$34,IF('Bioenergy Calculator'!$B$4='Bioenergy Calculator'!$X$20,'Bioenergy Calculator'!P61*'Technology Assumptions'!E$36,IF('Bioenergy Calculator'!$B$4='Bioenergy Calculator'!$X$23,'Bioenergy Calculator'!P61*'Technology Assumptions'!E$35,IF('Bioenergy Calculator'!$B$4='Bioenergy Calculator'!$X$22,'Bioenergy Calculator'!P61*'Technology Assumptions'!E$37,'Bioenergy Calculator'!P61)))))</f>
        <v>0</v>
      </c>
    </row>
    <row r="62" spans="1:20" x14ac:dyDescent="0.25">
      <c r="A62" s="1064"/>
      <c r="B62" s="12" t="s">
        <v>552</v>
      </c>
      <c r="C62" s="294">
        <f>SUM(Atlantic!C59,Bergen!C59,Burlington!C59,Camden!C59,'Cape May'!C59,Cumberland!C59,Essex!C59,Gloucester!C59,Hudson!C59,Hunterdon!C59,Mercer!C59,Middlesex!C59,Monmouth!C59,Morris!C59,Ocean!C59,Passaic!C59,Salem!C59,Somerset!C59,Sussex!C59,Union!C59,Warren!C59)</f>
        <v>860.69053125000016</v>
      </c>
      <c r="D62" s="294">
        <f>E62*'Conversion Tables'!C52</f>
        <v>12707.235003375003</v>
      </c>
      <c r="E62" s="294">
        <f>SUM(Atlantic!E59,Bergen!E59,Burlington!E59,Camden!E59,'Cape May'!E59,Cumberland!E59,Essex!E59,Gloucester!E59,Hudson!E59,Hunterdon!E59,Mercer!E59,Middlesex!E59,Monmouth!E59,Morris!E59,Ocean!E59,Passaic!E59,Salem!E59,Somerset!E59,Sussex!E59,Union!E59,Warren!E59)</f>
        <v>860.69053125000016</v>
      </c>
      <c r="F62" s="294">
        <f>SUM(Atlantic!F59,Bergen!F59,Burlington!F59,Camden!F59,'Cape May'!F59,Cumberland!F59,Essex!F59,Gloucester!F59,Hudson!F59,Hunterdon!F59,Mercer!F59,Middlesex!F59,Monmouth!F59,Morris!F59,Ocean!F59,Passaic!F59,Salem!F59,Somerset!F59,Sussex!F59,Union!F59,Warren!F59)</f>
        <v>860.69053125000016</v>
      </c>
      <c r="G62" s="294">
        <f>SUM(Atlantic!G59,Bergen!G59,Burlington!G59,Camden!G59,'Cape May'!G59,Cumberland!G59,Essex!G59,Gloucester!G59,Hudson!G59,Hunterdon!G59,Mercer!G59,Middlesex!G59,Monmouth!G59,Morris!G59,Ocean!G59,Passaic!G59,Salem!G59,Somerset!G59,Sussex!G59,Union!G59,Warren!G59)</f>
        <v>860.69053125000016</v>
      </c>
      <c r="H62" s="294">
        <f>SUM(Atlantic!H59,Bergen!H59,Burlington!H59,Camden!H59,'Cape May'!H59,Cumberland!H59,Essex!H59,Gloucester!H59,Hudson!H59,Hunterdon!H59,Mercer!H59,Middlesex!H59,Monmouth!H59,Morris!H59,Ocean!H59,Passaic!H59,Salem!H59,Somerset!H59,Sussex!H59,Union!H59,Warren!H59)</f>
        <v>860.69053125000016</v>
      </c>
      <c r="I62" s="16">
        <f>SUM(Atlantic!I59,Bergen!I59,Burlington!I59,Camden!I59,'Cape May'!I59,Cumberland!I59,Essex!I59,Gloucester!I59,Hudson!I59,Hunterdon!I59,Mercer!I59,Middlesex!I59,Monmouth!I59,Morris!I59,Ocean!I59,Passaic!I59,Salem!I59,Somerset!I59,Sussex!I59,Union!I59,Warren!I59)</f>
        <v>0</v>
      </c>
      <c r="J62" s="16">
        <f>SUM(Atlantic!J59,Bergen!J59,Burlington!J59,Camden!J59,'Cape May'!J59,Cumberland!J59,Essex!J59,Gloucester!J59,Hudson!J59,Hunterdon!J59,Mercer!J59,Middlesex!J59,Monmouth!J59,Morris!J59,Ocean!J59,Passaic!J59,Salem!J59,Somerset!J59,Sussex!J59,Union!J59,Warren!J59)</f>
        <v>0</v>
      </c>
      <c r="K62" s="16">
        <f>SUM(Atlantic!K59,Bergen!K59,Burlington!K59,Camden!K59,'Cape May'!K59,Cumberland!K59,Essex!K59,Gloucester!K59,Hudson!K59,Hunterdon!K59,Mercer!K59,Middlesex!K59,Monmouth!K59,Morris!K59,Ocean!K59,Passaic!K59,Salem!K59,Somerset!K59,Sussex!K59,Union!K59,Warren!K59)</f>
        <v>0</v>
      </c>
      <c r="L62" s="16">
        <f>SUM(Atlantic!L59,Bergen!L59,Burlington!L59,Camden!L59,'Cape May'!L59,Cumberland!L59,Essex!L59,Gloucester!L59,Hudson!L59,Hunterdon!L59,Mercer!L59,Middlesex!L59,Monmouth!L59,Morris!L59,Ocean!L59,Passaic!L59,Salem!L59,Somerset!L59,Sussex!L59,Union!L59,Warren!L59)</f>
        <v>0</v>
      </c>
      <c r="M62" s="16">
        <f>SUM(Atlantic!M59,Bergen!M59,Burlington!M59,Camden!M59,'Cape May'!M59,Cumberland!M59,Essex!M59,Gloucester!M59,Hudson!M59,Hunterdon!M59,Mercer!M59,Middlesex!M59,Monmouth!M59,Morris!M59,Ocean!M59,Passaic!M59,Salem!M59,Somerset!M59,Sussex!M59,Union!M59,Warren!M59)</f>
        <v>0</v>
      </c>
      <c r="N62" s="16">
        <f>SUM(Atlantic!N59,Bergen!N59,Burlington!N59,Camden!N59,'Cape May'!N59,Cumberland!N59,Essex!N59,Gloucester!N59,Hudson!N59,Hunterdon!N59,Mercer!N59,Middlesex!N59,Monmouth!N59,Morris!N59,Ocean!N59,Passaic!N59,Salem!N59,Somerset!N59,Sussex!N59,Union!N59,Warren!N59)</f>
        <v>0</v>
      </c>
      <c r="O62" s="16">
        <f>SUM(Atlantic!O59,Bergen!O59,Burlington!O59,Camden!O59,'Cape May'!O59,Cumberland!O59,Essex!O59,Gloucester!O59,Hudson!O59,Hunterdon!O59,Mercer!O59,Middlesex!O59,Monmouth!O59,Morris!O59,Ocean!O59,Passaic!O59,Salem!O59,Somerset!O59,Sussex!O59,Union!O59,Warren!O59)</f>
        <v>0</v>
      </c>
      <c r="P62" s="16">
        <f>SUM(Atlantic!P59,Bergen!P59,Burlington!P59,Camden!P59,'Cape May'!P59,Cumberland!P59,Essex!P59,Gloucester!P59,Hudson!P59,Hunterdon!P59,Mercer!P59,Middlesex!P59,Monmouth!P59,Morris!P59,Ocean!P59,Passaic!P59,Salem!P59,Somerset!P59,Sussex!P59,Union!P59,Warren!P59)</f>
        <v>0</v>
      </c>
      <c r="Q62" s="16">
        <f>IF($B$4=$X$19,M62*'Technology Assumptions'!B$34,IF('Bioenergy Calculator'!$B$4='Bioenergy Calculator'!$X$21,M62*'Technology Assumptions'!B$34,IF('Bioenergy Calculator'!$B$4='Bioenergy Calculator'!$X$20,'Bioenergy Calculator'!M62*'Technology Assumptions'!B$36,IF('Bioenergy Calculator'!$B$4='Bioenergy Calculator'!$X$23,'Bioenergy Calculator'!M62*'Technology Assumptions'!B$35,IF('Bioenergy Calculator'!$B$4='Bioenergy Calculator'!$X$22,'Bioenergy Calculator'!M62*'Technology Assumptions'!B$37,'Bioenergy Calculator'!M62)))))</f>
        <v>0</v>
      </c>
      <c r="R62" s="16">
        <f>IF($B$4=$X$19,N62*'Technology Assumptions'!C$34,IF('Bioenergy Calculator'!$B$4='Bioenergy Calculator'!$X$21,N62*'Technology Assumptions'!C$34,IF('Bioenergy Calculator'!$B$4='Bioenergy Calculator'!$X$20,'Bioenergy Calculator'!N62*'Technology Assumptions'!C$36,IF('Bioenergy Calculator'!$B$4='Bioenergy Calculator'!$X$23,'Bioenergy Calculator'!N62*'Technology Assumptions'!C$35,IF('Bioenergy Calculator'!$B$4='Bioenergy Calculator'!$X$22,'Bioenergy Calculator'!N62*'Technology Assumptions'!C$37,'Bioenergy Calculator'!N62)))))</f>
        <v>0</v>
      </c>
      <c r="S62" s="16">
        <f>IF($B$4=$X$19,O62*'Technology Assumptions'!D$34,IF('Bioenergy Calculator'!$B$4='Bioenergy Calculator'!$X$21,O62*'Technology Assumptions'!D$34,IF('Bioenergy Calculator'!$B$4='Bioenergy Calculator'!$X$20,'Bioenergy Calculator'!O62*'Technology Assumptions'!D$36,IF('Bioenergy Calculator'!$B$4='Bioenergy Calculator'!$X$23,'Bioenergy Calculator'!O62*'Technology Assumptions'!D$35,IF('Bioenergy Calculator'!$B$4='Bioenergy Calculator'!$X$22,'Bioenergy Calculator'!O62*'Technology Assumptions'!D$37,'Bioenergy Calculator'!O62)))))</f>
        <v>0</v>
      </c>
      <c r="T62" s="16">
        <f>IF($B$4=$X$19,P62*'Technology Assumptions'!E$34,IF('Bioenergy Calculator'!$B$4='Bioenergy Calculator'!$X$21,P62*'Technology Assumptions'!E$34,IF('Bioenergy Calculator'!$B$4='Bioenergy Calculator'!$X$20,'Bioenergy Calculator'!P62*'Technology Assumptions'!E$36,IF('Bioenergy Calculator'!$B$4='Bioenergy Calculator'!$X$23,'Bioenergy Calculator'!P62*'Technology Assumptions'!E$35,IF('Bioenergy Calculator'!$B$4='Bioenergy Calculator'!$X$22,'Bioenergy Calculator'!P62*'Technology Assumptions'!E$37,'Bioenergy Calculator'!P62)))))</f>
        <v>0</v>
      </c>
    </row>
    <row r="63" spans="1:20" x14ac:dyDescent="0.25">
      <c r="A63" s="1065"/>
      <c r="B63" s="129" t="s">
        <v>305</v>
      </c>
      <c r="C63" s="294">
        <f>(SUM(Atlantic!C60,Bergen!C60,Burlington!C60,Camden!C60,'Cape May'!C60,Cumberland!C60,Essex!C60,Gloucester!C60,Hudson!C60,Hunterdon!C60,Mercer!C60,Middlesex!C60,Monmouth!C60,Morris!C60,Ocean!C60,Passaic!C60,Salem!C60,Somerset!C60,Sussex!C60,Union!C60,Warren!C60))</f>
        <v>127170.30800100001</v>
      </c>
      <c r="D63" s="294">
        <f>E63*'Conversion Tables'!C53</f>
        <v>1526043.6960120001</v>
      </c>
      <c r="E63" s="294">
        <f>SUM(Atlantic!E60,Bergen!E60,Burlington!E60,Camden!E60,'Cape May'!E60,Cumberland!E60,Essex!E60,Gloucester!E60,Hudson!E60,Hunterdon!E60,Mercer!E60,Middlesex!E60,Monmouth!E60,Morris!E60,Ocean!E60,Passaic!E60,Salem!E60,Somerset!E60,Sussex!E60,Union!E60,Warren!E60)</f>
        <v>127170.30800100001</v>
      </c>
      <c r="F63" s="294">
        <f>SUM(Atlantic!F60,Bergen!F60,Burlington!F60,Camden!F60,'Cape May'!F60,Cumberland!F60,Essex!F60,Gloucester!F60,Hudson!F60,Hunterdon!F60,Mercer!F60,Middlesex!F60,Monmouth!F60,Morris!F60,Ocean!F60,Passaic!F60,Salem!F60,Somerset!F60,Sussex!F60,Union!F60,Warren!F60)</f>
        <v>129452.23936662909</v>
      </c>
      <c r="G63" s="294">
        <f>SUM(Atlantic!G60,Bergen!G60,Burlington!G60,Camden!G60,'Cape May'!G60,Cumberland!G60,Essex!G60,Gloucester!G60,Hudson!G60,Hunterdon!G60,Mercer!G60,Middlesex!G60,Monmouth!G60,Morris!G60,Ocean!G60,Passaic!G60,Salem!G60,Somerset!G60,Sussex!G60,Union!G60,Warren!G60)</f>
        <v>132945.83474455884</v>
      </c>
      <c r="H63" s="294">
        <f>SUM(Atlantic!H60,Bergen!H60,Burlington!H60,Camden!H60,'Cape May'!H60,Cumberland!H60,Essex!H60,Gloucester!H60,Hudson!H60,Hunterdon!H60,Mercer!H60,Middlesex!H60,Monmouth!H60,Morris!H60,Ocean!H60,Passaic!H60,Salem!H60,Somerset!H60,Sussex!H60,Union!H60,Warren!H60)</f>
        <v>136045.04669330586</v>
      </c>
      <c r="I63" s="16">
        <f>SUM(Atlantic!I60,Bergen!I60,Burlington!I60,Camden!I60,'Cape May'!I60,Cumberland!I60,Essex!I60,Gloucester!I60,Hudson!I60,Hunterdon!I60,Mercer!I60,Middlesex!I60,Monmouth!I60,Morris!I60,Ocean!I60,Passaic!I60,Salem!I60,Somerset!I60,Sussex!I60,Union!I60,Warren!I60)</f>
        <v>0</v>
      </c>
      <c r="J63" s="16">
        <f>SUM(Atlantic!J60,Bergen!J60,Burlington!J60,Camden!J60,'Cape May'!J60,Cumberland!J60,Essex!J60,Gloucester!J60,Hudson!J60,Hunterdon!J60,Mercer!J60,Middlesex!J60,Monmouth!J60,Morris!J60,Ocean!J60,Passaic!J60,Salem!J60,Somerset!J60,Sussex!J60,Union!J60,Warren!J60)</f>
        <v>0</v>
      </c>
      <c r="K63" s="16">
        <f>SUM(Atlantic!K60,Bergen!K60,Burlington!K60,Camden!K60,'Cape May'!K60,Cumberland!K60,Essex!K60,Gloucester!K60,Hudson!K60,Hunterdon!K60,Mercer!K60,Middlesex!K60,Monmouth!K60,Morris!K60,Ocean!K60,Passaic!K60,Salem!K60,Somerset!K60,Sussex!K60,Union!K60,Warren!K60)</f>
        <v>0</v>
      </c>
      <c r="L63" s="16">
        <f>SUM(Atlantic!L60,Bergen!L60,Burlington!L60,Camden!L60,'Cape May'!L60,Cumberland!L60,Essex!L60,Gloucester!L60,Hudson!L60,Hunterdon!L60,Mercer!L60,Middlesex!L60,Monmouth!L60,Morris!L60,Ocean!L60,Passaic!L60,Salem!L60,Somerset!L60,Sussex!L60,Union!L60,Warren!L60)</f>
        <v>0</v>
      </c>
      <c r="M63" s="16">
        <f>SUM(Atlantic!M60,Bergen!M60,Burlington!M60,Camden!M60,'Cape May'!M60,Cumberland!M60,Essex!M60,Gloucester!M60,Hudson!M60,Hunterdon!M60,Mercer!M60,Middlesex!M60,Monmouth!M60,Morris!M60,Ocean!M60,Passaic!M60,Salem!M60,Somerset!M60,Sussex!M60,Union!M60,Warren!M60)</f>
        <v>0</v>
      </c>
      <c r="N63" s="16">
        <f>SUM(Atlantic!N60,Bergen!N60,Burlington!N60,Camden!N60,'Cape May'!N60,Cumberland!N60,Essex!N60,Gloucester!N60,Hudson!N60,Hunterdon!N60,Mercer!N60,Middlesex!N60,Monmouth!N60,Morris!N60,Ocean!N60,Passaic!N60,Salem!N60,Somerset!N60,Sussex!N60,Union!N60,Warren!N60)</f>
        <v>0</v>
      </c>
      <c r="O63" s="16">
        <f>SUM(Atlantic!O60,Bergen!O60,Burlington!O60,Camden!O60,'Cape May'!O60,Cumberland!O60,Essex!O60,Gloucester!O60,Hudson!O60,Hunterdon!O60,Mercer!O60,Middlesex!O60,Monmouth!O60,Morris!O60,Ocean!O60,Passaic!O60,Salem!O60,Somerset!O60,Sussex!O60,Union!O60,Warren!O60)</f>
        <v>0</v>
      </c>
      <c r="P63" s="16">
        <f>SUM(Atlantic!P60,Bergen!P60,Burlington!P60,Camden!P60,'Cape May'!P60,Cumberland!P60,Essex!P60,Gloucester!P60,Hudson!P60,Hunterdon!P60,Mercer!P60,Middlesex!P60,Monmouth!P60,Morris!P60,Ocean!P60,Passaic!P60,Salem!P60,Somerset!P60,Sussex!P60,Union!P60,Warren!P60)</f>
        <v>0</v>
      </c>
      <c r="Q63" s="16">
        <f>IF($B$4=$X$19,M63*'Technology Assumptions'!B$34,IF('Bioenergy Calculator'!$B$4='Bioenergy Calculator'!$X$21,M63*'Technology Assumptions'!B$34,IF('Bioenergy Calculator'!$B$4='Bioenergy Calculator'!$X$20,'Bioenergy Calculator'!M63*'Technology Assumptions'!B$36,IF('Bioenergy Calculator'!$B$4='Bioenergy Calculator'!$X$23,'Bioenergy Calculator'!M63*'Technology Assumptions'!B$35,IF('Bioenergy Calculator'!$B$4='Bioenergy Calculator'!$X$22,'Bioenergy Calculator'!M63*'Technology Assumptions'!B$37,'Bioenergy Calculator'!M63)))))</f>
        <v>0</v>
      </c>
      <c r="R63" s="16">
        <f>IF($B$4=$X$19,N63*'Technology Assumptions'!C$34,IF('Bioenergy Calculator'!$B$4='Bioenergy Calculator'!$X$21,N63*'Technology Assumptions'!C$34,IF('Bioenergy Calculator'!$B$4='Bioenergy Calculator'!$X$20,'Bioenergy Calculator'!N63*'Technology Assumptions'!C$36,IF('Bioenergy Calculator'!$B$4='Bioenergy Calculator'!$X$23,'Bioenergy Calculator'!N63*'Technology Assumptions'!C$35,IF('Bioenergy Calculator'!$B$4='Bioenergy Calculator'!$X$22,'Bioenergy Calculator'!N63*'Technology Assumptions'!C$37,'Bioenergy Calculator'!N63)))))</f>
        <v>0</v>
      </c>
      <c r="S63" s="16">
        <f>IF($B$4=$X$19,O63*'Technology Assumptions'!D$34,IF('Bioenergy Calculator'!$B$4='Bioenergy Calculator'!$X$21,O63*'Technology Assumptions'!D$34,IF('Bioenergy Calculator'!$B$4='Bioenergy Calculator'!$X$20,'Bioenergy Calculator'!O63*'Technology Assumptions'!D$36,IF('Bioenergy Calculator'!$B$4='Bioenergy Calculator'!$X$23,'Bioenergy Calculator'!O63*'Technology Assumptions'!D$35,IF('Bioenergy Calculator'!$B$4='Bioenergy Calculator'!$X$22,'Bioenergy Calculator'!O63*'Technology Assumptions'!D$37,'Bioenergy Calculator'!O63)))))</f>
        <v>0</v>
      </c>
      <c r="T63" s="16">
        <f>IF($B$4=$X$19,P63*'Technology Assumptions'!E$34,IF('Bioenergy Calculator'!$B$4='Bioenergy Calculator'!$X$21,P63*'Technology Assumptions'!E$34,IF('Bioenergy Calculator'!$B$4='Bioenergy Calculator'!$X$20,'Bioenergy Calculator'!P63*'Technology Assumptions'!E$36,IF('Bioenergy Calculator'!$B$4='Bioenergy Calculator'!$X$23,'Bioenergy Calculator'!P63*'Technology Assumptions'!E$35,IF('Bioenergy Calculator'!$B$4='Bioenergy Calculator'!$X$22,'Bioenergy Calculator'!P63*'Technology Assumptions'!E$37,'Bioenergy Calculator'!P63)))))</f>
        <v>0</v>
      </c>
    </row>
    <row r="64" spans="1:20" x14ac:dyDescent="0.25">
      <c r="A64" s="1065"/>
      <c r="B64" s="9" t="s">
        <v>247</v>
      </c>
      <c r="C64" s="295">
        <f>SUM(C55:C63)</f>
        <v>334793.44734474999</v>
      </c>
      <c r="D64" s="295">
        <f>SUM(D55:D63)</f>
        <v>3234463.7756984252</v>
      </c>
      <c r="E64" s="295">
        <f t="shared" ref="E64:P64" si="4">SUM(E55:E63)</f>
        <v>245329.33941975</v>
      </c>
      <c r="F64" s="295">
        <f>SUM(F55:F63)</f>
        <v>247611.27078537908</v>
      </c>
      <c r="G64" s="295">
        <f>SUM(G55:G63)</f>
        <v>251104.86616330885</v>
      </c>
      <c r="H64" s="295">
        <f>SUM(H55:H63)</f>
        <v>254204.07811205584</v>
      </c>
      <c r="I64" s="19">
        <f t="shared" si="4"/>
        <v>0</v>
      </c>
      <c r="J64" s="19">
        <f t="shared" si="4"/>
        <v>0</v>
      </c>
      <c r="K64" s="19">
        <f t="shared" si="4"/>
        <v>0</v>
      </c>
      <c r="L64" s="19">
        <f t="shared" si="4"/>
        <v>0</v>
      </c>
      <c r="M64" s="19">
        <f t="shared" si="4"/>
        <v>0</v>
      </c>
      <c r="N64" s="19">
        <f t="shared" si="4"/>
        <v>0</v>
      </c>
      <c r="O64" s="19">
        <f t="shared" si="4"/>
        <v>0</v>
      </c>
      <c r="P64" s="19">
        <f t="shared" si="4"/>
        <v>0</v>
      </c>
      <c r="Q64" s="19">
        <f>SUM(Q55:Q63)</f>
        <v>0</v>
      </c>
      <c r="R64" s="19">
        <f>SUM(R55:R63)</f>
        <v>0</v>
      </c>
      <c r="S64" s="19">
        <f>SUM(S55:S63)</f>
        <v>0</v>
      </c>
      <c r="T64" s="19">
        <f>SUM(T55:T63)</f>
        <v>0</v>
      </c>
    </row>
    <row r="65" spans="1:20" x14ac:dyDescent="0.25">
      <c r="A65" s="1065"/>
      <c r="B65" s="129" t="s">
        <v>250</v>
      </c>
      <c r="C65" s="310" t="s">
        <v>251</v>
      </c>
      <c r="D65" s="295"/>
      <c r="E65" s="310" t="s">
        <v>251</v>
      </c>
      <c r="F65" s="310" t="s">
        <v>251</v>
      </c>
      <c r="G65" s="310" t="s">
        <v>251</v>
      </c>
      <c r="H65" s="310" t="s">
        <v>251</v>
      </c>
      <c r="I65" s="19"/>
      <c r="J65" s="19"/>
      <c r="K65" s="19"/>
      <c r="L65" s="19"/>
      <c r="M65" s="19"/>
      <c r="N65" s="19"/>
      <c r="O65" s="19"/>
      <c r="P65" s="19"/>
      <c r="Q65" s="19"/>
      <c r="R65" s="19"/>
      <c r="S65" s="19"/>
      <c r="T65" s="19"/>
    </row>
    <row r="66" spans="1:20" x14ac:dyDescent="0.25">
      <c r="A66" s="1066"/>
      <c r="B66" s="133" t="s">
        <v>304</v>
      </c>
      <c r="C66" s="294">
        <f>SUM(Atlantic!C63,Bergen!C63,Burlington!C63,Camden!C63,'Cape May'!C63,Cumberland!C63,Essex!C63,Gloucester!C63,Hudson!C63,Hunterdon!C63,Mercer!C63,Middlesex!C63,Monmouth!C63,Morris!C63,Ocean!C63,Passaic!C63,Salem!C63,Somerset!C63,Sussex!C63,Union!C63,Warren!C63)</f>
        <v>3411.2692716500001</v>
      </c>
      <c r="D66" s="294">
        <f>SUM(Atlantic!D63,Bergen!D63,Burlington!D63,Camden!D63,'Cape May'!D63,Cumberland!D63,Essex!D63,Gloucester!D63,Hudson!D63,Hunterdon!D63,Mercer!D63,Middlesex!D63,Monmouth!D63,Morris!D63,Ocean!D63,Passaic!D63,Salem!D63,Somerset!D63,Sussex!D63,Union!D63,Warren!D63)</f>
        <v>2111575.6791513492</v>
      </c>
      <c r="E66" s="294">
        <f>SUM(Atlantic!E63,Bergen!E63,Burlington!E63,Camden!E63,'Cape May'!E63,Cumberland!E63,Essex!E63,Gloucester!E63,Hudson!E63,Hunterdon!E63,Mercer!E63,Middlesex!E63,Monmouth!E63,Morris!E63,Ocean!E63,Passaic!E63,Salem!E63,Somerset!E63,Sussex!E63,Union!E63,Warren!E63)</f>
        <v>3411.2692716500001</v>
      </c>
      <c r="F66" s="294">
        <f>SUM(Atlantic!F63,Bergen!F63,Burlington!F63,Camden!F63,'Cape May'!F63,Cumberland!F63,Essex!F63,Gloucester!F63,Hudson!F63,Hunterdon!F63,Mercer!F63,Middlesex!F63,Monmouth!F63,Morris!F63,Ocean!F63,Passaic!F63,Salem!F63,Somerset!F63,Sussex!F63,Union!F63,Warren!F63)</f>
        <v>3443.2860351824206</v>
      </c>
      <c r="G66" s="294">
        <f>SUM(Atlantic!G63,Bergen!G63,Burlington!G63,Camden!G63,'Cape May'!G63,Cumberland!G63,Essex!G63,Gloucester!G63,Hudson!G63,Hunterdon!G63,Mercer!G63,Middlesex!G63,Monmouth!G63,Morris!G63,Ocean!G63,Passaic!G63,Salem!G63,Somerset!G63,Sussex!G63,Union!G63,Warren!G63)</f>
        <v>3500.2275298540826</v>
      </c>
      <c r="H66" s="294">
        <f>SUM(Atlantic!H63,Bergen!H63,Burlington!H63,Camden!H63,'Cape May'!H63,Cumberland!H63,Essex!H63,Gloucester!H63,Hudson!H63,Hunterdon!H63,Mercer!H63,Middlesex!H63,Monmouth!H63,Morris!H63,Ocean!H63,Passaic!H63,Salem!H63,Somerset!H63,Sussex!H63,Union!H63,Warren!H63)</f>
        <v>3550.6225645289383</v>
      </c>
      <c r="I66" s="16">
        <f>SUM(Atlantic!I63,Bergen!I63,Burlington!I63,Camden!I63,'Cape May'!I63,Cumberland!I63,Essex!I63,Gloucester!I63,Hudson!I63,Hunterdon!I63,Mercer!I63,Middlesex!I63,Monmouth!I63,Morris!I63,Ocean!I63,Passaic!I63,Salem!I63,Somerset!I63,Sussex!I63,Union!I63,Warren!I63)</f>
        <v>0</v>
      </c>
      <c r="J66" s="16">
        <f>SUM(Atlantic!J63,Bergen!J63,Burlington!J63,Camden!J63,'Cape May'!J63,Cumberland!J63,Essex!J63,Gloucester!J63,Hudson!J63,Hunterdon!J63,Mercer!J63,Middlesex!J63,Monmouth!J63,Morris!J63,Ocean!J63,Passaic!J63,Salem!J63,Somerset!J63,Sussex!J63,Union!J63,Warren!J63)</f>
        <v>0</v>
      </c>
      <c r="K66" s="16">
        <f>SUM(Atlantic!K63,Bergen!K63,Burlington!K63,Camden!K63,'Cape May'!K63,Cumberland!K63,Essex!K63,Gloucester!K63,Hudson!K63,Hunterdon!K63,Mercer!K63,Middlesex!K63,Monmouth!K63,Morris!K63,Ocean!K63,Passaic!K63,Salem!K63,Somerset!K63,Sussex!K63,Union!K63,Warren!K63)</f>
        <v>0</v>
      </c>
      <c r="L66" s="16">
        <f>SUM(Atlantic!L63,Bergen!L63,Burlington!L63,Camden!L63,'Cape May'!L63,Cumberland!L63,Essex!L63,Gloucester!L63,Hudson!L63,Hunterdon!L63,Mercer!L63,Middlesex!L63,Monmouth!L63,Morris!L63,Ocean!L63,Passaic!L63,Salem!L63,Somerset!L63,Sussex!L63,Union!L63,Warren!L63)</f>
        <v>0</v>
      </c>
      <c r="M66" s="16">
        <f>SUM(Atlantic!M63,Bergen!M63,Burlington!M63,Camden!M63,'Cape May'!M63,Cumberland!M63,Essex!M63,Gloucester!M63,Hudson!M63,Hunterdon!M63,Mercer!M63,Middlesex!M63,Monmouth!M63,Morris!M63,Ocean!M63,Passaic!M63,Salem!M63,Somerset!M63,Sussex!M63,Union!M63,Warren!M63)</f>
        <v>0</v>
      </c>
      <c r="N66" s="16">
        <f>SUM(Atlantic!N63,Bergen!N63,Burlington!N63,Camden!N63,'Cape May'!N63,Cumberland!N63,Essex!N63,Gloucester!N63,Hudson!N63,Hunterdon!N63,Mercer!N63,Middlesex!N63,Monmouth!N63,Morris!N63,Ocean!N63,Passaic!N63,Salem!N63,Somerset!N63,Sussex!N63,Union!N63,Warren!N63)</f>
        <v>0</v>
      </c>
      <c r="O66" s="16">
        <f>SUM(Atlantic!O63,Bergen!O63,Burlington!O63,Camden!O63,'Cape May'!O63,Cumberland!O63,Essex!O63,Gloucester!O63,Hudson!O63,Hunterdon!O63,Mercer!O63,Middlesex!O63,Monmouth!O63,Morris!O63,Ocean!O63,Passaic!O63,Salem!O63,Somerset!O63,Sussex!O63,Union!O63,Warren!O63)</f>
        <v>0</v>
      </c>
      <c r="P66" s="16">
        <f>SUM(Atlantic!P63,Bergen!P63,Burlington!P63,Camden!P63,'Cape May'!P63,Cumberland!P63,Essex!P63,Gloucester!P63,Hudson!P63,Hunterdon!P63,Mercer!P63,Middlesex!P63,Monmouth!P63,Morris!P63,Ocean!P63,Passaic!P63,Salem!P63,Somerset!P63,Sussex!P63,Union!P63,Warren!P63)</f>
        <v>0</v>
      </c>
      <c r="Q66" s="16">
        <f>IF($B$4=$X$19,M66*'Technology Assumptions'!B$34,IF('Bioenergy Calculator'!$B$4='Bioenergy Calculator'!$X$21,M66*'Technology Assumptions'!B$34,IF('Bioenergy Calculator'!$B$4='Bioenergy Calculator'!$X$20,'Bioenergy Calculator'!M66*'Technology Assumptions'!B$36,IF('Bioenergy Calculator'!$B$4='Bioenergy Calculator'!$X$23,'Bioenergy Calculator'!M66*'Technology Assumptions'!B$35,IF('Bioenergy Calculator'!$B$4='Bioenergy Calculator'!$X$22,'Bioenergy Calculator'!M66*'Technology Assumptions'!B$37,'Bioenergy Calculator'!M66)))))</f>
        <v>0</v>
      </c>
      <c r="R66" s="16">
        <f>IF($B$4=$X$19,N66*'Technology Assumptions'!C$34,IF('Bioenergy Calculator'!$B$4='Bioenergy Calculator'!$X$21,N66*'Technology Assumptions'!C$34,IF('Bioenergy Calculator'!$B$4='Bioenergy Calculator'!$X$20,'Bioenergy Calculator'!N66*'Technology Assumptions'!C$36,IF('Bioenergy Calculator'!$B$4='Bioenergy Calculator'!$X$23,'Bioenergy Calculator'!N66*'Technology Assumptions'!C$35,IF('Bioenergy Calculator'!$B$4='Bioenergy Calculator'!$X$22,'Bioenergy Calculator'!N66*'Technology Assumptions'!C$37,'Bioenergy Calculator'!N66)))))</f>
        <v>0</v>
      </c>
      <c r="S66" s="16">
        <f>IF($B$4=$X$19,O66*'Technology Assumptions'!D$34,IF('Bioenergy Calculator'!$B$4='Bioenergy Calculator'!$X$21,O66*'Technology Assumptions'!D$34,IF('Bioenergy Calculator'!$B$4='Bioenergy Calculator'!$X$20,'Bioenergy Calculator'!O66*'Technology Assumptions'!D$36,IF('Bioenergy Calculator'!$B$4='Bioenergy Calculator'!$X$23,'Bioenergy Calculator'!O66*'Technology Assumptions'!D$35,IF('Bioenergy Calculator'!$B$4='Bioenergy Calculator'!$X$22,'Bioenergy Calculator'!O66*'Technology Assumptions'!D$37,'Bioenergy Calculator'!O66)))))</f>
        <v>0</v>
      </c>
      <c r="T66" s="16">
        <f>IF($B$4=$X$19,P66*'Technology Assumptions'!E$34,IF('Bioenergy Calculator'!$B$4='Bioenergy Calculator'!$X$21,P66*'Technology Assumptions'!E$34,IF('Bioenergy Calculator'!$B$4='Bioenergy Calculator'!$X$20,'Bioenergy Calculator'!P66*'Technology Assumptions'!E$36,IF('Bioenergy Calculator'!$B$4='Bioenergy Calculator'!$X$23,'Bioenergy Calculator'!P66*'Technology Assumptions'!E$35,IF('Bioenergy Calculator'!$B$4='Bioenergy Calculator'!$X$22,'Bioenergy Calculator'!P66*'Technology Assumptions'!E$37,'Bioenergy Calculator'!P66)))))</f>
        <v>0</v>
      </c>
    </row>
    <row r="67" spans="1:20" x14ac:dyDescent="0.25">
      <c r="A67" s="1067"/>
      <c r="B67" s="17" t="s">
        <v>512</v>
      </c>
      <c r="C67" s="294">
        <f>SUM(Atlantic!C64,Bergen!C64,Burlington!C64,Camden!C64,'Cape May'!C64,Cumberland!C64,Essex!C64,Gloucester!C64,Hudson!C64,Hunterdon!C64,Mercer!C64,Middlesex!C64,Monmouth!C64,Morris!C64,Ocean!C64,Passaic!C64,Salem!C64,Somerset!C64,Sussex!C64,Union!C64,Warren!C64)</f>
        <v>10194.573463475141</v>
      </c>
      <c r="D67" s="294">
        <f>E67*'Conversion Tables'!C56</f>
        <v>5158454.172518421</v>
      </c>
      <c r="E67" s="294">
        <f>SUM(Atlantic!E64,Bergen!E64,Burlington!E64,Camden!E64,'Cape May'!E64,Cumberland!E64,Essex!E64,Gloucester!E64,Hudson!E64,Hunterdon!E64,Mercer!E64,Middlesex!E64,Monmouth!E64,Morris!E64,Ocean!E64,Passaic!E64,Salem!E64,Somerset!E64,Sussex!E64,Union!E64,Warren!E64)</f>
        <v>10194.573463475141</v>
      </c>
      <c r="F67" s="294">
        <f>SUM(Atlantic!F64,Bergen!F64,Burlington!F64,Camden!F64,'Cape May'!F64,Cumberland!F64,Essex!F64,Gloucester!F64,Hudson!F64,Hunterdon!F64,Mercer!F64,Middlesex!F64,Monmouth!F64,Morris!F64,Ocean!F64,Passaic!F64,Salem!F64,Somerset!F64,Sussex!F64,Union!F64,Warren!F64)</f>
        <v>10349.978038536947</v>
      </c>
      <c r="G67" s="294">
        <f>SUM(Atlantic!G64,Bergen!G64,Burlington!G64,Camden!G64,'Cape May'!G64,Cumberland!G64,Essex!G64,Gloucester!G64,Hudson!G64,Hunterdon!G64,Mercer!G64,Middlesex!G64,Monmouth!G64,Morris!G64,Ocean!G64,Passaic!G64,Salem!G64,Somerset!G64,Sussex!G64,Union!G64,Warren!G64)</f>
        <v>10673.08492909423</v>
      </c>
      <c r="H67" s="294">
        <f>SUM(Atlantic!H64,Bergen!H64,Burlington!H64,Camden!H64,'Cape May'!H64,Cumberland!H64,Essex!H64,Gloucester!H64,Hudson!H64,Hunterdon!H64,Mercer!H64,Middlesex!H64,Monmouth!H64,Morris!H64,Ocean!H64,Passaic!H64,Salem!H64,Somerset!H64,Sussex!H64,Union!H64,Warren!H64)</f>
        <v>10978.661550179391</v>
      </c>
      <c r="I67" s="16">
        <f>SUM(Atlantic!I64,Bergen!I64,Burlington!I64,Camden!I64,'Cape May'!I64,Cumberland!I64,Essex!I64,Gloucester!I64,Hudson!I64,Hunterdon!I64,Mercer!I64,Middlesex!I64,Monmouth!I64,Morris!I64,Ocean!I64,Passaic!I64,Salem!I64,Somerset!I64,Sussex!I64,Union!I64,Warren!I64)</f>
        <v>0</v>
      </c>
      <c r="J67" s="16">
        <f>SUM(Atlantic!J64,Bergen!J64,Burlington!J64,Camden!J64,'Cape May'!J64,Cumberland!J64,Essex!J64,Gloucester!J64,Hudson!J64,Hunterdon!J64,Mercer!J64,Middlesex!J64,Monmouth!J64,Morris!J64,Ocean!J64,Passaic!J64,Salem!J64,Somerset!J64,Sussex!J64,Union!J64,Warren!J64)</f>
        <v>0</v>
      </c>
      <c r="K67" s="16">
        <f>SUM(Atlantic!K64,Bergen!K64,Burlington!K64,Camden!K64,'Cape May'!K64,Cumberland!K64,Essex!K64,Gloucester!K64,Hudson!K64,Hunterdon!K64,Mercer!K64,Middlesex!K64,Monmouth!K64,Morris!K64,Ocean!K64,Passaic!K64,Salem!K64,Somerset!K64,Sussex!K64,Union!K64,Warren!K64)</f>
        <v>0</v>
      </c>
      <c r="L67" s="16">
        <f>SUM(Atlantic!L64,Bergen!L64,Burlington!L64,Camden!L64,'Cape May'!L64,Cumberland!L64,Essex!L64,Gloucester!L64,Hudson!L64,Hunterdon!L64,Mercer!L64,Middlesex!L64,Monmouth!L64,Morris!L64,Ocean!L64,Passaic!L64,Salem!L64,Somerset!L64,Sussex!L64,Union!L64,Warren!L64)</f>
        <v>0</v>
      </c>
      <c r="M67" s="16">
        <f>SUM(Atlantic!M64,Bergen!M64,Burlington!M64,Camden!M64,'Cape May'!M64,Cumberland!M64,Essex!M64,Gloucester!M64,Hudson!M64,Hunterdon!M64,Mercer!M64,Middlesex!M64,Monmouth!M64,Morris!M64,Ocean!M64,Passaic!M64,Salem!M64,Somerset!M64,Sussex!M64,Union!M64,Warren!M64)</f>
        <v>0</v>
      </c>
      <c r="N67" s="16">
        <f>SUM(Atlantic!N64,Bergen!N64,Burlington!N64,Camden!N64,'Cape May'!N64,Cumberland!N64,Essex!N64,Gloucester!N64,Hudson!N64,Hunterdon!N64,Mercer!N64,Middlesex!N64,Monmouth!N64,Morris!N64,Ocean!N64,Passaic!N64,Salem!N64,Somerset!N64,Sussex!N64,Union!N64,Warren!N64)</f>
        <v>0</v>
      </c>
      <c r="O67" s="16">
        <f>SUM(Atlantic!O64,Bergen!O64,Burlington!O64,Camden!O64,'Cape May'!O64,Cumberland!O64,Essex!O64,Gloucester!O64,Hudson!O64,Hunterdon!O64,Mercer!O64,Middlesex!O64,Monmouth!O64,Morris!O64,Ocean!O64,Passaic!O64,Salem!O64,Somerset!O64,Sussex!O64,Union!O64,Warren!O64)</f>
        <v>0</v>
      </c>
      <c r="P67" s="16">
        <f>SUM(Atlantic!P64,Bergen!P64,Burlington!P64,Camden!P64,'Cape May'!P64,Cumberland!P64,Essex!P64,Gloucester!P64,Hudson!P64,Hunterdon!P64,Mercer!P64,Middlesex!P64,Monmouth!P64,Morris!P64,Ocean!P64,Passaic!P64,Salem!P64,Somerset!P64,Sussex!P64,Union!P64,Warren!P64)</f>
        <v>0</v>
      </c>
      <c r="Q67" s="16">
        <f>IF($B$4=$X$19,M67*'Technology Assumptions'!B$34,IF('Bioenergy Calculator'!$B$4='Bioenergy Calculator'!$X$21,M67*'Technology Assumptions'!B$34,IF('Bioenergy Calculator'!$B$4='Bioenergy Calculator'!$X$20,'Bioenergy Calculator'!M67*'Technology Assumptions'!B$36,IF('Bioenergy Calculator'!$B$4='Bioenergy Calculator'!$X$23,'Bioenergy Calculator'!M67*'Technology Assumptions'!B$35,IF('Bioenergy Calculator'!$B$4='Bioenergy Calculator'!$X$22,'Bioenergy Calculator'!M67*'Technology Assumptions'!B$37,'Bioenergy Calculator'!M67)))))</f>
        <v>0</v>
      </c>
      <c r="R67" s="16">
        <f>IF($B$4=$X$19,N67*'Technology Assumptions'!C$34,IF('Bioenergy Calculator'!$B$4='Bioenergy Calculator'!$X$21,N67*'Technology Assumptions'!C$34,IF('Bioenergy Calculator'!$B$4='Bioenergy Calculator'!$X$20,'Bioenergy Calculator'!N67*'Technology Assumptions'!C$36,IF('Bioenergy Calculator'!$B$4='Bioenergy Calculator'!$X$23,'Bioenergy Calculator'!N67*'Technology Assumptions'!C$35,IF('Bioenergy Calculator'!$B$4='Bioenergy Calculator'!$X$22,'Bioenergy Calculator'!N67*'Technology Assumptions'!C$37,'Bioenergy Calculator'!N67)))))</f>
        <v>0</v>
      </c>
      <c r="S67" s="16">
        <f>IF($B$4=$X$19,O67*'Technology Assumptions'!D$34,IF('Bioenergy Calculator'!$B$4='Bioenergy Calculator'!$X$21,O67*'Technology Assumptions'!D$34,IF('Bioenergy Calculator'!$B$4='Bioenergy Calculator'!$X$20,'Bioenergy Calculator'!O67*'Technology Assumptions'!D$36,IF('Bioenergy Calculator'!$B$4='Bioenergy Calculator'!$X$23,'Bioenergy Calculator'!O67*'Technology Assumptions'!D$35,IF('Bioenergy Calculator'!$B$4='Bioenergy Calculator'!$X$22,'Bioenergy Calculator'!O67*'Technology Assumptions'!D$37,'Bioenergy Calculator'!O67)))))</f>
        <v>0</v>
      </c>
      <c r="T67" s="16">
        <f>IF($B$4=$X$19,P67*'Technology Assumptions'!E$34,IF('Bioenergy Calculator'!$B$4='Bioenergy Calculator'!$X$21,P67*'Technology Assumptions'!E$34,IF('Bioenergy Calculator'!$B$4='Bioenergy Calculator'!$X$20,'Bioenergy Calculator'!P67*'Technology Assumptions'!E$36,IF('Bioenergy Calculator'!$B$4='Bioenergy Calculator'!$X$23,'Bioenergy Calculator'!P67*'Technology Assumptions'!E$35,IF('Bioenergy Calculator'!$B$4='Bioenergy Calculator'!$X$22,'Bioenergy Calculator'!P67*'Technology Assumptions'!E$37,'Bioenergy Calculator'!P67)))))</f>
        <v>0</v>
      </c>
    </row>
    <row r="68" spans="1:20" x14ac:dyDescent="0.25">
      <c r="A68" s="1067"/>
      <c r="B68" s="9" t="s">
        <v>248</v>
      </c>
      <c r="C68" s="311">
        <f t="shared" ref="C68:H68" si="5">SUM(C66:C67)</f>
        <v>13605.842735125141</v>
      </c>
      <c r="D68" s="295">
        <f t="shared" si="5"/>
        <v>7270029.8516697697</v>
      </c>
      <c r="E68" s="311">
        <f t="shared" si="5"/>
        <v>13605.842735125141</v>
      </c>
      <c r="F68" s="311">
        <f t="shared" si="5"/>
        <v>13793.264073719367</v>
      </c>
      <c r="G68" s="311">
        <f t="shared" si="5"/>
        <v>14173.312458948312</v>
      </c>
      <c r="H68" s="311">
        <f t="shared" si="5"/>
        <v>14529.284114708329</v>
      </c>
      <c r="I68" s="19">
        <f t="shared" ref="I68:P68" si="6">SUM(I66:I67)</f>
        <v>0</v>
      </c>
      <c r="J68" s="19">
        <f t="shared" si="6"/>
        <v>0</v>
      </c>
      <c r="K68" s="19">
        <f t="shared" si="6"/>
        <v>0</v>
      </c>
      <c r="L68" s="19">
        <f t="shared" si="6"/>
        <v>0</v>
      </c>
      <c r="M68" s="19">
        <f t="shared" si="6"/>
        <v>0</v>
      </c>
      <c r="N68" s="19">
        <f t="shared" si="6"/>
        <v>0</v>
      </c>
      <c r="O68" s="19">
        <f t="shared" si="6"/>
        <v>0</v>
      </c>
      <c r="P68" s="19">
        <f t="shared" si="6"/>
        <v>0</v>
      </c>
      <c r="Q68" s="16">
        <f>IF($B$4=$T$3,M68*'Technology Assumptions'!B$34,IF('Bioenergy Calculator'!$B$4='Bioenergy Calculator'!$X$21,M68*'Technology Assumptions'!B$34,IF('Bioenergy Calculator'!$B$4='Bioenergy Calculator'!$T$4,'Bioenergy Calculator'!M68*'Technology Assumptions'!B$36,IF('Bioenergy Calculator'!$B$4='Bioenergy Calculator'!$X$13,'Bioenergy Calculator'!M68*'Technology Assumptions'!B$35,IF('Bioenergy Calculator'!$B$4='Bioenergy Calculator'!$X$12,'Bioenergy Calculator'!M68*'Technology Assumptions'!B$37,'Bioenergy Calculator'!M68)))))</f>
        <v>0</v>
      </c>
      <c r="R68" s="16">
        <f>IF($B$4=$T$3,N68*'Technology Assumptions'!C$34,IF('Bioenergy Calculator'!$B$4='Bioenergy Calculator'!$X$21,N68*'Technology Assumptions'!C$34,IF('Bioenergy Calculator'!$B$4='Bioenergy Calculator'!$T$4,'Bioenergy Calculator'!N68*'Technology Assumptions'!C$36,IF('Bioenergy Calculator'!$B$4='Bioenergy Calculator'!$X$13,'Bioenergy Calculator'!N68*'Technology Assumptions'!C$35,IF('Bioenergy Calculator'!$B$4='Bioenergy Calculator'!$X$12,'Bioenergy Calculator'!N68*'Technology Assumptions'!C$37,'Bioenergy Calculator'!N68)))))</f>
        <v>0</v>
      </c>
      <c r="S68" s="16">
        <f>IF($B$4=$T$3,O68*'Technology Assumptions'!D$34,IF('Bioenergy Calculator'!$B$4='Bioenergy Calculator'!$X$21,O68*'Technology Assumptions'!D$34,IF('Bioenergy Calculator'!$B$4='Bioenergy Calculator'!$T$4,'Bioenergy Calculator'!O68*'Technology Assumptions'!D$36,IF('Bioenergy Calculator'!$B$4='Bioenergy Calculator'!$X$13,'Bioenergy Calculator'!O68*'Technology Assumptions'!D$35,IF('Bioenergy Calculator'!$B$4='Bioenergy Calculator'!$X$12,'Bioenergy Calculator'!O68*'Technology Assumptions'!D$37,'Bioenergy Calculator'!O68)))))</f>
        <v>0</v>
      </c>
      <c r="T68" s="16">
        <f>IF($B$4=$T$3,P68*'Technology Assumptions'!E$34,IF('Bioenergy Calculator'!$B$4='Bioenergy Calculator'!$X$21,P68*'Technology Assumptions'!E$34,IF('Bioenergy Calculator'!$B$4='Bioenergy Calculator'!$T$4,'Bioenergy Calculator'!P68*'Technology Assumptions'!E$36,IF('Bioenergy Calculator'!$B$4='Bioenergy Calculator'!$X$13,'Bioenergy Calculator'!P68*'Technology Assumptions'!E$35,IF('Bioenergy Calculator'!$B$4='Bioenergy Calculator'!$X$12,'Bioenergy Calculator'!P68*'Technology Assumptions'!E$37,'Bioenergy Calculator'!P68)))))</f>
        <v>0</v>
      </c>
    </row>
    <row r="69" spans="1:20" x14ac:dyDescent="0.25">
      <c r="A69" s="1067"/>
      <c r="B69" s="9"/>
      <c r="C69" s="311"/>
      <c r="D69" s="295"/>
      <c r="E69" s="311"/>
      <c r="F69" s="311"/>
      <c r="G69" s="311"/>
      <c r="H69" s="311"/>
      <c r="I69" s="19"/>
      <c r="J69" s="19"/>
      <c r="K69" s="19"/>
      <c r="L69" s="19"/>
      <c r="M69" s="19"/>
      <c r="N69" s="19"/>
      <c r="O69" s="19"/>
      <c r="P69" s="19"/>
      <c r="Q69" s="16"/>
      <c r="R69" s="16"/>
      <c r="S69" s="16"/>
      <c r="T69" s="16"/>
    </row>
    <row r="70" spans="1:20" x14ac:dyDescent="0.25">
      <c r="A70" s="1067"/>
      <c r="B70" s="9" t="s">
        <v>249</v>
      </c>
      <c r="C70" s="311">
        <f>C64+(C66*1000000/29487.1582406855)+(C67*1000000/25364.5039539246)</f>
        <v>852402.89379172702</v>
      </c>
      <c r="D70" s="311">
        <f t="shared" ref="D70" si="7">SUM(D64,D68)</f>
        <v>10504493.627368195</v>
      </c>
      <c r="E70" s="311">
        <f>E64+(E66*1000000/29487.1582406855)+(E67*1000000/25364.5039539246)</f>
        <v>762938.785866727</v>
      </c>
      <c r="F70" s="311">
        <f t="shared" ref="F70:H70" si="8">F64+(F66*1000000/29487.1582406855)+(F67*1000000/25364.5039539246)</f>
        <v>772433.35643208225</v>
      </c>
      <c r="G70" s="311">
        <f t="shared" si="8"/>
        <v>790596.55819849286</v>
      </c>
      <c r="H70" s="311">
        <f t="shared" si="8"/>
        <v>807452.23205647536</v>
      </c>
      <c r="I70" s="143">
        <f t="shared" ref="I70:P70" si="9">I64+I68</f>
        <v>0</v>
      </c>
      <c r="J70" s="143">
        <f t="shared" si="9"/>
        <v>0</v>
      </c>
      <c r="K70" s="143">
        <f t="shared" si="9"/>
        <v>0</v>
      </c>
      <c r="L70" s="143">
        <f t="shared" si="9"/>
        <v>0</v>
      </c>
      <c r="M70" s="143">
        <f t="shared" si="9"/>
        <v>0</v>
      </c>
      <c r="N70" s="143">
        <f t="shared" si="9"/>
        <v>0</v>
      </c>
      <c r="O70" s="143">
        <f t="shared" si="9"/>
        <v>0</v>
      </c>
      <c r="P70" s="143">
        <f t="shared" si="9"/>
        <v>0</v>
      </c>
      <c r="Q70" s="143">
        <f>Q64+Q68</f>
        <v>0</v>
      </c>
      <c r="R70" s="143">
        <f>R64+R68</f>
        <v>0</v>
      </c>
      <c r="S70" s="143">
        <f>S64+S68</f>
        <v>0</v>
      </c>
      <c r="T70" s="143">
        <f>T64+T68</f>
        <v>0</v>
      </c>
    </row>
    <row r="71" spans="1:20" x14ac:dyDescent="0.25">
      <c r="B71" s="270" t="s">
        <v>162</v>
      </c>
      <c r="C71" s="132">
        <f>C14+C32+C46+C52+C70</f>
        <v>7068457.0925728604</v>
      </c>
      <c r="D71" s="132"/>
      <c r="E71" s="132">
        <f>E14+E32+E46+E52+E70</f>
        <v>4106015.6124849408</v>
      </c>
      <c r="F71" s="132">
        <f>F14+F32+F46+F52+F70</f>
        <v>4202722.4403810939</v>
      </c>
      <c r="G71" s="132">
        <f>G14+G32+G46+G52+G70</f>
        <v>4330350.4502248224</v>
      </c>
      <c r="H71" s="132">
        <f>H14+H32+H46+H52+H70</f>
        <v>4454147.2491550334</v>
      </c>
      <c r="I71" s="264"/>
    </row>
    <row r="72" spans="1:20" x14ac:dyDescent="0.25">
      <c r="B72" s="269"/>
      <c r="C72" s="836"/>
      <c r="D72" s="265"/>
      <c r="N72" t="s">
        <v>154</v>
      </c>
    </row>
    <row r="73" spans="1:20" ht="13.8" thickBot="1" x14ac:dyDescent="0.3">
      <c r="A73" s="301"/>
      <c r="B73" s="55"/>
      <c r="E73" s="264"/>
      <c r="F73" s="264"/>
      <c r="G73" s="264"/>
      <c r="H73" s="264"/>
      <c r="I73" t="s">
        <v>154</v>
      </c>
      <c r="J73" s="134" t="s">
        <v>154</v>
      </c>
      <c r="K73" t="s">
        <v>154</v>
      </c>
      <c r="N73" s="266"/>
      <c r="O73" s="264"/>
    </row>
    <row r="74" spans="1:20" ht="16.2" thickBot="1" x14ac:dyDescent="0.35">
      <c r="A74" s="301"/>
      <c r="B74" s="357" t="s">
        <v>123</v>
      </c>
      <c r="C74" s="358"/>
      <c r="D74" s="358"/>
      <c r="E74" s="358"/>
      <c r="F74" s="359"/>
      <c r="G74" s="358"/>
      <c r="H74" s="358"/>
      <c r="I74" s="360"/>
      <c r="J74" s="134"/>
      <c r="N74" s="266"/>
      <c r="O74" s="264"/>
    </row>
    <row r="75" spans="1:20" ht="13.8" thickBot="1" x14ac:dyDescent="0.3">
      <c r="B75" s="361"/>
      <c r="C75" s="362" t="s">
        <v>122</v>
      </c>
      <c r="D75" s="362"/>
      <c r="E75" s="36"/>
      <c r="F75" s="363"/>
      <c r="G75" s="363"/>
      <c r="H75" s="659" t="s">
        <v>1383</v>
      </c>
      <c r="I75" s="364"/>
      <c r="J75" s="3"/>
    </row>
    <row r="76" spans="1:20" ht="13.8" thickBot="1" x14ac:dyDescent="0.3">
      <c r="B76" s="365"/>
      <c r="C76" s="366"/>
      <c r="D76" s="366"/>
      <c r="E76" s="367"/>
      <c r="F76" s="368"/>
      <c r="G76" s="369"/>
      <c r="H76" s="370"/>
      <c r="I76" s="371"/>
      <c r="J76" s="3"/>
    </row>
    <row r="77" spans="1:20" ht="12.75" customHeight="1" x14ac:dyDescent="0.25">
      <c r="J77" s="356"/>
    </row>
    <row r="78" spans="1:20" x14ac:dyDescent="0.25">
      <c r="B78" s="269"/>
      <c r="C78" s="264"/>
      <c r="D78" s="264"/>
      <c r="I78" s="134"/>
      <c r="J78" s="304"/>
      <c r="K78" s="3"/>
    </row>
    <row r="79" spans="1:20" x14ac:dyDescent="0.25">
      <c r="A79" s="588" t="s">
        <v>1184</v>
      </c>
      <c r="J79" s="3"/>
      <c r="K79" s="3"/>
    </row>
    <row r="80" spans="1:20" x14ac:dyDescent="0.25">
      <c r="A80" s="588" t="s">
        <v>1185</v>
      </c>
      <c r="J80" s="312"/>
      <c r="K80" s="3"/>
    </row>
    <row r="81" spans="3:17" x14ac:dyDescent="0.25">
      <c r="I81" s="134"/>
      <c r="J81" s="3"/>
      <c r="K81" s="3"/>
    </row>
    <row r="82" spans="3:17" x14ac:dyDescent="0.25">
      <c r="E82" t="s">
        <v>154</v>
      </c>
      <c r="I82" s="51"/>
      <c r="J82" s="3"/>
      <c r="K82" s="3"/>
      <c r="O82" t="s">
        <v>154</v>
      </c>
    </row>
    <row r="83" spans="3:17" x14ac:dyDescent="0.25">
      <c r="E83" s="291" t="s">
        <v>154</v>
      </c>
      <c r="F83" s="291"/>
      <c r="G83" s="291"/>
      <c r="H83" s="291"/>
      <c r="I83" s="313"/>
      <c r="J83" s="51"/>
      <c r="K83" s="306"/>
      <c r="L83" s="306"/>
      <c r="M83" s="306"/>
      <c r="N83" s="29"/>
      <c r="O83" s="307" t="s">
        <v>154</v>
      </c>
      <c r="P83" s="3"/>
      <c r="Q83" s="3"/>
    </row>
    <row r="84" spans="3:17" x14ac:dyDescent="0.25">
      <c r="I84" s="141"/>
      <c r="J84" s="51"/>
      <c r="K84" s="306"/>
      <c r="L84" s="306"/>
      <c r="M84" s="306"/>
      <c r="N84" s="29"/>
      <c r="O84" s="304"/>
      <c r="P84" s="3"/>
      <c r="Q84" s="3"/>
    </row>
    <row r="85" spans="3:17" x14ac:dyDescent="0.25">
      <c r="E85" s="837"/>
      <c r="F85" s="837"/>
      <c r="I85" s="314"/>
      <c r="J85" s="51"/>
    </row>
    <row r="86" spans="3:17" x14ac:dyDescent="0.25">
      <c r="C86" s="838"/>
    </row>
  </sheetData>
  <mergeCells count="17">
    <mergeCell ref="C1:G1"/>
    <mergeCell ref="H1:L1"/>
    <mergeCell ref="D6:D7"/>
    <mergeCell ref="I6:L6"/>
    <mergeCell ref="M6:P6"/>
    <mergeCell ref="M1:M2"/>
    <mergeCell ref="N1:Q1"/>
    <mergeCell ref="Q6:T6"/>
    <mergeCell ref="E6:H6"/>
    <mergeCell ref="B6:B7"/>
    <mergeCell ref="C6:C7"/>
    <mergeCell ref="A54:A70"/>
    <mergeCell ref="A8:A14"/>
    <mergeCell ref="A16:A32"/>
    <mergeCell ref="A34:A46"/>
    <mergeCell ref="A48:A52"/>
    <mergeCell ref="A6:A7"/>
  </mergeCells>
  <phoneticPr fontId="0" type="noConversion"/>
  <dataValidations count="2">
    <dataValidation type="list" allowBlank="1" showInputMessage="1" showErrorMessage="1" sqref="B3">
      <formula1>$X$9:$X$16</formula1>
    </dataValidation>
    <dataValidation type="list" allowBlank="1" showInputMessage="1" showErrorMessage="1" sqref="B4">
      <formula1>$X$19:$X$25</formula1>
    </dataValidation>
  </dataValidations>
  <pageMargins left="0.75" right="0.75" top="1" bottom="1" header="0.5" footer="0.5"/>
  <pageSetup paperSize="5" scale="50" fitToHeight="2" orientation="landscape" r:id="rId1"/>
  <headerFooter alignWithMargins="0">
    <oddFooter>&amp;L&amp;"Arial,Italic" 7/02/07&amp;C&amp;"Arial,Italic"&amp;A&amp;R&amp;"Arial,Italic"NJAES Report 2007-1 ©2007 
  New Jersey Agricultural Experiment Station</oddFooter>
  </headerFooter>
  <rowBreaks count="1" manualBreakCount="1">
    <brk id="71" max="13" man="1"/>
  </rowBreaks>
  <ignoredErrors>
    <ignoredError sqref="D70" formula="1"/>
  </ignoredErrors>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S199"/>
  <sheetViews>
    <sheetView topLeftCell="A107" zoomScale="70" zoomScaleNormal="75" workbookViewId="0">
      <selection activeCell="C147" sqref="C147"/>
    </sheetView>
  </sheetViews>
  <sheetFormatPr defaultColWidth="9.109375" defaultRowHeight="13.2" x14ac:dyDescent="0.25"/>
  <cols>
    <col min="1" max="1" width="28.6640625" style="5" customWidth="1"/>
    <col min="2" max="2" width="42.6640625" style="5" customWidth="1"/>
    <col min="3" max="3" width="23.6640625" style="5" customWidth="1"/>
    <col min="4" max="4" width="18.6640625" style="5" customWidth="1"/>
    <col min="5" max="16" width="14.6640625" style="5" customWidth="1"/>
    <col min="17" max="17" width="45.6640625" style="5" customWidth="1"/>
    <col min="18" max="18" width="34.44140625" style="5" customWidth="1"/>
    <col min="19" max="19" width="19.33203125" style="5" customWidth="1"/>
    <col min="20" max="20" width="14" style="5" customWidth="1"/>
    <col min="21" max="16384" width="9.109375" style="5"/>
  </cols>
  <sheetData>
    <row r="1" spans="1:17" ht="15.6" x14ac:dyDescent="0.3">
      <c r="A1" s="407" t="s">
        <v>443</v>
      </c>
      <c r="E1" s="412" t="s">
        <v>433</v>
      </c>
      <c r="I1" s="1195" t="str">
        <f>'Bioenergy Calculator'!B3</f>
        <v>None</v>
      </c>
      <c r="J1" s="1195"/>
      <c r="K1" s="1195"/>
      <c r="L1" s="1196"/>
      <c r="M1" s="1195" t="str">
        <f>'Bioenergy Calculator'!B4</f>
        <v>None</v>
      </c>
      <c r="N1" s="1195"/>
      <c r="O1" s="1195"/>
      <c r="P1" s="1196"/>
    </row>
    <row r="3" spans="1:17" s="6" customFormat="1" ht="24.75" customHeight="1" x14ac:dyDescent="0.25">
      <c r="A3" s="1062" t="s">
        <v>567</v>
      </c>
      <c r="B3" s="1062" t="s">
        <v>506</v>
      </c>
      <c r="C3" s="1062" t="s">
        <v>1035</v>
      </c>
      <c r="D3" s="1062" t="s">
        <v>1051</v>
      </c>
      <c r="E3" s="1083" t="s">
        <v>523</v>
      </c>
      <c r="F3" s="1209"/>
      <c r="G3" s="1209"/>
      <c r="H3" s="1198"/>
      <c r="I3" s="1072" t="s">
        <v>275</v>
      </c>
      <c r="J3" s="1073"/>
      <c r="K3" s="1074"/>
      <c r="L3" s="1075"/>
      <c r="M3" s="1083" t="s">
        <v>274</v>
      </c>
      <c r="N3" s="1084"/>
      <c r="O3" s="1197"/>
      <c r="P3" s="1198"/>
      <c r="Q3" s="1060" t="s">
        <v>570</v>
      </c>
    </row>
    <row r="4" spans="1:17" s="6" customFormat="1" x14ac:dyDescent="0.25">
      <c r="A4" s="1063"/>
      <c r="B4" s="1063"/>
      <c r="C4" s="1063"/>
      <c r="D4" s="1071"/>
      <c r="E4" s="22">
        <v>2010</v>
      </c>
      <c r="F4" s="22">
        <v>2015</v>
      </c>
      <c r="G4" s="22">
        <v>2020</v>
      </c>
      <c r="H4" s="22">
        <v>2025</v>
      </c>
      <c r="I4" s="22">
        <v>2010</v>
      </c>
      <c r="J4" s="22">
        <v>2015</v>
      </c>
      <c r="K4" s="22">
        <v>2020</v>
      </c>
      <c r="L4" s="22">
        <v>2025</v>
      </c>
      <c r="M4" s="22">
        <v>2010</v>
      </c>
      <c r="N4" s="22">
        <v>2015</v>
      </c>
      <c r="O4" s="22">
        <v>2020</v>
      </c>
      <c r="P4" s="22">
        <v>2025</v>
      </c>
      <c r="Q4" s="1061"/>
    </row>
    <row r="5" spans="1:17" x14ac:dyDescent="0.25">
      <c r="A5" s="1064" t="s">
        <v>513</v>
      </c>
      <c r="B5" s="1" t="s">
        <v>511</v>
      </c>
      <c r="C5" s="13"/>
      <c r="D5" s="13"/>
      <c r="E5" s="13"/>
      <c r="F5" s="13"/>
      <c r="G5" s="13"/>
      <c r="H5" s="13"/>
      <c r="I5" s="7"/>
      <c r="J5" s="7"/>
      <c r="K5" s="7"/>
      <c r="L5" s="7"/>
      <c r="M5" s="7"/>
      <c r="N5" s="7"/>
      <c r="O5" s="7"/>
      <c r="P5" s="7"/>
      <c r="Q5" s="7"/>
    </row>
    <row r="6" spans="1:17" x14ac:dyDescent="0.25">
      <c r="A6" s="1064"/>
      <c r="B6" s="11" t="str">
        <f>IF('Prac. Rec. Assumptions'!$B$56='Prac. Rec. Assumptions'!$V$3,A74,IF('Prac. Rec. Assumptions'!B57="No",A74,"Sorghum- Converted to Energy Crop"))</f>
        <v>Sorghum</v>
      </c>
      <c r="C6" s="294">
        <f>IF('Prac. Rec. Assumptions'!$B$56='Prac. Rec. Assumptions'!$V$3,D74,IF('Prac. Rec. Assumptions'!B57="No",D74,0))</f>
        <v>0</v>
      </c>
      <c r="D6" s="294" t="s">
        <v>431</v>
      </c>
      <c r="E6" s="294">
        <f>C6*'Prac. Rec. Assumptions'!B4</f>
        <v>0</v>
      </c>
      <c r="F6" s="294">
        <f>$E6</f>
        <v>0</v>
      </c>
      <c r="G6" s="294">
        <f>$E6</f>
        <v>0</v>
      </c>
      <c r="H6" s="294">
        <f>$E6</f>
        <v>0</v>
      </c>
      <c r="I6" s="16" t="str">
        <f>IF('Conversion Tables'!F7="NA","NA",$D6/'Conversion Tables'!F7)</f>
        <v>NA</v>
      </c>
      <c r="J6" s="16" t="str">
        <f>IF('Conversion Tables'!G7="NA","NA",$D6/'Conversion Tables'!G7)</f>
        <v>NA</v>
      </c>
      <c r="K6" s="16" t="str">
        <f>IF('Conversion Tables'!H7="NA","NA",$D6/'Conversion Tables'!H7)</f>
        <v>NA</v>
      </c>
      <c r="L6" s="16" t="str">
        <f>IF('Conversion Tables'!H7="NA","NA",$D6/'Conversion Tables'!H7)</f>
        <v>NA</v>
      </c>
      <c r="M6" s="16" t="str">
        <f>IF('Conversion Tables'!K7="NA","NA",$C74*'Conversion Tables'!K7)</f>
        <v>NA</v>
      </c>
      <c r="N6" s="16" t="str">
        <f>IF('Conversion Tables'!L7="NA","NA",$C74*'Conversion Tables'!L7)</f>
        <v>NA</v>
      </c>
      <c r="O6" s="16" t="str">
        <f>IF('Conversion Tables'!M7="NA","NA",$C74*'Conversion Tables'!M7)</f>
        <v>NA</v>
      </c>
      <c r="P6" s="16" t="str">
        <f>IF('Conversion Tables'!N7="NA","NA",$C74*'Conversion Tables'!N7)</f>
        <v>NA</v>
      </c>
      <c r="Q6" s="15"/>
    </row>
    <row r="7" spans="1:17" x14ac:dyDescent="0.25">
      <c r="A7" s="1064"/>
      <c r="B7" s="11" t="str">
        <f>IF('Prac. Rec. Assumptions'!$B$56='Prac. Rec. Assumptions'!$V$3,A75,IF('Prac. Rec. Assumptions'!B59="No",A75,"Rye- Converted to Energy Crop"))</f>
        <v>Rye</v>
      </c>
      <c r="C7" s="294">
        <f>IF('Prac. Rec. Assumptions'!$B$56='Prac. Rec. Assumptions'!$V$3,D75,IF('Prac. Rec. Assumptions'!B59="No",D75,0))</f>
        <v>0</v>
      </c>
      <c r="D7" s="294" t="s">
        <v>431</v>
      </c>
      <c r="E7" s="294">
        <f>C7*'Prac. Rec. Assumptions'!B5</f>
        <v>0</v>
      </c>
      <c r="F7" s="294">
        <f t="shared" ref="F7:H10" si="0">$E7</f>
        <v>0</v>
      </c>
      <c r="G7" s="294">
        <f t="shared" si="0"/>
        <v>0</v>
      </c>
      <c r="H7" s="294">
        <f t="shared" si="0"/>
        <v>0</v>
      </c>
      <c r="I7" s="16" t="str">
        <f>IF('Conversion Tables'!F8="NA","NA",$D7/'Conversion Tables'!F8)</f>
        <v>NA</v>
      </c>
      <c r="J7" s="16" t="str">
        <f>IF('Conversion Tables'!G8="NA","NA",$D7/'Conversion Tables'!G8)</f>
        <v>NA</v>
      </c>
      <c r="K7" s="16" t="str">
        <f>IF('Conversion Tables'!H8="NA","NA",$D7/'Conversion Tables'!H8)</f>
        <v>NA</v>
      </c>
      <c r="L7" s="16" t="str">
        <f>IF('Conversion Tables'!H8="NA","NA",$D7/'Conversion Tables'!H8)</f>
        <v>NA</v>
      </c>
      <c r="M7" s="16" t="str">
        <f>IF('Conversion Tables'!K8="NA","NA",$C75*'Conversion Tables'!K8)</f>
        <v>NA</v>
      </c>
      <c r="N7" s="16" t="str">
        <f>IF('Conversion Tables'!L8="NA","NA",$C75*'Conversion Tables'!L8)</f>
        <v>NA</v>
      </c>
      <c r="O7" s="16" t="str">
        <f>IF('Conversion Tables'!M8="NA","NA",$C75*'Conversion Tables'!M8)</f>
        <v>NA</v>
      </c>
      <c r="P7" s="16" t="str">
        <f>IF('Conversion Tables'!N8="NA","NA",$C75*'Conversion Tables'!N8)</f>
        <v>NA</v>
      </c>
      <c r="Q7" s="15"/>
    </row>
    <row r="8" spans="1:17" x14ac:dyDescent="0.25">
      <c r="A8" s="1064"/>
      <c r="B8" s="11" t="str">
        <f>IF('Prac. Rec. Assumptions'!$B$56='Prac. Rec. Assumptions'!$V$3,A76,IF('Prac. Rec. Assumptions'!B60="No",A76,"Corn for Grain- Converted to Energy Crop"))</f>
        <v>Corn for Grain</v>
      </c>
      <c r="C8" s="294">
        <f>IF('Prac. Rec. Assumptions'!$B$56='Prac. Rec. Assumptions'!$V$3,D76,IF('Prac. Rec. Assumptions'!B60="No",D76,0))</f>
        <v>0</v>
      </c>
      <c r="D8" s="294" t="s">
        <v>431</v>
      </c>
      <c r="E8" s="294">
        <f>C8*'Prac. Rec. Assumptions'!B6</f>
        <v>0</v>
      </c>
      <c r="F8" s="294">
        <f t="shared" si="0"/>
        <v>0</v>
      </c>
      <c r="G8" s="294">
        <f t="shared" si="0"/>
        <v>0</v>
      </c>
      <c r="H8" s="294">
        <f t="shared" si="0"/>
        <v>0</v>
      </c>
      <c r="I8" s="16" t="str">
        <f>IF('Conversion Tables'!F9="NA","NA",$D8/'Conversion Tables'!F9)</f>
        <v>NA</v>
      </c>
      <c r="J8" s="16" t="str">
        <f>IF('Conversion Tables'!G9="NA","NA",$D8/'Conversion Tables'!G9)</f>
        <v>NA</v>
      </c>
      <c r="K8" s="16" t="str">
        <f>IF('Conversion Tables'!H9="NA","NA",$D8/'Conversion Tables'!H9)</f>
        <v>NA</v>
      </c>
      <c r="L8" s="16" t="str">
        <f>IF('Conversion Tables'!H9="NA","NA",$D8/'Conversion Tables'!H9)</f>
        <v>NA</v>
      </c>
      <c r="M8" s="16" t="str">
        <f>IF('Conversion Tables'!K9="NA","NA",$C76*'Conversion Tables'!K9)</f>
        <v>NA</v>
      </c>
      <c r="N8" s="16" t="str">
        <f>IF('Conversion Tables'!L9="NA","NA",$C76*'Conversion Tables'!L9)</f>
        <v>NA</v>
      </c>
      <c r="O8" s="16" t="str">
        <f>IF('Conversion Tables'!M9="NA","NA",$C76*'Conversion Tables'!M9)</f>
        <v>NA</v>
      </c>
      <c r="P8" s="16" t="str">
        <f>IF('Conversion Tables'!N9="NA","NA",$C76*'Conversion Tables'!N9)</f>
        <v>NA</v>
      </c>
      <c r="Q8" s="15"/>
    </row>
    <row r="9" spans="1:17" x14ac:dyDescent="0.25">
      <c r="A9" s="1064"/>
      <c r="B9" s="11" t="str">
        <f>IF('Prac. Rec. Assumptions'!$B$56='Prac. Rec. Assumptions'!$V$3,A78,IF('Prac. Rec. Assumptions'!B64="No",A78,"Wheat- Converted to Energy Crop"))</f>
        <v>Wheat</v>
      </c>
      <c r="C9" s="294">
        <f>IF('Prac. Rec. Assumptions'!$B$56='Prac. Rec. Assumptions'!$V$3,D78,IF('Prac. Rec. Assumptions'!B64="No",D78,0))</f>
        <v>0</v>
      </c>
      <c r="D9" s="294" t="s">
        <v>431</v>
      </c>
      <c r="E9" s="294">
        <f>C9*'Prac. Rec. Assumptions'!B7</f>
        <v>0</v>
      </c>
      <c r="F9" s="294">
        <f t="shared" si="0"/>
        <v>0</v>
      </c>
      <c r="G9" s="294">
        <f t="shared" si="0"/>
        <v>0</v>
      </c>
      <c r="H9" s="294">
        <f t="shared" si="0"/>
        <v>0</v>
      </c>
      <c r="I9" s="16" t="str">
        <f>IF('Conversion Tables'!F10="NA","NA",$D9/'Conversion Tables'!F10)</f>
        <v>NA</v>
      </c>
      <c r="J9" s="16" t="str">
        <f>IF('Conversion Tables'!G10="NA","NA",$D9/'Conversion Tables'!G10)</f>
        <v>NA</v>
      </c>
      <c r="K9" s="16" t="str">
        <f>IF('Conversion Tables'!H10="NA","NA",$D9/'Conversion Tables'!H10)</f>
        <v>NA</v>
      </c>
      <c r="L9" s="16" t="str">
        <f>IF('Conversion Tables'!H10="NA","NA",$D9/'Conversion Tables'!H10)</f>
        <v>NA</v>
      </c>
      <c r="M9" s="16" t="str">
        <f>IF('Conversion Tables'!K10="NA","NA",$C78*'Conversion Tables'!K10)</f>
        <v>NA</v>
      </c>
      <c r="N9" s="16" t="str">
        <f>IF('Conversion Tables'!L10="NA","NA",$C78*'Conversion Tables'!L10)</f>
        <v>NA</v>
      </c>
      <c r="O9" s="16" t="str">
        <f>IF('Conversion Tables'!M10="NA","NA",$C78*'Conversion Tables'!M10)</f>
        <v>NA</v>
      </c>
      <c r="P9" s="16" t="str">
        <f>IF('Conversion Tables'!N10="NA","NA",$C78*'Conversion Tables'!N10)</f>
        <v>NA</v>
      </c>
      <c r="Q9" s="15"/>
    </row>
    <row r="10" spans="1:17" x14ac:dyDescent="0.25">
      <c r="A10" s="1064"/>
      <c r="B10" s="129" t="s">
        <v>301</v>
      </c>
      <c r="C10" s="294"/>
      <c r="D10" s="294" t="s">
        <v>431</v>
      </c>
      <c r="E10" s="294">
        <f>C10*'Prac. Rec. Assumptions'!B8</f>
        <v>0</v>
      </c>
      <c r="F10" s="294">
        <f t="shared" si="0"/>
        <v>0</v>
      </c>
      <c r="G10" s="294">
        <f t="shared" si="0"/>
        <v>0</v>
      </c>
      <c r="H10" s="294">
        <f t="shared" si="0"/>
        <v>0</v>
      </c>
      <c r="I10" s="16" t="str">
        <f>IF('Conversion Tables'!F11="NA","NA",$D10/'Conversion Tables'!F11)</f>
        <v>NA</v>
      </c>
      <c r="J10" s="16" t="str">
        <f>IF('Conversion Tables'!G11="NA","NA",$D10/'Conversion Tables'!G11)</f>
        <v>NA</v>
      </c>
      <c r="K10" s="16" t="str">
        <f>IF('Conversion Tables'!H11="NA","NA",$D10/'Conversion Tables'!H11)</f>
        <v>NA</v>
      </c>
      <c r="L10" s="16" t="str">
        <f>IF('Conversion Tables'!H11="NA","NA",$D10/'Conversion Tables'!H11)</f>
        <v>NA</v>
      </c>
      <c r="M10" s="16" t="str">
        <f>IF('Conversion Tables'!K11="NA","NA",E10*'Conversion Tables'!K11)</f>
        <v>NA</v>
      </c>
      <c r="N10" s="16" t="str">
        <f>IF('Conversion Tables'!L11="NA","NA",F10*'Conversion Tables'!L11)</f>
        <v>NA</v>
      </c>
      <c r="O10" s="16" t="str">
        <f>IF('Conversion Tables'!M11="NA","NA",G10*'Conversion Tables'!M11)</f>
        <v>NA</v>
      </c>
      <c r="P10" s="16" t="str">
        <f>IF('Conversion Tables'!N11="NA","NA",H10*'Conversion Tables'!N11)</f>
        <v>NA</v>
      </c>
      <c r="Q10" s="7"/>
    </row>
    <row r="11" spans="1:17" x14ac:dyDescent="0.25">
      <c r="A11" s="1065"/>
      <c r="B11" s="9" t="s">
        <v>524</v>
      </c>
      <c r="C11" s="295">
        <f t="shared" ref="C11:P11" si="1">SUM(C5:C10)</f>
        <v>0</v>
      </c>
      <c r="D11" s="295">
        <f t="shared" si="1"/>
        <v>0</v>
      </c>
      <c r="E11" s="295">
        <f t="shared" si="1"/>
        <v>0</v>
      </c>
      <c r="F11" s="295">
        <f t="shared" si="1"/>
        <v>0</v>
      </c>
      <c r="G11" s="295">
        <f t="shared" si="1"/>
        <v>0</v>
      </c>
      <c r="H11" s="295">
        <f t="shared" si="1"/>
        <v>0</v>
      </c>
      <c r="I11" s="19">
        <f t="shared" si="1"/>
        <v>0</v>
      </c>
      <c r="J11" s="19">
        <f t="shared" si="1"/>
        <v>0</v>
      </c>
      <c r="K11" s="19">
        <f t="shared" si="1"/>
        <v>0</v>
      </c>
      <c r="L11" s="19">
        <f t="shared" si="1"/>
        <v>0</v>
      </c>
      <c r="M11" s="19">
        <f t="shared" si="1"/>
        <v>0</v>
      </c>
      <c r="N11" s="19">
        <f t="shared" si="1"/>
        <v>0</v>
      </c>
      <c r="O11" s="19">
        <f t="shared" si="1"/>
        <v>0</v>
      </c>
      <c r="P11" s="19">
        <f t="shared" si="1"/>
        <v>0</v>
      </c>
      <c r="Q11" s="19"/>
    </row>
    <row r="12" spans="1:17" x14ac:dyDescent="0.25">
      <c r="A12" s="8"/>
      <c r="C12" s="296"/>
      <c r="D12" s="296"/>
      <c r="E12" s="296"/>
      <c r="F12" s="296"/>
      <c r="G12" s="296"/>
      <c r="H12" s="296"/>
      <c r="I12" s="28"/>
      <c r="J12" s="28"/>
      <c r="K12" s="28"/>
      <c r="L12" s="28"/>
      <c r="M12" s="28"/>
      <c r="N12" s="28"/>
      <c r="O12" s="28"/>
      <c r="P12" s="28"/>
    </row>
    <row r="13" spans="1:17" x14ac:dyDescent="0.25">
      <c r="A13" s="1206" t="s">
        <v>514</v>
      </c>
      <c r="B13" s="1" t="s">
        <v>507</v>
      </c>
      <c r="C13" s="294">
        <f>D90</f>
        <v>0</v>
      </c>
      <c r="D13" s="294">
        <f>E13*'Conversion Tables'!C12</f>
        <v>0</v>
      </c>
      <c r="E13" s="294">
        <f>C13*'Prac. Rec. Assumptions'!B9</f>
        <v>0</v>
      </c>
      <c r="F13" s="294">
        <f>$E13</f>
        <v>0</v>
      </c>
      <c r="G13" s="294">
        <f>$E13</f>
        <v>0</v>
      </c>
      <c r="H13" s="294">
        <f>$E13</f>
        <v>0</v>
      </c>
      <c r="I13" s="16" t="str">
        <f>IF('Conversion Tables'!F12="NA","NA",(E13*'Conversion Tables'!$C12)/'Conversion Tables'!F12)</f>
        <v>NA</v>
      </c>
      <c r="J13" s="16" t="str">
        <f>IF('Conversion Tables'!G12="NA","NA",(F13*'Conversion Tables'!$C12)/'Conversion Tables'!G12)</f>
        <v>NA</v>
      </c>
      <c r="K13" s="16" t="str">
        <f>IF('Conversion Tables'!H12="NA","NA",(G13*'Conversion Tables'!$C12)/'Conversion Tables'!H12)</f>
        <v>NA</v>
      </c>
      <c r="L13" s="16" t="str">
        <f>IF('Conversion Tables'!I12="NA","NA",(H13*'Conversion Tables'!$C12)/'Conversion Tables'!I12)</f>
        <v>NA</v>
      </c>
      <c r="M13" s="16" t="str">
        <f>IF('Conversion Tables'!K12="NA","NA",E13*'Conversion Tables'!K12)</f>
        <v>NA</v>
      </c>
      <c r="N13" s="16" t="str">
        <f>IF('Conversion Tables'!L12="NA","NA",F13*'Conversion Tables'!L12)</f>
        <v>NA</v>
      </c>
      <c r="O13" s="16" t="str">
        <f>IF('Conversion Tables'!M12="NA","NA",G13*'Conversion Tables'!M12)</f>
        <v>NA</v>
      </c>
      <c r="P13" s="16" t="str">
        <f>IF('Conversion Tables'!N12="NA","NA",H13*'Conversion Tables'!N12)</f>
        <v>NA</v>
      </c>
      <c r="Q13" s="7"/>
    </row>
    <row r="14" spans="1:17" x14ac:dyDescent="0.25">
      <c r="A14" s="1207"/>
      <c r="B14" s="1" t="s">
        <v>504</v>
      </c>
      <c r="C14" s="294"/>
      <c r="D14" s="294"/>
      <c r="E14" s="294"/>
      <c r="F14" s="294"/>
      <c r="G14" s="294"/>
      <c r="H14" s="294"/>
      <c r="I14" s="16"/>
      <c r="J14" s="16"/>
      <c r="K14" s="16"/>
      <c r="L14" s="16"/>
      <c r="M14" s="16"/>
      <c r="N14" s="16"/>
      <c r="O14" s="16"/>
      <c r="P14" s="16"/>
      <c r="Q14" s="7"/>
    </row>
    <row r="15" spans="1:17" x14ac:dyDescent="0.25">
      <c r="A15" s="1207"/>
      <c r="B15" s="11" t="str">
        <f>IF('Prac. Rec. Assumptions'!$B$56='Prac. Rec. Assumptions'!$V$3,A81,IF('Prac. Rec. Assumptions'!B57="No",A81,"Sweet Corn- Converted to Energy Crop"))</f>
        <v>Sweet Corn</v>
      </c>
      <c r="C15" s="294">
        <f>IF('Prac. Rec. Assumptions'!$B$56='Prac. Rec. Assumptions'!$V$3,D81,IF('Prac. Rec. Assumptions'!B58="No",D81,0))</f>
        <v>0</v>
      </c>
      <c r="D15" s="294">
        <f>E15*'Conversion Tables'!C14</f>
        <v>0</v>
      </c>
      <c r="E15" s="294">
        <f>C15*'Prac. Rec. Assumptions'!B11</f>
        <v>0</v>
      </c>
      <c r="F15" s="294">
        <f>$E15</f>
        <v>0</v>
      </c>
      <c r="G15" s="294">
        <f>$E15</f>
        <v>0</v>
      </c>
      <c r="H15" s="294">
        <f>$E15</f>
        <v>0</v>
      </c>
      <c r="I15" s="16" t="str">
        <f>IF('Conversion Tables'!F14="NA","NA",(E15*'Conversion Tables'!$C14)/'Conversion Tables'!F14)</f>
        <v>NA</v>
      </c>
      <c r="J15" s="16" t="str">
        <f>IF('Conversion Tables'!G14="NA","NA",(F15*'Conversion Tables'!$C14)/'Conversion Tables'!G14)</f>
        <v>NA</v>
      </c>
      <c r="K15" s="16" t="str">
        <f>IF('Conversion Tables'!H14="NA","NA",(G15*'Conversion Tables'!$C14)/'Conversion Tables'!H14)</f>
        <v>NA</v>
      </c>
      <c r="L15" s="16" t="str">
        <f>IF('Conversion Tables'!I14="NA","NA",(H15*'Conversion Tables'!$C14)/'Conversion Tables'!I14)</f>
        <v>NA</v>
      </c>
      <c r="M15" s="16" t="str">
        <f>IF('Conversion Tables'!K14="NA","NA",E15*'Conversion Tables'!K14)</f>
        <v>NA</v>
      </c>
      <c r="N15" s="16" t="str">
        <f>IF('Conversion Tables'!L14="NA","NA",F15*'Conversion Tables'!L14)</f>
        <v>NA</v>
      </c>
      <c r="O15" s="16" t="str">
        <f>IF('Conversion Tables'!M14="NA","NA",G15*'Conversion Tables'!M14)</f>
        <v>NA</v>
      </c>
      <c r="P15" s="16" t="str">
        <f>IF('Conversion Tables'!N14="NA","NA",H15*'Conversion Tables'!N14)</f>
        <v>NA</v>
      </c>
      <c r="Q15" s="15"/>
    </row>
    <row r="16" spans="1:17" x14ac:dyDescent="0.25">
      <c r="A16" s="1207"/>
      <c r="B16" s="11" t="str">
        <f>IF('Prac. Rec. Assumptions'!$B$56='Prac. Rec. Assumptions'!$V$3,A82,IF('Prac. Rec. Assumptions'!B58="No",A82,"Rye- Converted to Energy Crop"))</f>
        <v>Rye</v>
      </c>
      <c r="C16" s="294">
        <f>IF('Prac. Rec. Assumptions'!$B$56='Prac. Rec. Assumptions'!$V$3,D82,IF('Prac. Rec. Assumptions'!B59="No",D82,0))</f>
        <v>0</v>
      </c>
      <c r="D16" s="294">
        <f>E16*'Conversion Tables'!C15</f>
        <v>0</v>
      </c>
      <c r="E16" s="294">
        <f>C16*'Prac. Rec. Assumptions'!B12</f>
        <v>0</v>
      </c>
      <c r="F16" s="294">
        <f t="shared" ref="F16:H23" si="2">$E16</f>
        <v>0</v>
      </c>
      <c r="G16" s="294">
        <f t="shared" si="2"/>
        <v>0</v>
      </c>
      <c r="H16" s="294">
        <f t="shared" si="2"/>
        <v>0</v>
      </c>
      <c r="I16" s="16" t="str">
        <f>IF('Conversion Tables'!F15="NA","NA",(E16*'Conversion Tables'!$C15)/'Conversion Tables'!F15)</f>
        <v>NA</v>
      </c>
      <c r="J16" s="16" t="str">
        <f>IF('Conversion Tables'!G15="NA","NA",(F16*'Conversion Tables'!$C15)/'Conversion Tables'!G15)</f>
        <v>NA</v>
      </c>
      <c r="K16" s="16" t="str">
        <f>IF('Conversion Tables'!H15="NA","NA",(G16*'Conversion Tables'!$C15)/'Conversion Tables'!H15)</f>
        <v>NA</v>
      </c>
      <c r="L16" s="16" t="str">
        <f>IF('Conversion Tables'!I15="NA","NA",(H16*'Conversion Tables'!$C15)/'Conversion Tables'!I15)</f>
        <v>NA</v>
      </c>
      <c r="M16" s="16" t="str">
        <f>IF('Conversion Tables'!K15="NA","NA",E16*'Conversion Tables'!K15)</f>
        <v>NA</v>
      </c>
      <c r="N16" s="16" t="str">
        <f>IF('Conversion Tables'!L15="NA","NA",F16*'Conversion Tables'!L15)</f>
        <v>NA</v>
      </c>
      <c r="O16" s="16" t="str">
        <f>IF('Conversion Tables'!M15="NA","NA",G16*'Conversion Tables'!M15)</f>
        <v>NA</v>
      </c>
      <c r="P16" s="16" t="str">
        <f>IF('Conversion Tables'!N15="NA","NA",H16*'Conversion Tables'!N15)</f>
        <v>NA</v>
      </c>
      <c r="Q16" s="15"/>
    </row>
    <row r="17" spans="1:17" x14ac:dyDescent="0.25">
      <c r="A17" s="1207"/>
      <c r="B17" s="11" t="str">
        <f>IF('Prac. Rec. Assumptions'!$B$56='Prac. Rec. Assumptions'!$V$3,A83,IF('Prac. Rec. Assumptions'!B59="No",A83,"Corn for Grain- Converted to Energy Crop"))</f>
        <v>Corn for Grain</v>
      </c>
      <c r="C17" s="294">
        <f>IF('Prac. Rec. Assumptions'!$B$56='Prac. Rec. Assumptions'!$V$3,D83,IF('Prac. Rec. Assumptions'!B60="No",D83,0))</f>
        <v>0</v>
      </c>
      <c r="D17" s="294">
        <f>E17*'Conversion Tables'!C16</f>
        <v>0</v>
      </c>
      <c r="E17" s="294">
        <f>C17*'Prac. Rec. Assumptions'!B13</f>
        <v>0</v>
      </c>
      <c r="F17" s="294">
        <f t="shared" si="2"/>
        <v>0</v>
      </c>
      <c r="G17" s="294">
        <f t="shared" si="2"/>
        <v>0</v>
      </c>
      <c r="H17" s="294">
        <f t="shared" si="2"/>
        <v>0</v>
      </c>
      <c r="I17" s="16" t="str">
        <f>IF('Conversion Tables'!F16="NA","NA",(E17*'Conversion Tables'!$C16)/'Conversion Tables'!F16)</f>
        <v>NA</v>
      </c>
      <c r="J17" s="16" t="str">
        <f>IF('Conversion Tables'!G16="NA","NA",(F17*'Conversion Tables'!$C16)/'Conversion Tables'!G16)</f>
        <v>NA</v>
      </c>
      <c r="K17" s="16" t="str">
        <f>IF('Conversion Tables'!H16="NA","NA",(G17*'Conversion Tables'!$C16)/'Conversion Tables'!H16)</f>
        <v>NA</v>
      </c>
      <c r="L17" s="16" t="str">
        <f>IF('Conversion Tables'!I16="NA","NA",(H17*'Conversion Tables'!$C16)/'Conversion Tables'!I16)</f>
        <v>NA</v>
      </c>
      <c r="M17" s="16" t="str">
        <f>IF('Conversion Tables'!K16="NA","NA",E17*'Conversion Tables'!K16)</f>
        <v>NA</v>
      </c>
      <c r="N17" s="16" t="str">
        <f>IF('Conversion Tables'!L16="NA","NA",F17*'Conversion Tables'!L16)</f>
        <v>NA</v>
      </c>
      <c r="O17" s="16" t="str">
        <f>IF('Conversion Tables'!M16="NA","NA",G17*'Conversion Tables'!M16)</f>
        <v>NA</v>
      </c>
      <c r="P17" s="16" t="str">
        <f>IF('Conversion Tables'!N16="NA","NA",H17*'Conversion Tables'!N16)</f>
        <v>NA</v>
      </c>
      <c r="Q17" s="15"/>
    </row>
    <row r="18" spans="1:17" x14ac:dyDescent="0.25">
      <c r="A18" s="1207"/>
      <c r="B18" s="11" t="str">
        <f>IF('Prac. Rec. Assumptions'!$B$56='Prac. Rec. Assumptions'!$V$3,A84,IF('Prac. Rec. Assumptions'!B60="No",A84,"Corn for Silage- Converted to Energy Crop"))</f>
        <v>Corn for Silage</v>
      </c>
      <c r="C18" s="294">
        <f>IF('Prac. Rec. Assumptions'!$B$56='Prac. Rec. Assumptions'!$V$3,D84,IF('Prac. Rec. Assumptions'!B61="No",D84,0))</f>
        <v>0</v>
      </c>
      <c r="D18" s="294">
        <f>E18*'Conversion Tables'!C17</f>
        <v>0</v>
      </c>
      <c r="E18" s="294">
        <f>C18*'Prac. Rec. Assumptions'!B14</f>
        <v>0</v>
      </c>
      <c r="F18" s="294">
        <f t="shared" si="2"/>
        <v>0</v>
      </c>
      <c r="G18" s="294">
        <f t="shared" si="2"/>
        <v>0</v>
      </c>
      <c r="H18" s="294">
        <f t="shared" si="2"/>
        <v>0</v>
      </c>
      <c r="I18" s="16" t="str">
        <f>IF('Conversion Tables'!F17="NA","NA",(E18*'Conversion Tables'!$C17)/'Conversion Tables'!F17)</f>
        <v>NA</v>
      </c>
      <c r="J18" s="16" t="str">
        <f>IF('Conversion Tables'!G17="NA","NA",(F18*'Conversion Tables'!$C17)/'Conversion Tables'!G17)</f>
        <v>NA</v>
      </c>
      <c r="K18" s="16" t="str">
        <f>IF('Conversion Tables'!H17="NA","NA",(G18*'Conversion Tables'!$C17)/'Conversion Tables'!H17)</f>
        <v>NA</v>
      </c>
      <c r="L18" s="16" t="str">
        <f>IF('Conversion Tables'!I17="NA","NA",(H18*'Conversion Tables'!$C17)/'Conversion Tables'!I17)</f>
        <v>NA</v>
      </c>
      <c r="M18" s="16" t="str">
        <f>IF('Conversion Tables'!K17="NA","NA",E18*'Conversion Tables'!K17)</f>
        <v>NA</v>
      </c>
      <c r="N18" s="16" t="str">
        <f>IF('Conversion Tables'!L17="NA","NA",F18*'Conversion Tables'!L17)</f>
        <v>NA</v>
      </c>
      <c r="O18" s="16" t="str">
        <f>IF('Conversion Tables'!M17="NA","NA",G18*'Conversion Tables'!M17)</f>
        <v>NA</v>
      </c>
      <c r="P18" s="16" t="str">
        <f>IF('Conversion Tables'!N17="NA","NA",H18*'Conversion Tables'!N17)</f>
        <v>NA</v>
      </c>
      <c r="Q18" s="15"/>
    </row>
    <row r="19" spans="1:17" x14ac:dyDescent="0.25">
      <c r="A19" s="1207"/>
      <c r="B19" s="11" t="str">
        <f>IF('Prac. Rec. Assumptions'!$B$56='Prac. Rec. Assumptions'!$V$3,A85,IF('Prac. Rec. Assumptions'!B61="No",A85,"Alfalfa Hay- Converted to Energy Crop"))</f>
        <v>Alfalfa Hay</v>
      </c>
      <c r="C19" s="294">
        <f>IF('Prac. Rec. Assumptions'!$B$56='Prac. Rec. Assumptions'!$V$3,D85,IF('Prac. Rec. Assumptions'!B62="No",D85,0))</f>
        <v>0</v>
      </c>
      <c r="D19" s="294">
        <f>E19*'Conversion Tables'!C18</f>
        <v>0</v>
      </c>
      <c r="E19" s="294">
        <f>C19*'Prac. Rec. Assumptions'!B15</f>
        <v>0</v>
      </c>
      <c r="F19" s="294">
        <f t="shared" si="2"/>
        <v>0</v>
      </c>
      <c r="G19" s="294">
        <f t="shared" si="2"/>
        <v>0</v>
      </c>
      <c r="H19" s="294">
        <f t="shared" si="2"/>
        <v>0</v>
      </c>
      <c r="I19" s="16" t="str">
        <f>IF('Conversion Tables'!F18="NA","NA",(E19*'Conversion Tables'!$C18)/'Conversion Tables'!F18)</f>
        <v>NA</v>
      </c>
      <c r="J19" s="16" t="str">
        <f>IF('Conversion Tables'!G18="NA","NA",(F19*'Conversion Tables'!$C18)/'Conversion Tables'!G18)</f>
        <v>NA</v>
      </c>
      <c r="K19" s="16" t="str">
        <f>IF('Conversion Tables'!H18="NA","NA",(G19*'Conversion Tables'!$C18)/'Conversion Tables'!H18)</f>
        <v>NA</v>
      </c>
      <c r="L19" s="16" t="str">
        <f>IF('Conversion Tables'!I18="NA","NA",(H19*'Conversion Tables'!$C18)/'Conversion Tables'!I18)</f>
        <v>NA</v>
      </c>
      <c r="M19" s="16" t="str">
        <f>IF('Conversion Tables'!K18="NA","NA",E19*'Conversion Tables'!K18)</f>
        <v>NA</v>
      </c>
      <c r="N19" s="16" t="str">
        <f>IF('Conversion Tables'!L18="NA","NA",F19*'Conversion Tables'!L18)</f>
        <v>NA</v>
      </c>
      <c r="O19" s="16" t="str">
        <f>IF('Conversion Tables'!M18="NA","NA",G19*'Conversion Tables'!M18)</f>
        <v>NA</v>
      </c>
      <c r="P19" s="16" t="str">
        <f>IF('Conversion Tables'!N18="NA","NA",H19*'Conversion Tables'!N18)</f>
        <v>NA</v>
      </c>
      <c r="Q19" s="15"/>
    </row>
    <row r="20" spans="1:17" x14ac:dyDescent="0.25">
      <c r="A20" s="1207"/>
      <c r="B20" s="11" t="str">
        <f>IF('Prac. Rec. Assumptions'!$B$56='Prac. Rec. Assumptions'!$V$3,A86,IF('Prac. Rec. Assumptions'!B62="No",A86,"Other Hay- Converted to Energy Crop"))</f>
        <v>Other Hay</v>
      </c>
      <c r="C20" s="294">
        <f>IF('Prac. Rec. Assumptions'!$B$56='Prac. Rec. Assumptions'!$V$3,D86,IF('Prac. Rec. Assumptions'!B63="No",D86,0))</f>
        <v>0</v>
      </c>
      <c r="D20" s="294">
        <f>E20*'Conversion Tables'!C19</f>
        <v>0</v>
      </c>
      <c r="E20" s="294">
        <f>C20*'Prac. Rec. Assumptions'!B16</f>
        <v>0</v>
      </c>
      <c r="F20" s="294">
        <f t="shared" si="2"/>
        <v>0</v>
      </c>
      <c r="G20" s="294">
        <f t="shared" si="2"/>
        <v>0</v>
      </c>
      <c r="H20" s="294">
        <f t="shared" si="2"/>
        <v>0</v>
      </c>
      <c r="I20" s="16" t="str">
        <f>IF('Conversion Tables'!F19="NA","NA",(E20*'Conversion Tables'!$C19)/'Conversion Tables'!F19)</f>
        <v>NA</v>
      </c>
      <c r="J20" s="16" t="str">
        <f>IF('Conversion Tables'!G19="NA","NA",(F20*'Conversion Tables'!$C19)/'Conversion Tables'!G19)</f>
        <v>NA</v>
      </c>
      <c r="K20" s="16" t="str">
        <f>IF('Conversion Tables'!H19="NA","NA",(G20*'Conversion Tables'!$C19)/'Conversion Tables'!H19)</f>
        <v>NA</v>
      </c>
      <c r="L20" s="16" t="str">
        <f>IF('Conversion Tables'!I19="NA","NA",(H20*'Conversion Tables'!$C19)/'Conversion Tables'!I19)</f>
        <v>NA</v>
      </c>
      <c r="M20" s="16" t="str">
        <f>IF('Conversion Tables'!K19="NA","NA",E20*'Conversion Tables'!K19)</f>
        <v>NA</v>
      </c>
      <c r="N20" s="16" t="str">
        <f>IF('Conversion Tables'!L19="NA","NA",F20*'Conversion Tables'!L19)</f>
        <v>NA</v>
      </c>
      <c r="O20" s="16" t="str">
        <f>IF('Conversion Tables'!M19="NA","NA",G20*'Conversion Tables'!M19)</f>
        <v>NA</v>
      </c>
      <c r="P20" s="16" t="str">
        <f>IF('Conversion Tables'!N19="NA","NA",H20*'Conversion Tables'!N19)</f>
        <v>NA</v>
      </c>
      <c r="Q20" s="15"/>
    </row>
    <row r="21" spans="1:17" x14ac:dyDescent="0.25">
      <c r="A21" s="1207"/>
      <c r="B21" s="11" t="str">
        <f>IF('Prac. Rec. Assumptions'!$B$56='Prac. Rec. Assumptions'!$V$3,A87,IF('Prac. Rec. Assumptions'!B63="No",A87,"Wheat- Converted to Energy Crop"))</f>
        <v>Wheat</v>
      </c>
      <c r="C21" s="294">
        <f>IF('Prac. Rec. Assumptions'!$B$56='Prac. Rec. Assumptions'!$V$3,D87,IF('Prac. Rec. Assumptions'!B64="No",D87,0))</f>
        <v>0</v>
      </c>
      <c r="D21" s="294">
        <f>E21*'Conversion Tables'!C20</f>
        <v>0</v>
      </c>
      <c r="E21" s="294">
        <f>C21*'Prac. Rec. Assumptions'!B17</f>
        <v>0</v>
      </c>
      <c r="F21" s="294">
        <f t="shared" si="2"/>
        <v>0</v>
      </c>
      <c r="G21" s="294">
        <f t="shared" si="2"/>
        <v>0</v>
      </c>
      <c r="H21" s="294">
        <f t="shared" si="2"/>
        <v>0</v>
      </c>
      <c r="I21" s="16" t="str">
        <f>IF('Conversion Tables'!F20="NA","NA",(E21*'Conversion Tables'!$C20)/'Conversion Tables'!F20)</f>
        <v>NA</v>
      </c>
      <c r="J21" s="16" t="str">
        <f>IF('Conversion Tables'!G20="NA","NA",(F21*'Conversion Tables'!$C20)/'Conversion Tables'!G20)</f>
        <v>NA</v>
      </c>
      <c r="K21" s="16" t="str">
        <f>IF('Conversion Tables'!H20="NA","NA",(G21*'Conversion Tables'!$C20)/'Conversion Tables'!H20)</f>
        <v>NA</v>
      </c>
      <c r="L21" s="16" t="str">
        <f>IF('Conversion Tables'!I20="NA","NA",(H21*'Conversion Tables'!$C20)/'Conversion Tables'!I20)</f>
        <v>NA</v>
      </c>
      <c r="M21" s="16" t="str">
        <f>IF('Conversion Tables'!K20="NA","NA",E21*'Conversion Tables'!K20)</f>
        <v>NA</v>
      </c>
      <c r="N21" s="16" t="str">
        <f>IF('Conversion Tables'!L20="NA","NA",F21*'Conversion Tables'!L20)</f>
        <v>NA</v>
      </c>
      <c r="O21" s="16" t="str">
        <f>IF('Conversion Tables'!M20="NA","NA",G21*'Conversion Tables'!M20)</f>
        <v>NA</v>
      </c>
      <c r="P21" s="16" t="str">
        <f>IF('Conversion Tables'!N20="NA","NA",H21*'Conversion Tables'!N20)</f>
        <v>NA</v>
      </c>
      <c r="Q21" s="15"/>
    </row>
    <row r="22" spans="1:17" x14ac:dyDescent="0.25">
      <c r="A22" s="1207"/>
      <c r="B22" s="148" t="s">
        <v>205</v>
      </c>
      <c r="C22" s="294">
        <f>'Biomass Data Assumptions'!P15*1000*'Energy Content Assumptions'!C18</f>
        <v>2017</v>
      </c>
      <c r="D22" s="294">
        <f>E22*'Conversion Tables'!C21</f>
        <v>15732.6</v>
      </c>
      <c r="E22" s="294">
        <f>C22*'Prac. Rec. Assumptions'!B18</f>
        <v>1008.5</v>
      </c>
      <c r="F22" s="294">
        <f t="shared" si="2"/>
        <v>1008.5</v>
      </c>
      <c r="G22" s="294">
        <f t="shared" si="2"/>
        <v>1008.5</v>
      </c>
      <c r="H22" s="294">
        <f t="shared" si="2"/>
        <v>1008.5</v>
      </c>
      <c r="I22" s="16" t="str">
        <f>IF('Conversion Tables'!F21="NA","NA",(E22*'Conversion Tables'!$C21)/'Conversion Tables'!F21)</f>
        <v>NA</v>
      </c>
      <c r="J22" s="16" t="str">
        <f>IF('Conversion Tables'!G21="NA","NA",(F22*'Conversion Tables'!$C21)/'Conversion Tables'!G21)</f>
        <v>NA</v>
      </c>
      <c r="K22" s="16" t="str">
        <f>IF('Conversion Tables'!H21="NA","NA",(G22*'Conversion Tables'!$C21)/'Conversion Tables'!H21)</f>
        <v>NA</v>
      </c>
      <c r="L22" s="16" t="str">
        <f>IF('Conversion Tables'!I21="NA","NA",(H22*'Conversion Tables'!$C21)/'Conversion Tables'!I21)</f>
        <v>NA</v>
      </c>
      <c r="M22" s="16" t="str">
        <f>IF('Conversion Tables'!K21="NA","NA",E22*'Conversion Tables'!K21)</f>
        <v>NA</v>
      </c>
      <c r="N22" s="16" t="str">
        <f>IF('Conversion Tables'!L21="NA","NA",F22*'Conversion Tables'!L21)</f>
        <v>NA</v>
      </c>
      <c r="O22" s="16" t="str">
        <f>IF('Conversion Tables'!M21="NA","NA",G22*'Conversion Tables'!M21)</f>
        <v>NA</v>
      </c>
      <c r="P22" s="16" t="str">
        <f>IF('Conversion Tables'!N21="NA","NA",H22*'Conversion Tables'!N21)</f>
        <v>NA</v>
      </c>
      <c r="Q22" s="15"/>
    </row>
    <row r="23" spans="1:17" x14ac:dyDescent="0.25">
      <c r="A23" s="1207"/>
      <c r="B23" s="2" t="s">
        <v>302</v>
      </c>
      <c r="C23" s="294">
        <f>B133</f>
        <v>0</v>
      </c>
      <c r="D23" s="294">
        <f>E23*'Conversion Tables'!C22</f>
        <v>0</v>
      </c>
      <c r="E23" s="294">
        <f>C23*'Prac. Rec. Assumptions'!B19</f>
        <v>0</v>
      </c>
      <c r="F23" s="297">
        <f t="shared" si="2"/>
        <v>0</v>
      </c>
      <c r="G23" s="297">
        <f t="shared" si="2"/>
        <v>0</v>
      </c>
      <c r="H23" s="297">
        <f t="shared" si="2"/>
        <v>0</v>
      </c>
      <c r="I23" s="16" t="str">
        <f>IF('Conversion Tables'!F22="NA","NA",(E23*'Conversion Tables'!$C22)/'Conversion Tables'!F22)</f>
        <v>NA</v>
      </c>
      <c r="J23" s="16" t="str">
        <f>IF('Conversion Tables'!G22="NA","NA",(F23*'Conversion Tables'!$C22)/'Conversion Tables'!G22)</f>
        <v>NA</v>
      </c>
      <c r="K23" s="16" t="str">
        <f>IF('Conversion Tables'!H22="NA","NA",(G23*'Conversion Tables'!$C22)/'Conversion Tables'!H22)</f>
        <v>NA</v>
      </c>
      <c r="L23" s="16" t="str">
        <f>IF('Conversion Tables'!I22="NA","NA",(H23*'Conversion Tables'!$C22)/'Conversion Tables'!I22)</f>
        <v>NA</v>
      </c>
      <c r="M23" s="16" t="str">
        <f>IF('Conversion Tables'!K22="NA","NA",E23*'Conversion Tables'!K22)</f>
        <v>NA</v>
      </c>
      <c r="N23" s="16" t="str">
        <f>IF('Conversion Tables'!L22="NA","NA",F23*'Conversion Tables'!L22)</f>
        <v>NA</v>
      </c>
      <c r="O23" s="16" t="str">
        <f>IF('Conversion Tables'!M22="NA","NA",G23*'Conversion Tables'!M22)</f>
        <v>NA</v>
      </c>
      <c r="P23" s="16" t="str">
        <f>IF('Conversion Tables'!N22="NA","NA",H23*'Conversion Tables'!N22)</f>
        <v>NA</v>
      </c>
      <c r="Q23" s="7"/>
    </row>
    <row r="24" spans="1:17" x14ac:dyDescent="0.25">
      <c r="A24" s="1207"/>
      <c r="B24" s="1" t="s">
        <v>518</v>
      </c>
      <c r="C24" s="294"/>
      <c r="D24" s="294"/>
      <c r="E24" s="294"/>
      <c r="F24" s="294"/>
      <c r="G24" s="294"/>
      <c r="H24" s="294"/>
      <c r="I24" s="16"/>
      <c r="J24" s="16"/>
      <c r="K24" s="16"/>
      <c r="L24" s="16"/>
      <c r="M24" s="16"/>
      <c r="N24" s="16"/>
      <c r="O24" s="16"/>
      <c r="P24" s="16"/>
      <c r="Q24" s="7"/>
    </row>
    <row r="25" spans="1:17" x14ac:dyDescent="0.25">
      <c r="A25" s="1207"/>
      <c r="B25" s="11" t="s">
        <v>559</v>
      </c>
      <c r="C25" s="294">
        <f>C128</f>
        <v>782.20500000000004</v>
      </c>
      <c r="D25" s="294">
        <f>E25*'Conversion Tables'!C24</f>
        <v>13845.0285</v>
      </c>
      <c r="E25" s="294">
        <f>C25*'Prac. Rec. Assumptions'!B21</f>
        <v>782.20500000000004</v>
      </c>
      <c r="F25" s="294">
        <f>($C25*(1+'Biomass Data Assumptions'!G$100))*'Prac. Rec. Assumptions'!$B21</f>
        <v>783.12974835331875</v>
      </c>
      <c r="G25" s="294">
        <f>($C25*(1+'Biomass Data Assumptions'!H$100))*'Prac. Rec. Assumptions'!$B21</f>
        <v>784.71503124472224</v>
      </c>
      <c r="H25" s="294">
        <f>($C25*(1+'Biomass Data Assumptions'!I$100))*'Prac. Rec. Assumptions'!$B21</f>
        <v>787.09295558182748</v>
      </c>
      <c r="I25" s="16" t="str">
        <f>IF('Conversion Tables'!F24="NA","NA",(E25*'Conversion Tables'!$C24)/'Conversion Tables'!F24)</f>
        <v>NA</v>
      </c>
      <c r="J25" s="16" t="str">
        <f>IF('Conversion Tables'!G24="NA","NA",(F25*'Conversion Tables'!$C24)/'Conversion Tables'!G24)</f>
        <v>NA</v>
      </c>
      <c r="K25" s="16" t="str">
        <f>IF('Conversion Tables'!H24="NA","NA",(G25*'Conversion Tables'!$C24)/'Conversion Tables'!H24)</f>
        <v>NA</v>
      </c>
      <c r="L25" s="16" t="str">
        <f>IF('Conversion Tables'!I24="NA","NA",(H25*'Conversion Tables'!$C24)/'Conversion Tables'!I24)</f>
        <v>NA</v>
      </c>
      <c r="M25" s="16" t="str">
        <f>IF('Conversion Tables'!K24="NA","NA",E25*'Conversion Tables'!K24)</f>
        <v>NA</v>
      </c>
      <c r="N25" s="16" t="str">
        <f>IF('Conversion Tables'!L24="NA","NA",F25*'Conversion Tables'!L24)</f>
        <v>NA</v>
      </c>
      <c r="O25" s="16" t="str">
        <f>IF('Conversion Tables'!M24="NA","NA",G25*'Conversion Tables'!M24)</f>
        <v>NA</v>
      </c>
      <c r="P25" s="16" t="str">
        <f>IF('Conversion Tables'!N24="NA","NA",H25*'Conversion Tables'!N24)</f>
        <v>NA</v>
      </c>
      <c r="Q25" s="13"/>
    </row>
    <row r="26" spans="1:17" x14ac:dyDescent="0.25">
      <c r="A26" s="1207"/>
      <c r="B26" s="11" t="s">
        <v>560</v>
      </c>
      <c r="C26" s="294">
        <f>C129</f>
        <v>16.739999999999998</v>
      </c>
      <c r="D26" s="294">
        <f>E26*'Conversion Tables'!C25</f>
        <v>261.14399999999995</v>
      </c>
      <c r="E26" s="294">
        <f>C26*'Prac. Rec. Assumptions'!B22</f>
        <v>16.739999999999998</v>
      </c>
      <c r="F26" s="294">
        <f>($C26*(1+'Biomass Data Assumptions'!G$100))*'Prac. Rec. Assumptions'!$B22</f>
        <v>16.759790575916231</v>
      </c>
      <c r="G26" s="294">
        <f>($C26*(1+'Biomass Data Assumptions'!H$100))*'Prac. Rec. Assumptions'!$B22</f>
        <v>16.793717277486913</v>
      </c>
      <c r="H26" s="294">
        <f>($C26*(1+'Biomass Data Assumptions'!I$100))*'Prac. Rec. Assumptions'!$B22</f>
        <v>16.844607329842933</v>
      </c>
      <c r="I26" s="16" t="str">
        <f>IF('Conversion Tables'!F25="NA","NA",(E26*'Conversion Tables'!$C25)/'Conversion Tables'!F25)</f>
        <v>NA</v>
      </c>
      <c r="J26" s="16" t="str">
        <f>IF('Conversion Tables'!G25="NA","NA",(F26*'Conversion Tables'!$C25)/'Conversion Tables'!G25)</f>
        <v>NA</v>
      </c>
      <c r="K26" s="16" t="str">
        <f>IF('Conversion Tables'!H25="NA","NA",(G26*'Conversion Tables'!$C25)/'Conversion Tables'!H25)</f>
        <v>NA</v>
      </c>
      <c r="L26" s="16" t="str">
        <f>IF('Conversion Tables'!I25="NA","NA",(H26*'Conversion Tables'!$C25)/'Conversion Tables'!I25)</f>
        <v>NA</v>
      </c>
      <c r="M26" s="16" t="str">
        <f>IF('Conversion Tables'!K25="NA","NA",E26*'Conversion Tables'!K25)</f>
        <v>NA</v>
      </c>
      <c r="N26" s="16" t="str">
        <f>IF('Conversion Tables'!L25="NA","NA",F26*'Conversion Tables'!L25)</f>
        <v>NA</v>
      </c>
      <c r="O26" s="16" t="str">
        <f>IF('Conversion Tables'!M25="NA","NA",G26*'Conversion Tables'!M25)</f>
        <v>NA</v>
      </c>
      <c r="P26" s="16" t="str">
        <f>IF('Conversion Tables'!N25="NA","NA",H26*'Conversion Tables'!N25)</f>
        <v>NA</v>
      </c>
      <c r="Q26" s="13"/>
    </row>
    <row r="27" spans="1:17" x14ac:dyDescent="0.25">
      <c r="A27" s="1207"/>
      <c r="B27" s="11" t="s">
        <v>561</v>
      </c>
      <c r="C27" s="294">
        <f>C130</f>
        <v>1149.8866666666665</v>
      </c>
      <c r="D27" s="294">
        <f>E27*'Conversion Tables'!C26</f>
        <v>17938.231999999996</v>
      </c>
      <c r="E27" s="294">
        <f>C27*'Prac. Rec. Assumptions'!B23</f>
        <v>1149.8866666666665</v>
      </c>
      <c r="F27" s="294">
        <f>($C27*(1+'Biomass Data Assumptions'!G$100))*'Prac. Rec. Assumptions'!$B23</f>
        <v>1151.2461003208916</v>
      </c>
      <c r="G27" s="294">
        <f>($C27*(1+'Biomass Data Assumptions'!H$100))*'Prac. Rec. Assumptions'!$B23</f>
        <v>1153.5765580138491</v>
      </c>
      <c r="H27" s="294">
        <f>($C27*(1+'Biomass Data Assumptions'!I$100))*'Prac. Rec. Assumptions'!$B23</f>
        <v>1157.0722445532849</v>
      </c>
      <c r="I27" s="16" t="str">
        <f>IF('Conversion Tables'!F26="NA","NA",(E27*'Conversion Tables'!$C26)/'Conversion Tables'!F26)</f>
        <v>NA</v>
      </c>
      <c r="J27" s="16" t="str">
        <f>IF('Conversion Tables'!G26="NA","NA",(F27*'Conversion Tables'!$C26)/'Conversion Tables'!G26)</f>
        <v>NA</v>
      </c>
      <c r="K27" s="16" t="str">
        <f>IF('Conversion Tables'!H26="NA","NA",(G27*'Conversion Tables'!$C26)/'Conversion Tables'!H26)</f>
        <v>NA</v>
      </c>
      <c r="L27" s="16" t="str">
        <f>IF('Conversion Tables'!I26="NA","NA",(H27*'Conversion Tables'!$C26)/'Conversion Tables'!I26)</f>
        <v>NA</v>
      </c>
      <c r="M27" s="16" t="str">
        <f>IF('Conversion Tables'!K26="NA","NA",E27*'Conversion Tables'!K26)</f>
        <v>NA</v>
      </c>
      <c r="N27" s="16" t="str">
        <f>IF('Conversion Tables'!L26="NA","NA",F27*'Conversion Tables'!L26)</f>
        <v>NA</v>
      </c>
      <c r="O27" s="16" t="str">
        <f>IF('Conversion Tables'!M26="NA","NA",G27*'Conversion Tables'!M26)</f>
        <v>NA</v>
      </c>
      <c r="P27" s="16" t="str">
        <f>IF('Conversion Tables'!N26="NA","NA",H27*'Conversion Tables'!N26)</f>
        <v>NA</v>
      </c>
      <c r="Q27" s="13"/>
    </row>
    <row r="28" spans="1:17" x14ac:dyDescent="0.25">
      <c r="A28" s="1207"/>
      <c r="B28" s="11" t="s">
        <v>562</v>
      </c>
      <c r="C28" s="294">
        <f>C131</f>
        <v>162.745</v>
      </c>
      <c r="D28" s="294">
        <f>E28*'Conversion Tables'!C27</f>
        <v>2880.5864999999999</v>
      </c>
      <c r="E28" s="294">
        <f>C28*'Prac. Rec. Assumptions'!B24</f>
        <v>162.745</v>
      </c>
      <c r="F28" s="294">
        <f>($C28*(1+'Biomass Data Assumptions'!G$100))*'Prac. Rec. Assumptions'!$B24</f>
        <v>162.93740246579969</v>
      </c>
      <c r="G28" s="294">
        <f>($C28*(1+'Biomass Data Assumptions'!H$100))*'Prac. Rec. Assumptions'!$B24</f>
        <v>163.26723526431348</v>
      </c>
      <c r="H28" s="294">
        <f>($C28*(1+'Biomass Data Assumptions'!I$100))*'Prac. Rec. Assumptions'!$B24</f>
        <v>163.76198446208411</v>
      </c>
      <c r="I28" s="16" t="str">
        <f>IF('Conversion Tables'!F27="NA","NA",(E28*'Conversion Tables'!$C27)/'Conversion Tables'!F27)</f>
        <v>NA</v>
      </c>
      <c r="J28" s="16" t="str">
        <f>IF('Conversion Tables'!G27="NA","NA",(F28*'Conversion Tables'!$C27)/'Conversion Tables'!G27)</f>
        <v>NA</v>
      </c>
      <c r="K28" s="16" t="str">
        <f>IF('Conversion Tables'!H27="NA","NA",(G28*'Conversion Tables'!$C27)/'Conversion Tables'!H27)</f>
        <v>NA</v>
      </c>
      <c r="L28" s="16" t="str">
        <f>IF('Conversion Tables'!I27="NA","NA",(H28*'Conversion Tables'!$C27)/'Conversion Tables'!I27)</f>
        <v>NA</v>
      </c>
      <c r="M28" s="16" t="str">
        <f>IF('Conversion Tables'!K27="NA","NA",E28*'Conversion Tables'!K27)</f>
        <v>NA</v>
      </c>
      <c r="N28" s="16" t="str">
        <f>IF('Conversion Tables'!L27="NA","NA",F28*'Conversion Tables'!L27)</f>
        <v>NA</v>
      </c>
      <c r="O28" s="16" t="str">
        <f>IF('Conversion Tables'!M27="NA","NA",G28*'Conversion Tables'!M27)</f>
        <v>NA</v>
      </c>
      <c r="P28" s="16" t="str">
        <f>IF('Conversion Tables'!N27="NA","NA",H28*'Conversion Tables'!N27)</f>
        <v>NA</v>
      </c>
      <c r="Q28" s="13"/>
    </row>
    <row r="29" spans="1:17" x14ac:dyDescent="0.25">
      <c r="A29" s="1208"/>
      <c r="B29" s="9" t="s">
        <v>524</v>
      </c>
      <c r="C29" s="295">
        <f t="shared" ref="C29:P29" si="3">SUM(C13:C28)</f>
        <v>4128.5766666666659</v>
      </c>
      <c r="D29" s="295">
        <f>SUM(D13:D28)</f>
        <v>50657.590999999993</v>
      </c>
      <c r="E29" s="295">
        <f t="shared" si="3"/>
        <v>3120.0766666666664</v>
      </c>
      <c r="F29" s="295">
        <f>SUM(F13:F28)</f>
        <v>3122.5730417159261</v>
      </c>
      <c r="G29" s="295">
        <f>SUM(G13:G28)</f>
        <v>3126.8525418003715</v>
      </c>
      <c r="H29" s="295">
        <f>SUM(H13:H28)</f>
        <v>3133.2717919270394</v>
      </c>
      <c r="I29" s="19">
        <f t="shared" si="3"/>
        <v>0</v>
      </c>
      <c r="J29" s="19">
        <f t="shared" si="3"/>
        <v>0</v>
      </c>
      <c r="K29" s="19">
        <f t="shared" si="3"/>
        <v>0</v>
      </c>
      <c r="L29" s="19">
        <f t="shared" si="3"/>
        <v>0</v>
      </c>
      <c r="M29" s="19">
        <f t="shared" si="3"/>
        <v>0</v>
      </c>
      <c r="N29" s="19">
        <f t="shared" si="3"/>
        <v>0</v>
      </c>
      <c r="O29" s="19">
        <f t="shared" si="3"/>
        <v>0</v>
      </c>
      <c r="P29" s="19">
        <f t="shared" si="3"/>
        <v>0</v>
      </c>
      <c r="Q29" s="19"/>
    </row>
    <row r="30" spans="1:17" x14ac:dyDescent="0.25">
      <c r="A30" s="8"/>
      <c r="C30" s="296"/>
      <c r="D30" s="296"/>
      <c r="E30" s="296"/>
      <c r="F30" s="296"/>
      <c r="G30" s="296"/>
      <c r="H30" s="296"/>
      <c r="I30" s="28"/>
      <c r="J30" s="28"/>
      <c r="K30" s="28"/>
      <c r="L30" s="28"/>
      <c r="M30" s="28"/>
      <c r="N30" s="28"/>
      <c r="O30" s="28"/>
      <c r="P30" s="28"/>
    </row>
    <row r="31" spans="1:17" x14ac:dyDescent="0.25">
      <c r="A31" s="1064" t="s">
        <v>516</v>
      </c>
      <c r="B31" s="130" t="str">
        <f>'Bioenergy Calculator'!B34</f>
        <v>Solid wastes - Landfilled</v>
      </c>
      <c r="C31" s="294"/>
      <c r="D31" s="294"/>
      <c r="E31" s="294"/>
      <c r="F31" s="294"/>
      <c r="G31" s="294"/>
      <c r="H31" s="294"/>
      <c r="I31" s="16"/>
      <c r="J31" s="16"/>
      <c r="K31" s="16"/>
      <c r="L31" s="16"/>
      <c r="M31" s="16"/>
      <c r="N31" s="16"/>
      <c r="O31" s="16"/>
      <c r="P31" s="16"/>
      <c r="Q31" s="7"/>
    </row>
    <row r="32" spans="1:17" x14ac:dyDescent="0.25">
      <c r="A32" s="1064"/>
      <c r="B32" s="11" t="str">
        <f>'Bioenergy Calculator'!B35</f>
        <v>Food waste, Landfilled</v>
      </c>
      <c r="C32" s="294">
        <f>C141</f>
        <v>17510.198042399999</v>
      </c>
      <c r="D32" s="294">
        <f>E32*'Conversion Tables'!C29</f>
        <v>168097.90120704001</v>
      </c>
      <c r="E32" s="294">
        <f>C32*'Prac. Rec. Assumptions'!B26</f>
        <v>10506.11882544</v>
      </c>
      <c r="F32" s="294">
        <f>($C32*(1+'Biomass Data Assumptions'!G$100)*(1+'Biomass Data Assumptions'!C$82))*'Prac. Rec. Assumptions'!$B26</f>
        <v>10511.397630231522</v>
      </c>
      <c r="G32" s="294">
        <f>($C32*(1+'Biomass Data Assumptions'!H$100)*(1+'Biomass Data Assumptions'!D$82))*'Prac. Rec. Assumptions'!$B26</f>
        <v>10525.524292096095</v>
      </c>
      <c r="H32" s="294">
        <f>($C32*(1+'Biomass Data Assumptions'!I$100)*(1+'Biomass Data Assumptions'!E$82))*'Prac. Rec. Assumptions'!$B26</f>
        <v>10550.251548556094</v>
      </c>
      <c r="I32" s="16" t="str">
        <f>IF('Conversion Tables'!F29="NA","NA",(E32*'Conversion Tables'!$C29)/'Conversion Tables'!F29)</f>
        <v>NA</v>
      </c>
      <c r="J32" s="16" t="str">
        <f>IF('Conversion Tables'!G29="NA","NA",(F32*'Conversion Tables'!$C29)/'Conversion Tables'!G29)</f>
        <v>NA</v>
      </c>
      <c r="K32" s="16" t="str">
        <f>IF('Conversion Tables'!H29="NA","NA",(G32*'Conversion Tables'!$C29)/'Conversion Tables'!H29)</f>
        <v>NA</v>
      </c>
      <c r="L32" s="16" t="str">
        <f>IF('Conversion Tables'!I29="NA","NA",(H32*'Conversion Tables'!$C29)/'Conversion Tables'!I29)</f>
        <v>NA</v>
      </c>
      <c r="M32" s="16" t="str">
        <f>IF('Conversion Tables'!K29="NA","NA",E32*'Conversion Tables'!K29)</f>
        <v>NA</v>
      </c>
      <c r="N32" s="16" t="str">
        <f>IF('Conversion Tables'!L29="NA","NA",F32*'Conversion Tables'!L29)</f>
        <v>NA</v>
      </c>
      <c r="O32" s="16" t="str">
        <f>IF('Conversion Tables'!M29="NA","NA",G32*'Conversion Tables'!M29)</f>
        <v>NA</v>
      </c>
      <c r="P32" s="16" t="str">
        <f>IF('Conversion Tables'!N29="NA","NA",H32*'Conversion Tables'!N29)</f>
        <v>NA</v>
      </c>
      <c r="Q32" s="7"/>
    </row>
    <row r="33" spans="1:17" x14ac:dyDescent="0.25">
      <c r="A33" s="1064"/>
      <c r="B33" s="11" t="str">
        <f>'Bioenergy Calculator'!B36</f>
        <v>Waste paper, Landfilled</v>
      </c>
      <c r="C33" s="294">
        <f>C142</f>
        <v>64584.074322</v>
      </c>
      <c r="D33" s="294">
        <f>E33*'Conversion Tables'!C30</f>
        <v>750311.9418432673</v>
      </c>
      <c r="E33" s="294">
        <f>C33*'Prac. Rec. Assumptions'!B27</f>
        <v>51667.259457600005</v>
      </c>
      <c r="F33" s="294">
        <f>($C33*(1+'Biomass Data Assumptions'!G$100)*(1+'Biomass Data Assumptions'!C$82))*'Prac. Rec. Assumptions'!$B27</f>
        <v>51693.219698610133</v>
      </c>
      <c r="G33" s="294">
        <f>($C33*(1+'Biomass Data Assumptions'!H$100)*(1+'Biomass Data Assumptions'!D$82))*'Prac. Rec. Assumptions'!$B27</f>
        <v>51762.692157084464</v>
      </c>
      <c r="H33" s="294">
        <f>($C33*(1+'Biomass Data Assumptions'!I$100)*(1+'Biomass Data Assumptions'!E$82))*'Prac. Rec. Assumptions'!$B27</f>
        <v>51884.296490370682</v>
      </c>
      <c r="I33" s="16" t="str">
        <f>IF('Conversion Tables'!F30="NA","NA",(E33*'Conversion Tables'!$C30)/'Conversion Tables'!F30)</f>
        <v>NA</v>
      </c>
      <c r="J33" s="16" t="str">
        <f>IF('Conversion Tables'!G30="NA","NA",(F33*'Conversion Tables'!$C30)/'Conversion Tables'!G30)</f>
        <v>NA</v>
      </c>
      <c r="K33" s="16" t="str">
        <f>IF('Conversion Tables'!H30="NA","NA",(G33*'Conversion Tables'!$C30)/'Conversion Tables'!H30)</f>
        <v>NA</v>
      </c>
      <c r="L33" s="16" t="str">
        <f>IF('Conversion Tables'!I30="NA","NA",(H33*'Conversion Tables'!$C30)/'Conversion Tables'!I30)</f>
        <v>NA</v>
      </c>
      <c r="M33" s="16" t="str">
        <f>IF('Conversion Tables'!K30="NA","NA",E33*'Conversion Tables'!K30)</f>
        <v>NA</v>
      </c>
      <c r="N33" s="16" t="str">
        <f>IF('Conversion Tables'!L30="NA","NA",F33*'Conversion Tables'!L30)</f>
        <v>NA</v>
      </c>
      <c r="O33" s="16" t="str">
        <f>IF('Conversion Tables'!M30="NA","NA",G33*'Conversion Tables'!M30)</f>
        <v>NA</v>
      </c>
      <c r="P33" s="16" t="str">
        <f>IF('Conversion Tables'!N30="NA","NA",H33*'Conversion Tables'!N30)</f>
        <v>NA</v>
      </c>
      <c r="Q33" s="7"/>
    </row>
    <row r="34" spans="1:17" x14ac:dyDescent="0.25">
      <c r="A34" s="1064"/>
      <c r="B34" s="11" t="str">
        <f>'Bioenergy Calculator'!B37</f>
        <v>Other Biomass, Landfilled</v>
      </c>
      <c r="C34" s="294">
        <f>C143</f>
        <v>49678.638145999998</v>
      </c>
      <c r="D34" s="294">
        <f>E34*'Conversion Tables'!C31</f>
        <v>519431.89187247271</v>
      </c>
      <c r="E34" s="294">
        <f>C34*'Prac. Rec. Assumptions'!B28</f>
        <v>35768.619465120006</v>
      </c>
      <c r="F34" s="294">
        <f>($C34*(1+'Biomass Data Assumptions'!G$100)*(1+'Biomass Data Assumptions'!C$82))*'Prac. Rec. Assumptions'!$B28</f>
        <v>35786.59142631288</v>
      </c>
      <c r="G34" s="294">
        <f>($C34*(1+'Biomass Data Assumptions'!H$100)*(1+'Biomass Data Assumptions'!D$82))*'Prac. Rec. Assumptions'!$B28</f>
        <v>35834.68636993019</v>
      </c>
      <c r="H34" s="294">
        <f>($C34*(1+'Biomass Data Assumptions'!I$100)*(1+'Biomass Data Assumptions'!E$82))*'Prac. Rec. Assumptions'!$B28</f>
        <v>35918.871580608808</v>
      </c>
      <c r="I34" s="16" t="str">
        <f>IF('Conversion Tables'!F31="NA","NA",(E34*'Conversion Tables'!$C31)/'Conversion Tables'!F31)</f>
        <v>NA</v>
      </c>
      <c r="J34" s="16" t="str">
        <f>IF('Conversion Tables'!G31="NA","NA",(F34*'Conversion Tables'!$C31)/'Conversion Tables'!G31)</f>
        <v>NA</v>
      </c>
      <c r="K34" s="16" t="str">
        <f>IF('Conversion Tables'!H31="NA","NA",(G34*'Conversion Tables'!$C31)/'Conversion Tables'!H31)</f>
        <v>NA</v>
      </c>
      <c r="L34" s="16" t="str">
        <f>IF('Conversion Tables'!I31="NA","NA",(H34*'Conversion Tables'!$C31)/'Conversion Tables'!I31)</f>
        <v>NA</v>
      </c>
      <c r="M34" s="16" t="str">
        <f>IF('Conversion Tables'!K31="NA","NA",E34*'Conversion Tables'!K31)</f>
        <v>NA</v>
      </c>
      <c r="N34" s="16" t="str">
        <f>IF('Conversion Tables'!L31="NA","NA",F34*'Conversion Tables'!L31)</f>
        <v>NA</v>
      </c>
      <c r="O34" s="16" t="str">
        <f>IF('Conversion Tables'!M31="NA","NA",G34*'Conversion Tables'!M31)</f>
        <v>NA</v>
      </c>
      <c r="P34" s="16" t="str">
        <f>IF('Conversion Tables'!N31="NA","NA",H34*'Conversion Tables'!N31)</f>
        <v>NA</v>
      </c>
      <c r="Q34" s="7"/>
    </row>
    <row r="35" spans="1:17" x14ac:dyDescent="0.25">
      <c r="A35" s="1065"/>
      <c r="B35" s="11" t="str">
        <f>'Bioenergy Calculator'!B38</f>
        <v>C&amp;D (Non-recycled wood)</v>
      </c>
      <c r="C35" s="294">
        <f>C145</f>
        <v>25802.438399999999</v>
      </c>
      <c r="D35" s="294">
        <f>E35*'Conversion Tables'!C32</f>
        <v>292290.02219520003</v>
      </c>
      <c r="E35" s="294">
        <f>C35*'Prac. Rec. Assumptions'!B29</f>
        <v>16513.560576000003</v>
      </c>
      <c r="F35" s="294">
        <f>($C35*(1+'Biomass Data Assumptions'!G$100)*(1+'Biomass Data Assumptions'!C$83))*'Prac. Rec. Assumptions'!$B29</f>
        <v>17363.227641747533</v>
      </c>
      <c r="G35" s="294">
        <f>($C35*(1+'Biomass Data Assumptions'!H$100)*(1+'Biomass Data Assumptions'!D$83))*'Prac. Rec. Assumptions'!$B29</f>
        <v>18271.967348521284</v>
      </c>
      <c r="H35" s="294">
        <f>($C35*(1+'Biomass Data Assumptions'!I$100)*(1+'Biomass Data Assumptions'!E$83))*'Prac. Rec. Assumptions'!$B29</f>
        <v>19247.5725701314</v>
      </c>
      <c r="I35" s="16" t="str">
        <f>IF('Conversion Tables'!F32="NA","NA",(E35*'Conversion Tables'!$C32)/'Conversion Tables'!F32)</f>
        <v>NA</v>
      </c>
      <c r="J35" s="16" t="str">
        <f>IF('Conversion Tables'!G32="NA","NA",(F35*'Conversion Tables'!$C32)/'Conversion Tables'!G32)</f>
        <v>NA</v>
      </c>
      <c r="K35" s="16" t="str">
        <f>IF('Conversion Tables'!H32="NA","NA",(G35*'Conversion Tables'!$C32)/'Conversion Tables'!H32)</f>
        <v>NA</v>
      </c>
      <c r="L35" s="16" t="str">
        <f>IF('Conversion Tables'!I32="NA","NA",(H35*'Conversion Tables'!$C32)/'Conversion Tables'!I32)</f>
        <v>NA</v>
      </c>
      <c r="M35" s="16" t="str">
        <f>IF('Conversion Tables'!K32="NA","NA",E35*'Conversion Tables'!K32)</f>
        <v>NA</v>
      </c>
      <c r="N35" s="16" t="str">
        <f>IF('Conversion Tables'!L32="NA","NA",F35*'Conversion Tables'!L32)</f>
        <v>NA</v>
      </c>
      <c r="O35" s="16" t="str">
        <f>IF('Conversion Tables'!M32="NA","NA",G35*'Conversion Tables'!M32)</f>
        <v>NA</v>
      </c>
      <c r="P35" s="16" t="str">
        <f>IF('Conversion Tables'!N32="NA","NA",H35*'Conversion Tables'!N32)</f>
        <v>NA</v>
      </c>
      <c r="Q35" s="7"/>
    </row>
    <row r="36" spans="1:17" x14ac:dyDescent="0.25">
      <c r="A36" s="1065"/>
      <c r="B36" s="4" t="s">
        <v>280</v>
      </c>
      <c r="C36" s="294"/>
      <c r="D36" s="294"/>
      <c r="E36" s="294"/>
      <c r="F36" s="294"/>
      <c r="G36" s="294"/>
      <c r="H36" s="294"/>
      <c r="I36" s="16"/>
      <c r="J36" s="16"/>
      <c r="K36" s="16"/>
      <c r="L36" s="16"/>
      <c r="M36" s="16"/>
      <c r="N36" s="16"/>
      <c r="O36" s="16"/>
      <c r="P36" s="16"/>
      <c r="Q36" s="7"/>
    </row>
    <row r="37" spans="1:17" x14ac:dyDescent="0.25">
      <c r="A37" s="1065"/>
      <c r="B37" s="677" t="s">
        <v>563</v>
      </c>
      <c r="C37" s="299">
        <f>C132</f>
        <v>434.83749999999998</v>
      </c>
      <c r="D37" s="294">
        <f>E37*'Conversion Tables'!C34</f>
        <v>6957.4</v>
      </c>
      <c r="E37" s="294">
        <f>C37*'Prac. Rec. Assumptions'!B31</f>
        <v>434.83749999999998</v>
      </c>
      <c r="F37" s="294">
        <f>($C37*(1+'Biomass Data Assumptions'!G$100)*(1+'Biomass Data Assumptions'!C$84))*'Prac. Rec. Assumptions'!$B31</f>
        <v>476.04658395655503</v>
      </c>
      <c r="G37" s="294">
        <f>($C37*(1+'Biomass Data Assumptions'!H$100)*(1+'Biomass Data Assumptions'!D$84))*'Prac. Rec. Assumptions'!$B31</f>
        <v>521.59933863337938</v>
      </c>
      <c r="H37" s="294">
        <f>($C37*(1+'Biomass Data Assumptions'!I$100)*(1+'Biomass Data Assumptions'!E$84))*'Prac. Rec. Assumptions'!$B31</f>
        <v>572.08480789842588</v>
      </c>
      <c r="I37" s="16" t="str">
        <f>IF('Conversion Tables'!F34="NA","NA",(E37*'Conversion Tables'!$C34)/'Conversion Tables'!F34)</f>
        <v>NA</v>
      </c>
      <c r="J37" s="16" t="str">
        <f>IF('Conversion Tables'!G34="NA","NA",(F37*'Conversion Tables'!$C34)/'Conversion Tables'!G34)</f>
        <v>NA</v>
      </c>
      <c r="K37" s="16" t="str">
        <f>IF('Conversion Tables'!H34="NA","NA",(G37*'Conversion Tables'!$C34)/'Conversion Tables'!H34)</f>
        <v>NA</v>
      </c>
      <c r="L37" s="16" t="str">
        <f>IF('Conversion Tables'!I34="NA","NA",(H37*'Conversion Tables'!$C34)/'Conversion Tables'!I34)</f>
        <v>NA</v>
      </c>
      <c r="M37" s="16" t="str">
        <f>IF('Conversion Tables'!K34="NA","NA",E37*'Conversion Tables'!K34)</f>
        <v>NA</v>
      </c>
      <c r="N37" s="16" t="str">
        <f>IF('Conversion Tables'!L34="NA","NA",F37*'Conversion Tables'!L34)</f>
        <v>NA</v>
      </c>
      <c r="O37" s="16" t="str">
        <f>IF('Conversion Tables'!M34="NA","NA",G37*'Conversion Tables'!M34)</f>
        <v>NA</v>
      </c>
      <c r="P37" s="16" t="str">
        <f>IF('Conversion Tables'!N34="NA","NA",H37*'Conversion Tables'!N34)</f>
        <v>NA</v>
      </c>
      <c r="Q37" s="18"/>
    </row>
    <row r="38" spans="1:17" x14ac:dyDescent="0.25">
      <c r="A38" s="1065"/>
      <c r="B38" s="11" t="s">
        <v>565</v>
      </c>
      <c r="C38" s="294">
        <f>C134</f>
        <v>21998.567999999999</v>
      </c>
      <c r="D38" s="294">
        <f>E38*'Conversion Tables'!C35</f>
        <v>194687.32679999998</v>
      </c>
      <c r="E38" s="294">
        <f>C38*'Prac. Rec. Assumptions'!B32</f>
        <v>10999.284</v>
      </c>
      <c r="F38" s="294">
        <f>($C38*(1+'Biomass Data Assumptions'!G$100)*(1+'Biomass Data Assumptions'!C$84))*'Prac. Rec. Assumptions'!$B32</f>
        <v>12041.674359198532</v>
      </c>
      <c r="G38" s="294">
        <f>($C38*(1+'Biomass Data Assumptions'!H$100)*(1+'Biomass Data Assumptions'!D$84))*'Prac. Rec. Assumptions'!$B32</f>
        <v>13193.938562890073</v>
      </c>
      <c r="H38" s="294">
        <f>($C38*(1+'Biomass Data Assumptions'!I$100)*(1+'Biomass Data Assumptions'!E$84))*'Prac. Rec. Assumptions'!$B32</f>
        <v>14470.976569776594</v>
      </c>
      <c r="I38" s="16" t="str">
        <f>IF('Conversion Tables'!F35="NA","NA",(E38*'Conversion Tables'!$C35)/'Conversion Tables'!F35)</f>
        <v>NA</v>
      </c>
      <c r="J38" s="16" t="str">
        <f>IF('Conversion Tables'!G35="NA","NA",(F38*'Conversion Tables'!$C35)/'Conversion Tables'!G35)</f>
        <v>NA</v>
      </c>
      <c r="K38" s="16" t="str">
        <f>IF('Conversion Tables'!H35="NA","NA",(G38*'Conversion Tables'!$C35)/'Conversion Tables'!H35)</f>
        <v>NA</v>
      </c>
      <c r="L38" s="16" t="str">
        <f>IF('Conversion Tables'!I35="NA","NA",(H38*'Conversion Tables'!$C35)/'Conversion Tables'!I35)</f>
        <v>NA</v>
      </c>
      <c r="M38" s="16" t="str">
        <f>IF('Conversion Tables'!K35="NA","NA",E38*'Conversion Tables'!K35)</f>
        <v>NA</v>
      </c>
      <c r="N38" s="16" t="str">
        <f>IF('Conversion Tables'!L35="NA","NA",F38*'Conversion Tables'!L35)</f>
        <v>NA</v>
      </c>
      <c r="O38" s="16" t="str">
        <f>IF('Conversion Tables'!M35="NA","NA",G38*'Conversion Tables'!M35)</f>
        <v>NA</v>
      </c>
      <c r="P38" s="16" t="str">
        <f>IF('Conversion Tables'!N35="NA","NA",H38*'Conversion Tables'!N35)</f>
        <v>NA</v>
      </c>
      <c r="Q38" s="13"/>
    </row>
    <row r="39" spans="1:17" x14ac:dyDescent="0.25">
      <c r="A39" s="1065"/>
      <c r="B39" s="17" t="s">
        <v>555</v>
      </c>
      <c r="C39" s="294">
        <f>C124</f>
        <v>37196.334000000003</v>
      </c>
      <c r="D39" s="299">
        <f>E39*'Conversion Tables'!C36</f>
        <v>0</v>
      </c>
      <c r="E39" s="299">
        <f>C39*'Prac. Rec. Assumptions'!B33</f>
        <v>0</v>
      </c>
      <c r="F39" s="294">
        <f>($C39*(1+'Biomass Data Assumptions'!G$100)*(1+'Biomass Data Assumptions'!C$84))*'Prac. Rec. Assumptions'!$B33</f>
        <v>0</v>
      </c>
      <c r="G39" s="294">
        <f>($C39*(1+'Biomass Data Assumptions'!H$100)*(1+'Biomass Data Assumptions'!D$84))*'Prac. Rec. Assumptions'!$B33</f>
        <v>0</v>
      </c>
      <c r="H39" s="294">
        <f>($C39*(1+'Biomass Data Assumptions'!I$100)*(1+'Biomass Data Assumptions'!E$84))*'Prac. Rec. Assumptions'!$B33</f>
        <v>0</v>
      </c>
      <c r="I39" s="16" t="str">
        <f>IF('Conversion Tables'!F36="NA","NA",(E39*'Conversion Tables'!$C36)/'Conversion Tables'!F36)</f>
        <v>NA</v>
      </c>
      <c r="J39" s="16" t="str">
        <f>IF('Conversion Tables'!G36="NA","NA",(F39*'Conversion Tables'!$C36)/'Conversion Tables'!G36)</f>
        <v>NA</v>
      </c>
      <c r="K39" s="16" t="str">
        <f>IF('Conversion Tables'!H36="NA","NA",(G39*'Conversion Tables'!$C36)/'Conversion Tables'!H36)</f>
        <v>NA</v>
      </c>
      <c r="L39" s="16" t="str">
        <f>IF('Conversion Tables'!I36="NA","NA",(H39*'Conversion Tables'!$C36)/'Conversion Tables'!I36)</f>
        <v>NA</v>
      </c>
      <c r="M39" s="16" t="str">
        <f>IF('Conversion Tables'!K36="NA","NA",E39*'Conversion Tables'!K36)</f>
        <v>NA</v>
      </c>
      <c r="N39" s="16" t="str">
        <f>IF('Conversion Tables'!L36="NA","NA",F39*'Conversion Tables'!L36)</f>
        <v>NA</v>
      </c>
      <c r="O39" s="16" t="str">
        <f>IF('Conversion Tables'!M36="NA","NA",G39*'Conversion Tables'!M36)</f>
        <v>NA</v>
      </c>
      <c r="P39" s="16" t="str">
        <f>IF('Conversion Tables'!N36="NA","NA",H39*'Conversion Tables'!N36)</f>
        <v>NA</v>
      </c>
      <c r="Q39" s="27"/>
    </row>
    <row r="40" spans="1:17" x14ac:dyDescent="0.25">
      <c r="A40" s="1065"/>
      <c r="B40" s="17" t="s">
        <v>556</v>
      </c>
      <c r="C40" s="294">
        <f>C125</f>
        <v>21370.392</v>
      </c>
      <c r="D40" s="299">
        <f>E40*'Conversion Tables'!C37</f>
        <v>0</v>
      </c>
      <c r="E40" s="299">
        <f>C40*'Prac. Rec. Assumptions'!B34</f>
        <v>0</v>
      </c>
      <c r="F40" s="294">
        <f>($C40*(1+'Biomass Data Assumptions'!G$100)*(1+'Biomass Data Assumptions'!C$84))*'Prac. Rec. Assumptions'!$B34</f>
        <v>0</v>
      </c>
      <c r="G40" s="294">
        <f>($C40*(1+'Biomass Data Assumptions'!H$100)*(1+'Biomass Data Assumptions'!D$84))*'Prac. Rec. Assumptions'!$B34</f>
        <v>0</v>
      </c>
      <c r="H40" s="294">
        <f>($C40*(1+'Biomass Data Assumptions'!I$100)*(1+'Biomass Data Assumptions'!E$84))*'Prac. Rec. Assumptions'!$B34</f>
        <v>0</v>
      </c>
      <c r="I40" s="16" t="str">
        <f>IF('Conversion Tables'!F37="NA","NA",(E40*'Conversion Tables'!$C37)/'Conversion Tables'!F37)</f>
        <v>NA</v>
      </c>
      <c r="J40" s="16" t="str">
        <f>IF('Conversion Tables'!G37="NA","NA",(F40*'Conversion Tables'!$C37)/'Conversion Tables'!G37)</f>
        <v>NA</v>
      </c>
      <c r="K40" s="16" t="str">
        <f>IF('Conversion Tables'!H37="NA","NA",(G40*'Conversion Tables'!$C37)/'Conversion Tables'!H37)</f>
        <v>NA</v>
      </c>
      <c r="L40" s="16" t="str">
        <f>IF('Conversion Tables'!I37="NA","NA",(H40*'Conversion Tables'!$C37)/'Conversion Tables'!I37)</f>
        <v>NA</v>
      </c>
      <c r="M40" s="16" t="str">
        <f>IF('Conversion Tables'!K37="NA","NA",E40*'Conversion Tables'!K37)</f>
        <v>NA</v>
      </c>
      <c r="N40" s="16" t="str">
        <f>IF('Conversion Tables'!L37="NA","NA",F40*'Conversion Tables'!L37)</f>
        <v>NA</v>
      </c>
      <c r="O40" s="16" t="str">
        <f>IF('Conversion Tables'!M37="NA","NA",G40*'Conversion Tables'!M37)</f>
        <v>NA</v>
      </c>
      <c r="P40" s="16" t="str">
        <f>IF('Conversion Tables'!N37="NA","NA",H40*'Conversion Tables'!N37)</f>
        <v>NA</v>
      </c>
      <c r="Q40" s="27"/>
    </row>
    <row r="41" spans="1:17" x14ac:dyDescent="0.25">
      <c r="A41" s="1065"/>
      <c r="B41" s="17" t="s">
        <v>557</v>
      </c>
      <c r="C41" s="294">
        <f>C126</f>
        <v>8930.9969999999994</v>
      </c>
      <c r="D41" s="299">
        <f>E41*'Conversion Tables'!C38</f>
        <v>0</v>
      </c>
      <c r="E41" s="299">
        <f>C41*'Prac. Rec. Assumptions'!B35</f>
        <v>0</v>
      </c>
      <c r="F41" s="294">
        <f>($C41*(1+'Biomass Data Assumptions'!G$100)*(1+'Biomass Data Assumptions'!C$84))*'Prac. Rec. Assumptions'!$B35</f>
        <v>0</v>
      </c>
      <c r="G41" s="294">
        <f>($C41*(1+'Biomass Data Assumptions'!H$100)*(1+'Biomass Data Assumptions'!D$84))*'Prac. Rec. Assumptions'!$B35</f>
        <v>0</v>
      </c>
      <c r="H41" s="294">
        <f>($C41*(1+'Biomass Data Assumptions'!I$100)*(1+'Biomass Data Assumptions'!E$84))*'Prac. Rec. Assumptions'!$B35</f>
        <v>0</v>
      </c>
      <c r="I41" s="16" t="str">
        <f>IF('Conversion Tables'!F38="NA","NA",(E41*'Conversion Tables'!$C38)/'Conversion Tables'!F38)</f>
        <v>NA</v>
      </c>
      <c r="J41" s="16" t="str">
        <f>IF('Conversion Tables'!G38="NA","NA",(F41*'Conversion Tables'!$C38)/'Conversion Tables'!G38)</f>
        <v>NA</v>
      </c>
      <c r="K41" s="16" t="str">
        <f>IF('Conversion Tables'!H38="NA","NA",(G41*'Conversion Tables'!$C38)/'Conversion Tables'!H38)</f>
        <v>NA</v>
      </c>
      <c r="L41" s="16" t="str">
        <f>IF('Conversion Tables'!I38="NA","NA",(H41*'Conversion Tables'!$C38)/'Conversion Tables'!I38)</f>
        <v>NA</v>
      </c>
      <c r="M41" s="16" t="str">
        <f>IF('Conversion Tables'!K38="NA","NA",E41*'Conversion Tables'!K38)</f>
        <v>NA</v>
      </c>
      <c r="N41" s="16" t="str">
        <f>IF('Conversion Tables'!L38="NA","NA",F41*'Conversion Tables'!L38)</f>
        <v>NA</v>
      </c>
      <c r="O41" s="16" t="str">
        <f>IF('Conversion Tables'!M38="NA","NA",G41*'Conversion Tables'!M38)</f>
        <v>NA</v>
      </c>
      <c r="P41" s="16" t="str">
        <f>IF('Conversion Tables'!N38="NA","NA",H41*'Conversion Tables'!N38)</f>
        <v>NA</v>
      </c>
      <c r="Q41" s="27"/>
    </row>
    <row r="42" spans="1:17" x14ac:dyDescent="0.25">
      <c r="A42" s="1065"/>
      <c r="B42" s="17" t="s">
        <v>558</v>
      </c>
      <c r="C42" s="294">
        <f>C127</f>
        <v>25009.011000000002</v>
      </c>
      <c r="D42" s="299">
        <f>E42*'Conversion Tables'!C39</f>
        <v>363180.85774200002</v>
      </c>
      <c r="E42" s="299">
        <f>C42*'Prac. Rec. Assumptions'!B36</f>
        <v>25009.011000000002</v>
      </c>
      <c r="F42" s="294">
        <f>($C42*(1+'Biomass Data Assumptions'!G$100)*(1+'Biomass Data Assumptions'!C$84))*'Prac. Rec. Assumptions'!$B36</f>
        <v>27379.088175886187</v>
      </c>
      <c r="G42" s="294">
        <f>($C42*(1+'Biomass Data Assumptions'!H$100)*(1+'Biomass Data Assumptions'!D$84))*'Prac. Rec. Assumptions'!$B36</f>
        <v>29998.984902348377</v>
      </c>
      <c r="H42" s="294">
        <f>($C42*(1+'Biomass Data Assumptions'!I$100)*(1+'Biomass Data Assumptions'!E$84))*'Prac. Rec. Assumptions'!$B36</f>
        <v>32902.579132813109</v>
      </c>
      <c r="I42" s="16" t="str">
        <f>IF('Conversion Tables'!F39="NA","NA",(E42*'Conversion Tables'!$C39)/'Conversion Tables'!F39)</f>
        <v>NA</v>
      </c>
      <c r="J42" s="16" t="str">
        <f>IF('Conversion Tables'!G39="NA","NA",(F42*'Conversion Tables'!$C39)/'Conversion Tables'!G39)</f>
        <v>NA</v>
      </c>
      <c r="K42" s="16" t="str">
        <f>IF('Conversion Tables'!H39="NA","NA",(G42*'Conversion Tables'!$C39)/'Conversion Tables'!H39)</f>
        <v>NA</v>
      </c>
      <c r="L42" s="16" t="str">
        <f>IF('Conversion Tables'!I39="NA","NA",(H42*'Conversion Tables'!$C39)/'Conversion Tables'!I39)</f>
        <v>NA</v>
      </c>
      <c r="M42" s="16" t="str">
        <f>IF('Conversion Tables'!K39="NA","NA",E42*'Conversion Tables'!K39)</f>
        <v>NA</v>
      </c>
      <c r="N42" s="16" t="str">
        <f>IF('Conversion Tables'!L39="NA","NA",F42*'Conversion Tables'!L39)</f>
        <v>NA</v>
      </c>
      <c r="O42" s="16" t="str">
        <f>IF('Conversion Tables'!M39="NA","NA",G42*'Conversion Tables'!M39)</f>
        <v>NA</v>
      </c>
      <c r="P42" s="16" t="str">
        <f>IF('Conversion Tables'!N39="NA","NA",H42*'Conversion Tables'!N39)</f>
        <v>NA</v>
      </c>
      <c r="Q42" s="27"/>
    </row>
    <row r="43" spans="1:17" x14ac:dyDescent="0.25">
      <c r="A43" s="1065"/>
      <c r="B43" s="9" t="s">
        <v>524</v>
      </c>
      <c r="C43" s="295">
        <f t="shared" ref="C43:P43" si="4">SUM(C31:C42)</f>
        <v>272515.48841039999</v>
      </c>
      <c r="D43" s="295">
        <f t="shared" si="4"/>
        <v>2294957.3416599799</v>
      </c>
      <c r="E43" s="295">
        <f t="shared" si="4"/>
        <v>150898.69082416</v>
      </c>
      <c r="F43" s="295">
        <f t="shared" si="4"/>
        <v>155251.24551594336</v>
      </c>
      <c r="G43" s="295">
        <f t="shared" si="4"/>
        <v>160109.39297150387</v>
      </c>
      <c r="H43" s="295">
        <f t="shared" si="4"/>
        <v>165546.63270015511</v>
      </c>
      <c r="I43" s="19">
        <f t="shared" si="4"/>
        <v>0</v>
      </c>
      <c r="J43" s="19">
        <f t="shared" si="4"/>
        <v>0</v>
      </c>
      <c r="K43" s="19">
        <f t="shared" si="4"/>
        <v>0</v>
      </c>
      <c r="L43" s="19">
        <f t="shared" si="4"/>
        <v>0</v>
      </c>
      <c r="M43" s="19">
        <f t="shared" si="4"/>
        <v>0</v>
      </c>
      <c r="N43" s="19">
        <f t="shared" si="4"/>
        <v>0</v>
      </c>
      <c r="O43" s="19">
        <f t="shared" si="4"/>
        <v>0</v>
      </c>
      <c r="P43" s="19">
        <f t="shared" si="4"/>
        <v>0</v>
      </c>
      <c r="Q43" s="19"/>
    </row>
    <row r="44" spans="1:17" x14ac:dyDescent="0.25">
      <c r="A44" s="8"/>
      <c r="C44" s="296"/>
      <c r="D44" s="296"/>
      <c r="E44" s="296"/>
      <c r="F44" s="296"/>
      <c r="G44" s="296"/>
      <c r="H44" s="296"/>
      <c r="I44" s="28"/>
      <c r="J44" s="28"/>
      <c r="K44" s="28"/>
      <c r="L44" s="28"/>
      <c r="M44" s="28"/>
      <c r="N44" s="28"/>
      <c r="O44" s="28"/>
      <c r="P44" s="28"/>
    </row>
    <row r="45" spans="1:17" x14ac:dyDescent="0.25">
      <c r="A45" s="1064" t="s">
        <v>515</v>
      </c>
      <c r="B45" s="2" t="s">
        <v>510</v>
      </c>
      <c r="C45" s="294"/>
      <c r="D45" s="294"/>
      <c r="E45" s="294"/>
      <c r="F45" s="294"/>
      <c r="G45" s="294"/>
      <c r="H45" s="294"/>
      <c r="I45" s="16"/>
      <c r="J45" s="16"/>
      <c r="K45" s="16"/>
      <c r="L45" s="16"/>
      <c r="M45" s="16"/>
      <c r="N45" s="16"/>
      <c r="O45" s="16"/>
      <c r="P45" s="16"/>
      <c r="Q45" s="7"/>
    </row>
    <row r="46" spans="1:17" x14ac:dyDescent="0.25">
      <c r="A46" s="1064"/>
      <c r="B46" s="12" t="s">
        <v>525</v>
      </c>
      <c r="C46" s="294">
        <f>D77</f>
        <v>0</v>
      </c>
      <c r="D46" s="294">
        <f>E46*'Conversion Tables'!C41</f>
        <v>0</v>
      </c>
      <c r="E46" s="294">
        <f>C46*'Prac. Rec. Assumptions'!B38</f>
        <v>0</v>
      </c>
      <c r="F46" s="294">
        <f>$E46</f>
        <v>0</v>
      </c>
      <c r="G46" s="294">
        <f>$E46</f>
        <v>0</v>
      </c>
      <c r="H46" s="294">
        <f>$E46</f>
        <v>0</v>
      </c>
      <c r="I46" s="16" t="str">
        <f>IF('Conversion Tables'!F41="NA","NA",(E46*'Conversion Tables'!$C41)/'Conversion Tables'!F41)</f>
        <v>NA</v>
      </c>
      <c r="J46" s="16" t="str">
        <f>IF('Conversion Tables'!G41="NA","NA",(F46*'Conversion Tables'!$C41)/'Conversion Tables'!G41)</f>
        <v>NA</v>
      </c>
      <c r="K46" s="16" t="str">
        <f>IF('Conversion Tables'!H41="NA","NA",(G46*'Conversion Tables'!$C41)/'Conversion Tables'!H41)</f>
        <v>NA</v>
      </c>
      <c r="L46" s="16" t="str">
        <f>IF('Conversion Tables'!I41="NA","NA",(H46*'Conversion Tables'!$C41)/'Conversion Tables'!I41)</f>
        <v>NA</v>
      </c>
      <c r="M46" s="16" t="str">
        <f>IF('Conversion Tables'!K41="NA","NA",E46*'Conversion Tables'!K41)</f>
        <v>NA</v>
      </c>
      <c r="N46" s="16" t="str">
        <f>IF('Conversion Tables'!L41="NA","NA",F46*'Conversion Tables'!L41)</f>
        <v>NA</v>
      </c>
      <c r="O46" s="16" t="str">
        <f>IF('Conversion Tables'!M41="NA","NA",G46*'Conversion Tables'!M41)</f>
        <v>NA</v>
      </c>
      <c r="P46" s="16" t="str">
        <f>IF('Conversion Tables'!N41="NA","NA",H46*'Conversion Tables'!N41)</f>
        <v>NA</v>
      </c>
      <c r="Q46" s="15"/>
    </row>
    <row r="47" spans="1:17" x14ac:dyDescent="0.25">
      <c r="A47" s="1065"/>
      <c r="B47" s="2" t="s">
        <v>508</v>
      </c>
      <c r="C47" s="294">
        <f t="shared" ref="C47:C48" si="5">C148</f>
        <v>2372.1548400000001</v>
      </c>
      <c r="D47" s="294"/>
      <c r="E47" s="294">
        <f>C47*'Prac. Rec. Assumptions'!B39</f>
        <v>1186.0774200000001</v>
      </c>
      <c r="F47" s="294">
        <f>($C47*(1+'Biomass Data Assumptions'!G$100))*'Prac. Rec. Assumptions'!$B39</f>
        <v>1187.4796395473738</v>
      </c>
      <c r="G47" s="294">
        <f>($C47*(1+'Biomass Data Assumptions'!H$100))*'Prac. Rec. Assumptions'!$B39</f>
        <v>1189.8834444857289</v>
      </c>
      <c r="H47" s="294">
        <f>($C47*(1+'Biomass Data Assumptions'!I$100))*'Prac. Rec. Assumptions'!$B39</f>
        <v>1193.4891518932616</v>
      </c>
      <c r="I47" s="16" t="str">
        <f>IF('Conversion Tables'!F42="NA","NA",(E47*'Conversion Tables'!$C42)/'Conversion Tables'!F42)</f>
        <v>NA</v>
      </c>
      <c r="J47" s="16" t="str">
        <f>IF('Conversion Tables'!G42="NA","NA",(F47*'Conversion Tables'!$C42)/'Conversion Tables'!G42)</f>
        <v>NA</v>
      </c>
      <c r="K47" s="16" t="str">
        <f>IF('Conversion Tables'!H42="NA","NA",(G47*'Conversion Tables'!$C42)/'Conversion Tables'!H42)</f>
        <v>NA</v>
      </c>
      <c r="L47" s="16" t="str">
        <f>IF('Conversion Tables'!I42="NA","NA",(H47*'Conversion Tables'!$C42)/'Conversion Tables'!I42)</f>
        <v>NA</v>
      </c>
      <c r="M47" s="16" t="str">
        <f>IF('Conversion Tables'!K42="NA","NA",E47*'Conversion Tables'!K42)</f>
        <v>NA</v>
      </c>
      <c r="N47" s="16" t="str">
        <f>IF('Conversion Tables'!L42="NA","NA",F47*'Conversion Tables'!L42)</f>
        <v>NA</v>
      </c>
      <c r="O47" s="16" t="str">
        <f>IF('Conversion Tables'!M42="NA","NA",G47*'Conversion Tables'!M42)</f>
        <v>NA</v>
      </c>
      <c r="P47" s="16" t="str">
        <f>IF('Conversion Tables'!N42="NA","NA",H47*'Conversion Tables'!N42)</f>
        <v>NA</v>
      </c>
      <c r="Q47" s="7"/>
    </row>
    <row r="48" spans="1:17" x14ac:dyDescent="0.25">
      <c r="A48" s="1065"/>
      <c r="B48" s="1" t="s">
        <v>509</v>
      </c>
      <c r="C48" s="294">
        <f t="shared" si="5"/>
        <v>212.00341050000003</v>
      </c>
      <c r="D48" s="294"/>
      <c r="E48" s="294">
        <f>C48*'Prac. Rec. Assumptions'!B40</f>
        <v>212.00341050000003</v>
      </c>
      <c r="F48" s="294">
        <f>($C48*(1+'Biomass Data Assumptions'!G$100))*'Prac. Rec. Assumptions'!$B40</f>
        <v>212.25404787096778</v>
      </c>
      <c r="G48" s="294">
        <f>($C48*(1+'Biomass Data Assumptions'!H$100))*'Prac. Rec. Assumptions'!$B40</f>
        <v>212.68371193548393</v>
      </c>
      <c r="H48" s="294">
        <f>($C48*(1+'Biomass Data Assumptions'!I$100))*'Prac. Rec. Assumptions'!$B40</f>
        <v>213.32820803225812</v>
      </c>
      <c r="I48" s="16" t="str">
        <f>IF('Conversion Tables'!F43="NA","NA",(E48*'Conversion Tables'!$C43)/'Conversion Tables'!F43)</f>
        <v>NA</v>
      </c>
      <c r="J48" s="16" t="str">
        <f>IF('Conversion Tables'!G43="NA","NA",(F48*'Conversion Tables'!$C43)/'Conversion Tables'!G43)</f>
        <v>NA</v>
      </c>
      <c r="K48" s="16" t="str">
        <f>IF('Conversion Tables'!H43="NA","NA",(G48*'Conversion Tables'!$C43)/'Conversion Tables'!H43)</f>
        <v>NA</v>
      </c>
      <c r="L48" s="16" t="str">
        <f>IF('Conversion Tables'!I43="NA","NA",(H48*'Conversion Tables'!$C43)/'Conversion Tables'!I43)</f>
        <v>NA</v>
      </c>
      <c r="M48" s="16" t="str">
        <f>IF('Conversion Tables'!K43="NA","NA",E48*'Conversion Tables'!K43)</f>
        <v>NA</v>
      </c>
      <c r="N48" s="16" t="str">
        <f>IF('Conversion Tables'!L43="NA","NA",F48*'Conversion Tables'!L43)</f>
        <v>NA</v>
      </c>
      <c r="O48" s="16" t="str">
        <f>IF('Conversion Tables'!M43="NA","NA",G48*'Conversion Tables'!M43)</f>
        <v>NA</v>
      </c>
      <c r="P48" s="16" t="str">
        <f>IF('Conversion Tables'!N43="NA","NA",H48*'Conversion Tables'!N43)</f>
        <v>NA</v>
      </c>
      <c r="Q48" s="7"/>
    </row>
    <row r="49" spans="1:17" x14ac:dyDescent="0.25">
      <c r="A49" s="1065"/>
      <c r="B49" s="9" t="s">
        <v>524</v>
      </c>
      <c r="C49" s="295">
        <f t="shared" ref="C49:P49" si="6">SUM(C45:C48)</f>
        <v>2584.1582505000001</v>
      </c>
      <c r="D49" s="295">
        <f>SUM(D45:D48)</f>
        <v>0</v>
      </c>
      <c r="E49" s="295">
        <f t="shared" si="6"/>
        <v>1398.0808305</v>
      </c>
      <c r="F49" s="295">
        <f>SUM(F45:F48)</f>
        <v>1399.7336874183416</v>
      </c>
      <c r="G49" s="295">
        <f>SUM(G45:G48)</f>
        <v>1402.5671564212128</v>
      </c>
      <c r="H49" s="295">
        <f>SUM(H45:H48)</f>
        <v>1406.8173599255197</v>
      </c>
      <c r="I49" s="19">
        <f t="shared" si="6"/>
        <v>0</v>
      </c>
      <c r="J49" s="19">
        <f t="shared" si="6"/>
        <v>0</v>
      </c>
      <c r="K49" s="19">
        <f t="shared" si="6"/>
        <v>0</v>
      </c>
      <c r="L49" s="19">
        <f t="shared" si="6"/>
        <v>0</v>
      </c>
      <c r="M49" s="19">
        <f t="shared" si="6"/>
        <v>0</v>
      </c>
      <c r="N49" s="19">
        <f t="shared" si="6"/>
        <v>0</v>
      </c>
      <c r="O49" s="19">
        <f t="shared" si="6"/>
        <v>0</v>
      </c>
      <c r="P49" s="19">
        <f t="shared" si="6"/>
        <v>0</v>
      </c>
      <c r="Q49" s="19"/>
    </row>
    <row r="50" spans="1:17" x14ac:dyDescent="0.25">
      <c r="A50" s="8"/>
      <c r="C50" s="296"/>
      <c r="D50" s="296"/>
      <c r="E50" s="296"/>
      <c r="F50" s="296"/>
      <c r="G50" s="296"/>
      <c r="H50" s="296"/>
      <c r="I50" s="28"/>
      <c r="J50" s="28"/>
      <c r="K50" s="28"/>
      <c r="L50" s="28"/>
      <c r="M50" s="28"/>
      <c r="N50" s="28"/>
      <c r="O50" s="28"/>
      <c r="P50" s="28"/>
    </row>
    <row r="51" spans="1:17" x14ac:dyDescent="0.25">
      <c r="A51" s="1200" t="s">
        <v>517</v>
      </c>
      <c r="B51" s="2" t="s">
        <v>505</v>
      </c>
      <c r="C51" s="294"/>
      <c r="D51" s="294"/>
      <c r="E51" s="294"/>
      <c r="F51" s="294"/>
      <c r="G51" s="294"/>
      <c r="H51" s="294"/>
      <c r="I51" s="16"/>
      <c r="J51" s="16"/>
      <c r="K51" s="16"/>
      <c r="L51" s="16"/>
      <c r="M51" s="16"/>
      <c r="N51" s="16"/>
      <c r="O51" s="16"/>
      <c r="P51" s="16"/>
      <c r="Q51" s="7"/>
    </row>
    <row r="52" spans="1:17" x14ac:dyDescent="0.25">
      <c r="A52" s="1201"/>
      <c r="B52" s="12" t="s">
        <v>535</v>
      </c>
      <c r="C52" s="294">
        <f>G97</f>
        <v>0</v>
      </c>
      <c r="D52" s="299">
        <f>E52*'Conversion Tables'!C45</f>
        <v>0</v>
      </c>
      <c r="E52" s="299">
        <f>C52*'Prac. Rec. Assumptions'!B42</f>
        <v>0</v>
      </c>
      <c r="F52" s="294">
        <f t="shared" ref="F52:H59" si="7">$E52</f>
        <v>0</v>
      </c>
      <c r="G52" s="294">
        <f t="shared" si="7"/>
        <v>0</v>
      </c>
      <c r="H52" s="294">
        <f t="shared" si="7"/>
        <v>0</v>
      </c>
      <c r="I52" s="16" t="str">
        <f>IF('Conversion Tables'!F45="NA","NA",(E52*'Conversion Tables'!$C45)/'Conversion Tables'!F45)</f>
        <v>NA</v>
      </c>
      <c r="J52" s="16" t="str">
        <f>IF('Conversion Tables'!G45="NA","NA",(F52*'Conversion Tables'!$C45)/'Conversion Tables'!G45)</f>
        <v>NA</v>
      </c>
      <c r="K52" s="16" t="str">
        <f>IF('Conversion Tables'!H45="NA","NA",(G52*'Conversion Tables'!$C45)/'Conversion Tables'!H45)</f>
        <v>NA</v>
      </c>
      <c r="L52" s="16" t="str">
        <f>IF('Conversion Tables'!I45="NA","NA",(H52*'Conversion Tables'!$C45)/'Conversion Tables'!I45)</f>
        <v>NA</v>
      </c>
      <c r="M52" s="16" t="str">
        <f>IF('Conversion Tables'!K45="NA","NA",E52*'Conversion Tables'!K45)</f>
        <v>NA</v>
      </c>
      <c r="N52" s="16" t="str">
        <f>IF('Conversion Tables'!L45="NA","NA",F52*'Conversion Tables'!L45)</f>
        <v>NA</v>
      </c>
      <c r="O52" s="16" t="str">
        <f>IF('Conversion Tables'!M45="NA","NA",G52*'Conversion Tables'!M45)</f>
        <v>NA</v>
      </c>
      <c r="P52" s="16" t="str">
        <f>IF('Conversion Tables'!N45="NA","NA",H52*'Conversion Tables'!N45)</f>
        <v>NA</v>
      </c>
      <c r="Q52" s="27"/>
    </row>
    <row r="53" spans="1:17" x14ac:dyDescent="0.25">
      <c r="A53" s="1201"/>
      <c r="B53" s="12" t="s">
        <v>539</v>
      </c>
      <c r="C53" s="294">
        <f>G104</f>
        <v>0</v>
      </c>
      <c r="D53" s="299">
        <f>E53*'Conversion Tables'!C46</f>
        <v>0</v>
      </c>
      <c r="E53" s="299">
        <f>C53*'Prac. Rec. Assumptions'!B43</f>
        <v>0</v>
      </c>
      <c r="F53" s="294">
        <f t="shared" si="7"/>
        <v>0</v>
      </c>
      <c r="G53" s="294">
        <f t="shared" si="7"/>
        <v>0</v>
      </c>
      <c r="H53" s="294">
        <f t="shared" si="7"/>
        <v>0</v>
      </c>
      <c r="I53" s="16" t="str">
        <f>IF('Conversion Tables'!F46="NA","NA",(E53*'Conversion Tables'!$C46)/'Conversion Tables'!F46)</f>
        <v>NA</v>
      </c>
      <c r="J53" s="16" t="str">
        <f>IF('Conversion Tables'!G46="NA","NA",(F53*'Conversion Tables'!$C46)/'Conversion Tables'!G46)</f>
        <v>NA</v>
      </c>
      <c r="K53" s="16" t="str">
        <f>IF('Conversion Tables'!H46="NA","NA",(G53*'Conversion Tables'!$C46)/'Conversion Tables'!H46)</f>
        <v>NA</v>
      </c>
      <c r="L53" s="16" t="str">
        <f>IF('Conversion Tables'!I46="NA","NA",(H53*'Conversion Tables'!$C46)/'Conversion Tables'!I46)</f>
        <v>NA</v>
      </c>
      <c r="M53" s="16" t="str">
        <f>IF('Conversion Tables'!K46="NA","NA",E53*'Conversion Tables'!K46)</f>
        <v>NA</v>
      </c>
      <c r="N53" s="16" t="str">
        <f>IF('Conversion Tables'!L46="NA","NA",F53*'Conversion Tables'!L46)</f>
        <v>NA</v>
      </c>
      <c r="O53" s="16" t="str">
        <f>IF('Conversion Tables'!M46="NA","NA",G53*'Conversion Tables'!M46)</f>
        <v>NA</v>
      </c>
      <c r="P53" s="16" t="str">
        <f>IF('Conversion Tables'!N46="NA","NA",H53*'Conversion Tables'!N46)</f>
        <v>NA</v>
      </c>
      <c r="Q53" s="27"/>
    </row>
    <row r="54" spans="1:17" x14ac:dyDescent="0.25">
      <c r="A54" s="1201"/>
      <c r="B54" s="12" t="s">
        <v>545</v>
      </c>
      <c r="C54" s="294">
        <f>G106</f>
        <v>0</v>
      </c>
      <c r="D54" s="299">
        <f>E54*'Conversion Tables'!C47</f>
        <v>0</v>
      </c>
      <c r="E54" s="299">
        <f>C54*'Prac. Rec. Assumptions'!B44</f>
        <v>0</v>
      </c>
      <c r="F54" s="294">
        <f t="shared" si="7"/>
        <v>0</v>
      </c>
      <c r="G54" s="294">
        <f t="shared" si="7"/>
        <v>0</v>
      </c>
      <c r="H54" s="294">
        <f t="shared" si="7"/>
        <v>0</v>
      </c>
      <c r="I54" s="16" t="str">
        <f>IF('Conversion Tables'!F47="NA","NA",(E54*'Conversion Tables'!$C47)/'Conversion Tables'!F47)</f>
        <v>NA</v>
      </c>
      <c r="J54" s="16" t="str">
        <f>IF('Conversion Tables'!G47="NA","NA",(F54*'Conversion Tables'!$C47)/'Conversion Tables'!G47)</f>
        <v>NA</v>
      </c>
      <c r="K54" s="16" t="str">
        <f>IF('Conversion Tables'!H47="NA","NA",(G54*'Conversion Tables'!$C47)/'Conversion Tables'!H47)</f>
        <v>NA</v>
      </c>
      <c r="L54" s="16" t="str">
        <f>IF('Conversion Tables'!I47="NA","NA",(H54*'Conversion Tables'!$C47)/'Conversion Tables'!I47)</f>
        <v>NA</v>
      </c>
      <c r="M54" s="16" t="str">
        <f>IF('Conversion Tables'!K47="NA","NA",E54*'Conversion Tables'!K47)</f>
        <v>NA</v>
      </c>
      <c r="N54" s="16" t="str">
        <f>IF('Conversion Tables'!L47="NA","NA",F54*'Conversion Tables'!L47)</f>
        <v>NA</v>
      </c>
      <c r="O54" s="16" t="str">
        <f>IF('Conversion Tables'!M47="NA","NA",G54*'Conversion Tables'!M47)</f>
        <v>NA</v>
      </c>
      <c r="P54" s="16" t="str">
        <f>IF('Conversion Tables'!N47="NA","NA",H54*'Conversion Tables'!N47)</f>
        <v>NA</v>
      </c>
      <c r="Q54" s="27"/>
    </row>
    <row r="55" spans="1:17" x14ac:dyDescent="0.25">
      <c r="A55" s="1201"/>
      <c r="B55" s="12" t="s">
        <v>546</v>
      </c>
      <c r="C55" s="294">
        <f>G108</f>
        <v>0</v>
      </c>
      <c r="D55" s="299">
        <f>E55*'Conversion Tables'!C48</f>
        <v>0</v>
      </c>
      <c r="E55" s="299">
        <f>C55*'Prac. Rec. Assumptions'!B45</f>
        <v>0</v>
      </c>
      <c r="F55" s="294">
        <f t="shared" si="7"/>
        <v>0</v>
      </c>
      <c r="G55" s="294">
        <f t="shared" si="7"/>
        <v>0</v>
      </c>
      <c r="H55" s="294">
        <f t="shared" si="7"/>
        <v>0</v>
      </c>
      <c r="I55" s="16" t="str">
        <f>IF('Conversion Tables'!F48="NA","NA",(E55*'Conversion Tables'!$C48)/'Conversion Tables'!F48)</f>
        <v>NA</v>
      </c>
      <c r="J55" s="16" t="str">
        <f>IF('Conversion Tables'!G48="NA","NA",(F55*'Conversion Tables'!$C48)/'Conversion Tables'!G48)</f>
        <v>NA</v>
      </c>
      <c r="K55" s="16" t="str">
        <f>IF('Conversion Tables'!H48="NA","NA",(G55*'Conversion Tables'!$C48)/'Conversion Tables'!H48)</f>
        <v>NA</v>
      </c>
      <c r="L55" s="16" t="str">
        <f>IF('Conversion Tables'!I48="NA","NA",(H55*'Conversion Tables'!$C48)/'Conversion Tables'!I48)</f>
        <v>NA</v>
      </c>
      <c r="M55" s="16" t="str">
        <f>IF('Conversion Tables'!K48="NA","NA",E55*'Conversion Tables'!K48)</f>
        <v>NA</v>
      </c>
      <c r="N55" s="16" t="str">
        <f>IF('Conversion Tables'!L48="NA","NA",F55*'Conversion Tables'!L48)</f>
        <v>NA</v>
      </c>
      <c r="O55" s="16" t="str">
        <f>IF('Conversion Tables'!M48="NA","NA",G55*'Conversion Tables'!M48)</f>
        <v>NA</v>
      </c>
      <c r="P55" s="16" t="str">
        <f>IF('Conversion Tables'!N48="NA","NA",H55*'Conversion Tables'!N48)</f>
        <v>NA</v>
      </c>
      <c r="Q55" s="27"/>
    </row>
    <row r="56" spans="1:17" x14ac:dyDescent="0.25">
      <c r="A56" s="1201"/>
      <c r="B56" s="12" t="s">
        <v>547</v>
      </c>
      <c r="C56" s="294">
        <f>G110</f>
        <v>0</v>
      </c>
      <c r="D56" s="299">
        <f>E56*'Conversion Tables'!C49</f>
        <v>0</v>
      </c>
      <c r="E56" s="299">
        <f>C56*'Prac. Rec. Assumptions'!B46</f>
        <v>0</v>
      </c>
      <c r="F56" s="294">
        <f t="shared" si="7"/>
        <v>0</v>
      </c>
      <c r="G56" s="294">
        <f t="shared" si="7"/>
        <v>0</v>
      </c>
      <c r="H56" s="294">
        <f t="shared" si="7"/>
        <v>0</v>
      </c>
      <c r="I56" s="16" t="str">
        <f>IF('Conversion Tables'!F49="NA","NA",(E56*'Conversion Tables'!$C49)/'Conversion Tables'!F49)</f>
        <v>NA</v>
      </c>
      <c r="J56" s="16" t="str">
        <f>IF('Conversion Tables'!G49="NA","NA",(F56*'Conversion Tables'!$C49)/'Conversion Tables'!G49)</f>
        <v>NA</v>
      </c>
      <c r="K56" s="16" t="str">
        <f>IF('Conversion Tables'!H49="NA","NA",(G56*'Conversion Tables'!$C49)/'Conversion Tables'!H49)</f>
        <v>NA</v>
      </c>
      <c r="L56" s="16" t="str">
        <f>IF('Conversion Tables'!I49="NA","NA",(H56*'Conversion Tables'!$C49)/'Conversion Tables'!I49)</f>
        <v>NA</v>
      </c>
      <c r="M56" s="16" t="str">
        <f>IF('Conversion Tables'!K49="NA","NA",E56*'Conversion Tables'!K49)</f>
        <v>NA</v>
      </c>
      <c r="N56" s="16" t="str">
        <f>IF('Conversion Tables'!L49="NA","NA",F56*'Conversion Tables'!L49)</f>
        <v>NA</v>
      </c>
      <c r="O56" s="16" t="str">
        <f>IF('Conversion Tables'!M49="NA","NA",G56*'Conversion Tables'!M49)</f>
        <v>NA</v>
      </c>
      <c r="P56" s="16" t="str">
        <f>IF('Conversion Tables'!N49="NA","NA",H56*'Conversion Tables'!N49)</f>
        <v>NA</v>
      </c>
      <c r="Q56" s="27"/>
    </row>
    <row r="57" spans="1:17" x14ac:dyDescent="0.25">
      <c r="A57" s="1201"/>
      <c r="B57" s="133" t="s">
        <v>605</v>
      </c>
      <c r="C57" s="294">
        <f>G115</f>
        <v>0</v>
      </c>
      <c r="D57" s="299">
        <f>E57*'Conversion Tables'!C50</f>
        <v>0</v>
      </c>
      <c r="E57" s="299">
        <f>C57*'Prac. Rec. Assumptions'!B47</f>
        <v>0</v>
      </c>
      <c r="F57" s="294">
        <f t="shared" si="7"/>
        <v>0</v>
      </c>
      <c r="G57" s="294">
        <f t="shared" si="7"/>
        <v>0</v>
      </c>
      <c r="H57" s="294">
        <f t="shared" si="7"/>
        <v>0</v>
      </c>
      <c r="I57" s="16" t="str">
        <f>IF('Conversion Tables'!F50="NA","NA",(E57*'Conversion Tables'!$C50)/'Conversion Tables'!F50)</f>
        <v>NA</v>
      </c>
      <c r="J57" s="16" t="str">
        <f>IF('Conversion Tables'!G50="NA","NA",(F57*'Conversion Tables'!$C50)/'Conversion Tables'!G50)</f>
        <v>NA</v>
      </c>
      <c r="K57" s="16" t="str">
        <f>IF('Conversion Tables'!H50="NA","NA",(G57*'Conversion Tables'!$C50)/'Conversion Tables'!H50)</f>
        <v>NA</v>
      </c>
      <c r="L57" s="16" t="str">
        <f>IF('Conversion Tables'!I50="NA","NA",(H57*'Conversion Tables'!$C50)/'Conversion Tables'!I50)</f>
        <v>NA</v>
      </c>
      <c r="M57" s="16" t="str">
        <f>IF('Conversion Tables'!K50="NA","NA",E57*'Conversion Tables'!K50)</f>
        <v>NA</v>
      </c>
      <c r="N57" s="16" t="str">
        <f>IF('Conversion Tables'!L50="NA","NA",F57*'Conversion Tables'!L50)</f>
        <v>NA</v>
      </c>
      <c r="O57" s="16" t="str">
        <f>IF('Conversion Tables'!M50="NA","NA",G57*'Conversion Tables'!M50)</f>
        <v>NA</v>
      </c>
      <c r="P57" s="16" t="str">
        <f>IF('Conversion Tables'!N50="NA","NA",H57*'Conversion Tables'!N50)</f>
        <v>NA</v>
      </c>
      <c r="Q57" s="27"/>
    </row>
    <row r="58" spans="1:17" x14ac:dyDescent="0.25">
      <c r="A58" s="1201"/>
      <c r="B58" s="12" t="s">
        <v>551</v>
      </c>
      <c r="C58" s="294">
        <f>G117</f>
        <v>0</v>
      </c>
      <c r="D58" s="299">
        <f>E58*'Conversion Tables'!C51</f>
        <v>0</v>
      </c>
      <c r="E58" s="299">
        <f>C58*'Prac. Rec. Assumptions'!B48</f>
        <v>0</v>
      </c>
      <c r="F58" s="294">
        <f t="shared" si="7"/>
        <v>0</v>
      </c>
      <c r="G58" s="294">
        <f t="shared" si="7"/>
        <v>0</v>
      </c>
      <c r="H58" s="294">
        <f t="shared" si="7"/>
        <v>0</v>
      </c>
      <c r="I58" s="16" t="str">
        <f>IF('Conversion Tables'!F51="NA","NA",(E58*'Conversion Tables'!$C51)/'Conversion Tables'!F51)</f>
        <v>NA</v>
      </c>
      <c r="J58" s="16" t="str">
        <f>IF('Conversion Tables'!G51="NA","NA",(F58*'Conversion Tables'!$C51)/'Conversion Tables'!G51)</f>
        <v>NA</v>
      </c>
      <c r="K58" s="16" t="str">
        <f>IF('Conversion Tables'!H51="NA","NA",(G58*'Conversion Tables'!$C51)/'Conversion Tables'!H51)</f>
        <v>NA</v>
      </c>
      <c r="L58" s="16" t="str">
        <f>IF('Conversion Tables'!I51="NA","NA",(H58*'Conversion Tables'!$C51)/'Conversion Tables'!I51)</f>
        <v>NA</v>
      </c>
      <c r="M58" s="16" t="str">
        <f>IF('Conversion Tables'!K51="NA","NA",E58*'Conversion Tables'!K51)</f>
        <v>NA</v>
      </c>
      <c r="N58" s="16" t="str">
        <f>IF('Conversion Tables'!L51="NA","NA",F58*'Conversion Tables'!L51)</f>
        <v>NA</v>
      </c>
      <c r="O58" s="16" t="str">
        <f>IF('Conversion Tables'!M51="NA","NA",G58*'Conversion Tables'!M51)</f>
        <v>NA</v>
      </c>
      <c r="P58" s="16" t="str">
        <f>IF('Conversion Tables'!N51="NA","NA",H58*'Conversion Tables'!N51)</f>
        <v>NA</v>
      </c>
      <c r="Q58" s="27"/>
    </row>
    <row r="59" spans="1:17" x14ac:dyDescent="0.25">
      <c r="A59" s="1201"/>
      <c r="B59" s="12" t="s">
        <v>552</v>
      </c>
      <c r="C59" s="294">
        <f>G119</f>
        <v>0</v>
      </c>
      <c r="D59" s="299">
        <f>E59*'Conversion Tables'!C52</f>
        <v>0</v>
      </c>
      <c r="E59" s="299">
        <f>C59*'Prac. Rec. Assumptions'!B49</f>
        <v>0</v>
      </c>
      <c r="F59" s="294">
        <f t="shared" si="7"/>
        <v>0</v>
      </c>
      <c r="G59" s="294">
        <f t="shared" si="7"/>
        <v>0</v>
      </c>
      <c r="H59" s="294">
        <f t="shared" si="7"/>
        <v>0</v>
      </c>
      <c r="I59" s="16" t="str">
        <f>IF('Conversion Tables'!F52="NA","NA",(E59*'Conversion Tables'!$C52)/'Conversion Tables'!F52)</f>
        <v>NA</v>
      </c>
      <c r="J59" s="16" t="str">
        <f>IF('Conversion Tables'!G52="NA","NA",(F59*'Conversion Tables'!$C52)/'Conversion Tables'!G52)</f>
        <v>NA</v>
      </c>
      <c r="K59" s="16" t="str">
        <f>IF('Conversion Tables'!H52="NA","NA",(G59*'Conversion Tables'!$C52)/'Conversion Tables'!H52)</f>
        <v>NA</v>
      </c>
      <c r="L59" s="16" t="str">
        <f>IF('Conversion Tables'!I52="NA","NA",(H59*'Conversion Tables'!$C52)/'Conversion Tables'!I52)</f>
        <v>NA</v>
      </c>
      <c r="M59" s="16" t="str">
        <f>IF('Conversion Tables'!K52="NA","NA",E59*'Conversion Tables'!K52)</f>
        <v>NA</v>
      </c>
      <c r="N59" s="16" t="str">
        <f>IF('Conversion Tables'!L52="NA","NA",F59*'Conversion Tables'!L52)</f>
        <v>NA</v>
      </c>
      <c r="O59" s="16" t="str">
        <f>IF('Conversion Tables'!M52="NA","NA",G59*'Conversion Tables'!M52)</f>
        <v>NA</v>
      </c>
      <c r="P59" s="16" t="str">
        <f>IF('Conversion Tables'!N52="NA","NA",H59*'Conversion Tables'!N52)</f>
        <v>NA</v>
      </c>
      <c r="Q59" s="27"/>
    </row>
    <row r="60" spans="1:17" x14ac:dyDescent="0.25">
      <c r="A60" s="1202"/>
      <c r="B60" s="129" t="s">
        <v>305</v>
      </c>
      <c r="C60" s="294">
        <f>'Biomass Data Assumptions'!AE15</f>
        <v>1009.9364219999998</v>
      </c>
      <c r="D60" s="299">
        <f>E60*'Conversion Tables'!C53</f>
        <v>12119.237063999997</v>
      </c>
      <c r="E60" s="299">
        <f>C60*'Prac. Rec. Assumptions'!B50</f>
        <v>1009.9364219999998</v>
      </c>
      <c r="F60" s="294">
        <f>($C60*(1+'Biomass Data Assumptions'!G$100*(4/5)))*'Prac. Rec. Assumptions'!$B50</f>
        <v>1010.8916059154195</v>
      </c>
      <c r="G60" s="294">
        <f>($C60*(1+'Biomass Data Assumptions'!H$100*(9/10)))*'Prac. Rec. Assumptions'!$B50</f>
        <v>1012.8531443131563</v>
      </c>
      <c r="H60" s="294">
        <f>($C60*(1+'Biomass Data Assumptions'!I$100*(14/15)))*'Prac. Rec. Assumptions'!$B50</f>
        <v>1015.8267228117546</v>
      </c>
      <c r="I60" s="16" t="str">
        <f>IF('Conversion Tables'!F53="NA","NA",(E60*'Conversion Tables'!$C53)/'Conversion Tables'!F53)</f>
        <v>NA</v>
      </c>
      <c r="J60" s="16" t="str">
        <f>IF('Conversion Tables'!G53="NA","NA",(F60*'Conversion Tables'!$C53)/'Conversion Tables'!G53)</f>
        <v>NA</v>
      </c>
      <c r="K60" s="16" t="str">
        <f>IF('Conversion Tables'!H53="NA","NA",(G60*'Conversion Tables'!$C53)/'Conversion Tables'!H53)</f>
        <v>NA</v>
      </c>
      <c r="L60" s="16" t="str">
        <f>IF('Conversion Tables'!I53="NA","NA",(H60*'Conversion Tables'!$C53)/'Conversion Tables'!I53)</f>
        <v>NA</v>
      </c>
      <c r="M60" s="16" t="str">
        <f>IF('Conversion Tables'!K53="NA","NA",E60*'Conversion Tables'!K53)</f>
        <v>NA</v>
      </c>
      <c r="N60" s="16" t="str">
        <f>IF('Conversion Tables'!L53="NA","NA",F60*'Conversion Tables'!L53)</f>
        <v>NA</v>
      </c>
      <c r="O60" s="16" t="str">
        <f>IF('Conversion Tables'!M53="NA","NA",G60*'Conversion Tables'!M53)</f>
        <v>NA</v>
      </c>
      <c r="P60" s="16" t="str">
        <f>IF('Conversion Tables'!N53="NA","NA",H60*'Conversion Tables'!N53)</f>
        <v>NA</v>
      </c>
      <c r="Q60" s="7"/>
    </row>
    <row r="61" spans="1:17" x14ac:dyDescent="0.25">
      <c r="A61" s="1202"/>
      <c r="B61" s="9" t="s">
        <v>257</v>
      </c>
      <c r="C61" s="295">
        <f>SUM(C52:C60)</f>
        <v>1009.9364219999998</v>
      </c>
      <c r="D61" s="295">
        <f>SUM(D52:D60)</f>
        <v>12119.237063999997</v>
      </c>
      <c r="E61" s="295">
        <f t="shared" ref="E61:P61" si="8">SUM(E52:E60)</f>
        <v>1009.9364219999998</v>
      </c>
      <c r="F61" s="295">
        <f>SUM(F52:F60)</f>
        <v>1010.8916059154195</v>
      </c>
      <c r="G61" s="295">
        <f>SUM(G52:G60)</f>
        <v>1012.8531443131563</v>
      </c>
      <c r="H61" s="295">
        <f>SUM(H52:H60)</f>
        <v>1015.8267228117546</v>
      </c>
      <c r="I61" s="19">
        <f t="shared" si="8"/>
        <v>0</v>
      </c>
      <c r="J61" s="19">
        <f t="shared" si="8"/>
        <v>0</v>
      </c>
      <c r="K61" s="19">
        <f t="shared" si="8"/>
        <v>0</v>
      </c>
      <c r="L61" s="19">
        <f t="shared" si="8"/>
        <v>0</v>
      </c>
      <c r="M61" s="19">
        <f t="shared" si="8"/>
        <v>0</v>
      </c>
      <c r="N61" s="19">
        <f t="shared" si="8"/>
        <v>0</v>
      </c>
      <c r="O61" s="19">
        <f t="shared" si="8"/>
        <v>0</v>
      </c>
      <c r="P61" s="19">
        <f t="shared" si="8"/>
        <v>0</v>
      </c>
      <c r="Q61" s="7"/>
    </row>
    <row r="62" spans="1:17" x14ac:dyDescent="0.25">
      <c r="A62" s="1202"/>
      <c r="B62" s="7" t="s">
        <v>256</v>
      </c>
      <c r="C62" s="298" t="s">
        <v>251</v>
      </c>
      <c r="D62" s="13"/>
      <c r="E62" s="298" t="s">
        <v>251</v>
      </c>
      <c r="F62" s="298"/>
      <c r="G62" s="298"/>
      <c r="H62" s="298"/>
      <c r="I62" s="7"/>
      <c r="J62" s="7"/>
      <c r="K62" s="7"/>
      <c r="L62" s="7"/>
      <c r="M62" s="7"/>
      <c r="N62" s="7"/>
      <c r="O62" s="7"/>
      <c r="P62" s="7"/>
      <c r="Q62" s="7"/>
    </row>
    <row r="63" spans="1:17" x14ac:dyDescent="0.25">
      <c r="A63" s="1203"/>
      <c r="B63" s="133" t="s">
        <v>304</v>
      </c>
      <c r="C63" s="294">
        <f>'Biomass Data Assumptions'!AB15</f>
        <v>129.24736870000001</v>
      </c>
      <c r="D63" s="300">
        <f>E63*'Conversion Tables'!C55</f>
        <v>80004.121225300012</v>
      </c>
      <c r="E63" s="299">
        <f>C63*'Prac. Rec. Assumptions'!B51</f>
        <v>129.24736870000001</v>
      </c>
      <c r="F63" s="294">
        <f>($C63*(1+'Biomass Data Assumptions'!G$100*(4/5)))*'Prac. Rec. Assumptions'!$B51</f>
        <v>129.36960907573385</v>
      </c>
      <c r="G63" s="294">
        <f>($C63*(1+'Biomass Data Assumptions'!H$100*(9/10)))*'Prac. Rec. Assumptions'!$B51</f>
        <v>129.62063841875866</v>
      </c>
      <c r="H63" s="294">
        <f>($C63*(1+'Biomass Data Assumptions'!I$100*(14/15)))*'Prac. Rec. Assumptions'!$B51</f>
        <v>130.00118435035864</v>
      </c>
      <c r="I63" s="16" t="str">
        <f>IF('Conversion Tables'!F55="NA","NA",(E63*'Conversion Tables'!$C55)/'Conversion Tables'!F55)</f>
        <v>NA</v>
      </c>
      <c r="J63" s="16" t="str">
        <f>IF('Conversion Tables'!G55="NA","NA",(F63*'Conversion Tables'!$C55)/'Conversion Tables'!G55)</f>
        <v>NA</v>
      </c>
      <c r="K63" s="16" t="str">
        <f>IF('Conversion Tables'!H55="NA","NA",(G63*'Conversion Tables'!$C55)/'Conversion Tables'!H55)</f>
        <v>NA</v>
      </c>
      <c r="L63" s="16" t="str">
        <f>IF('Conversion Tables'!I55="NA","NA",(H63*'Conversion Tables'!$C55)/'Conversion Tables'!I55)</f>
        <v>NA</v>
      </c>
      <c r="M63" s="16" t="str">
        <f>IF('Conversion Tables'!K55="NA","NA",E63*'Conversion Tables'!K55)</f>
        <v>NA</v>
      </c>
      <c r="N63" s="16" t="str">
        <f>IF('Conversion Tables'!L55="NA","NA",F63*'Conversion Tables'!L55)</f>
        <v>NA</v>
      </c>
      <c r="O63" s="16" t="str">
        <f>IF('Conversion Tables'!M55="NA","NA",G63*'Conversion Tables'!M55)</f>
        <v>NA</v>
      </c>
      <c r="P63" s="16" t="str">
        <f>IF('Conversion Tables'!N55="NA","NA",H63*'Conversion Tables'!N55)</f>
        <v>NA</v>
      </c>
      <c r="Q63" s="7"/>
    </row>
    <row r="64" spans="1:17" x14ac:dyDescent="0.25">
      <c r="A64" s="1204"/>
      <c r="B64" s="17" t="s">
        <v>512</v>
      </c>
      <c r="C64" s="294">
        <f>'Biomass Data Assumptions'!X15</f>
        <v>0</v>
      </c>
      <c r="D64" s="300">
        <f>E64*'Conversion Tables'!C56</f>
        <v>0</v>
      </c>
      <c r="E64" s="299">
        <f>C64*'Prac. Rec. Assumptions'!B52</f>
        <v>0</v>
      </c>
      <c r="F64" s="545">
        <f>($C64*(1+'Biomass Data Assumptions'!G$100*(3/5))*(1+('Biomass Data Assumptions'!C$82-((1+'Biomass Data Assumptions'!$B$82)^2 - 1))))*'Prac. Rec. Assumptions'!$B52</f>
        <v>0</v>
      </c>
      <c r="G64" s="545">
        <f>($C64*(1+'Biomass Data Assumptions'!H$100*(4/5))*(1+('Biomass Data Assumptions'!D$82-((1+'Biomass Data Assumptions'!$B$82)^2 - 1))))*'Prac. Rec. Assumptions'!$B52</f>
        <v>0</v>
      </c>
      <c r="H64" s="545">
        <f>($C64*(1+'Biomass Data Assumptions'!I$100*(13/15))*(1+('Biomass Data Assumptions'!E$82-((1+'Biomass Data Assumptions'!$B$82)^2 - 1))))*'Prac. Rec. Assumptions'!$B52</f>
        <v>0</v>
      </c>
      <c r="I64" s="16" t="str">
        <f>IF('Conversion Tables'!F56="NA","NA",(E64*'Conversion Tables'!$C56)/'Conversion Tables'!F56)</f>
        <v>NA</v>
      </c>
      <c r="J64" s="16" t="str">
        <f>IF('Conversion Tables'!G56="NA","NA",(F64*'Conversion Tables'!$C56)/'Conversion Tables'!G56)</f>
        <v>NA</v>
      </c>
      <c r="K64" s="16" t="str">
        <f>IF('Conversion Tables'!H56="NA","NA",(G64*'Conversion Tables'!$C56)/'Conversion Tables'!H56)</f>
        <v>NA</v>
      </c>
      <c r="L64" s="16" t="str">
        <f>IF('Conversion Tables'!I56="NA","NA",(H64*'Conversion Tables'!$C56)/'Conversion Tables'!I56)</f>
        <v>NA</v>
      </c>
      <c r="M64" s="16" t="str">
        <f>IF('Conversion Tables'!K56="NA","NA",E64*'Conversion Tables'!K56)</f>
        <v>NA</v>
      </c>
      <c r="N64" s="16" t="str">
        <f>IF('Conversion Tables'!L56="NA","NA",F64*'Conversion Tables'!L56)</f>
        <v>NA</v>
      </c>
      <c r="O64" s="16" t="str">
        <f>IF('Conversion Tables'!M56="NA","NA",G64*'Conversion Tables'!M56)</f>
        <v>NA</v>
      </c>
      <c r="P64" s="16" t="str">
        <f>IF('Conversion Tables'!N56="NA","NA",H64*'Conversion Tables'!N56)</f>
        <v>NA</v>
      </c>
      <c r="Q64" s="7"/>
    </row>
    <row r="65" spans="1:19" x14ac:dyDescent="0.25">
      <c r="A65" s="1204"/>
      <c r="B65" s="9" t="s">
        <v>248</v>
      </c>
      <c r="C65" s="295">
        <f>SUM(C63:C64)</f>
        <v>129.24736870000001</v>
      </c>
      <c r="D65" s="295">
        <f>SUM(D63:D64)</f>
        <v>80004.121225300012</v>
      </c>
      <c r="E65" s="295">
        <f t="shared" ref="E65:P65" si="9">SUM(E63:E64)</f>
        <v>129.24736870000001</v>
      </c>
      <c r="F65" s="295">
        <f>SUM(F63:F64)</f>
        <v>129.36960907573385</v>
      </c>
      <c r="G65" s="295">
        <f>SUM(G63:G64)</f>
        <v>129.62063841875866</v>
      </c>
      <c r="H65" s="295">
        <f>SUM(H63:H64)</f>
        <v>130.00118435035864</v>
      </c>
      <c r="I65" s="19">
        <f t="shared" si="9"/>
        <v>0</v>
      </c>
      <c r="J65" s="19">
        <f t="shared" si="9"/>
        <v>0</v>
      </c>
      <c r="K65" s="19">
        <f t="shared" si="9"/>
        <v>0</v>
      </c>
      <c r="L65" s="19">
        <f t="shared" si="9"/>
        <v>0</v>
      </c>
      <c r="M65" s="19">
        <f t="shared" si="9"/>
        <v>0</v>
      </c>
      <c r="N65" s="19">
        <f t="shared" si="9"/>
        <v>0</v>
      </c>
      <c r="O65" s="19">
        <f t="shared" si="9"/>
        <v>0</v>
      </c>
      <c r="P65" s="19">
        <f t="shared" si="9"/>
        <v>0</v>
      </c>
      <c r="Q65" s="19">
        <f>SUM(Q51:Q64)</f>
        <v>0</v>
      </c>
    </row>
    <row r="66" spans="1:19" x14ac:dyDescent="0.25">
      <c r="A66" s="1204"/>
      <c r="B66" s="9"/>
      <c r="C66" s="295"/>
      <c r="D66" s="295"/>
      <c r="E66" s="295"/>
      <c r="F66" s="295"/>
      <c r="G66" s="295"/>
      <c r="H66" s="295"/>
      <c r="I66" s="19"/>
      <c r="J66" s="19"/>
      <c r="K66" s="19"/>
      <c r="L66" s="19"/>
      <c r="M66" s="19"/>
      <c r="N66" s="19"/>
      <c r="O66" s="19"/>
      <c r="P66" s="19"/>
      <c r="Q66" s="19"/>
    </row>
    <row r="67" spans="1:19" x14ac:dyDescent="0.25">
      <c r="A67" s="1205"/>
      <c r="B67" s="9" t="s">
        <v>258</v>
      </c>
      <c r="C67" s="295">
        <f>C61+(C63*1000000/29487.1582406855)+(C64*1000000/25364.5039539246)</f>
        <v>5393.1112143971977</v>
      </c>
      <c r="D67" s="295">
        <f t="shared" ref="D67" si="10">D61+D65</f>
        <v>92123.358289300013</v>
      </c>
      <c r="E67" s="295">
        <f>E61+(E63*1000000/29487.1582406855)+(E64*1000000/25364.5039539246)</f>
        <v>5393.1112143971977</v>
      </c>
      <c r="F67" s="295">
        <f t="shared" ref="F67:H67" si="11">F61+(F63*1000000/29487.1582406855)+(F64*1000000/25364.5039539246)</f>
        <v>5398.2119444766831</v>
      </c>
      <c r="G67" s="295">
        <f t="shared" si="11"/>
        <v>5408.6866580327651</v>
      </c>
      <c r="H67" s="295">
        <f t="shared" si="11"/>
        <v>5424.565716554016</v>
      </c>
      <c r="I67" s="19">
        <f t="shared" ref="I67:P67" si="12">I61+I65</f>
        <v>0</v>
      </c>
      <c r="J67" s="19">
        <f t="shared" si="12"/>
        <v>0</v>
      </c>
      <c r="K67" s="19">
        <f t="shared" si="12"/>
        <v>0</v>
      </c>
      <c r="L67" s="19">
        <f t="shared" si="12"/>
        <v>0</v>
      </c>
      <c r="M67" s="19">
        <f t="shared" si="12"/>
        <v>0</v>
      </c>
      <c r="N67" s="19">
        <f t="shared" si="12"/>
        <v>0</v>
      </c>
      <c r="O67" s="19">
        <f t="shared" si="12"/>
        <v>0</v>
      </c>
      <c r="P67" s="19">
        <f t="shared" si="12"/>
        <v>0</v>
      </c>
      <c r="Q67" s="19"/>
    </row>
    <row r="68" spans="1:19" customFormat="1" x14ac:dyDescent="0.25">
      <c r="B68" s="270" t="s">
        <v>162</v>
      </c>
      <c r="C68" s="132">
        <f>C11+C29+C43+C49+C67</f>
        <v>284621.33454196382</v>
      </c>
      <c r="D68" s="132"/>
      <c r="E68" s="132">
        <f>E11+E29+E43+E49+E67</f>
        <v>160809.95953572384</v>
      </c>
      <c r="F68" s="132">
        <f>F11+F29+F43+F49+F67</f>
        <v>165171.76418955429</v>
      </c>
      <c r="G68" s="132">
        <f>G11+G29+G43+G49+G67</f>
        <v>170047.49932775824</v>
      </c>
      <c r="H68" s="132">
        <f>H11+H29+H43+H49+H67</f>
        <v>175511.28756856167</v>
      </c>
      <c r="I68" s="264"/>
    </row>
    <row r="69" spans="1:19" ht="13.8" thickBot="1" x14ac:dyDescent="0.3">
      <c r="A69" s="10"/>
      <c r="B69" s="10"/>
      <c r="C69" s="10"/>
      <c r="D69" s="10"/>
      <c r="E69" s="10"/>
      <c r="F69" s="10"/>
      <c r="G69" s="10"/>
      <c r="H69" s="10"/>
      <c r="I69" s="1003">
        <f>SUM(I8:I66)/2</f>
        <v>0</v>
      </c>
      <c r="J69" s="1003">
        <f>SUM(J8:J66)/2</f>
        <v>0</v>
      </c>
      <c r="K69" s="1003">
        <f>SUM(K8:K66)/2</f>
        <v>0</v>
      </c>
      <c r="L69" s="1003">
        <f>SUM(L8:L66)/2</f>
        <v>0</v>
      </c>
      <c r="M69" s="1003">
        <f>SUM(M8:M66)/2</f>
        <v>0</v>
      </c>
      <c r="N69" s="1003">
        <f t="shared" ref="N69:P69" si="13">SUM(N8:N66)/2</f>
        <v>0</v>
      </c>
      <c r="O69" s="1003">
        <f t="shared" si="13"/>
        <v>0</v>
      </c>
      <c r="P69" s="1003">
        <f t="shared" si="13"/>
        <v>0</v>
      </c>
      <c r="Q69" s="10"/>
      <c r="R69" s="10"/>
      <c r="S69" s="10"/>
    </row>
    <row r="70" spans="1:19" x14ac:dyDescent="0.25">
      <c r="A70" s="35" t="s">
        <v>23</v>
      </c>
      <c r="B70" s="36"/>
      <c r="C70" s="36"/>
      <c r="D70" s="36"/>
      <c r="E70" s="36"/>
      <c r="F70" s="36"/>
      <c r="G70" s="36"/>
      <c r="H70" s="36"/>
      <c r="I70" s="36"/>
      <c r="J70" s="36"/>
      <c r="K70" s="36"/>
      <c r="L70" s="36"/>
      <c r="M70" s="36"/>
      <c r="N70" s="36"/>
      <c r="O70" s="36"/>
      <c r="P70" s="36"/>
      <c r="Q70" s="36"/>
      <c r="R70" s="36"/>
    </row>
    <row r="71" spans="1:19" x14ac:dyDescent="0.25">
      <c r="A71" s="36"/>
      <c r="B71" s="36"/>
      <c r="C71" s="36"/>
      <c r="D71" s="36"/>
      <c r="E71" s="36"/>
      <c r="F71" s="36"/>
      <c r="G71" s="36"/>
      <c r="H71" s="36"/>
      <c r="I71" s="36"/>
      <c r="J71" s="36"/>
      <c r="K71" s="36"/>
      <c r="L71" s="36"/>
      <c r="M71" s="36"/>
      <c r="N71" s="36"/>
      <c r="O71" s="36"/>
      <c r="P71" s="36"/>
      <c r="Q71" s="36"/>
      <c r="R71" s="36"/>
    </row>
    <row r="72" spans="1:19" x14ac:dyDescent="0.25">
      <c r="A72" s="36"/>
      <c r="B72" s="36"/>
      <c r="C72" s="36"/>
      <c r="D72" s="36"/>
      <c r="E72" s="36"/>
      <c r="F72" s="36"/>
      <c r="G72" s="36"/>
      <c r="H72" s="36"/>
      <c r="I72" s="36"/>
      <c r="J72" s="36"/>
      <c r="K72" s="36"/>
      <c r="L72" s="36"/>
      <c r="M72" s="36"/>
      <c r="N72" s="36"/>
      <c r="O72" s="36"/>
      <c r="P72" s="36"/>
      <c r="Q72" s="36"/>
      <c r="R72" s="36"/>
    </row>
    <row r="73" spans="1:19" ht="26.4" x14ac:dyDescent="0.25">
      <c r="A73" s="37" t="s">
        <v>1037</v>
      </c>
      <c r="B73" s="454" t="s">
        <v>297</v>
      </c>
      <c r="C73" s="37" t="s">
        <v>1042</v>
      </c>
      <c r="D73" s="37" t="s">
        <v>1041</v>
      </c>
      <c r="E73" s="36" t="s">
        <v>598</v>
      </c>
      <c r="F73" s="38"/>
      <c r="G73" s="38"/>
      <c r="H73" s="36"/>
      <c r="I73" s="36"/>
      <c r="J73" s="36"/>
      <c r="K73" s="36"/>
      <c r="L73" s="36"/>
      <c r="M73" s="36"/>
      <c r="N73" s="36"/>
      <c r="O73" s="36"/>
      <c r="P73" s="36"/>
      <c r="Q73" s="36"/>
      <c r="R73" s="36"/>
    </row>
    <row r="74" spans="1:19" x14ac:dyDescent="0.25">
      <c r="A74" s="39" t="s">
        <v>519</v>
      </c>
      <c r="B74" s="21">
        <v>0</v>
      </c>
      <c r="C74" s="40">
        <f>'Biomass Data Assumptions'!B38*B74</f>
        <v>0</v>
      </c>
      <c r="D74" s="40">
        <f>(C74*'Biomass Data Assumptions'!C38)/2000</f>
        <v>0</v>
      </c>
      <c r="E74" s="41"/>
      <c r="F74" s="41"/>
      <c r="G74" s="41"/>
      <c r="H74" s="36"/>
      <c r="I74" s="36"/>
      <c r="J74" s="36"/>
      <c r="K74" s="36"/>
      <c r="L74" s="36"/>
      <c r="M74" s="36"/>
      <c r="N74" s="36"/>
      <c r="O74" s="36"/>
      <c r="P74" s="36"/>
      <c r="Q74" s="36"/>
      <c r="R74" s="36"/>
    </row>
    <row r="75" spans="1:19" x14ac:dyDescent="0.25">
      <c r="A75" s="39" t="s">
        <v>520</v>
      </c>
      <c r="B75" s="21">
        <v>0</v>
      </c>
      <c r="C75" s="40">
        <f>'Biomass Data Assumptions'!B39*B75</f>
        <v>0</v>
      </c>
      <c r="D75" s="40">
        <f>(C75*'Biomass Data Assumptions'!C39)/2000</f>
        <v>0</v>
      </c>
      <c r="E75" s="41"/>
      <c r="F75" s="41"/>
      <c r="G75" s="41"/>
      <c r="H75" s="36"/>
      <c r="I75" s="36"/>
      <c r="J75" s="36"/>
      <c r="K75" s="36"/>
      <c r="L75" s="36"/>
      <c r="M75" s="36"/>
      <c r="N75" s="36"/>
      <c r="O75" s="36"/>
      <c r="P75" s="36"/>
      <c r="Q75" s="36"/>
      <c r="R75" s="36"/>
    </row>
    <row r="76" spans="1:19" x14ac:dyDescent="0.25">
      <c r="A76" s="39" t="s">
        <v>521</v>
      </c>
      <c r="B76" s="21">
        <v>0</v>
      </c>
      <c r="C76" s="40">
        <f>'Biomass Data Assumptions'!B40*B76</f>
        <v>0</v>
      </c>
      <c r="D76" s="40">
        <f>(C76*'Biomass Data Assumptions'!C40)/2000</f>
        <v>0</v>
      </c>
      <c r="E76" s="41"/>
      <c r="F76" s="41"/>
      <c r="G76" s="41"/>
      <c r="H76" s="36"/>
      <c r="I76" s="36"/>
      <c r="J76" s="36"/>
      <c r="K76" s="36"/>
      <c r="L76" s="36"/>
      <c r="M76" s="36"/>
      <c r="N76" s="36"/>
      <c r="O76" s="36"/>
      <c r="P76" s="36"/>
      <c r="Q76" s="36"/>
      <c r="R76" s="36"/>
    </row>
    <row r="77" spans="1:19" x14ac:dyDescent="0.25">
      <c r="A77" s="39" t="s">
        <v>525</v>
      </c>
      <c r="B77" s="21">
        <v>0</v>
      </c>
      <c r="C77" s="40">
        <f>'Biomass Data Assumptions'!B41*B77</f>
        <v>0</v>
      </c>
      <c r="D77" s="40">
        <f>(C77*'Biomass Data Assumptions'!C41)/2000</f>
        <v>0</v>
      </c>
      <c r="E77" s="41"/>
      <c r="F77" s="41"/>
      <c r="G77" s="41"/>
      <c r="H77" s="36"/>
      <c r="I77" s="36"/>
      <c r="J77" s="36"/>
      <c r="K77" s="36"/>
      <c r="L77" s="36"/>
      <c r="M77" s="36"/>
      <c r="N77" s="36"/>
      <c r="O77" s="36"/>
      <c r="P77" s="36"/>
      <c r="Q77" s="36"/>
      <c r="R77" s="36"/>
    </row>
    <row r="78" spans="1:19" x14ac:dyDescent="0.25">
      <c r="A78" s="39" t="s">
        <v>522</v>
      </c>
      <c r="B78" s="21">
        <v>0</v>
      </c>
      <c r="C78" s="40">
        <f>'Biomass Data Assumptions'!B42*B78</f>
        <v>0</v>
      </c>
      <c r="D78" s="40">
        <f>(C78*'Biomass Data Assumptions'!C42)/2000</f>
        <v>0</v>
      </c>
      <c r="E78" s="41"/>
      <c r="F78" s="41"/>
      <c r="G78" s="41"/>
      <c r="H78" s="36"/>
      <c r="I78" s="36"/>
      <c r="J78" s="36"/>
      <c r="K78" s="36"/>
      <c r="L78" s="36"/>
      <c r="M78" s="36"/>
      <c r="N78" s="36"/>
      <c r="O78" s="36"/>
      <c r="P78" s="36"/>
      <c r="Q78" s="36"/>
      <c r="R78" s="36"/>
    </row>
    <row r="79" spans="1:19" x14ac:dyDescent="0.25">
      <c r="A79" s="36"/>
      <c r="B79" s="36"/>
      <c r="C79" s="36"/>
      <c r="D79" s="36"/>
      <c r="E79" s="36"/>
      <c r="F79" s="36"/>
      <c r="G79" s="36"/>
      <c r="H79" s="36"/>
      <c r="I79" s="36"/>
      <c r="J79" s="36"/>
      <c r="K79" s="36"/>
      <c r="L79" s="36"/>
      <c r="M79" s="36"/>
      <c r="N79" s="36"/>
      <c r="O79" s="36"/>
      <c r="P79" s="36"/>
      <c r="Q79" s="36"/>
      <c r="R79" s="36"/>
    </row>
    <row r="80" spans="1:19" ht="39.6" x14ac:dyDescent="0.25">
      <c r="A80" s="37" t="s">
        <v>1038</v>
      </c>
      <c r="B80" s="454" t="s">
        <v>297</v>
      </c>
      <c r="C80" s="37" t="s">
        <v>1041</v>
      </c>
      <c r="D80" s="37" t="s">
        <v>1036</v>
      </c>
      <c r="E80" s="36" t="s">
        <v>598</v>
      </c>
      <c r="F80" s="38"/>
      <c r="G80" s="38"/>
      <c r="H80" s="36"/>
      <c r="I80" s="36"/>
      <c r="J80" s="36"/>
      <c r="K80" s="36"/>
      <c r="L80" s="36"/>
      <c r="M80" s="36"/>
      <c r="N80" s="36"/>
      <c r="O80" s="36"/>
      <c r="P80" s="36"/>
      <c r="Q80" s="36"/>
      <c r="R80" s="36"/>
    </row>
    <row r="81" spans="1:18" x14ac:dyDescent="0.25">
      <c r="A81" s="39" t="s">
        <v>527</v>
      </c>
      <c r="B81" s="21">
        <v>0</v>
      </c>
      <c r="C81" s="40">
        <f>'Biomass Data Assumptions'!B49*B81</f>
        <v>0</v>
      </c>
      <c r="D81" s="40">
        <f>C81*'Energy Content Assumptions'!C11</f>
        <v>0</v>
      </c>
      <c r="E81" s="41"/>
      <c r="F81" s="41"/>
      <c r="G81" s="41"/>
      <c r="H81" s="36"/>
      <c r="I81" s="36"/>
      <c r="J81" s="36"/>
      <c r="K81" s="36"/>
      <c r="L81" s="36"/>
      <c r="M81" s="36"/>
      <c r="N81" s="36"/>
      <c r="O81" s="36"/>
      <c r="P81" s="36"/>
      <c r="Q81" s="36"/>
      <c r="R81" s="36"/>
    </row>
    <row r="82" spans="1:18" x14ac:dyDescent="0.25">
      <c r="A82" s="39" t="s">
        <v>520</v>
      </c>
      <c r="B82" s="21">
        <v>0</v>
      </c>
      <c r="C82" s="40">
        <f>'Biomass Data Assumptions'!B50*B82</f>
        <v>0</v>
      </c>
      <c r="D82" s="40">
        <f>C82*'Energy Content Assumptions'!C12</f>
        <v>0</v>
      </c>
      <c r="E82" s="41"/>
      <c r="F82" s="41"/>
      <c r="G82" s="41"/>
      <c r="H82" s="36"/>
      <c r="I82" s="36"/>
      <c r="J82" s="36"/>
      <c r="K82" s="36"/>
      <c r="L82" s="36"/>
      <c r="M82" s="36"/>
      <c r="N82" s="36"/>
      <c r="O82" s="36"/>
      <c r="P82" s="36"/>
      <c r="Q82" s="36"/>
      <c r="R82" s="36"/>
    </row>
    <row r="83" spans="1:18" x14ac:dyDescent="0.25">
      <c r="A83" s="39" t="s">
        <v>521</v>
      </c>
      <c r="B83" s="21">
        <v>0</v>
      </c>
      <c r="C83" s="40">
        <f>'Biomass Data Assumptions'!B51*B83</f>
        <v>0</v>
      </c>
      <c r="D83" s="40">
        <f>C83*'Energy Content Assumptions'!C13</f>
        <v>0</v>
      </c>
      <c r="E83" s="41"/>
      <c r="F83" s="41"/>
      <c r="G83" s="41"/>
      <c r="H83" s="36"/>
      <c r="I83" s="36"/>
      <c r="J83" s="36"/>
      <c r="K83" s="36"/>
      <c r="L83" s="36"/>
      <c r="M83" s="36"/>
      <c r="N83" s="36"/>
      <c r="O83" s="36"/>
      <c r="P83" s="36"/>
      <c r="Q83" s="36"/>
      <c r="R83" s="36"/>
    </row>
    <row r="84" spans="1:18" x14ac:dyDescent="0.25">
      <c r="A84" s="39" t="s">
        <v>528</v>
      </c>
      <c r="B84" s="21">
        <v>0</v>
      </c>
      <c r="C84" s="40">
        <f>'Biomass Data Assumptions'!B52*B84</f>
        <v>0</v>
      </c>
      <c r="D84" s="40">
        <f>C84*'Energy Content Assumptions'!C14</f>
        <v>0</v>
      </c>
      <c r="E84" s="41"/>
      <c r="F84" s="41"/>
      <c r="G84" s="41"/>
      <c r="H84" s="36"/>
      <c r="I84" s="36"/>
      <c r="J84" s="36"/>
      <c r="K84" s="36"/>
      <c r="L84" s="36"/>
      <c r="M84" s="36"/>
      <c r="N84" s="36"/>
      <c r="O84" s="36"/>
      <c r="P84" s="36"/>
      <c r="Q84" s="36"/>
      <c r="R84" s="36"/>
    </row>
    <row r="85" spans="1:18" x14ac:dyDescent="0.25">
      <c r="A85" s="39" t="s">
        <v>529</v>
      </c>
      <c r="B85" s="21">
        <v>0</v>
      </c>
      <c r="C85" s="40">
        <f>'Biomass Data Assumptions'!B53*B85</f>
        <v>0</v>
      </c>
      <c r="D85" s="40">
        <f>C85*'Energy Content Assumptions'!C15</f>
        <v>0</v>
      </c>
      <c r="E85" s="41"/>
      <c r="F85" s="41"/>
      <c r="G85" s="41"/>
      <c r="H85" s="36"/>
      <c r="I85" s="36"/>
      <c r="J85" s="36"/>
      <c r="K85" s="36"/>
      <c r="L85" s="36"/>
      <c r="M85" s="36"/>
      <c r="N85" s="36"/>
      <c r="O85" s="36"/>
      <c r="P85" s="36"/>
      <c r="Q85" s="36"/>
      <c r="R85" s="36"/>
    </row>
    <row r="86" spans="1:18" x14ac:dyDescent="0.25">
      <c r="A86" s="39" t="s">
        <v>530</v>
      </c>
      <c r="B86" s="21">
        <v>0</v>
      </c>
      <c r="C86" s="40">
        <f>'Biomass Data Assumptions'!B54*B86</f>
        <v>0</v>
      </c>
      <c r="D86" s="40">
        <f>C86*'Energy Content Assumptions'!C16</f>
        <v>0</v>
      </c>
      <c r="E86" s="41"/>
      <c r="F86" s="41"/>
      <c r="G86" s="41"/>
      <c r="H86" s="36"/>
      <c r="I86" s="36"/>
      <c r="J86" s="36"/>
      <c r="K86" s="36"/>
      <c r="L86" s="36"/>
      <c r="M86" s="36"/>
      <c r="N86" s="36"/>
      <c r="O86" s="36"/>
      <c r="P86" s="36"/>
      <c r="Q86" s="36"/>
      <c r="R86" s="36"/>
    </row>
    <row r="87" spans="1:18" x14ac:dyDescent="0.25">
      <c r="A87" s="39" t="s">
        <v>522</v>
      </c>
      <c r="B87" s="21">
        <v>0</v>
      </c>
      <c r="C87" s="40">
        <f>'Biomass Data Assumptions'!B55*B87</f>
        <v>0</v>
      </c>
      <c r="D87" s="40">
        <f>C87*'Energy Content Assumptions'!C17</f>
        <v>0</v>
      </c>
      <c r="E87" s="41"/>
      <c r="F87" s="41"/>
      <c r="G87" s="41"/>
      <c r="H87" s="36"/>
      <c r="I87" s="36"/>
      <c r="J87" s="36"/>
      <c r="K87" s="36"/>
      <c r="L87" s="36"/>
      <c r="M87" s="36"/>
      <c r="N87" s="36"/>
      <c r="O87" s="36"/>
      <c r="P87" s="36"/>
      <c r="Q87" s="36"/>
      <c r="R87" s="36"/>
    </row>
    <row r="88" spans="1:18" x14ac:dyDescent="0.25">
      <c r="A88" s="43"/>
      <c r="B88" s="41"/>
      <c r="C88" s="41"/>
      <c r="D88" s="41"/>
      <c r="E88" s="41"/>
      <c r="F88" s="41"/>
      <c r="G88" s="41"/>
      <c r="H88" s="36"/>
      <c r="I88" s="36"/>
      <c r="J88" s="36"/>
      <c r="K88" s="36"/>
      <c r="L88" s="36"/>
      <c r="M88" s="36"/>
      <c r="N88" s="36"/>
      <c r="O88" s="36"/>
      <c r="P88" s="36"/>
      <c r="Q88" s="36"/>
      <c r="R88" s="36"/>
    </row>
    <row r="89" spans="1:18" x14ac:dyDescent="0.25">
      <c r="A89" s="43"/>
      <c r="B89" s="640" t="s">
        <v>297</v>
      </c>
      <c r="C89" s="122" t="s">
        <v>299</v>
      </c>
      <c r="D89" s="122" t="s">
        <v>300</v>
      </c>
      <c r="E89" s="41"/>
      <c r="F89" s="41"/>
      <c r="G89" s="41"/>
      <c r="H89" s="36"/>
      <c r="I89" s="36"/>
      <c r="J89" s="36"/>
      <c r="K89" s="36"/>
      <c r="L89" s="36"/>
      <c r="M89" s="36"/>
      <c r="N89" s="36"/>
      <c r="O89" s="36"/>
      <c r="P89" s="36"/>
      <c r="Q89" s="36"/>
      <c r="R89" s="36"/>
    </row>
    <row r="90" spans="1:18" x14ac:dyDescent="0.25">
      <c r="A90" s="43" t="s">
        <v>296</v>
      </c>
      <c r="B90" s="85">
        <f>IF('Prac. Rec. Assumptions'!B56='Prac. Rec. Assumptions'!V3,0,SUM(IF('Prac. Rec. Assumptions'!B57="Yes",B74,0),IF('Prac. Rec. Assumptions'!B58="Yes",B81,0),IF('Prac. Rec. Assumptions'!B59="Yes",B82,0),IF('Prac. Rec. Assumptions'!B60="Yes",B83,0),IF('Prac. Rec. Assumptions'!B61="Yes",B84,0),IF('Prac. Rec. Assumptions'!B62="Yes",B85,0),IF('Prac. Rec. Assumptions'!B63="Yes",B86,0),IF('Prac. Rec. Assumptions'!B64="Yes",B87,0)))</f>
        <v>0</v>
      </c>
      <c r="C90" s="41">
        <f>IF('Prac. Rec. Assumptions'!B56='Prac. Rec. Assumptions'!V1,'Biomass Data Assumptions'!C46,IF('Prac. Rec. Assumptions'!B56='Prac. Rec. Assumptions'!V2,'Biomass Data Assumptions'!C45,0))</f>
        <v>0</v>
      </c>
      <c r="D90" s="41">
        <f>(C90*'Energy Content Assumptions'!C9)*B90</f>
        <v>0</v>
      </c>
      <c r="E90" s="41"/>
      <c r="F90" s="41"/>
      <c r="G90" s="41"/>
      <c r="H90" s="36"/>
      <c r="I90" s="36"/>
      <c r="J90" s="36"/>
      <c r="K90" s="36"/>
      <c r="L90" s="36"/>
      <c r="M90" s="36"/>
      <c r="N90" s="36"/>
      <c r="O90" s="36"/>
      <c r="P90" s="36"/>
      <c r="Q90" s="36"/>
      <c r="R90" s="36"/>
    </row>
    <row r="91" spans="1:18" x14ac:dyDescent="0.25">
      <c r="A91" s="36"/>
      <c r="B91" s="36"/>
      <c r="C91" s="36"/>
      <c r="D91" s="36"/>
      <c r="E91" s="36"/>
      <c r="F91" s="36"/>
      <c r="G91" s="36"/>
      <c r="H91" s="36"/>
      <c r="I91" s="36"/>
      <c r="J91" s="36"/>
      <c r="K91" s="36"/>
      <c r="L91" s="36"/>
      <c r="M91" s="36"/>
      <c r="N91" s="36"/>
      <c r="O91" s="36"/>
      <c r="P91" s="36"/>
      <c r="Q91" s="36"/>
      <c r="R91" s="36"/>
    </row>
    <row r="92" spans="1:18" ht="39.6" x14ac:dyDescent="0.25">
      <c r="A92" s="42" t="s">
        <v>531</v>
      </c>
      <c r="B92" s="455" t="s">
        <v>298</v>
      </c>
      <c r="C92" s="38" t="s">
        <v>533</v>
      </c>
      <c r="D92" s="38" t="s">
        <v>534</v>
      </c>
      <c r="E92" s="38" t="s">
        <v>568</v>
      </c>
      <c r="F92" s="38" t="s">
        <v>569</v>
      </c>
      <c r="G92" s="38" t="s">
        <v>554</v>
      </c>
      <c r="H92" s="36" t="s">
        <v>599</v>
      </c>
      <c r="I92" s="36"/>
      <c r="J92" s="38"/>
      <c r="K92" s="38"/>
      <c r="L92" s="38"/>
      <c r="M92" s="38"/>
      <c r="N92" s="36"/>
      <c r="O92" s="36"/>
      <c r="P92" s="36"/>
      <c r="Q92" s="36"/>
      <c r="R92" s="36"/>
    </row>
    <row r="93" spans="1:18" ht="11.25" customHeight="1" x14ac:dyDescent="0.25">
      <c r="A93" s="42"/>
      <c r="B93" s="38"/>
      <c r="C93" s="38"/>
      <c r="D93" s="38"/>
      <c r="E93" s="38"/>
      <c r="F93" s="36"/>
      <c r="G93" s="36"/>
      <c r="H93" s="36"/>
      <c r="I93" s="36"/>
      <c r="J93" s="38"/>
      <c r="K93" s="38"/>
      <c r="L93" s="38"/>
      <c r="M93" s="38"/>
      <c r="N93" s="36"/>
      <c r="O93" s="36"/>
      <c r="P93" s="36"/>
      <c r="Q93" s="36"/>
      <c r="R93" s="36"/>
    </row>
    <row r="94" spans="1:18" hidden="1" x14ac:dyDescent="0.25">
      <c r="A94" s="43"/>
      <c r="B94" s="36"/>
      <c r="C94" s="41"/>
      <c r="D94" s="41"/>
      <c r="E94" s="44"/>
      <c r="F94" s="36"/>
      <c r="G94" s="36"/>
      <c r="H94" s="36"/>
      <c r="I94" s="36"/>
      <c r="J94" s="44"/>
      <c r="K94" s="44"/>
      <c r="L94" s="44"/>
      <c r="M94" s="44"/>
      <c r="N94" s="36"/>
      <c r="O94" s="36"/>
      <c r="P94" s="36"/>
      <c r="Q94" s="36"/>
      <c r="R94" s="36"/>
    </row>
    <row r="95" spans="1:18" hidden="1" x14ac:dyDescent="0.25">
      <c r="A95" s="45"/>
      <c r="B95" s="85"/>
      <c r="C95" s="41"/>
      <c r="D95" s="41"/>
      <c r="E95" s="41"/>
      <c r="F95" s="41"/>
      <c r="G95" s="41"/>
      <c r="H95" s="36"/>
      <c r="I95" s="36"/>
      <c r="J95" s="41"/>
      <c r="K95" s="41"/>
      <c r="L95" s="41"/>
      <c r="M95" s="41"/>
      <c r="N95" s="36"/>
      <c r="O95" s="36"/>
      <c r="P95" s="36"/>
      <c r="Q95" s="36"/>
      <c r="R95" s="36"/>
    </row>
    <row r="96" spans="1:18" hidden="1" x14ac:dyDescent="0.25">
      <c r="A96" s="45"/>
      <c r="B96" s="85"/>
      <c r="C96" s="41"/>
      <c r="D96" s="41"/>
      <c r="E96" s="41"/>
      <c r="F96" s="41"/>
      <c r="G96" s="41"/>
      <c r="H96" s="36"/>
      <c r="I96" s="36"/>
      <c r="J96" s="41"/>
      <c r="K96" s="41"/>
      <c r="L96" s="41"/>
      <c r="M96" s="41"/>
      <c r="N96" s="36"/>
      <c r="O96" s="36"/>
      <c r="P96" s="36"/>
      <c r="Q96" s="36"/>
      <c r="R96" s="36"/>
    </row>
    <row r="97" spans="1:18" x14ac:dyDescent="0.25">
      <c r="A97" s="467" t="s">
        <v>535</v>
      </c>
      <c r="B97" s="85">
        <v>0</v>
      </c>
      <c r="C97" s="41">
        <f>ROUND('Biomass Data Assumptions'!$B$60/1000*B97,0)</f>
        <v>0</v>
      </c>
      <c r="D97" s="41">
        <f>'Biomass Data Assumptions'!$C$60*C97</f>
        <v>0</v>
      </c>
      <c r="E97" s="41">
        <f>('Biomass Data Assumptions'!$D$60*'Energy Content Assumptions'!$C$44*D97)/2000</f>
        <v>0</v>
      </c>
      <c r="F97" s="41">
        <f>('Biomass Data Assumptions'!$E$60*B97*365)/2000</f>
        <v>0</v>
      </c>
      <c r="G97" s="41">
        <f>F97+E97</f>
        <v>0</v>
      </c>
      <c r="H97" s="36"/>
      <c r="I97" s="36"/>
      <c r="J97" s="41"/>
      <c r="K97" s="41"/>
      <c r="L97" s="41"/>
      <c r="M97" s="41"/>
      <c r="N97" s="36"/>
      <c r="O97" s="36"/>
      <c r="P97" s="36"/>
      <c r="Q97" s="36"/>
      <c r="R97" s="36"/>
    </row>
    <row r="98" spans="1:18" x14ac:dyDescent="0.25">
      <c r="A98" s="46"/>
      <c r="B98" s="41"/>
      <c r="C98" s="41"/>
      <c r="D98" s="41"/>
      <c r="E98" s="41"/>
      <c r="F98" s="41"/>
      <c r="G98" s="41"/>
      <c r="H98" s="36"/>
      <c r="I98" s="36"/>
      <c r="J98" s="41"/>
      <c r="K98" s="41"/>
      <c r="L98" s="41"/>
      <c r="M98" s="41"/>
      <c r="N98" s="36"/>
      <c r="O98" s="36"/>
      <c r="P98" s="36"/>
      <c r="Q98" s="36"/>
      <c r="R98" s="36"/>
    </row>
    <row r="99" spans="1:18" x14ac:dyDescent="0.25">
      <c r="A99" s="43" t="s">
        <v>539</v>
      </c>
      <c r="B99" s="47"/>
      <c r="C99" s="41"/>
      <c r="D99" s="41"/>
      <c r="E99" s="41"/>
      <c r="F99" s="41"/>
      <c r="G99" s="41"/>
      <c r="H99" s="36"/>
      <c r="I99" s="36"/>
      <c r="J99" s="41"/>
      <c r="K99" s="41"/>
      <c r="L99" s="41"/>
      <c r="M99" s="41"/>
      <c r="N99" s="36"/>
      <c r="O99" s="36"/>
      <c r="P99" s="36"/>
      <c r="Q99" s="36"/>
      <c r="R99" s="36"/>
    </row>
    <row r="100" spans="1:18" x14ac:dyDescent="0.25">
      <c r="A100" s="460" t="s">
        <v>603</v>
      </c>
      <c r="B100" s="85">
        <v>0</v>
      </c>
      <c r="C100" s="41">
        <f>ROUND('Biomass Data Assumptions'!B62/1000*B100,0)</f>
        <v>0</v>
      </c>
      <c r="D100" s="41">
        <f>'Biomass Data Assumptions'!C62*C100</f>
        <v>0</v>
      </c>
      <c r="E100" s="41">
        <f>('Biomass Data Assumptions'!D62*'Energy Content Assumptions'!C46*D100)/2000</f>
        <v>0</v>
      </c>
      <c r="F100" s="41">
        <f>('Biomass Data Assumptions'!E62*B100*365)/2000</f>
        <v>0</v>
      </c>
      <c r="G100" s="41">
        <f>F100+E100</f>
        <v>0</v>
      </c>
      <c r="H100" s="36"/>
      <c r="I100" s="36"/>
      <c r="J100" s="41"/>
      <c r="K100" s="41"/>
      <c r="L100" s="41"/>
      <c r="M100" s="41"/>
      <c r="N100" s="36"/>
      <c r="O100" s="36"/>
      <c r="P100" s="36"/>
      <c r="Q100" s="36"/>
      <c r="R100" s="36"/>
    </row>
    <row r="101" spans="1:18" hidden="1" x14ac:dyDescent="0.25">
      <c r="A101" s="45"/>
      <c r="B101" s="85"/>
      <c r="C101" s="41"/>
      <c r="D101" s="41"/>
      <c r="E101" s="41"/>
      <c r="F101" s="41"/>
      <c r="G101" s="41"/>
      <c r="H101" s="36"/>
      <c r="I101" s="36"/>
      <c r="J101" s="41"/>
      <c r="K101" s="41"/>
      <c r="L101" s="41"/>
      <c r="M101" s="41"/>
      <c r="N101" s="36"/>
      <c r="O101" s="36"/>
      <c r="P101" s="36"/>
      <c r="Q101" s="36"/>
      <c r="R101" s="36"/>
    </row>
    <row r="102" spans="1:18" x14ac:dyDescent="0.25">
      <c r="A102" s="460" t="s">
        <v>604</v>
      </c>
      <c r="B102" s="85">
        <v>0</v>
      </c>
      <c r="C102" s="41">
        <f>ROUND('Biomass Data Assumptions'!B64/1000*B102,0)</f>
        <v>0</v>
      </c>
      <c r="D102" s="41">
        <f>'Biomass Data Assumptions'!C64*C102</f>
        <v>0</v>
      </c>
      <c r="E102" s="41">
        <f>('Biomass Data Assumptions'!D64*'Energy Content Assumptions'!C48*D102)/2000</f>
        <v>0</v>
      </c>
      <c r="F102" s="41">
        <f>'Biomass Data Assumptions'!E64*B102*365/2000</f>
        <v>0</v>
      </c>
      <c r="G102" s="41">
        <f>F102+E102</f>
        <v>0</v>
      </c>
      <c r="H102" s="36"/>
      <c r="I102" s="36"/>
      <c r="J102" s="41"/>
      <c r="K102" s="41"/>
      <c r="L102" s="41"/>
      <c r="M102" s="41"/>
      <c r="N102" s="36"/>
      <c r="O102" s="36"/>
      <c r="P102" s="36"/>
      <c r="Q102" s="36"/>
      <c r="R102" s="36"/>
    </row>
    <row r="103" spans="1:18" hidden="1" x14ac:dyDescent="0.25">
      <c r="A103" s="45"/>
      <c r="B103" s="85"/>
      <c r="C103" s="41"/>
      <c r="D103" s="41"/>
      <c r="E103" s="41"/>
      <c r="F103" s="41"/>
      <c r="G103" s="41"/>
      <c r="H103" s="36"/>
      <c r="I103" s="36"/>
      <c r="J103" s="41"/>
      <c r="K103" s="41"/>
      <c r="L103" s="41"/>
      <c r="M103" s="41"/>
      <c r="N103" s="36"/>
      <c r="O103" s="36"/>
      <c r="P103" s="36"/>
      <c r="Q103" s="36"/>
      <c r="R103" s="36"/>
    </row>
    <row r="104" spans="1:18" x14ac:dyDescent="0.25">
      <c r="A104" s="467" t="s">
        <v>544</v>
      </c>
      <c r="B104" s="85">
        <v>0</v>
      </c>
      <c r="C104" s="41">
        <f>SUM(C100:C103)</f>
        <v>0</v>
      </c>
      <c r="D104" s="41">
        <f>SUM(D100:D103)</f>
        <v>0</v>
      </c>
      <c r="E104" s="41">
        <f>SUM(E100:E103)</f>
        <v>0</v>
      </c>
      <c r="F104" s="41">
        <f>SUM(F100:F103)</f>
        <v>0</v>
      </c>
      <c r="G104" s="41">
        <f>SUM(G100:G103)</f>
        <v>0</v>
      </c>
      <c r="H104" s="36"/>
      <c r="I104" s="36"/>
      <c r="J104" s="41"/>
      <c r="K104" s="41"/>
      <c r="L104" s="41"/>
      <c r="M104" s="41"/>
      <c r="N104" s="36"/>
      <c r="O104" s="36"/>
      <c r="P104" s="36"/>
      <c r="Q104" s="36"/>
      <c r="R104" s="36"/>
    </row>
    <row r="105" spans="1:18" x14ac:dyDescent="0.25">
      <c r="A105" s="46"/>
      <c r="B105" s="41"/>
      <c r="C105" s="41"/>
      <c r="D105" s="41"/>
      <c r="E105" s="41"/>
      <c r="F105" s="41"/>
      <c r="G105" s="41"/>
      <c r="H105" s="36"/>
      <c r="I105" s="36"/>
      <c r="J105" s="41"/>
      <c r="K105" s="41"/>
      <c r="L105" s="41"/>
      <c r="M105" s="41"/>
      <c r="N105" s="36"/>
      <c r="O105" s="36"/>
      <c r="P105" s="36"/>
      <c r="Q105" s="36"/>
      <c r="R105" s="36"/>
    </row>
    <row r="106" spans="1:18" x14ac:dyDescent="0.25">
      <c r="A106" s="43" t="s">
        <v>545</v>
      </c>
      <c r="B106" s="85">
        <v>0</v>
      </c>
      <c r="C106" s="41">
        <f>ROUND('Biomass Data Assumptions'!B66/1000*B106,0)</f>
        <v>0</v>
      </c>
      <c r="D106" s="41">
        <f>'Biomass Data Assumptions'!C66*C106</f>
        <v>0</v>
      </c>
      <c r="E106" s="41">
        <f>('Biomass Data Assumptions'!D66*'Energy Content Assumptions'!C50*D106)/2000</f>
        <v>0</v>
      </c>
      <c r="F106" s="41">
        <f>'Biomass Data Assumptions'!E66*B106*365/2000</f>
        <v>0</v>
      </c>
      <c r="G106" s="41">
        <f>F106+E106</f>
        <v>0</v>
      </c>
      <c r="H106" s="36"/>
      <c r="I106" s="36"/>
      <c r="J106" s="41"/>
      <c r="K106" s="41"/>
      <c r="L106" s="41"/>
      <c r="M106" s="41"/>
      <c r="N106" s="36"/>
      <c r="O106" s="36"/>
      <c r="P106" s="36"/>
      <c r="Q106" s="36"/>
      <c r="R106" s="36"/>
    </row>
    <row r="107" spans="1:18" x14ac:dyDescent="0.25">
      <c r="A107" s="43"/>
      <c r="B107" s="41"/>
      <c r="C107" s="41"/>
      <c r="D107" s="41"/>
      <c r="E107" s="41"/>
      <c r="F107" s="41"/>
      <c r="G107" s="41"/>
      <c r="H107" s="36"/>
      <c r="I107" s="36"/>
      <c r="J107" s="41"/>
      <c r="K107" s="41"/>
      <c r="L107" s="41"/>
      <c r="M107" s="41"/>
      <c r="N107" s="36"/>
      <c r="O107" s="36"/>
      <c r="P107" s="36"/>
      <c r="Q107" s="36"/>
      <c r="R107" s="36"/>
    </row>
    <row r="108" spans="1:18" x14ac:dyDescent="0.25">
      <c r="A108" s="43" t="s">
        <v>546</v>
      </c>
      <c r="B108" s="85">
        <v>0</v>
      </c>
      <c r="C108" s="41">
        <f>ROUND('Biomass Data Assumptions'!B67/1000*B108,0)</f>
        <v>0</v>
      </c>
      <c r="D108" s="41">
        <f>'Biomass Data Assumptions'!C67*C108</f>
        <v>0</v>
      </c>
      <c r="E108" s="41">
        <f>('Biomass Data Assumptions'!D67*'Energy Content Assumptions'!C51*D108)/2000</f>
        <v>0</v>
      </c>
      <c r="F108" s="41">
        <f>'Biomass Data Assumptions'!E67*B108*365/2000</f>
        <v>0</v>
      </c>
      <c r="G108" s="41">
        <f>F108+E108</f>
        <v>0</v>
      </c>
      <c r="H108" s="36"/>
      <c r="I108" s="36"/>
      <c r="J108" s="41"/>
      <c r="K108" s="41"/>
      <c r="L108" s="41"/>
      <c r="M108" s="41"/>
      <c r="N108" s="36"/>
      <c r="O108" s="36"/>
      <c r="P108" s="36"/>
      <c r="Q108" s="36"/>
      <c r="R108" s="36"/>
    </row>
    <row r="109" spans="1:18" x14ac:dyDescent="0.25">
      <c r="A109" s="43"/>
      <c r="B109" s="41"/>
      <c r="C109" s="41"/>
      <c r="D109" s="41"/>
      <c r="E109" s="41"/>
      <c r="F109" s="41"/>
      <c r="G109" s="41"/>
      <c r="H109" s="36"/>
      <c r="I109" s="36"/>
      <c r="J109" s="41"/>
      <c r="K109" s="41"/>
      <c r="L109" s="41"/>
      <c r="M109" s="41"/>
      <c r="N109" s="36"/>
      <c r="O109" s="36"/>
      <c r="P109" s="36"/>
      <c r="Q109" s="36"/>
      <c r="R109" s="36"/>
    </row>
    <row r="110" spans="1:18" x14ac:dyDescent="0.25">
      <c r="A110" s="43" t="s">
        <v>547</v>
      </c>
      <c r="B110" s="85">
        <v>0</v>
      </c>
      <c r="C110" s="41">
        <f>ROUND('Biomass Data Assumptions'!B68/1000*B110,0)</f>
        <v>0</v>
      </c>
      <c r="D110" s="41">
        <f>'Biomass Data Assumptions'!C68*C110</f>
        <v>0</v>
      </c>
      <c r="E110" s="41">
        <f>('Biomass Data Assumptions'!D68*'Energy Content Assumptions'!C52*D110)/2000</f>
        <v>0</v>
      </c>
      <c r="F110" s="41">
        <f>'Biomass Data Assumptions'!E68*B110*365/2000</f>
        <v>0</v>
      </c>
      <c r="G110" s="41">
        <f>F110+E110</f>
        <v>0</v>
      </c>
      <c r="H110" s="36"/>
      <c r="I110" s="36"/>
      <c r="J110" s="41"/>
      <c r="K110" s="41"/>
      <c r="L110" s="41"/>
      <c r="M110" s="41"/>
      <c r="N110" s="36"/>
      <c r="O110" s="36"/>
      <c r="P110" s="36"/>
      <c r="Q110" s="36"/>
      <c r="R110" s="36"/>
    </row>
    <row r="111" spans="1:18" x14ac:dyDescent="0.25">
      <c r="A111" s="43"/>
      <c r="B111" s="41"/>
      <c r="C111" s="41"/>
      <c r="D111" s="41"/>
      <c r="E111" s="41"/>
      <c r="F111" s="41"/>
      <c r="G111" s="41"/>
      <c r="H111" s="36"/>
      <c r="I111" s="36"/>
      <c r="J111" s="41"/>
      <c r="K111" s="41"/>
      <c r="L111" s="41"/>
      <c r="M111" s="41"/>
      <c r="N111" s="36"/>
      <c r="O111" s="36"/>
      <c r="P111" s="36"/>
      <c r="Q111" s="36"/>
      <c r="R111" s="36"/>
    </row>
    <row r="112" spans="1:18" ht="0.75" customHeight="1" x14ac:dyDescent="0.25">
      <c r="A112" s="43"/>
      <c r="B112" s="36"/>
      <c r="C112" s="41"/>
      <c r="D112" s="41"/>
      <c r="E112" s="41"/>
      <c r="F112" s="41"/>
      <c r="G112" s="41"/>
      <c r="H112" s="36"/>
      <c r="I112" s="36"/>
      <c r="J112" s="41"/>
      <c r="K112" s="41"/>
      <c r="L112" s="41"/>
      <c r="M112" s="41"/>
      <c r="N112" s="36"/>
      <c r="O112" s="36"/>
      <c r="P112" s="36"/>
      <c r="Q112" s="36"/>
      <c r="R112" s="36"/>
    </row>
    <row r="113" spans="1:18" hidden="1" x14ac:dyDescent="0.25">
      <c r="A113" s="45"/>
      <c r="B113" s="85"/>
      <c r="C113" s="41"/>
      <c r="D113" s="41"/>
      <c r="E113" s="41"/>
      <c r="F113" s="41"/>
      <c r="G113" s="41"/>
      <c r="H113" s="36"/>
      <c r="I113" s="36"/>
      <c r="J113" s="41"/>
      <c r="K113" s="41"/>
      <c r="L113" s="41"/>
      <c r="M113" s="41"/>
      <c r="N113" s="36"/>
      <c r="O113" s="36"/>
      <c r="P113" s="36"/>
      <c r="Q113" s="36"/>
      <c r="R113" s="36"/>
    </row>
    <row r="114" spans="1:18" hidden="1" x14ac:dyDescent="0.25">
      <c r="A114" s="45"/>
      <c r="B114" s="85"/>
      <c r="C114" s="41"/>
      <c r="D114" s="41"/>
      <c r="E114" s="41"/>
      <c r="F114" s="41"/>
      <c r="G114" s="41"/>
      <c r="H114" s="36"/>
      <c r="I114" s="36"/>
      <c r="J114" s="41"/>
      <c r="K114" s="41"/>
      <c r="L114" s="41"/>
      <c r="M114" s="41"/>
      <c r="N114" s="36"/>
      <c r="O114" s="36"/>
      <c r="P114" s="36"/>
      <c r="Q114" s="36"/>
      <c r="R114" s="36"/>
    </row>
    <row r="115" spans="1:18" x14ac:dyDescent="0.25">
      <c r="A115" s="467" t="s">
        <v>605</v>
      </c>
      <c r="B115" s="85">
        <v>0</v>
      </c>
      <c r="C115" s="41">
        <f>ROUND('Biomass Data Assumptions'!$B$71/1000*B115,0)</f>
        <v>0</v>
      </c>
      <c r="D115" s="41">
        <f>'Biomass Data Assumptions'!$C$71*C115</f>
        <v>0</v>
      </c>
      <c r="E115" s="41">
        <f>('Biomass Data Assumptions'!$D$71*'Energy Content Assumptions'!$C$55*D115)/2000</f>
        <v>0</v>
      </c>
      <c r="F115" s="41">
        <f>'Biomass Data Assumptions'!$E$71*B115*365/2000</f>
        <v>0</v>
      </c>
      <c r="G115" s="41">
        <f>F115+E115</f>
        <v>0</v>
      </c>
      <c r="H115" s="36"/>
      <c r="I115" s="36"/>
      <c r="J115" s="41"/>
      <c r="K115" s="41"/>
      <c r="L115" s="41"/>
      <c r="M115" s="41"/>
      <c r="N115" s="36"/>
      <c r="O115" s="36"/>
      <c r="P115" s="36"/>
      <c r="Q115" s="36"/>
      <c r="R115" s="36"/>
    </row>
    <row r="116" spans="1:18" x14ac:dyDescent="0.25">
      <c r="A116" s="46"/>
      <c r="B116" s="41"/>
      <c r="C116" s="41"/>
      <c r="D116" s="41"/>
      <c r="E116" s="41"/>
      <c r="F116" s="41"/>
      <c r="G116" s="41"/>
      <c r="H116" s="36"/>
      <c r="I116" s="36"/>
      <c r="J116" s="41"/>
      <c r="K116" s="41"/>
      <c r="L116" s="41"/>
      <c r="M116" s="41"/>
      <c r="N116" s="36"/>
      <c r="O116" s="36"/>
      <c r="P116" s="36"/>
      <c r="Q116" s="36"/>
      <c r="R116" s="36"/>
    </row>
    <row r="117" spans="1:18" x14ac:dyDescent="0.25">
      <c r="A117" s="43" t="s">
        <v>551</v>
      </c>
      <c r="B117" s="85">
        <v>0</v>
      </c>
      <c r="C117" s="41">
        <f>ROUND('Biomass Data Assumptions'!B72/1000*B117,0)</f>
        <v>0</v>
      </c>
      <c r="D117" s="41">
        <f>'Biomass Data Assumptions'!C72*C117</f>
        <v>0</v>
      </c>
      <c r="E117" s="41">
        <f>('Biomass Data Assumptions'!D72*'Energy Content Assumptions'!C56*D117)/2000</f>
        <v>0</v>
      </c>
      <c r="F117" s="41">
        <f>'Biomass Data Assumptions'!E72*B117*365/2000</f>
        <v>0</v>
      </c>
      <c r="G117" s="41">
        <f>F117+E117</f>
        <v>0</v>
      </c>
      <c r="H117" s="150" t="s">
        <v>609</v>
      </c>
      <c r="I117" s="36"/>
      <c r="J117" s="41"/>
      <c r="K117" s="41"/>
      <c r="L117" s="41"/>
      <c r="M117" s="41"/>
      <c r="N117" s="36"/>
      <c r="O117" s="36"/>
      <c r="P117" s="36"/>
      <c r="Q117" s="36"/>
      <c r="R117" s="36"/>
    </row>
    <row r="118" spans="1:18" x14ac:dyDescent="0.25">
      <c r="A118" s="43"/>
      <c r="B118" s="41"/>
      <c r="C118" s="41"/>
      <c r="D118" s="41"/>
      <c r="E118" s="41"/>
      <c r="F118" s="41"/>
      <c r="G118" s="41"/>
      <c r="H118" s="36"/>
      <c r="I118" s="36"/>
      <c r="J118" s="41"/>
      <c r="K118" s="41"/>
      <c r="L118" s="41"/>
      <c r="M118" s="41"/>
      <c r="N118" s="36"/>
      <c r="O118" s="36"/>
      <c r="P118" s="36"/>
      <c r="Q118" s="36"/>
      <c r="R118" s="36"/>
    </row>
    <row r="119" spans="1:18" x14ac:dyDescent="0.25">
      <c r="A119" s="43" t="s">
        <v>552</v>
      </c>
      <c r="B119" s="85">
        <v>0</v>
      </c>
      <c r="C119" s="41">
        <f>ROUND('Biomass Data Assumptions'!B73/1000*B119,0)</f>
        <v>0</v>
      </c>
      <c r="D119" s="41">
        <f>'Biomass Data Assumptions'!C73*C119</f>
        <v>0</v>
      </c>
      <c r="E119" s="41">
        <f>('Biomass Data Assumptions'!D73*'Energy Content Assumptions'!C57*D119)/2000</f>
        <v>0</v>
      </c>
      <c r="F119" s="41">
        <f>'Biomass Data Assumptions'!E73*B119*365/2000</f>
        <v>0</v>
      </c>
      <c r="G119" s="41">
        <f>F119+E119</f>
        <v>0</v>
      </c>
      <c r="H119" s="36"/>
      <c r="I119" s="36"/>
      <c r="J119" s="41"/>
      <c r="K119" s="41"/>
      <c r="L119" s="41"/>
      <c r="M119" s="41"/>
      <c r="N119" s="36"/>
      <c r="O119" s="36"/>
      <c r="P119" s="36"/>
      <c r="Q119" s="36"/>
      <c r="R119" s="36"/>
    </row>
    <row r="120" spans="1:18" x14ac:dyDescent="0.25">
      <c r="A120" s="43"/>
      <c r="B120" s="41"/>
      <c r="C120" s="41"/>
      <c r="D120" s="41"/>
      <c r="E120" s="41"/>
      <c r="F120" s="41"/>
      <c r="G120" s="41"/>
      <c r="H120" s="36"/>
      <c r="I120" s="36"/>
      <c r="J120" s="41"/>
      <c r="K120" s="41"/>
      <c r="L120" s="41"/>
      <c r="M120" s="41"/>
      <c r="N120" s="36"/>
      <c r="O120" s="36"/>
      <c r="P120" s="36"/>
      <c r="Q120" s="36"/>
      <c r="R120" s="36"/>
    </row>
    <row r="121" spans="1:18" x14ac:dyDescent="0.25">
      <c r="A121" s="43" t="s">
        <v>553</v>
      </c>
      <c r="B121" s="86">
        <f t="shared" ref="B121:G121" si="14">B97+B104+B106+B108+B110+B115+B117+B119</f>
        <v>0</v>
      </c>
      <c r="C121" s="48">
        <f t="shared" si="14"/>
        <v>0</v>
      </c>
      <c r="D121" s="48">
        <f t="shared" si="14"/>
        <v>0</v>
      </c>
      <c r="E121" s="48">
        <f t="shared" si="14"/>
        <v>0</v>
      </c>
      <c r="F121" s="48">
        <f t="shared" si="14"/>
        <v>0</v>
      </c>
      <c r="G121" s="48">
        <f t="shared" si="14"/>
        <v>0</v>
      </c>
      <c r="H121" s="36"/>
      <c r="I121" s="36"/>
      <c r="J121" s="48"/>
      <c r="K121" s="48"/>
      <c r="L121" s="48"/>
      <c r="M121" s="48"/>
      <c r="N121" s="36"/>
      <c r="O121" s="36"/>
      <c r="P121" s="36"/>
      <c r="Q121" s="36"/>
      <c r="R121" s="36"/>
    </row>
    <row r="122" spans="1:18" x14ac:dyDescent="0.25">
      <c r="A122" s="36"/>
      <c r="B122" s="36"/>
      <c r="C122" s="36"/>
      <c r="D122" s="36"/>
      <c r="E122" s="36"/>
      <c r="F122" s="36"/>
      <c r="G122" s="36"/>
      <c r="H122" s="36"/>
      <c r="I122" s="36"/>
      <c r="J122" s="36"/>
      <c r="K122" s="36"/>
      <c r="L122" s="36"/>
      <c r="M122" s="36"/>
      <c r="N122" s="36"/>
      <c r="O122" s="36"/>
      <c r="P122" s="36"/>
      <c r="Q122" s="36"/>
      <c r="R122" s="36"/>
    </row>
    <row r="123" spans="1:18" x14ac:dyDescent="0.25">
      <c r="A123" s="49" t="s">
        <v>1014</v>
      </c>
      <c r="B123" s="49" t="s">
        <v>1043</v>
      </c>
      <c r="C123" s="49" t="s">
        <v>1044</v>
      </c>
      <c r="D123" s="546" t="s">
        <v>1013</v>
      </c>
      <c r="E123" s="36"/>
      <c r="F123" s="36"/>
      <c r="G123" s="36"/>
      <c r="H123" s="36"/>
      <c r="I123" s="36"/>
      <c r="J123" s="36"/>
      <c r="K123" s="36"/>
      <c r="L123" s="36"/>
      <c r="M123" s="36"/>
      <c r="N123" s="36"/>
      <c r="O123" s="36"/>
      <c r="P123" s="36"/>
      <c r="Q123" s="36"/>
      <c r="R123" s="36"/>
    </row>
    <row r="124" spans="1:18" x14ac:dyDescent="0.25">
      <c r="A124" s="50" t="s">
        <v>555</v>
      </c>
      <c r="B124" s="87">
        <v>41329.26</v>
      </c>
      <c r="C124" s="543">
        <f>B124*'Energy Content Assumptions'!C33</f>
        <v>37196.334000000003</v>
      </c>
      <c r="D124" s="36"/>
      <c r="E124" s="36"/>
      <c r="F124" s="36"/>
      <c r="G124" s="36"/>
      <c r="H124" s="36"/>
      <c r="I124" s="36"/>
      <c r="J124" s="36"/>
      <c r="K124" s="36"/>
      <c r="L124" s="36"/>
      <c r="M124" s="36"/>
      <c r="N124" s="36"/>
      <c r="O124" s="36"/>
      <c r="P124" s="36"/>
      <c r="Q124" s="36"/>
      <c r="R124" s="36"/>
    </row>
    <row r="125" spans="1:18" x14ac:dyDescent="0.25">
      <c r="A125" s="50" t="s">
        <v>556</v>
      </c>
      <c r="B125" s="87">
        <v>23744.880000000001</v>
      </c>
      <c r="C125" s="543">
        <f>B125*'Energy Content Assumptions'!C34</f>
        <v>21370.392</v>
      </c>
      <c r="D125" s="36"/>
      <c r="E125" s="36"/>
      <c r="F125" s="36"/>
      <c r="G125" s="36"/>
      <c r="H125" s="36"/>
      <c r="I125" s="36"/>
      <c r="J125" s="36"/>
      <c r="K125" s="36"/>
      <c r="L125" s="36"/>
      <c r="M125" s="36"/>
      <c r="N125" s="36"/>
      <c r="O125" s="36"/>
      <c r="P125" s="36"/>
      <c r="Q125" s="36"/>
      <c r="R125" s="36"/>
    </row>
    <row r="126" spans="1:18" x14ac:dyDescent="0.25">
      <c r="A126" s="50" t="s">
        <v>557</v>
      </c>
      <c r="B126" s="87">
        <v>9923.33</v>
      </c>
      <c r="C126" s="543">
        <f>B126*'Energy Content Assumptions'!C35</f>
        <v>8930.9969999999994</v>
      </c>
      <c r="D126" s="36"/>
      <c r="E126" s="36"/>
      <c r="F126" s="36"/>
      <c r="G126" s="36"/>
      <c r="H126" s="36"/>
      <c r="I126" s="36"/>
      <c r="J126" s="36"/>
      <c r="K126" s="36"/>
      <c r="L126" s="36"/>
      <c r="M126" s="36"/>
      <c r="N126" s="36"/>
      <c r="O126" s="36"/>
      <c r="P126" s="36"/>
      <c r="Q126" s="36"/>
      <c r="R126" s="36"/>
    </row>
    <row r="127" spans="1:18" x14ac:dyDescent="0.25">
      <c r="A127" s="50" t="s">
        <v>558</v>
      </c>
      <c r="B127" s="87">
        <v>27787.79</v>
      </c>
      <c r="C127" s="543">
        <f>B127*'Energy Content Assumptions'!C36</f>
        <v>25009.011000000002</v>
      </c>
      <c r="D127" s="36"/>
      <c r="E127" s="36"/>
      <c r="F127" s="36"/>
      <c r="G127" s="36"/>
      <c r="H127" s="36"/>
      <c r="I127" s="36"/>
      <c r="J127" s="36"/>
      <c r="K127" s="36"/>
      <c r="L127" s="36"/>
      <c r="M127" s="36"/>
      <c r="N127" s="36"/>
      <c r="O127" s="36"/>
      <c r="P127" s="36"/>
      <c r="Q127" s="36"/>
      <c r="R127" s="36"/>
    </row>
    <row r="128" spans="1:18" x14ac:dyDescent="0.25">
      <c r="A128" s="50" t="s">
        <v>559</v>
      </c>
      <c r="B128" s="87">
        <v>1564.41</v>
      </c>
      <c r="C128" s="543">
        <f>B128*'Energy Content Assumptions'!C21</f>
        <v>782.20500000000004</v>
      </c>
      <c r="D128" s="36"/>
      <c r="E128" s="36"/>
      <c r="F128" s="36"/>
      <c r="G128" s="36"/>
      <c r="H128" s="36"/>
      <c r="I128" s="36"/>
      <c r="J128" s="36"/>
      <c r="K128" s="36"/>
      <c r="L128" s="36"/>
      <c r="M128" s="36"/>
      <c r="N128" s="36"/>
      <c r="O128" s="36"/>
      <c r="P128" s="36"/>
      <c r="Q128" s="36"/>
      <c r="R128" s="36"/>
    </row>
    <row r="129" spans="1:18" x14ac:dyDescent="0.25">
      <c r="A129" s="50" t="s">
        <v>560</v>
      </c>
      <c r="B129" s="87">
        <v>50.22</v>
      </c>
      <c r="C129" s="543">
        <f>B129*'Energy Content Assumptions'!C22</f>
        <v>16.739999999999998</v>
      </c>
      <c r="D129" s="36"/>
      <c r="E129" s="36"/>
      <c r="F129" s="36"/>
      <c r="G129" s="36"/>
      <c r="H129" s="36"/>
      <c r="I129" s="36"/>
      <c r="J129" s="36"/>
      <c r="K129" s="36"/>
      <c r="L129" s="36"/>
      <c r="M129" s="36"/>
      <c r="N129" s="36"/>
      <c r="O129" s="36"/>
      <c r="P129" s="36"/>
      <c r="Q129" s="36"/>
      <c r="R129" s="36"/>
    </row>
    <row r="130" spans="1:18" x14ac:dyDescent="0.25">
      <c r="A130" s="50" t="s">
        <v>561</v>
      </c>
      <c r="B130" s="87">
        <v>3449.66</v>
      </c>
      <c r="C130" s="543">
        <f>B130*'Energy Content Assumptions'!C23</f>
        <v>1149.8866666666665</v>
      </c>
      <c r="D130" s="36"/>
      <c r="E130" s="36"/>
      <c r="F130" s="36"/>
      <c r="G130" s="36"/>
      <c r="H130" s="36"/>
      <c r="I130" s="36"/>
      <c r="J130" s="36"/>
      <c r="K130" s="36"/>
      <c r="L130" s="36"/>
      <c r="M130" s="36"/>
      <c r="N130" s="36"/>
      <c r="O130" s="36"/>
      <c r="P130" s="36"/>
      <c r="Q130" s="36"/>
      <c r="R130" s="36"/>
    </row>
    <row r="131" spans="1:18" x14ac:dyDescent="0.25">
      <c r="A131" s="50" t="s">
        <v>562</v>
      </c>
      <c r="B131" s="87">
        <v>325.49</v>
      </c>
      <c r="C131" s="543">
        <f>B131*'Energy Content Assumptions'!C24</f>
        <v>162.745</v>
      </c>
      <c r="D131" s="36"/>
      <c r="E131" s="36"/>
      <c r="F131" s="36"/>
      <c r="G131" s="36"/>
      <c r="H131" s="36"/>
      <c r="I131" s="36"/>
      <c r="J131" s="36"/>
      <c r="K131" s="36"/>
      <c r="L131" s="36"/>
      <c r="M131" s="36"/>
      <c r="N131" s="36"/>
      <c r="O131" s="36"/>
      <c r="P131" s="36"/>
      <c r="Q131" s="36"/>
      <c r="R131" s="36"/>
    </row>
    <row r="132" spans="1:18" x14ac:dyDescent="0.25">
      <c r="A132" s="50" t="s">
        <v>563</v>
      </c>
      <c r="B132" s="87">
        <v>1739.35</v>
      </c>
      <c r="C132" s="543">
        <f>B132*'Energy Content Assumptions'!C31</f>
        <v>434.83749999999998</v>
      </c>
      <c r="D132" s="36"/>
      <c r="E132" s="36"/>
      <c r="F132" s="36"/>
      <c r="G132" s="36"/>
      <c r="H132" s="36"/>
      <c r="I132" s="36"/>
      <c r="J132" s="36"/>
      <c r="K132" s="36"/>
      <c r="L132" s="36"/>
      <c r="M132" s="36"/>
      <c r="N132" s="36"/>
      <c r="O132" s="36"/>
      <c r="P132" s="36"/>
      <c r="Q132" s="36"/>
      <c r="R132" s="36"/>
    </row>
    <row r="133" spans="1:18" x14ac:dyDescent="0.25">
      <c r="A133" s="50" t="s">
        <v>564</v>
      </c>
      <c r="B133" s="87">
        <v>0</v>
      </c>
      <c r="C133" s="543">
        <f>B133*'Energy Content Assumptions'!C19</f>
        <v>0</v>
      </c>
      <c r="D133" s="36"/>
      <c r="E133" s="36"/>
      <c r="F133" s="36"/>
      <c r="G133" s="36"/>
      <c r="H133" s="36"/>
      <c r="I133" s="36"/>
      <c r="J133" s="36"/>
      <c r="K133" s="36"/>
      <c r="L133" s="36"/>
      <c r="M133" s="36"/>
      <c r="N133" s="36"/>
      <c r="O133" s="36"/>
      <c r="P133" s="36"/>
      <c r="Q133" s="36"/>
      <c r="R133" s="36"/>
    </row>
    <row r="134" spans="1:18" x14ac:dyDescent="0.25">
      <c r="A134" s="50" t="s">
        <v>565</v>
      </c>
      <c r="B134" s="87">
        <v>27498.21</v>
      </c>
      <c r="C134" s="543">
        <f>B134*'Energy Content Assumptions'!C32</f>
        <v>21998.567999999999</v>
      </c>
      <c r="D134" s="36"/>
      <c r="E134" s="36"/>
      <c r="F134" s="36"/>
      <c r="G134" s="36"/>
      <c r="H134" s="36"/>
      <c r="I134" s="36"/>
      <c r="J134" s="36"/>
      <c r="K134" s="36"/>
      <c r="L134" s="36"/>
      <c r="M134" s="36"/>
      <c r="N134" s="36"/>
      <c r="O134" s="36"/>
      <c r="P134" s="36"/>
      <c r="Q134" s="36"/>
      <c r="R134" s="36"/>
    </row>
    <row r="135" spans="1:18" x14ac:dyDescent="0.25">
      <c r="A135" s="36"/>
      <c r="B135" s="36"/>
      <c r="C135" s="36"/>
      <c r="D135" s="36"/>
      <c r="E135" s="36"/>
      <c r="F135" s="36"/>
      <c r="G135" s="36"/>
      <c r="H135" s="36"/>
      <c r="I135" s="36"/>
      <c r="J135" s="36"/>
      <c r="K135" s="36"/>
      <c r="L135" s="36"/>
      <c r="M135" s="36"/>
      <c r="N135" s="36"/>
      <c r="O135" s="36"/>
      <c r="P135" s="36"/>
      <c r="Q135" s="36"/>
      <c r="R135" s="36"/>
    </row>
    <row r="136" spans="1:18" x14ac:dyDescent="0.25">
      <c r="A136" s="49" t="s">
        <v>462</v>
      </c>
      <c r="B136" s="49" t="s">
        <v>1039</v>
      </c>
      <c r="C136" s="49" t="s">
        <v>1040</v>
      </c>
      <c r="D136" s="36"/>
      <c r="E136" s="36"/>
      <c r="F136" s="36"/>
      <c r="G136" s="36"/>
      <c r="H136" s="36"/>
      <c r="I136" s="36"/>
      <c r="J136" s="36"/>
      <c r="K136" s="36"/>
      <c r="L136" s="36"/>
      <c r="M136" s="36"/>
      <c r="N136" s="36"/>
      <c r="O136" s="36"/>
      <c r="P136" s="36"/>
      <c r="Q136" s="36"/>
      <c r="R136" s="36"/>
    </row>
    <row r="137" spans="1:18" x14ac:dyDescent="0.25">
      <c r="A137" s="50" t="s">
        <v>211</v>
      </c>
      <c r="B137" s="87">
        <f>'Biomass Data Assumptions'!$M$15</f>
        <v>541234.12</v>
      </c>
      <c r="C137" s="544"/>
      <c r="D137" s="546" t="s">
        <v>1016</v>
      </c>
      <c r="E137" s="36"/>
      <c r="F137" s="36"/>
      <c r="G137" s="36"/>
      <c r="H137" s="36"/>
      <c r="I137" s="36"/>
      <c r="J137" s="36"/>
      <c r="K137" s="36"/>
      <c r="L137" s="36"/>
      <c r="M137" s="36"/>
      <c r="N137" s="36"/>
      <c r="O137" s="36"/>
      <c r="P137" s="36"/>
      <c r="Q137" s="36"/>
      <c r="R137" s="36"/>
    </row>
    <row r="138" spans="1:18" x14ac:dyDescent="0.25">
      <c r="A138" s="50" t="s">
        <v>208</v>
      </c>
      <c r="B138" s="87">
        <f>'Biomass Data Assumptions'!$F$15</f>
        <v>369881.84</v>
      </c>
      <c r="C138" s="543">
        <f>B138*'Energy Content Assumptions'!$C$28</f>
        <v>184940.92</v>
      </c>
      <c r="D138" s="546" t="s">
        <v>1016</v>
      </c>
      <c r="E138" s="36"/>
      <c r="F138" s="36"/>
      <c r="G138" s="36"/>
      <c r="H138" s="36"/>
      <c r="I138" s="36"/>
      <c r="J138" s="36"/>
      <c r="K138" s="36"/>
      <c r="L138" s="36"/>
      <c r="M138" s="36"/>
      <c r="N138" s="36"/>
      <c r="O138" s="36"/>
      <c r="P138" s="36"/>
      <c r="Q138" s="36"/>
      <c r="R138" s="36"/>
    </row>
    <row r="139" spans="1:18" x14ac:dyDescent="0.25">
      <c r="A139" s="50" t="s">
        <v>209</v>
      </c>
      <c r="B139" s="87">
        <f>'Biomass Data Assumptions'!$H$15</f>
        <v>935.4</v>
      </c>
      <c r="C139" s="543"/>
      <c r="D139" s="36" t="s">
        <v>1020</v>
      </c>
      <c r="E139" s="36"/>
      <c r="F139" s="36"/>
      <c r="G139" s="36"/>
      <c r="H139" s="36"/>
      <c r="I139" s="36"/>
      <c r="J139" s="36"/>
      <c r="K139" s="36"/>
      <c r="L139" s="36"/>
      <c r="M139" s="36"/>
      <c r="N139" s="36"/>
      <c r="O139" s="36"/>
      <c r="P139" s="36"/>
      <c r="Q139" s="36"/>
      <c r="R139" s="36"/>
    </row>
    <row r="140" spans="1:18" x14ac:dyDescent="0.25">
      <c r="A140" s="50" t="s">
        <v>210</v>
      </c>
      <c r="B140" s="87">
        <f>'Biomass Data Assumptions'!$I$15</f>
        <v>368946.44</v>
      </c>
      <c r="C140" s="543">
        <f>B140*'Energy Content Assumptions'!$C$28</f>
        <v>184473.22</v>
      </c>
      <c r="D140" s="36" t="s">
        <v>1021</v>
      </c>
      <c r="E140" s="36"/>
      <c r="F140" s="36"/>
      <c r="G140" s="36"/>
      <c r="H140" s="36"/>
      <c r="I140" s="36"/>
      <c r="J140" s="36"/>
      <c r="K140" s="36"/>
      <c r="L140" s="36"/>
      <c r="M140" s="36"/>
      <c r="N140" s="36"/>
      <c r="O140" s="36"/>
      <c r="P140" s="36"/>
      <c r="Q140" s="36"/>
      <c r="R140" s="36"/>
    </row>
    <row r="141" spans="1:18" x14ac:dyDescent="0.25">
      <c r="A141" s="50" t="str">
        <f>'Bioenergy Calculator'!B35</f>
        <v>Food waste, Landfilled</v>
      </c>
      <c r="B141" s="87">
        <f>IF('Bioenergy Calculator'!H75="No",'Biomass Data Assumptions'!J15,'Biomass Data Assumptions'!F15*'Biomass Data Assumptions'!I41)</f>
        <v>58367.326808000005</v>
      </c>
      <c r="C141" s="543">
        <f>B141*'Energy Content Assumptions'!C26</f>
        <v>17510.198042399999</v>
      </c>
      <c r="D141" s="150" t="s">
        <v>1063</v>
      </c>
      <c r="E141" s="36"/>
      <c r="F141" s="36"/>
      <c r="G141" s="36"/>
      <c r="H141" s="36"/>
      <c r="I141" s="36"/>
      <c r="J141" s="36"/>
      <c r="K141" s="36"/>
      <c r="L141" s="36"/>
      <c r="M141" s="36"/>
      <c r="N141" s="36"/>
      <c r="O141" s="36"/>
      <c r="P141" s="36"/>
      <c r="Q141" s="36"/>
      <c r="R141" s="36"/>
    </row>
    <row r="142" spans="1:18" x14ac:dyDescent="0.25">
      <c r="A142" s="50" t="str">
        <f>'Bioenergy Calculator'!B36</f>
        <v>Waste paper, Landfilled</v>
      </c>
      <c r="B142" s="87">
        <f>IF('Bioenergy Calculator'!H75="No",'Biomass Data Assumptions'!K15,'Biomass Data Assumptions'!F15*'Biomass Data Assumptions'!I42)</f>
        <v>71760.082580000002</v>
      </c>
      <c r="C142" s="543">
        <f>B142*'Energy Content Assumptions'!C27</f>
        <v>64584.074322</v>
      </c>
      <c r="D142" s="150" t="s">
        <v>1063</v>
      </c>
      <c r="E142" s="36"/>
      <c r="F142" s="36"/>
      <c r="G142" s="36"/>
      <c r="H142" s="36"/>
      <c r="I142" s="36"/>
      <c r="J142" s="36"/>
      <c r="K142" s="36"/>
      <c r="L142" s="36"/>
      <c r="M142" s="36"/>
      <c r="N142" s="36"/>
      <c r="O142" s="36"/>
      <c r="P142" s="36"/>
      <c r="Q142" s="36"/>
      <c r="R142" s="36"/>
    </row>
    <row r="143" spans="1:18" x14ac:dyDescent="0.25">
      <c r="A143" s="50" t="str">
        <f>'Bioenergy Calculator'!B37</f>
        <v>Other Biomass, Landfilled</v>
      </c>
      <c r="B143" s="87">
        <f>IF('Bioenergy Calculator'!H75="No",'Biomass Data Assumptions'!L15,'Biomass Data Assumptions'!F15*'Biomass Data Assumptions'!I43)</f>
        <v>99357.276291999995</v>
      </c>
      <c r="C143" s="543">
        <f>B143*'Energy Content Assumptions'!$C$28</f>
        <v>49678.638145999998</v>
      </c>
      <c r="D143" s="547" t="s">
        <v>1064</v>
      </c>
      <c r="E143" s="36"/>
      <c r="F143" s="36"/>
      <c r="G143" s="36"/>
      <c r="H143" s="36"/>
      <c r="I143" s="36"/>
      <c r="J143" s="36"/>
      <c r="K143" s="36"/>
      <c r="L143" s="36"/>
      <c r="M143" s="36"/>
      <c r="N143" s="36"/>
      <c r="O143" s="36"/>
      <c r="P143" s="36"/>
      <c r="Q143" s="36"/>
      <c r="R143" s="36"/>
    </row>
    <row r="144" spans="1:18" x14ac:dyDescent="0.25">
      <c r="A144" s="50" t="s">
        <v>463</v>
      </c>
      <c r="B144" s="87">
        <v>80632.62</v>
      </c>
      <c r="C144" s="543">
        <f>B144*'Energy Content Assumptions'!C29</f>
        <v>64506.095999999998</v>
      </c>
      <c r="D144" s="151" t="s">
        <v>206</v>
      </c>
      <c r="E144" s="36"/>
      <c r="F144" s="36"/>
      <c r="G144" s="36"/>
      <c r="H144" s="36"/>
      <c r="I144" s="36"/>
      <c r="J144" s="36"/>
      <c r="K144" s="36"/>
      <c r="L144" s="36"/>
      <c r="M144" s="36"/>
      <c r="N144" s="36"/>
      <c r="O144" s="36"/>
      <c r="P144" s="36"/>
      <c r="Q144" s="36"/>
      <c r="R144" s="36"/>
    </row>
    <row r="145" spans="1:18" x14ac:dyDescent="0.25">
      <c r="A145" s="709" t="s">
        <v>179</v>
      </c>
      <c r="B145" s="710">
        <v>0.4</v>
      </c>
      <c r="C145" s="543">
        <f>C144*B145</f>
        <v>25802.438399999999</v>
      </c>
      <c r="D145" s="36" t="s">
        <v>1202</v>
      </c>
      <c r="E145" s="36"/>
      <c r="F145" s="36"/>
      <c r="G145" s="36"/>
      <c r="H145" s="36"/>
      <c r="I145" s="36"/>
      <c r="J145" s="36"/>
      <c r="K145" s="36"/>
      <c r="L145" s="36"/>
      <c r="M145" s="36"/>
      <c r="N145" s="36"/>
      <c r="O145" s="36"/>
      <c r="P145" s="36"/>
      <c r="Q145" s="36"/>
      <c r="R145" s="36"/>
    </row>
    <row r="146" spans="1:18" x14ac:dyDescent="0.25">
      <c r="A146" s="712"/>
      <c r="B146" s="713"/>
      <c r="C146" s="543"/>
      <c r="D146" s="150" t="s">
        <v>1553</v>
      </c>
      <c r="E146" s="36"/>
      <c r="F146" s="36"/>
      <c r="G146" s="36"/>
      <c r="H146" s="36"/>
      <c r="I146" s="36"/>
      <c r="J146" s="36"/>
      <c r="K146" s="36"/>
      <c r="L146" s="36"/>
      <c r="M146" s="36"/>
      <c r="N146" s="36"/>
      <c r="O146" s="36"/>
      <c r="P146" s="36"/>
      <c r="Q146" s="36"/>
      <c r="R146" s="36"/>
    </row>
    <row r="147" spans="1:18" x14ac:dyDescent="0.25">
      <c r="A147" s="1238" t="s">
        <v>1568</v>
      </c>
      <c r="B147" s="49" t="s">
        <v>1039</v>
      </c>
      <c r="C147" s="49" t="s">
        <v>1571</v>
      </c>
      <c r="D147" s="150"/>
      <c r="E147" s="36"/>
      <c r="F147" s="36"/>
      <c r="G147" s="36"/>
      <c r="H147" s="36"/>
      <c r="I147" s="36"/>
      <c r="J147" s="36"/>
      <c r="K147" s="36"/>
      <c r="L147" s="36"/>
      <c r="M147" s="36"/>
      <c r="N147" s="36"/>
      <c r="O147" s="36"/>
      <c r="P147" s="36"/>
      <c r="Q147" s="36"/>
      <c r="R147" s="36"/>
    </row>
    <row r="148" spans="1:18" x14ac:dyDescent="0.25">
      <c r="A148" s="1236" t="s">
        <v>508</v>
      </c>
      <c r="B148" s="549">
        <f>'Biomass Data Assumptions'!R15/2000</f>
        <v>2790.7704000000003</v>
      </c>
      <c r="C148" s="1239">
        <f>B148*'Energy Content Assumptions'!C39</f>
        <v>2372.1548400000001</v>
      </c>
      <c r="D148" s="150" t="s">
        <v>1569</v>
      </c>
      <c r="E148" s="36"/>
      <c r="F148" s="36"/>
      <c r="G148" s="36"/>
      <c r="H148" s="36"/>
      <c r="I148" s="36"/>
      <c r="J148" s="36"/>
      <c r="K148" s="36"/>
      <c r="L148" s="36"/>
      <c r="M148" s="36"/>
      <c r="N148" s="36"/>
      <c r="O148" s="36"/>
      <c r="P148" s="36"/>
      <c r="Q148" s="36"/>
      <c r="R148" s="36"/>
    </row>
    <row r="149" spans="1:18" x14ac:dyDescent="0.25">
      <c r="A149" s="1236" t="s">
        <v>509</v>
      </c>
      <c r="B149" s="549">
        <f>'Biomass Data Assumptions'!S15/2000</f>
        <v>4240.0682100000004</v>
      </c>
      <c r="C149" s="1239">
        <f>B149*'Energy Content Assumptions'!C40</f>
        <v>212.00341050000003</v>
      </c>
      <c r="D149" s="150" t="s">
        <v>1570</v>
      </c>
      <c r="E149" s="36"/>
      <c r="F149" s="36"/>
      <c r="G149" s="36"/>
      <c r="H149" s="36"/>
      <c r="I149" s="36"/>
      <c r="J149" s="36"/>
      <c r="K149" s="36"/>
      <c r="L149" s="36"/>
      <c r="M149" s="36"/>
      <c r="N149" s="36"/>
      <c r="O149" s="36"/>
      <c r="P149" s="36"/>
      <c r="Q149" s="36"/>
      <c r="R149" s="36"/>
    </row>
    <row r="150" spans="1:18" x14ac:dyDescent="0.25">
      <c r="A150" s="36"/>
      <c r="B150" s="36"/>
      <c r="C150" s="36"/>
      <c r="D150" s="36"/>
      <c r="E150" s="36"/>
      <c r="F150" s="36"/>
      <c r="G150" s="36"/>
      <c r="H150" s="36"/>
      <c r="I150" s="36"/>
      <c r="J150" s="36"/>
      <c r="K150" s="36"/>
      <c r="L150" s="36"/>
      <c r="M150" s="36"/>
      <c r="N150" s="36"/>
      <c r="O150" s="36"/>
      <c r="P150" s="36"/>
      <c r="Q150" s="36"/>
      <c r="R150" s="36"/>
    </row>
    <row r="151" spans="1:18" x14ac:dyDescent="0.25">
      <c r="A151" s="36"/>
      <c r="B151" s="36"/>
      <c r="C151" s="36"/>
      <c r="D151" s="36"/>
      <c r="E151" s="36"/>
      <c r="F151" s="36"/>
      <c r="G151" s="36"/>
      <c r="H151" s="36"/>
      <c r="I151" s="36"/>
      <c r="J151" s="36"/>
      <c r="K151" s="36"/>
      <c r="L151" s="36"/>
      <c r="M151" s="36"/>
      <c r="N151" s="36"/>
      <c r="O151" s="36"/>
      <c r="P151" s="36"/>
      <c r="Q151" s="36"/>
      <c r="R151" s="36"/>
    </row>
    <row r="152" spans="1:18" x14ac:dyDescent="0.25">
      <c r="A152" s="36"/>
      <c r="B152" s="36"/>
      <c r="C152" s="36"/>
      <c r="D152" s="36"/>
      <c r="E152" s="36"/>
      <c r="F152" s="36"/>
      <c r="G152" s="36"/>
      <c r="H152" s="36"/>
      <c r="I152" s="36"/>
      <c r="J152" s="36"/>
      <c r="K152" s="36"/>
      <c r="L152" s="36"/>
      <c r="M152" s="36"/>
      <c r="N152" s="36"/>
      <c r="O152" s="36"/>
      <c r="P152" s="36"/>
      <c r="Q152" s="36"/>
      <c r="R152" s="36"/>
    </row>
    <row r="153" spans="1:18" x14ac:dyDescent="0.25">
      <c r="A153" s="36"/>
      <c r="B153" s="36"/>
      <c r="C153" s="36"/>
      <c r="D153" s="36"/>
      <c r="E153" s="36"/>
      <c r="F153" s="36"/>
      <c r="G153" s="36"/>
      <c r="H153" s="36"/>
      <c r="I153" s="36"/>
      <c r="J153" s="36"/>
      <c r="K153" s="36"/>
      <c r="L153" s="36"/>
      <c r="M153" s="36"/>
      <c r="N153" s="36"/>
      <c r="O153" s="36"/>
      <c r="P153" s="36"/>
      <c r="Q153" s="36"/>
      <c r="R153" s="36"/>
    </row>
    <row r="154" spans="1:18" x14ac:dyDescent="0.25">
      <c r="A154" s="36"/>
      <c r="B154" s="36"/>
      <c r="C154" s="36"/>
      <c r="D154" s="36"/>
      <c r="E154" s="36"/>
      <c r="F154" s="36"/>
      <c r="G154" s="36"/>
      <c r="H154" s="36"/>
      <c r="I154" s="36"/>
      <c r="J154" s="36"/>
      <c r="K154" s="36"/>
      <c r="L154" s="36"/>
      <c r="M154" s="36"/>
      <c r="N154" s="36"/>
      <c r="O154" s="36"/>
      <c r="P154" s="36"/>
      <c r="Q154" s="36"/>
      <c r="R154" s="36"/>
    </row>
    <row r="155" spans="1:18" x14ac:dyDescent="0.25">
      <c r="A155" s="36"/>
      <c r="B155" s="36"/>
      <c r="C155" s="36"/>
      <c r="D155" s="36"/>
      <c r="E155" s="36"/>
      <c r="F155" s="36"/>
      <c r="G155" s="36"/>
      <c r="H155" s="36"/>
      <c r="I155" s="36"/>
      <c r="J155" s="36"/>
      <c r="K155" s="36"/>
      <c r="L155" s="36"/>
      <c r="M155" s="36"/>
      <c r="N155" s="36"/>
      <c r="O155" s="36"/>
      <c r="P155" s="36"/>
      <c r="Q155" s="36"/>
      <c r="R155" s="36"/>
    </row>
    <row r="156" spans="1:18" x14ac:dyDescent="0.25">
      <c r="A156" s="36"/>
      <c r="B156" s="36"/>
      <c r="C156" s="36"/>
      <c r="D156" s="36"/>
      <c r="E156" s="36"/>
      <c r="F156" s="36"/>
      <c r="G156" s="36"/>
      <c r="H156" s="36"/>
      <c r="I156" s="36"/>
      <c r="J156" s="36"/>
      <c r="K156" s="36"/>
      <c r="L156" s="36"/>
      <c r="M156" s="36"/>
      <c r="N156" s="36"/>
      <c r="O156" s="36"/>
      <c r="P156" s="36"/>
      <c r="Q156" s="36"/>
      <c r="R156" s="36"/>
    </row>
    <row r="157" spans="1:18" x14ac:dyDescent="0.25">
      <c r="A157" s="36"/>
      <c r="B157" s="36"/>
      <c r="C157" s="36"/>
      <c r="D157" s="36"/>
      <c r="E157" s="36"/>
      <c r="F157" s="36"/>
      <c r="G157" s="36"/>
      <c r="H157" s="36"/>
      <c r="I157" s="36"/>
      <c r="J157" s="36"/>
      <c r="K157" s="36"/>
      <c r="L157" s="36"/>
      <c r="M157" s="36"/>
      <c r="N157" s="36"/>
      <c r="O157" s="36"/>
      <c r="P157" s="36"/>
      <c r="Q157" s="36"/>
      <c r="R157" s="36"/>
    </row>
    <row r="158" spans="1:18" x14ac:dyDescent="0.25">
      <c r="A158" s="36"/>
      <c r="B158" s="36"/>
      <c r="C158" s="36"/>
      <c r="D158" s="36"/>
      <c r="E158" s="36"/>
      <c r="F158" s="36"/>
      <c r="G158" s="36"/>
      <c r="H158" s="36"/>
      <c r="I158" s="36"/>
      <c r="J158" s="36"/>
      <c r="K158" s="36"/>
      <c r="L158" s="36"/>
      <c r="M158" s="36"/>
      <c r="N158" s="36"/>
      <c r="O158" s="36"/>
      <c r="P158" s="36"/>
      <c r="Q158" s="36"/>
      <c r="R158" s="36"/>
    </row>
    <row r="159" spans="1:18" x14ac:dyDescent="0.25">
      <c r="A159" s="36"/>
      <c r="B159" s="36"/>
      <c r="C159" s="36"/>
      <c r="D159" s="36"/>
      <c r="E159" s="36"/>
      <c r="F159" s="36"/>
      <c r="G159" s="36"/>
      <c r="H159" s="36"/>
      <c r="I159" s="36"/>
      <c r="J159" s="36"/>
      <c r="K159" s="36"/>
      <c r="L159" s="36"/>
      <c r="M159" s="36"/>
      <c r="N159" s="36"/>
      <c r="O159" s="36"/>
      <c r="P159" s="36"/>
      <c r="Q159" s="36"/>
      <c r="R159" s="36"/>
    </row>
    <row r="160" spans="1:18" x14ac:dyDescent="0.25">
      <c r="A160" s="36"/>
      <c r="B160" s="36"/>
      <c r="C160" s="36"/>
      <c r="D160" s="36"/>
      <c r="E160" s="36"/>
      <c r="F160" s="36"/>
      <c r="G160" s="36"/>
      <c r="H160" s="36"/>
      <c r="I160" s="36"/>
      <c r="J160" s="36"/>
      <c r="K160" s="36"/>
      <c r="L160" s="36"/>
      <c r="M160" s="36"/>
      <c r="N160" s="36"/>
      <c r="O160" s="36"/>
      <c r="P160" s="36"/>
      <c r="Q160" s="36"/>
      <c r="R160" s="36"/>
    </row>
    <row r="161" spans="1:18" x14ac:dyDescent="0.25">
      <c r="A161" s="36"/>
      <c r="B161" s="36"/>
      <c r="C161" s="36"/>
      <c r="D161" s="36"/>
      <c r="E161" s="36"/>
      <c r="F161" s="36"/>
      <c r="G161" s="36"/>
      <c r="H161" s="36"/>
      <c r="I161" s="36"/>
      <c r="J161" s="36"/>
      <c r="K161" s="36"/>
      <c r="L161" s="36"/>
      <c r="M161" s="36"/>
      <c r="N161" s="36"/>
      <c r="O161" s="36"/>
      <c r="P161" s="36"/>
      <c r="Q161" s="36"/>
      <c r="R161" s="36"/>
    </row>
    <row r="162" spans="1:18" x14ac:dyDescent="0.25">
      <c r="A162" s="36"/>
      <c r="B162" s="36"/>
      <c r="C162" s="36"/>
      <c r="D162" s="36"/>
      <c r="E162" s="36"/>
      <c r="F162" s="36"/>
      <c r="G162" s="36"/>
      <c r="H162" s="36"/>
      <c r="I162" s="36"/>
      <c r="J162" s="36"/>
      <c r="K162" s="36"/>
      <c r="L162" s="36"/>
      <c r="M162" s="36"/>
      <c r="N162" s="36"/>
      <c r="O162" s="36"/>
      <c r="P162" s="36"/>
      <c r="Q162" s="36"/>
      <c r="R162" s="36"/>
    </row>
    <row r="163" spans="1:18" x14ac:dyDescent="0.25">
      <c r="A163" s="36"/>
      <c r="B163" s="36"/>
      <c r="C163" s="36"/>
      <c r="D163" s="36"/>
      <c r="E163" s="36"/>
      <c r="F163" s="36"/>
      <c r="G163" s="36"/>
      <c r="H163" s="36"/>
      <c r="I163" s="36"/>
      <c r="J163" s="36"/>
      <c r="K163" s="36"/>
      <c r="L163" s="36"/>
      <c r="M163" s="36"/>
      <c r="N163" s="36"/>
      <c r="O163" s="36"/>
      <c r="P163" s="36"/>
      <c r="Q163" s="36"/>
      <c r="R163" s="36"/>
    </row>
    <row r="164" spans="1:18" x14ac:dyDescent="0.25">
      <c r="A164" s="36"/>
      <c r="B164" s="36"/>
      <c r="C164" s="36"/>
      <c r="D164" s="36"/>
      <c r="E164" s="36"/>
      <c r="F164" s="36"/>
      <c r="G164" s="36"/>
      <c r="H164" s="36"/>
      <c r="I164" s="36"/>
      <c r="J164" s="36"/>
      <c r="K164" s="36"/>
      <c r="L164" s="36"/>
      <c r="M164" s="36"/>
      <c r="N164" s="36"/>
      <c r="O164" s="36"/>
      <c r="P164" s="36"/>
      <c r="Q164" s="36"/>
      <c r="R164" s="36"/>
    </row>
    <row r="165" spans="1:18" x14ac:dyDescent="0.25">
      <c r="A165" s="36"/>
      <c r="B165" s="36"/>
      <c r="C165" s="36"/>
      <c r="D165" s="36"/>
      <c r="E165" s="36"/>
      <c r="F165" s="36"/>
      <c r="G165" s="36"/>
      <c r="H165" s="36"/>
      <c r="I165" s="36"/>
      <c r="J165" s="36"/>
      <c r="K165" s="36"/>
      <c r="L165" s="36"/>
      <c r="M165" s="36"/>
      <c r="N165" s="36"/>
      <c r="O165" s="36"/>
      <c r="P165" s="36"/>
      <c r="Q165" s="36"/>
      <c r="R165" s="36"/>
    </row>
    <row r="166" spans="1:18" x14ac:dyDescent="0.25">
      <c r="A166" s="36"/>
      <c r="B166" s="36"/>
      <c r="C166" s="36"/>
      <c r="D166" s="36"/>
      <c r="E166" s="36"/>
      <c r="F166" s="36"/>
      <c r="G166" s="36"/>
      <c r="H166" s="36"/>
      <c r="I166" s="36"/>
      <c r="J166" s="36"/>
      <c r="K166" s="36"/>
      <c r="L166" s="36"/>
      <c r="M166" s="36"/>
      <c r="N166" s="36"/>
      <c r="O166" s="36"/>
      <c r="P166" s="36"/>
      <c r="Q166" s="36"/>
      <c r="R166" s="36"/>
    </row>
    <row r="167" spans="1:18" x14ac:dyDescent="0.25">
      <c r="A167" s="36"/>
      <c r="B167" s="36"/>
      <c r="C167" s="36"/>
      <c r="D167" s="36"/>
      <c r="E167" s="36"/>
      <c r="F167" s="36"/>
      <c r="G167" s="36"/>
      <c r="H167" s="36"/>
      <c r="I167" s="36"/>
      <c r="J167" s="36"/>
      <c r="K167" s="36"/>
      <c r="L167" s="36"/>
      <c r="M167" s="36"/>
      <c r="N167" s="36"/>
      <c r="O167" s="36"/>
      <c r="P167" s="36"/>
      <c r="Q167" s="36"/>
      <c r="R167" s="36"/>
    </row>
    <row r="168" spans="1:18" x14ac:dyDescent="0.25">
      <c r="A168" s="36"/>
      <c r="B168" s="36"/>
      <c r="C168" s="36"/>
      <c r="D168" s="36"/>
      <c r="E168" s="36"/>
      <c r="F168" s="36"/>
      <c r="G168" s="36"/>
      <c r="H168" s="36"/>
      <c r="I168" s="36"/>
      <c r="J168" s="36"/>
      <c r="K168" s="36"/>
      <c r="L168" s="36"/>
      <c r="M168" s="36"/>
      <c r="N168" s="36"/>
      <c r="O168" s="36"/>
      <c r="P168" s="36"/>
      <c r="Q168" s="36"/>
      <c r="R168" s="36"/>
    </row>
    <row r="169" spans="1:18" x14ac:dyDescent="0.25">
      <c r="A169" s="36"/>
      <c r="B169" s="36"/>
      <c r="C169" s="36"/>
      <c r="D169" s="36"/>
      <c r="E169" s="36"/>
      <c r="F169" s="36"/>
      <c r="G169" s="36"/>
      <c r="H169" s="36"/>
      <c r="I169" s="36"/>
      <c r="J169" s="36"/>
      <c r="K169" s="36"/>
      <c r="L169" s="36"/>
      <c r="M169" s="36"/>
      <c r="N169" s="36"/>
      <c r="O169" s="36"/>
      <c r="P169" s="36"/>
      <c r="Q169" s="36"/>
      <c r="R169" s="36"/>
    </row>
    <row r="170" spans="1:18" x14ac:dyDescent="0.25">
      <c r="A170" s="36"/>
      <c r="B170" s="36"/>
      <c r="C170" s="36"/>
      <c r="D170" s="36"/>
      <c r="E170" s="36"/>
      <c r="F170" s="36"/>
      <c r="G170" s="36"/>
      <c r="H170" s="36"/>
      <c r="I170" s="36"/>
      <c r="J170" s="36"/>
      <c r="K170" s="36"/>
      <c r="L170" s="36"/>
      <c r="M170" s="36"/>
      <c r="N170" s="36"/>
      <c r="O170" s="36"/>
      <c r="P170" s="36"/>
      <c r="Q170" s="36"/>
      <c r="R170" s="36"/>
    </row>
    <row r="171" spans="1:18" x14ac:dyDescent="0.25">
      <c r="P171" s="36"/>
      <c r="Q171" s="36"/>
      <c r="R171" s="36"/>
    </row>
    <row r="172" spans="1:18" x14ac:dyDescent="0.25">
      <c r="P172" s="36"/>
      <c r="Q172" s="36"/>
      <c r="R172" s="36"/>
    </row>
    <row r="173" spans="1:18" x14ac:dyDescent="0.25">
      <c r="P173" s="36"/>
      <c r="Q173" s="36"/>
      <c r="R173" s="36"/>
    </row>
    <row r="174" spans="1:18" x14ac:dyDescent="0.25">
      <c r="P174" s="36"/>
      <c r="Q174" s="36"/>
      <c r="R174" s="36"/>
    </row>
    <row r="175" spans="1:18" x14ac:dyDescent="0.25">
      <c r="P175" s="36"/>
      <c r="Q175" s="36"/>
      <c r="R175" s="36"/>
    </row>
    <row r="176" spans="1:18" x14ac:dyDescent="0.25">
      <c r="P176" s="36"/>
      <c r="Q176" s="36"/>
      <c r="R176" s="36"/>
    </row>
    <row r="177" spans="16:18" x14ac:dyDescent="0.25">
      <c r="P177" s="36"/>
      <c r="Q177" s="36"/>
      <c r="R177" s="36"/>
    </row>
    <row r="178" spans="16:18" x14ac:dyDescent="0.25">
      <c r="P178" s="36"/>
      <c r="Q178" s="36"/>
      <c r="R178" s="36"/>
    </row>
    <row r="179" spans="16:18" x14ac:dyDescent="0.25">
      <c r="P179" s="36"/>
      <c r="Q179" s="36"/>
      <c r="R179" s="36"/>
    </row>
    <row r="180" spans="16:18" x14ac:dyDescent="0.25">
      <c r="P180" s="36"/>
      <c r="Q180" s="36"/>
      <c r="R180" s="36"/>
    </row>
    <row r="181" spans="16:18" x14ac:dyDescent="0.25">
      <c r="P181" s="36"/>
      <c r="Q181" s="36"/>
      <c r="R181" s="36"/>
    </row>
    <row r="182" spans="16:18" x14ac:dyDescent="0.25">
      <c r="P182" s="36"/>
      <c r="Q182" s="36"/>
      <c r="R182" s="36"/>
    </row>
    <row r="183" spans="16:18" x14ac:dyDescent="0.25">
      <c r="P183" s="36"/>
      <c r="Q183" s="36"/>
      <c r="R183" s="36"/>
    </row>
    <row r="184" spans="16:18" x14ac:dyDescent="0.25">
      <c r="P184" s="36"/>
      <c r="Q184" s="36"/>
      <c r="R184" s="36"/>
    </row>
    <row r="185" spans="16:18" x14ac:dyDescent="0.25">
      <c r="P185" s="36"/>
      <c r="Q185" s="36"/>
      <c r="R185" s="36"/>
    </row>
    <row r="186" spans="16:18" x14ac:dyDescent="0.25">
      <c r="P186" s="36"/>
      <c r="Q186" s="36"/>
      <c r="R186" s="36"/>
    </row>
    <row r="187" spans="16:18" x14ac:dyDescent="0.25">
      <c r="P187" s="36"/>
      <c r="Q187" s="36"/>
      <c r="R187" s="36"/>
    </row>
    <row r="188" spans="16:18" x14ac:dyDescent="0.25">
      <c r="P188" s="36"/>
      <c r="Q188" s="36"/>
      <c r="R188" s="36"/>
    </row>
    <row r="189" spans="16:18" x14ac:dyDescent="0.25">
      <c r="P189" s="36"/>
      <c r="Q189" s="36"/>
      <c r="R189" s="36"/>
    </row>
    <row r="190" spans="16:18" x14ac:dyDescent="0.25">
      <c r="P190" s="36"/>
      <c r="Q190" s="36"/>
      <c r="R190" s="36"/>
    </row>
    <row r="191" spans="16:18" x14ac:dyDescent="0.25">
      <c r="P191" s="36"/>
      <c r="Q191" s="36"/>
      <c r="R191" s="36"/>
    </row>
    <row r="192" spans="16:18" x14ac:dyDescent="0.25">
      <c r="P192" s="36"/>
      <c r="Q192" s="36"/>
      <c r="R192" s="36"/>
    </row>
    <row r="193" spans="16:18" x14ac:dyDescent="0.25">
      <c r="P193" s="36"/>
      <c r="Q193" s="36"/>
      <c r="R193" s="36"/>
    </row>
    <row r="194" spans="16:18" x14ac:dyDescent="0.25">
      <c r="P194" s="36"/>
      <c r="Q194" s="36"/>
      <c r="R194" s="36"/>
    </row>
    <row r="195" spans="16:18" x14ac:dyDescent="0.25">
      <c r="P195" s="36"/>
      <c r="Q195" s="36"/>
      <c r="R195" s="36"/>
    </row>
    <row r="196" spans="16:18" x14ac:dyDescent="0.25">
      <c r="P196" s="36"/>
      <c r="Q196" s="36"/>
      <c r="R196" s="36"/>
    </row>
    <row r="197" spans="16:18" x14ac:dyDescent="0.25">
      <c r="P197" s="36"/>
      <c r="Q197" s="36"/>
      <c r="R197" s="36"/>
    </row>
    <row r="198" spans="16:18" x14ac:dyDescent="0.25">
      <c r="P198" s="36"/>
      <c r="Q198" s="36"/>
      <c r="R198" s="36"/>
    </row>
    <row r="199" spans="16:18" x14ac:dyDescent="0.25">
      <c r="P199" s="36"/>
      <c r="Q199" s="36"/>
      <c r="R199" s="36"/>
    </row>
  </sheetData>
  <mergeCells count="15">
    <mergeCell ref="A3:A4"/>
    <mergeCell ref="B3:B4"/>
    <mergeCell ref="C3:C4"/>
    <mergeCell ref="A51:A67"/>
    <mergeCell ref="A5:A11"/>
    <mergeCell ref="A13:A29"/>
    <mergeCell ref="A31:A43"/>
    <mergeCell ref="A45:A49"/>
    <mergeCell ref="I1:L1"/>
    <mergeCell ref="M1:P1"/>
    <mergeCell ref="Q3:Q4"/>
    <mergeCell ref="D3:D4"/>
    <mergeCell ref="I3:L3"/>
    <mergeCell ref="M3:P3"/>
    <mergeCell ref="E3:H3"/>
  </mergeCells>
  <phoneticPr fontId="0" type="noConversion"/>
  <pageMargins left="0.75" right="0.75" top="1" bottom="1" header="0.5" footer="0.5"/>
  <pageSetup paperSize="5" scale="50" orientation="landscape" r:id="rId1"/>
  <headerFooter alignWithMargins="0">
    <oddFooter>&amp;L&amp;"Arial,Italic" 7/02/07&amp;C&amp;"Arial,Italic"&amp;A&amp;R&amp;"Arial,Italic"NJAES Report 2007-1 ©2007
New Jersey Agricultural Experiment Station</oddFooter>
  </headerFooter>
  <ignoredErrors>
    <ignoredError sqref="D67" formula="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S199"/>
  <sheetViews>
    <sheetView topLeftCell="A97" zoomScale="70" zoomScaleNormal="75" workbookViewId="0">
      <selection activeCell="C147" sqref="C147"/>
    </sheetView>
  </sheetViews>
  <sheetFormatPr defaultColWidth="9.109375" defaultRowHeight="13.2" x14ac:dyDescent="0.25"/>
  <cols>
    <col min="1" max="1" width="28.6640625" style="5" customWidth="1"/>
    <col min="2" max="2" width="42.6640625" style="5" customWidth="1"/>
    <col min="3" max="3" width="23.6640625" style="5" customWidth="1"/>
    <col min="4" max="4" width="18.6640625" style="5" customWidth="1"/>
    <col min="5" max="16" width="14.6640625" style="5" customWidth="1"/>
    <col min="17" max="17" width="45.6640625" style="5" customWidth="1"/>
    <col min="18" max="18" width="34.44140625" style="5" customWidth="1"/>
    <col min="19" max="19" width="19.33203125" style="5" customWidth="1"/>
    <col min="20" max="20" width="14" style="5" customWidth="1"/>
    <col min="21" max="16384" width="9.109375" style="5"/>
  </cols>
  <sheetData>
    <row r="1" spans="1:17" ht="15.6" x14ac:dyDescent="0.3">
      <c r="A1" s="407" t="s">
        <v>442</v>
      </c>
      <c r="E1" s="412" t="s">
        <v>433</v>
      </c>
      <c r="I1" s="1195" t="str">
        <f>'Bioenergy Calculator'!B3</f>
        <v>None</v>
      </c>
      <c r="J1" s="1195"/>
      <c r="K1" s="1195"/>
      <c r="L1" s="1196"/>
      <c r="M1" s="1195" t="str">
        <f>'Bioenergy Calculator'!B4</f>
        <v>None</v>
      </c>
      <c r="N1" s="1195"/>
      <c r="O1" s="1195"/>
      <c r="P1" s="1196"/>
    </row>
    <row r="3" spans="1:17" s="6" customFormat="1" ht="24.75" customHeight="1" x14ac:dyDescent="0.25">
      <c r="A3" s="1062" t="s">
        <v>567</v>
      </c>
      <c r="B3" s="1062" t="s">
        <v>506</v>
      </c>
      <c r="C3" s="1062" t="s">
        <v>1035</v>
      </c>
      <c r="D3" s="1062" t="s">
        <v>1051</v>
      </c>
      <c r="E3" s="1083" t="s">
        <v>523</v>
      </c>
      <c r="F3" s="1209"/>
      <c r="G3" s="1209"/>
      <c r="H3" s="1198"/>
      <c r="I3" s="1072" t="s">
        <v>275</v>
      </c>
      <c r="J3" s="1073"/>
      <c r="K3" s="1074"/>
      <c r="L3" s="1075"/>
      <c r="M3" s="1083" t="s">
        <v>274</v>
      </c>
      <c r="N3" s="1084"/>
      <c r="O3" s="1197"/>
      <c r="P3" s="1198"/>
      <c r="Q3" s="1060" t="s">
        <v>570</v>
      </c>
    </row>
    <row r="4" spans="1:17" s="6" customFormat="1" x14ac:dyDescent="0.25">
      <c r="A4" s="1063"/>
      <c r="B4" s="1063"/>
      <c r="C4" s="1063"/>
      <c r="D4" s="1071"/>
      <c r="E4" s="22">
        <v>2010</v>
      </c>
      <c r="F4" s="22">
        <v>2015</v>
      </c>
      <c r="G4" s="22">
        <v>2020</v>
      </c>
      <c r="H4" s="22">
        <v>2025</v>
      </c>
      <c r="I4" s="22">
        <v>2010</v>
      </c>
      <c r="J4" s="22">
        <v>2015</v>
      </c>
      <c r="K4" s="22">
        <v>2020</v>
      </c>
      <c r="L4" s="22">
        <v>2025</v>
      </c>
      <c r="M4" s="22">
        <v>2010</v>
      </c>
      <c r="N4" s="22">
        <v>2015</v>
      </c>
      <c r="O4" s="22">
        <v>2020</v>
      </c>
      <c r="P4" s="22">
        <v>2025</v>
      </c>
      <c r="Q4" s="1061"/>
    </row>
    <row r="5" spans="1:17" x14ac:dyDescent="0.25">
      <c r="A5" s="1064" t="s">
        <v>513</v>
      </c>
      <c r="B5" s="1" t="s">
        <v>511</v>
      </c>
      <c r="C5" s="13"/>
      <c r="D5" s="13"/>
      <c r="E5" s="13"/>
      <c r="F5" s="13"/>
      <c r="G5" s="13"/>
      <c r="H5" s="13"/>
      <c r="I5" s="7"/>
      <c r="J5" s="7"/>
      <c r="K5" s="7"/>
      <c r="L5" s="7"/>
      <c r="M5" s="7"/>
      <c r="N5" s="7"/>
      <c r="O5" s="7"/>
      <c r="P5" s="7"/>
      <c r="Q5" s="7"/>
    </row>
    <row r="6" spans="1:17" x14ac:dyDescent="0.25">
      <c r="A6" s="1064"/>
      <c r="B6" s="11" t="str">
        <f>IF('Prac. Rec. Assumptions'!$B$56='Prac. Rec. Assumptions'!$V$3,A74,IF('Prac. Rec. Assumptions'!B57="No",A74,"Sorghum- Converted to Energy Crop"))</f>
        <v>Sorghum</v>
      </c>
      <c r="C6" s="294">
        <f>IF('Prac. Rec. Assumptions'!$B$56='Prac. Rec. Assumptions'!$V$3,D74,IF('Prac. Rec. Assumptions'!B57="No",D74,0))</f>
        <v>570.46079999999995</v>
      </c>
      <c r="D6" s="294" t="s">
        <v>431</v>
      </c>
      <c r="E6" s="294">
        <f>C6*'Prac. Rec. Assumptions'!B4</f>
        <v>0</v>
      </c>
      <c r="F6" s="294">
        <f>$E6</f>
        <v>0</v>
      </c>
      <c r="G6" s="294">
        <f>$E6</f>
        <v>0</v>
      </c>
      <c r="H6" s="294">
        <f>$E6</f>
        <v>0</v>
      </c>
      <c r="I6" s="16" t="str">
        <f>IF('Conversion Tables'!F7="NA","NA",$D6/'Conversion Tables'!F7)</f>
        <v>NA</v>
      </c>
      <c r="J6" s="16" t="str">
        <f>IF('Conversion Tables'!G7="NA","NA",$D6/'Conversion Tables'!G7)</f>
        <v>NA</v>
      </c>
      <c r="K6" s="16" t="str">
        <f>IF('Conversion Tables'!H7="NA","NA",$D6/'Conversion Tables'!H7)</f>
        <v>NA</v>
      </c>
      <c r="L6" s="16" t="str">
        <f>IF('Conversion Tables'!H7="NA","NA",$D6/'Conversion Tables'!H7)</f>
        <v>NA</v>
      </c>
      <c r="M6" s="16" t="str">
        <f>IF('Conversion Tables'!K7="NA","NA",$C74*'Conversion Tables'!K7)</f>
        <v>NA</v>
      </c>
      <c r="N6" s="16" t="str">
        <f>IF('Conversion Tables'!L7="NA","NA",$C74*'Conversion Tables'!L7)</f>
        <v>NA</v>
      </c>
      <c r="O6" s="16" t="str">
        <f>IF('Conversion Tables'!M7="NA","NA",$C74*'Conversion Tables'!M7)</f>
        <v>NA</v>
      </c>
      <c r="P6" s="16" t="str">
        <f>IF('Conversion Tables'!N7="NA","NA",$C74*'Conversion Tables'!N7)</f>
        <v>NA</v>
      </c>
      <c r="Q6" s="15"/>
    </row>
    <row r="7" spans="1:17" x14ac:dyDescent="0.25">
      <c r="A7" s="1064"/>
      <c r="B7" s="11" t="str">
        <f>IF('Prac. Rec. Assumptions'!$B$56='Prac. Rec. Assumptions'!$V$3,A75,IF('Prac. Rec. Assumptions'!B59="No",A75,"Rye- Converted to Energy Crop"))</f>
        <v>Rye</v>
      </c>
      <c r="C7" s="294">
        <f>IF('Prac. Rec. Assumptions'!$B$56='Prac. Rec. Assumptions'!$V$3,D75,IF('Prac. Rec. Assumptions'!B59="No",D75,0))</f>
        <v>480.80760000000004</v>
      </c>
      <c r="D7" s="294" t="s">
        <v>431</v>
      </c>
      <c r="E7" s="294">
        <f>C7*'Prac. Rec. Assumptions'!B5</f>
        <v>0</v>
      </c>
      <c r="F7" s="294">
        <f t="shared" ref="F7:H10" si="0">$E7</f>
        <v>0</v>
      </c>
      <c r="G7" s="294">
        <f t="shared" si="0"/>
        <v>0</v>
      </c>
      <c r="H7" s="294">
        <f t="shared" si="0"/>
        <v>0</v>
      </c>
      <c r="I7" s="16" t="str">
        <f>IF('Conversion Tables'!F8="NA","NA",$D7/'Conversion Tables'!F8)</f>
        <v>NA</v>
      </c>
      <c r="J7" s="16" t="str">
        <f>IF('Conversion Tables'!G8="NA","NA",$D7/'Conversion Tables'!G8)</f>
        <v>NA</v>
      </c>
      <c r="K7" s="16" t="str">
        <f>IF('Conversion Tables'!H8="NA","NA",$D7/'Conversion Tables'!H8)</f>
        <v>NA</v>
      </c>
      <c r="L7" s="16" t="str">
        <f>IF('Conversion Tables'!H8="NA","NA",$D7/'Conversion Tables'!H8)</f>
        <v>NA</v>
      </c>
      <c r="M7" s="16" t="str">
        <f>IF('Conversion Tables'!K8="NA","NA",$C75*'Conversion Tables'!K8)</f>
        <v>NA</v>
      </c>
      <c r="N7" s="16" t="str">
        <f>IF('Conversion Tables'!L8="NA","NA",$C75*'Conversion Tables'!L8)</f>
        <v>NA</v>
      </c>
      <c r="O7" s="16" t="str">
        <f>IF('Conversion Tables'!M8="NA","NA",$C75*'Conversion Tables'!M8)</f>
        <v>NA</v>
      </c>
      <c r="P7" s="16" t="str">
        <f>IF('Conversion Tables'!N8="NA","NA",$C75*'Conversion Tables'!N8)</f>
        <v>NA</v>
      </c>
      <c r="Q7" s="15"/>
    </row>
    <row r="8" spans="1:17" x14ac:dyDescent="0.25">
      <c r="A8" s="1064"/>
      <c r="B8" s="11" t="str">
        <f>IF('Prac. Rec. Assumptions'!$B$56='Prac. Rec. Assumptions'!$V$3,A76,IF('Prac. Rec. Assumptions'!B60="No",A76,"Corn for Grain- Converted to Energy Crop"))</f>
        <v>Corn for Grain</v>
      </c>
      <c r="C8" s="294">
        <f>IF('Prac. Rec. Assumptions'!$B$56='Prac. Rec. Assumptions'!$V$3,D76,IF('Prac. Rec. Assumptions'!B60="No",D76,0))</f>
        <v>23555</v>
      </c>
      <c r="D8" s="294" t="s">
        <v>431</v>
      </c>
      <c r="E8" s="294">
        <f>C8*'Prac. Rec. Assumptions'!B6</f>
        <v>0</v>
      </c>
      <c r="F8" s="294">
        <f t="shared" si="0"/>
        <v>0</v>
      </c>
      <c r="G8" s="294">
        <f t="shared" si="0"/>
        <v>0</v>
      </c>
      <c r="H8" s="294">
        <f t="shared" si="0"/>
        <v>0</v>
      </c>
      <c r="I8" s="16" t="str">
        <f>IF('Conversion Tables'!F9="NA","NA",$D8/'Conversion Tables'!F9)</f>
        <v>NA</v>
      </c>
      <c r="J8" s="16" t="str">
        <f>IF('Conversion Tables'!G9="NA","NA",$D8/'Conversion Tables'!G9)</f>
        <v>NA</v>
      </c>
      <c r="K8" s="16" t="str">
        <f>IF('Conversion Tables'!H9="NA","NA",$D8/'Conversion Tables'!H9)</f>
        <v>NA</v>
      </c>
      <c r="L8" s="16" t="str">
        <f>IF('Conversion Tables'!H9="NA","NA",$D8/'Conversion Tables'!H9)</f>
        <v>NA</v>
      </c>
      <c r="M8" s="16" t="str">
        <f>IF('Conversion Tables'!K9="NA","NA",$C76*'Conversion Tables'!K9)</f>
        <v>NA</v>
      </c>
      <c r="N8" s="16" t="str">
        <f>IF('Conversion Tables'!L9="NA","NA",$C76*'Conversion Tables'!L9)</f>
        <v>NA</v>
      </c>
      <c r="O8" s="16" t="str">
        <f>IF('Conversion Tables'!M9="NA","NA",$C76*'Conversion Tables'!M9)</f>
        <v>NA</v>
      </c>
      <c r="P8" s="16" t="str">
        <f>IF('Conversion Tables'!N9="NA","NA",$C76*'Conversion Tables'!N9)</f>
        <v>NA</v>
      </c>
      <c r="Q8" s="15"/>
    </row>
    <row r="9" spans="1:17" x14ac:dyDescent="0.25">
      <c r="A9" s="1064"/>
      <c r="B9" s="11" t="str">
        <f>IF('Prac. Rec. Assumptions'!$B$56='Prac. Rec. Assumptions'!$V$3,A78,IF('Prac. Rec. Assumptions'!B64="No",A78,"Wheat- Converted to Energy Crop"))</f>
        <v>Wheat</v>
      </c>
      <c r="C9" s="294">
        <f>IF('Prac. Rec. Assumptions'!$B$56='Prac. Rec. Assumptions'!$V$3,D78,IF('Prac. Rec. Assumptions'!B64="No",D78,0))</f>
        <v>3319.38</v>
      </c>
      <c r="D9" s="294" t="s">
        <v>431</v>
      </c>
      <c r="E9" s="294">
        <f>C9*'Prac. Rec. Assumptions'!B7</f>
        <v>0</v>
      </c>
      <c r="F9" s="294">
        <f t="shared" si="0"/>
        <v>0</v>
      </c>
      <c r="G9" s="294">
        <f t="shared" si="0"/>
        <v>0</v>
      </c>
      <c r="H9" s="294">
        <f t="shared" si="0"/>
        <v>0</v>
      </c>
      <c r="I9" s="16" t="str">
        <f>IF('Conversion Tables'!F10="NA","NA",$D9/'Conversion Tables'!F10)</f>
        <v>NA</v>
      </c>
      <c r="J9" s="16" t="str">
        <f>IF('Conversion Tables'!G10="NA","NA",$D9/'Conversion Tables'!G10)</f>
        <v>NA</v>
      </c>
      <c r="K9" s="16" t="str">
        <f>IF('Conversion Tables'!H10="NA","NA",$D9/'Conversion Tables'!H10)</f>
        <v>NA</v>
      </c>
      <c r="L9" s="16" t="str">
        <f>IF('Conversion Tables'!H10="NA","NA",$D9/'Conversion Tables'!H10)</f>
        <v>NA</v>
      </c>
      <c r="M9" s="16" t="str">
        <f>IF('Conversion Tables'!K10="NA","NA",$C78*'Conversion Tables'!K10)</f>
        <v>NA</v>
      </c>
      <c r="N9" s="16" t="str">
        <f>IF('Conversion Tables'!L10="NA","NA",$C78*'Conversion Tables'!L10)</f>
        <v>NA</v>
      </c>
      <c r="O9" s="16" t="str">
        <f>IF('Conversion Tables'!M10="NA","NA",$C78*'Conversion Tables'!M10)</f>
        <v>NA</v>
      </c>
      <c r="P9" s="16" t="str">
        <f>IF('Conversion Tables'!N10="NA","NA",$C78*'Conversion Tables'!N10)</f>
        <v>NA</v>
      </c>
      <c r="Q9" s="15"/>
    </row>
    <row r="10" spans="1:17" x14ac:dyDescent="0.25">
      <c r="A10" s="1064"/>
      <c r="B10" s="129" t="s">
        <v>301</v>
      </c>
      <c r="C10" s="294"/>
      <c r="D10" s="294" t="s">
        <v>431</v>
      </c>
      <c r="E10" s="294">
        <f>C10*'Prac. Rec. Assumptions'!B8</f>
        <v>0</v>
      </c>
      <c r="F10" s="294">
        <f t="shared" si="0"/>
        <v>0</v>
      </c>
      <c r="G10" s="294">
        <f t="shared" si="0"/>
        <v>0</v>
      </c>
      <c r="H10" s="294">
        <f t="shared" si="0"/>
        <v>0</v>
      </c>
      <c r="I10" s="16" t="str">
        <f>IF('Conversion Tables'!F11="NA","NA",$D10/'Conversion Tables'!F11)</f>
        <v>NA</v>
      </c>
      <c r="J10" s="16" t="str">
        <f>IF('Conversion Tables'!G11="NA","NA",$D10/'Conversion Tables'!G11)</f>
        <v>NA</v>
      </c>
      <c r="K10" s="16" t="str">
        <f>IF('Conversion Tables'!H11="NA","NA",$D10/'Conversion Tables'!H11)</f>
        <v>NA</v>
      </c>
      <c r="L10" s="16" t="str">
        <f>IF('Conversion Tables'!H11="NA","NA",$D10/'Conversion Tables'!H11)</f>
        <v>NA</v>
      </c>
      <c r="M10" s="16" t="str">
        <f>IF('Conversion Tables'!K11="NA","NA",E10*'Conversion Tables'!K11)</f>
        <v>NA</v>
      </c>
      <c r="N10" s="16" t="str">
        <f>IF('Conversion Tables'!L11="NA","NA",F10*'Conversion Tables'!L11)</f>
        <v>NA</v>
      </c>
      <c r="O10" s="16" t="str">
        <f>IF('Conversion Tables'!M11="NA","NA",G10*'Conversion Tables'!M11)</f>
        <v>NA</v>
      </c>
      <c r="P10" s="16" t="str">
        <f>IF('Conversion Tables'!N11="NA","NA",H10*'Conversion Tables'!N11)</f>
        <v>NA</v>
      </c>
      <c r="Q10" s="7"/>
    </row>
    <row r="11" spans="1:17" x14ac:dyDescent="0.25">
      <c r="A11" s="1065"/>
      <c r="B11" s="9" t="s">
        <v>524</v>
      </c>
      <c r="C11" s="295">
        <f t="shared" ref="C11:P11" si="1">SUM(C5:C10)</f>
        <v>27925.648400000002</v>
      </c>
      <c r="D11" s="295">
        <f t="shared" si="1"/>
        <v>0</v>
      </c>
      <c r="E11" s="295">
        <f t="shared" si="1"/>
        <v>0</v>
      </c>
      <c r="F11" s="295">
        <f t="shared" si="1"/>
        <v>0</v>
      </c>
      <c r="G11" s="295">
        <f t="shared" si="1"/>
        <v>0</v>
      </c>
      <c r="H11" s="295">
        <f t="shared" si="1"/>
        <v>0</v>
      </c>
      <c r="I11" s="19">
        <f t="shared" si="1"/>
        <v>0</v>
      </c>
      <c r="J11" s="19">
        <f t="shared" si="1"/>
        <v>0</v>
      </c>
      <c r="K11" s="19">
        <f t="shared" si="1"/>
        <v>0</v>
      </c>
      <c r="L11" s="19">
        <f t="shared" si="1"/>
        <v>0</v>
      </c>
      <c r="M11" s="19">
        <f t="shared" si="1"/>
        <v>0</v>
      </c>
      <c r="N11" s="19">
        <f t="shared" si="1"/>
        <v>0</v>
      </c>
      <c r="O11" s="19">
        <f t="shared" si="1"/>
        <v>0</v>
      </c>
      <c r="P11" s="19">
        <f t="shared" si="1"/>
        <v>0</v>
      </c>
      <c r="Q11" s="19"/>
    </row>
    <row r="12" spans="1:17" x14ac:dyDescent="0.25">
      <c r="A12" s="8"/>
      <c r="C12" s="296"/>
      <c r="D12" s="296"/>
      <c r="E12" s="296"/>
      <c r="F12" s="296"/>
      <c r="G12" s="296"/>
      <c r="H12" s="296"/>
      <c r="I12" s="28"/>
      <c r="J12" s="28"/>
      <c r="K12" s="28"/>
      <c r="L12" s="28"/>
      <c r="M12" s="28"/>
      <c r="N12" s="28"/>
      <c r="O12" s="28"/>
      <c r="P12" s="28"/>
    </row>
    <row r="13" spans="1:17" x14ac:dyDescent="0.25">
      <c r="A13" s="1206" t="s">
        <v>514</v>
      </c>
      <c r="B13" s="1" t="s">
        <v>507</v>
      </c>
      <c r="C13" s="294">
        <f>D90</f>
        <v>0</v>
      </c>
      <c r="D13" s="294">
        <f>E13*'Conversion Tables'!C12</f>
        <v>0</v>
      </c>
      <c r="E13" s="294">
        <f>C13*'Prac. Rec. Assumptions'!B9</f>
        <v>0</v>
      </c>
      <c r="F13" s="294">
        <f>$E13</f>
        <v>0</v>
      </c>
      <c r="G13" s="294">
        <f>$E13</f>
        <v>0</v>
      </c>
      <c r="H13" s="294">
        <f>$E13</f>
        <v>0</v>
      </c>
      <c r="I13" s="16" t="str">
        <f>IF('Conversion Tables'!F12="NA","NA",(E13*'Conversion Tables'!$C12)/'Conversion Tables'!F12)</f>
        <v>NA</v>
      </c>
      <c r="J13" s="16" t="str">
        <f>IF('Conversion Tables'!G12="NA","NA",(F13*'Conversion Tables'!$C12)/'Conversion Tables'!G12)</f>
        <v>NA</v>
      </c>
      <c r="K13" s="16" t="str">
        <f>IF('Conversion Tables'!H12="NA","NA",(G13*'Conversion Tables'!$C12)/'Conversion Tables'!H12)</f>
        <v>NA</v>
      </c>
      <c r="L13" s="16" t="str">
        <f>IF('Conversion Tables'!I12="NA","NA",(H13*'Conversion Tables'!$C12)/'Conversion Tables'!I12)</f>
        <v>NA</v>
      </c>
      <c r="M13" s="16" t="str">
        <f>IF('Conversion Tables'!K12="NA","NA",E13*'Conversion Tables'!K12)</f>
        <v>NA</v>
      </c>
      <c r="N13" s="16" t="str">
        <f>IF('Conversion Tables'!L12="NA","NA",F13*'Conversion Tables'!L12)</f>
        <v>NA</v>
      </c>
      <c r="O13" s="16" t="str">
        <f>IF('Conversion Tables'!M12="NA","NA",G13*'Conversion Tables'!M12)</f>
        <v>NA</v>
      </c>
      <c r="P13" s="16" t="str">
        <f>IF('Conversion Tables'!N12="NA","NA",H13*'Conversion Tables'!N12)</f>
        <v>NA</v>
      </c>
      <c r="Q13" s="7"/>
    </row>
    <row r="14" spans="1:17" x14ac:dyDescent="0.25">
      <c r="A14" s="1207"/>
      <c r="B14" s="1" t="s">
        <v>504</v>
      </c>
      <c r="C14" s="294"/>
      <c r="D14" s="294"/>
      <c r="E14" s="294"/>
      <c r="F14" s="294"/>
      <c r="G14" s="294"/>
      <c r="H14" s="294"/>
      <c r="I14" s="16"/>
      <c r="J14" s="16"/>
      <c r="K14" s="16"/>
      <c r="L14" s="16"/>
      <c r="M14" s="16"/>
      <c r="N14" s="16"/>
      <c r="O14" s="16"/>
      <c r="P14" s="16"/>
      <c r="Q14" s="7"/>
    </row>
    <row r="15" spans="1:17" x14ac:dyDescent="0.25">
      <c r="A15" s="1207"/>
      <c r="B15" s="11" t="str">
        <f>IF('Prac. Rec. Assumptions'!$B$56='Prac. Rec. Assumptions'!$V$3,A81,IF('Prac. Rec. Assumptions'!B57="No",A81,"Sweet Corn- Converted to Energy Crop"))</f>
        <v>Sweet Corn</v>
      </c>
      <c r="C15" s="294">
        <f>IF('Prac. Rec. Assumptions'!$B$56='Prac. Rec. Assumptions'!$V$3,D81,IF('Prac. Rec. Assumptions'!B58="No",D81,0))</f>
        <v>273.7</v>
      </c>
      <c r="D15" s="294">
        <f>E15*'Conversion Tables'!C14</f>
        <v>3444.6787199999999</v>
      </c>
      <c r="E15" s="294">
        <f>C15*'Prac. Rec. Assumptions'!B11</f>
        <v>218.96</v>
      </c>
      <c r="F15" s="294">
        <f>$E15</f>
        <v>218.96</v>
      </c>
      <c r="G15" s="294">
        <f>$E15</f>
        <v>218.96</v>
      </c>
      <c r="H15" s="294">
        <f>$E15</f>
        <v>218.96</v>
      </c>
      <c r="I15" s="16" t="str">
        <f>IF('Conversion Tables'!F14="NA","NA",(E15*'Conversion Tables'!$C14)/'Conversion Tables'!F14)</f>
        <v>NA</v>
      </c>
      <c r="J15" s="16" t="str">
        <f>IF('Conversion Tables'!G14="NA","NA",(F15*'Conversion Tables'!$C14)/'Conversion Tables'!G14)</f>
        <v>NA</v>
      </c>
      <c r="K15" s="16" t="str">
        <f>IF('Conversion Tables'!H14="NA","NA",(G15*'Conversion Tables'!$C14)/'Conversion Tables'!H14)</f>
        <v>NA</v>
      </c>
      <c r="L15" s="16" t="str">
        <f>IF('Conversion Tables'!I14="NA","NA",(H15*'Conversion Tables'!$C14)/'Conversion Tables'!I14)</f>
        <v>NA</v>
      </c>
      <c r="M15" s="16" t="str">
        <f>IF('Conversion Tables'!K14="NA","NA",E15*'Conversion Tables'!K14)</f>
        <v>NA</v>
      </c>
      <c r="N15" s="16" t="str">
        <f>IF('Conversion Tables'!L14="NA","NA",F15*'Conversion Tables'!L14)</f>
        <v>NA</v>
      </c>
      <c r="O15" s="16" t="str">
        <f>IF('Conversion Tables'!M14="NA","NA",G15*'Conversion Tables'!M14)</f>
        <v>NA</v>
      </c>
      <c r="P15" s="16" t="str">
        <f>IF('Conversion Tables'!N14="NA","NA",H15*'Conversion Tables'!N14)</f>
        <v>NA</v>
      </c>
      <c r="Q15" s="15"/>
    </row>
    <row r="16" spans="1:17" x14ac:dyDescent="0.25">
      <c r="A16" s="1207"/>
      <c r="B16" s="11" t="str">
        <f>IF('Prac. Rec. Assumptions'!$B$56='Prac. Rec. Assumptions'!$V$3,A82,IF('Prac. Rec. Assumptions'!B58="No",A82,"Rye- Converted to Energy Crop"))</f>
        <v>Rye</v>
      </c>
      <c r="C16" s="294">
        <f>IF('Prac. Rec. Assumptions'!$B$56='Prac. Rec. Assumptions'!$V$3,D82,IF('Prac. Rec. Assumptions'!B59="No",D82,0))</f>
        <v>1524.2625</v>
      </c>
      <c r="D16" s="294">
        <f>E16*'Conversion Tables'!C15</f>
        <v>0</v>
      </c>
      <c r="E16" s="294">
        <f>C16*'Prac. Rec. Assumptions'!B12</f>
        <v>0</v>
      </c>
      <c r="F16" s="294">
        <f t="shared" ref="F16:H23" si="2">$E16</f>
        <v>0</v>
      </c>
      <c r="G16" s="294">
        <f t="shared" si="2"/>
        <v>0</v>
      </c>
      <c r="H16" s="294">
        <f t="shared" si="2"/>
        <v>0</v>
      </c>
      <c r="I16" s="16" t="str">
        <f>IF('Conversion Tables'!F15="NA","NA",(E16*'Conversion Tables'!$C15)/'Conversion Tables'!F15)</f>
        <v>NA</v>
      </c>
      <c r="J16" s="16" t="str">
        <f>IF('Conversion Tables'!G15="NA","NA",(F16*'Conversion Tables'!$C15)/'Conversion Tables'!G15)</f>
        <v>NA</v>
      </c>
      <c r="K16" s="16" t="str">
        <f>IF('Conversion Tables'!H15="NA","NA",(G16*'Conversion Tables'!$C15)/'Conversion Tables'!H15)</f>
        <v>NA</v>
      </c>
      <c r="L16" s="16" t="str">
        <f>IF('Conversion Tables'!I15="NA","NA",(H16*'Conversion Tables'!$C15)/'Conversion Tables'!I15)</f>
        <v>NA</v>
      </c>
      <c r="M16" s="16" t="str">
        <f>IF('Conversion Tables'!K15="NA","NA",E16*'Conversion Tables'!K15)</f>
        <v>NA</v>
      </c>
      <c r="N16" s="16" t="str">
        <f>IF('Conversion Tables'!L15="NA","NA",F16*'Conversion Tables'!L15)</f>
        <v>NA</v>
      </c>
      <c r="O16" s="16" t="str">
        <f>IF('Conversion Tables'!M15="NA","NA",G16*'Conversion Tables'!M15)</f>
        <v>NA</v>
      </c>
      <c r="P16" s="16" t="str">
        <f>IF('Conversion Tables'!N15="NA","NA",H16*'Conversion Tables'!N15)</f>
        <v>NA</v>
      </c>
      <c r="Q16" s="15"/>
    </row>
    <row r="17" spans="1:17" x14ac:dyDescent="0.25">
      <c r="A17" s="1207"/>
      <c r="B17" s="11" t="str">
        <f>IF('Prac. Rec. Assumptions'!$B$56='Prac. Rec. Assumptions'!$V$3,A83,IF('Prac. Rec. Assumptions'!B59="No",A83,"Corn for Grain- Converted to Energy Crop"))</f>
        <v>Corn for Grain</v>
      </c>
      <c r="C17" s="294">
        <f>IF('Prac. Rec. Assumptions'!$B$56='Prac. Rec. Assumptions'!$V$3,D83,IF('Prac. Rec. Assumptions'!B60="No",D83,0))</f>
        <v>14301.25</v>
      </c>
      <c r="D17" s="294">
        <f>E17*'Conversion Tables'!C16</f>
        <v>191239.17525</v>
      </c>
      <c r="E17" s="294">
        <f>C17*'Prac. Rec. Assumptions'!B13</f>
        <v>12156.0625</v>
      </c>
      <c r="F17" s="294">
        <f t="shared" si="2"/>
        <v>12156.0625</v>
      </c>
      <c r="G17" s="294">
        <f t="shared" si="2"/>
        <v>12156.0625</v>
      </c>
      <c r="H17" s="294">
        <f t="shared" si="2"/>
        <v>12156.0625</v>
      </c>
      <c r="I17" s="16" t="str">
        <f>IF('Conversion Tables'!F16="NA","NA",(E17*'Conversion Tables'!$C16)/'Conversion Tables'!F16)</f>
        <v>NA</v>
      </c>
      <c r="J17" s="16" t="str">
        <f>IF('Conversion Tables'!G16="NA","NA",(F17*'Conversion Tables'!$C16)/'Conversion Tables'!G16)</f>
        <v>NA</v>
      </c>
      <c r="K17" s="16" t="str">
        <f>IF('Conversion Tables'!H16="NA","NA",(G17*'Conversion Tables'!$C16)/'Conversion Tables'!H16)</f>
        <v>NA</v>
      </c>
      <c r="L17" s="16" t="str">
        <f>IF('Conversion Tables'!I16="NA","NA",(H17*'Conversion Tables'!$C16)/'Conversion Tables'!I16)</f>
        <v>NA</v>
      </c>
      <c r="M17" s="16" t="str">
        <f>IF('Conversion Tables'!K16="NA","NA",E17*'Conversion Tables'!K16)</f>
        <v>NA</v>
      </c>
      <c r="N17" s="16" t="str">
        <f>IF('Conversion Tables'!L16="NA","NA",F17*'Conversion Tables'!L16)</f>
        <v>NA</v>
      </c>
      <c r="O17" s="16" t="str">
        <f>IF('Conversion Tables'!M16="NA","NA",G17*'Conversion Tables'!M16)</f>
        <v>NA</v>
      </c>
      <c r="P17" s="16" t="str">
        <f>IF('Conversion Tables'!N16="NA","NA",H17*'Conversion Tables'!N16)</f>
        <v>NA</v>
      </c>
      <c r="Q17" s="15"/>
    </row>
    <row r="18" spans="1:17" x14ac:dyDescent="0.25">
      <c r="A18" s="1207"/>
      <c r="B18" s="11" t="str">
        <f>IF('Prac. Rec. Assumptions'!$B$56='Prac. Rec. Assumptions'!$V$3,A84,IF('Prac. Rec. Assumptions'!B60="No",A84,"Corn for Silage- Converted to Energy Crop"))</f>
        <v>Corn for Silage</v>
      </c>
      <c r="C18" s="294">
        <f>IF('Prac. Rec. Assumptions'!$B$56='Prac. Rec. Assumptions'!$V$3,D84,IF('Prac. Rec. Assumptions'!B61="No",D84,0))</f>
        <v>7077.4199999999983</v>
      </c>
      <c r="D18" s="294">
        <f>E18*'Conversion Tables'!C17</f>
        <v>83506.478579999981</v>
      </c>
      <c r="E18" s="294">
        <f>C18*'Prac. Rec. Assumptions'!B14</f>
        <v>5308.0649999999987</v>
      </c>
      <c r="F18" s="294">
        <f t="shared" si="2"/>
        <v>5308.0649999999987</v>
      </c>
      <c r="G18" s="294">
        <f t="shared" si="2"/>
        <v>5308.0649999999987</v>
      </c>
      <c r="H18" s="294">
        <f t="shared" si="2"/>
        <v>5308.0649999999987</v>
      </c>
      <c r="I18" s="16" t="str">
        <f>IF('Conversion Tables'!F17="NA","NA",(E18*'Conversion Tables'!$C17)/'Conversion Tables'!F17)</f>
        <v>NA</v>
      </c>
      <c r="J18" s="16" t="str">
        <f>IF('Conversion Tables'!G17="NA","NA",(F18*'Conversion Tables'!$C17)/'Conversion Tables'!G17)</f>
        <v>NA</v>
      </c>
      <c r="K18" s="16" t="str">
        <f>IF('Conversion Tables'!H17="NA","NA",(G18*'Conversion Tables'!$C17)/'Conversion Tables'!H17)</f>
        <v>NA</v>
      </c>
      <c r="L18" s="16" t="str">
        <f>IF('Conversion Tables'!I17="NA","NA",(H18*'Conversion Tables'!$C17)/'Conversion Tables'!I17)</f>
        <v>NA</v>
      </c>
      <c r="M18" s="16" t="str">
        <f>IF('Conversion Tables'!K17="NA","NA",E18*'Conversion Tables'!K17)</f>
        <v>NA</v>
      </c>
      <c r="N18" s="16" t="str">
        <f>IF('Conversion Tables'!L17="NA","NA",F18*'Conversion Tables'!L17)</f>
        <v>NA</v>
      </c>
      <c r="O18" s="16" t="str">
        <f>IF('Conversion Tables'!M17="NA","NA",G18*'Conversion Tables'!M17)</f>
        <v>NA</v>
      </c>
      <c r="P18" s="16" t="str">
        <f>IF('Conversion Tables'!N17="NA","NA",H18*'Conversion Tables'!N17)</f>
        <v>NA</v>
      </c>
      <c r="Q18" s="15"/>
    </row>
    <row r="19" spans="1:17" x14ac:dyDescent="0.25">
      <c r="A19" s="1207"/>
      <c r="B19" s="11" t="str">
        <f>IF('Prac. Rec. Assumptions'!$B$56='Prac. Rec. Assumptions'!$V$3,A85,IF('Prac. Rec. Assumptions'!B61="No",A85,"Alfalfa Hay- Converted to Energy Crop"))</f>
        <v>Alfalfa Hay</v>
      </c>
      <c r="C19" s="294">
        <f>IF('Prac. Rec. Assumptions'!$B$56='Prac. Rec. Assumptions'!$V$3,D85,IF('Prac. Rec. Assumptions'!B62="No",D85,0))</f>
        <v>14027.04</v>
      </c>
      <c r="D19" s="294">
        <f>E19*'Conversion Tables'!C18</f>
        <v>0</v>
      </c>
      <c r="E19" s="294">
        <f>C19*'Prac. Rec. Assumptions'!B15</f>
        <v>0</v>
      </c>
      <c r="F19" s="294">
        <f t="shared" si="2"/>
        <v>0</v>
      </c>
      <c r="G19" s="294">
        <f t="shared" si="2"/>
        <v>0</v>
      </c>
      <c r="H19" s="294">
        <f t="shared" si="2"/>
        <v>0</v>
      </c>
      <c r="I19" s="16" t="str">
        <f>IF('Conversion Tables'!F18="NA","NA",(E19*'Conversion Tables'!$C18)/'Conversion Tables'!F18)</f>
        <v>NA</v>
      </c>
      <c r="J19" s="16" t="str">
        <f>IF('Conversion Tables'!G18="NA","NA",(F19*'Conversion Tables'!$C18)/'Conversion Tables'!G18)</f>
        <v>NA</v>
      </c>
      <c r="K19" s="16" t="str">
        <f>IF('Conversion Tables'!H18="NA","NA",(G19*'Conversion Tables'!$C18)/'Conversion Tables'!H18)</f>
        <v>NA</v>
      </c>
      <c r="L19" s="16" t="str">
        <f>IF('Conversion Tables'!I18="NA","NA",(H19*'Conversion Tables'!$C18)/'Conversion Tables'!I18)</f>
        <v>NA</v>
      </c>
      <c r="M19" s="16" t="str">
        <f>IF('Conversion Tables'!K18="NA","NA",E19*'Conversion Tables'!K18)</f>
        <v>NA</v>
      </c>
      <c r="N19" s="16" t="str">
        <f>IF('Conversion Tables'!L18="NA","NA",F19*'Conversion Tables'!L18)</f>
        <v>NA</v>
      </c>
      <c r="O19" s="16" t="str">
        <f>IF('Conversion Tables'!M18="NA","NA",G19*'Conversion Tables'!M18)</f>
        <v>NA</v>
      </c>
      <c r="P19" s="16" t="str">
        <f>IF('Conversion Tables'!N18="NA","NA",H19*'Conversion Tables'!N18)</f>
        <v>NA</v>
      </c>
      <c r="Q19" s="15"/>
    </row>
    <row r="20" spans="1:17" x14ac:dyDescent="0.25">
      <c r="A20" s="1207"/>
      <c r="B20" s="11" t="str">
        <f>IF('Prac. Rec. Assumptions'!$B$56='Prac. Rec. Assumptions'!$V$3,A86,IF('Prac. Rec. Assumptions'!B62="No",A86,"Other Hay- Converted to Energy Crop"))</f>
        <v>Other Hay</v>
      </c>
      <c r="C20" s="294">
        <f>IF('Prac. Rec. Assumptions'!$B$56='Prac. Rec. Assumptions'!$V$3,D86,IF('Prac. Rec. Assumptions'!B63="No",D86,0))</f>
        <v>38009.279999999999</v>
      </c>
      <c r="D20" s="294">
        <f>E20*'Conversion Tables'!C19</f>
        <v>296472.38399999996</v>
      </c>
      <c r="E20" s="294">
        <f>C20*'Prac. Rec. Assumptions'!B16</f>
        <v>19004.64</v>
      </c>
      <c r="F20" s="294">
        <f t="shared" si="2"/>
        <v>19004.64</v>
      </c>
      <c r="G20" s="294">
        <f t="shared" si="2"/>
        <v>19004.64</v>
      </c>
      <c r="H20" s="294">
        <f t="shared" si="2"/>
        <v>19004.64</v>
      </c>
      <c r="I20" s="16" t="str">
        <f>IF('Conversion Tables'!F19="NA","NA",(E20*'Conversion Tables'!$C19)/'Conversion Tables'!F19)</f>
        <v>NA</v>
      </c>
      <c r="J20" s="16" t="str">
        <f>IF('Conversion Tables'!G19="NA","NA",(F20*'Conversion Tables'!$C19)/'Conversion Tables'!G19)</f>
        <v>NA</v>
      </c>
      <c r="K20" s="16" t="str">
        <f>IF('Conversion Tables'!H19="NA","NA",(G20*'Conversion Tables'!$C19)/'Conversion Tables'!H19)</f>
        <v>NA</v>
      </c>
      <c r="L20" s="16" t="str">
        <f>IF('Conversion Tables'!I19="NA","NA",(H20*'Conversion Tables'!$C19)/'Conversion Tables'!I19)</f>
        <v>NA</v>
      </c>
      <c r="M20" s="16" t="str">
        <f>IF('Conversion Tables'!K19="NA","NA",E20*'Conversion Tables'!K19)</f>
        <v>NA</v>
      </c>
      <c r="N20" s="16" t="str">
        <f>IF('Conversion Tables'!L19="NA","NA",F20*'Conversion Tables'!L19)</f>
        <v>NA</v>
      </c>
      <c r="O20" s="16" t="str">
        <f>IF('Conversion Tables'!M19="NA","NA",G20*'Conversion Tables'!M19)</f>
        <v>NA</v>
      </c>
      <c r="P20" s="16" t="str">
        <f>IF('Conversion Tables'!N19="NA","NA",H20*'Conversion Tables'!N19)</f>
        <v>NA</v>
      </c>
      <c r="Q20" s="15"/>
    </row>
    <row r="21" spans="1:17" x14ac:dyDescent="0.25">
      <c r="A21" s="1207"/>
      <c r="B21" s="11" t="str">
        <f>IF('Prac. Rec. Assumptions'!$B$56='Prac. Rec. Assumptions'!$V$3,A87,IF('Prac. Rec. Assumptions'!B63="No",A87,"Wheat- Converted to Energy Crop"))</f>
        <v>Wheat</v>
      </c>
      <c r="C21" s="294">
        <f>IF('Prac. Rec. Assumptions'!$B$56='Prac. Rec. Assumptions'!$V$3,D87,IF('Prac. Rec. Assumptions'!B64="No",D87,0))</f>
        <v>3058.2999999999997</v>
      </c>
      <c r="D21" s="294">
        <f>E21*'Conversion Tables'!C20</f>
        <v>0</v>
      </c>
      <c r="E21" s="294">
        <f>C21*'Prac. Rec. Assumptions'!B17</f>
        <v>0</v>
      </c>
      <c r="F21" s="294">
        <f t="shared" si="2"/>
        <v>0</v>
      </c>
      <c r="G21" s="294">
        <f t="shared" si="2"/>
        <v>0</v>
      </c>
      <c r="H21" s="294">
        <f t="shared" si="2"/>
        <v>0</v>
      </c>
      <c r="I21" s="16" t="str">
        <f>IF('Conversion Tables'!F20="NA","NA",(E21*'Conversion Tables'!$C20)/'Conversion Tables'!F20)</f>
        <v>NA</v>
      </c>
      <c r="J21" s="16" t="str">
        <f>IF('Conversion Tables'!G20="NA","NA",(F21*'Conversion Tables'!$C20)/'Conversion Tables'!G20)</f>
        <v>NA</v>
      </c>
      <c r="K21" s="16" t="str">
        <f>IF('Conversion Tables'!H20="NA","NA",(G21*'Conversion Tables'!$C20)/'Conversion Tables'!H20)</f>
        <v>NA</v>
      </c>
      <c r="L21" s="16" t="str">
        <f>IF('Conversion Tables'!I20="NA","NA",(H21*'Conversion Tables'!$C20)/'Conversion Tables'!I20)</f>
        <v>NA</v>
      </c>
      <c r="M21" s="16" t="str">
        <f>IF('Conversion Tables'!K20="NA","NA",E21*'Conversion Tables'!K20)</f>
        <v>NA</v>
      </c>
      <c r="N21" s="16" t="str">
        <f>IF('Conversion Tables'!L20="NA","NA",F21*'Conversion Tables'!L20)</f>
        <v>NA</v>
      </c>
      <c r="O21" s="16" t="str">
        <f>IF('Conversion Tables'!M20="NA","NA",G21*'Conversion Tables'!M20)</f>
        <v>NA</v>
      </c>
      <c r="P21" s="16" t="str">
        <f>IF('Conversion Tables'!N20="NA","NA",H21*'Conversion Tables'!N20)</f>
        <v>NA</v>
      </c>
      <c r="Q21" s="15"/>
    </row>
    <row r="22" spans="1:17" x14ac:dyDescent="0.25">
      <c r="A22" s="1207"/>
      <c r="B22" s="148" t="s">
        <v>205</v>
      </c>
      <c r="C22" s="294">
        <f>'Biomass Data Assumptions'!P16*1000*'Energy Content Assumptions'!C18</f>
        <v>51261</v>
      </c>
      <c r="D22" s="294">
        <f>E22*'Conversion Tables'!C21</f>
        <v>399835.8</v>
      </c>
      <c r="E22" s="294">
        <f>C22*'Prac. Rec. Assumptions'!B18</f>
        <v>25630.5</v>
      </c>
      <c r="F22" s="294">
        <f t="shared" si="2"/>
        <v>25630.5</v>
      </c>
      <c r="G22" s="294">
        <f t="shared" si="2"/>
        <v>25630.5</v>
      </c>
      <c r="H22" s="294">
        <f t="shared" si="2"/>
        <v>25630.5</v>
      </c>
      <c r="I22" s="16" t="str">
        <f>IF('Conversion Tables'!F21="NA","NA",(E22*'Conversion Tables'!$C21)/'Conversion Tables'!F21)</f>
        <v>NA</v>
      </c>
      <c r="J22" s="16" t="str">
        <f>IF('Conversion Tables'!G21="NA","NA",(F22*'Conversion Tables'!$C21)/'Conversion Tables'!G21)</f>
        <v>NA</v>
      </c>
      <c r="K22" s="16" t="str">
        <f>IF('Conversion Tables'!H21="NA","NA",(G22*'Conversion Tables'!$C21)/'Conversion Tables'!H21)</f>
        <v>NA</v>
      </c>
      <c r="L22" s="16" t="str">
        <f>IF('Conversion Tables'!I21="NA","NA",(H22*'Conversion Tables'!$C21)/'Conversion Tables'!I21)</f>
        <v>NA</v>
      </c>
      <c r="M22" s="16" t="str">
        <f>IF('Conversion Tables'!K21="NA","NA",E22*'Conversion Tables'!K21)</f>
        <v>NA</v>
      </c>
      <c r="N22" s="16" t="str">
        <f>IF('Conversion Tables'!L21="NA","NA",F22*'Conversion Tables'!L21)</f>
        <v>NA</v>
      </c>
      <c r="O22" s="16" t="str">
        <f>IF('Conversion Tables'!M21="NA","NA",G22*'Conversion Tables'!M21)</f>
        <v>NA</v>
      </c>
      <c r="P22" s="16" t="str">
        <f>IF('Conversion Tables'!N21="NA","NA",H22*'Conversion Tables'!N21)</f>
        <v>NA</v>
      </c>
      <c r="Q22" s="15"/>
    </row>
    <row r="23" spans="1:17" x14ac:dyDescent="0.25">
      <c r="A23" s="1207"/>
      <c r="B23" s="2" t="s">
        <v>302</v>
      </c>
      <c r="C23" s="294">
        <f>B133</f>
        <v>0</v>
      </c>
      <c r="D23" s="294">
        <f>E23*'Conversion Tables'!C22</f>
        <v>0</v>
      </c>
      <c r="E23" s="294">
        <f>C23*'Prac. Rec. Assumptions'!B19</f>
        <v>0</v>
      </c>
      <c r="F23" s="297">
        <f t="shared" si="2"/>
        <v>0</v>
      </c>
      <c r="G23" s="297">
        <f t="shared" si="2"/>
        <v>0</v>
      </c>
      <c r="H23" s="297">
        <f t="shared" si="2"/>
        <v>0</v>
      </c>
      <c r="I23" s="16" t="str">
        <f>IF('Conversion Tables'!F22="NA","NA",(E23*'Conversion Tables'!$C22)/'Conversion Tables'!F22)</f>
        <v>NA</v>
      </c>
      <c r="J23" s="16" t="str">
        <f>IF('Conversion Tables'!G22="NA","NA",(F23*'Conversion Tables'!$C22)/'Conversion Tables'!G22)</f>
        <v>NA</v>
      </c>
      <c r="K23" s="16" t="str">
        <f>IF('Conversion Tables'!H22="NA","NA",(G23*'Conversion Tables'!$C22)/'Conversion Tables'!H22)</f>
        <v>NA</v>
      </c>
      <c r="L23" s="16" t="str">
        <f>IF('Conversion Tables'!I22="NA","NA",(H23*'Conversion Tables'!$C22)/'Conversion Tables'!I22)</f>
        <v>NA</v>
      </c>
      <c r="M23" s="16" t="str">
        <f>IF('Conversion Tables'!K22="NA","NA",E23*'Conversion Tables'!K22)</f>
        <v>NA</v>
      </c>
      <c r="N23" s="16" t="str">
        <f>IF('Conversion Tables'!L22="NA","NA",F23*'Conversion Tables'!L22)</f>
        <v>NA</v>
      </c>
      <c r="O23" s="16" t="str">
        <f>IF('Conversion Tables'!M22="NA","NA",G23*'Conversion Tables'!M22)</f>
        <v>NA</v>
      </c>
      <c r="P23" s="16" t="str">
        <f>IF('Conversion Tables'!N22="NA","NA",H23*'Conversion Tables'!N22)</f>
        <v>NA</v>
      </c>
      <c r="Q23" s="7"/>
    </row>
    <row r="24" spans="1:17" x14ac:dyDescent="0.25">
      <c r="A24" s="1207"/>
      <c r="B24" s="1" t="s">
        <v>518</v>
      </c>
      <c r="C24" s="294"/>
      <c r="D24" s="294"/>
      <c r="E24" s="294"/>
      <c r="F24" s="294"/>
      <c r="G24" s="294"/>
      <c r="H24" s="294"/>
      <c r="I24" s="16"/>
      <c r="J24" s="16"/>
      <c r="K24" s="16"/>
      <c r="L24" s="16"/>
      <c r="M24" s="16"/>
      <c r="N24" s="16"/>
      <c r="O24" s="16"/>
      <c r="P24" s="16"/>
      <c r="Q24" s="7"/>
    </row>
    <row r="25" spans="1:17" x14ac:dyDescent="0.25">
      <c r="A25" s="1207"/>
      <c r="B25" s="11" t="s">
        <v>559</v>
      </c>
      <c r="C25" s="294">
        <f>C128</f>
        <v>3012.8449999999998</v>
      </c>
      <c r="D25" s="294">
        <f>E25*'Conversion Tables'!C24</f>
        <v>53327.356499999994</v>
      </c>
      <c r="E25" s="294">
        <f>C25*'Prac. Rec. Assumptions'!B21</f>
        <v>3012.8449999999998</v>
      </c>
      <c r="F25" s="294">
        <f>($C25*(1+'Biomass Data Assumptions'!G$101))*'Prac. Rec. Assumptions'!$B21</f>
        <v>3098.7273305084746</v>
      </c>
      <c r="G25" s="294">
        <f>($C25*(1+'Biomass Data Assumptions'!H$101))*'Prac. Rec. Assumptions'!$B21</f>
        <v>3235.6748305084743</v>
      </c>
      <c r="H25" s="294">
        <f>($C25*(1+'Biomass Data Assumptions'!I$101))*'Prac. Rec. Assumptions'!$B21</f>
        <v>3356.3743220338984</v>
      </c>
      <c r="I25" s="16" t="str">
        <f>IF('Conversion Tables'!F24="NA","NA",(E25*'Conversion Tables'!$C24)/'Conversion Tables'!F24)</f>
        <v>NA</v>
      </c>
      <c r="J25" s="16" t="str">
        <f>IF('Conversion Tables'!G24="NA","NA",(F25*'Conversion Tables'!$C24)/'Conversion Tables'!G24)</f>
        <v>NA</v>
      </c>
      <c r="K25" s="16" t="str">
        <f>IF('Conversion Tables'!H24="NA","NA",(G25*'Conversion Tables'!$C24)/'Conversion Tables'!H24)</f>
        <v>NA</v>
      </c>
      <c r="L25" s="16" t="str">
        <f>IF('Conversion Tables'!I24="NA","NA",(H25*'Conversion Tables'!$C24)/'Conversion Tables'!I24)</f>
        <v>NA</v>
      </c>
      <c r="M25" s="16" t="str">
        <f>IF('Conversion Tables'!K24="NA","NA",E25*'Conversion Tables'!K24)</f>
        <v>NA</v>
      </c>
      <c r="N25" s="16" t="str">
        <f>IF('Conversion Tables'!L24="NA","NA",F25*'Conversion Tables'!L24)</f>
        <v>NA</v>
      </c>
      <c r="O25" s="16" t="str">
        <f>IF('Conversion Tables'!M24="NA","NA",G25*'Conversion Tables'!M24)</f>
        <v>NA</v>
      </c>
      <c r="P25" s="16" t="str">
        <f>IF('Conversion Tables'!N24="NA","NA",H25*'Conversion Tables'!N24)</f>
        <v>NA</v>
      </c>
      <c r="Q25" s="13"/>
    </row>
    <row r="26" spans="1:17" x14ac:dyDescent="0.25">
      <c r="A26" s="1207"/>
      <c r="B26" s="11" t="s">
        <v>560</v>
      </c>
      <c r="C26" s="294">
        <f>C129</f>
        <v>0</v>
      </c>
      <c r="D26" s="294">
        <f>E26*'Conversion Tables'!C25</f>
        <v>0</v>
      </c>
      <c r="E26" s="294">
        <f>C26*'Prac. Rec. Assumptions'!B22</f>
        <v>0</v>
      </c>
      <c r="F26" s="294">
        <f>($C26*(1+'Biomass Data Assumptions'!G$101))*'Prac. Rec. Assumptions'!$B22</f>
        <v>0</v>
      </c>
      <c r="G26" s="294">
        <f>($C26*(1+'Biomass Data Assumptions'!H$101))*'Prac. Rec. Assumptions'!$B22</f>
        <v>0</v>
      </c>
      <c r="H26" s="294">
        <f>($C26*(1+'Biomass Data Assumptions'!I$101))*'Prac. Rec. Assumptions'!$B22</f>
        <v>0</v>
      </c>
      <c r="I26" s="16" t="str">
        <f>IF('Conversion Tables'!F25="NA","NA",(E26*'Conversion Tables'!$C25)/'Conversion Tables'!F25)</f>
        <v>NA</v>
      </c>
      <c r="J26" s="16" t="str">
        <f>IF('Conversion Tables'!G25="NA","NA",(F26*'Conversion Tables'!$C25)/'Conversion Tables'!G25)</f>
        <v>NA</v>
      </c>
      <c r="K26" s="16" t="str">
        <f>IF('Conversion Tables'!H25="NA","NA",(G26*'Conversion Tables'!$C25)/'Conversion Tables'!H25)</f>
        <v>NA</v>
      </c>
      <c r="L26" s="16" t="str">
        <f>IF('Conversion Tables'!I25="NA","NA",(H26*'Conversion Tables'!$C25)/'Conversion Tables'!I25)</f>
        <v>NA</v>
      </c>
      <c r="M26" s="16" t="str">
        <f>IF('Conversion Tables'!K25="NA","NA",E26*'Conversion Tables'!K25)</f>
        <v>NA</v>
      </c>
      <c r="N26" s="16" t="str">
        <f>IF('Conversion Tables'!L25="NA","NA",F26*'Conversion Tables'!L25)</f>
        <v>NA</v>
      </c>
      <c r="O26" s="16" t="str">
        <f>IF('Conversion Tables'!M25="NA","NA",G26*'Conversion Tables'!M25)</f>
        <v>NA</v>
      </c>
      <c r="P26" s="16" t="str">
        <f>IF('Conversion Tables'!N25="NA","NA",H26*'Conversion Tables'!N25)</f>
        <v>NA</v>
      </c>
      <c r="Q26" s="13"/>
    </row>
    <row r="27" spans="1:17" x14ac:dyDescent="0.25">
      <c r="A27" s="1207"/>
      <c r="B27" s="11" t="s">
        <v>561</v>
      </c>
      <c r="C27" s="294">
        <f>C130</f>
        <v>1891.07</v>
      </c>
      <c r="D27" s="294">
        <f>E27*'Conversion Tables'!C26</f>
        <v>29500.691999999999</v>
      </c>
      <c r="E27" s="294">
        <f>C27*'Prac. Rec. Assumptions'!B23</f>
        <v>1891.07</v>
      </c>
      <c r="F27" s="294">
        <f>($C27*(1+'Biomass Data Assumptions'!G$101))*'Prac. Rec. Assumptions'!$B23</f>
        <v>1944.9756933744222</v>
      </c>
      <c r="G27" s="294">
        <f>($C27*(1+'Biomass Data Assumptions'!H$101))*'Prac. Rec. Assumptions'!$B23</f>
        <v>2030.9334206471494</v>
      </c>
      <c r="H27" s="294">
        <f>($C27*(1+'Biomass Data Assumptions'!I$101))*'Prac. Rec. Assumptions'!$B23</f>
        <v>2106.6927734976889</v>
      </c>
      <c r="I27" s="16" t="str">
        <f>IF('Conversion Tables'!F26="NA","NA",(E27*'Conversion Tables'!$C26)/'Conversion Tables'!F26)</f>
        <v>NA</v>
      </c>
      <c r="J27" s="16" t="str">
        <f>IF('Conversion Tables'!G26="NA","NA",(F27*'Conversion Tables'!$C26)/'Conversion Tables'!G26)</f>
        <v>NA</v>
      </c>
      <c r="K27" s="16" t="str">
        <f>IF('Conversion Tables'!H26="NA","NA",(G27*'Conversion Tables'!$C26)/'Conversion Tables'!H26)</f>
        <v>NA</v>
      </c>
      <c r="L27" s="16" t="str">
        <f>IF('Conversion Tables'!I26="NA","NA",(H27*'Conversion Tables'!$C26)/'Conversion Tables'!I26)</f>
        <v>NA</v>
      </c>
      <c r="M27" s="16" t="str">
        <f>IF('Conversion Tables'!K26="NA","NA",E27*'Conversion Tables'!K26)</f>
        <v>NA</v>
      </c>
      <c r="N27" s="16" t="str">
        <f>IF('Conversion Tables'!L26="NA","NA",F27*'Conversion Tables'!L26)</f>
        <v>NA</v>
      </c>
      <c r="O27" s="16" t="str">
        <f>IF('Conversion Tables'!M26="NA","NA",G27*'Conversion Tables'!M26)</f>
        <v>NA</v>
      </c>
      <c r="P27" s="16" t="str">
        <f>IF('Conversion Tables'!N26="NA","NA",H27*'Conversion Tables'!N26)</f>
        <v>NA</v>
      </c>
      <c r="Q27" s="13"/>
    </row>
    <row r="28" spans="1:17" x14ac:dyDescent="0.25">
      <c r="A28" s="1207"/>
      <c r="B28" s="11" t="s">
        <v>562</v>
      </c>
      <c r="C28" s="294">
        <f>C131</f>
        <v>501.995</v>
      </c>
      <c r="D28" s="294">
        <f>E28*'Conversion Tables'!C27</f>
        <v>8885.3114999999998</v>
      </c>
      <c r="E28" s="294">
        <f>C28*'Prac. Rec. Assumptions'!B24</f>
        <v>501.995</v>
      </c>
      <c r="F28" s="294">
        <f>($C28*(1+'Biomass Data Assumptions'!G$101))*'Prac. Rec. Assumptions'!$B24</f>
        <v>516.30456471494608</v>
      </c>
      <c r="G28" s="294">
        <f>($C28*(1+'Biomass Data Assumptions'!H$101))*'Prac. Rec. Assumptions'!$B24</f>
        <v>539.12251926040062</v>
      </c>
      <c r="H28" s="294">
        <f>($C28*(1+'Biomass Data Assumptions'!I$101))*'Prac. Rec. Assumptions'!$B24</f>
        <v>559.23325885978431</v>
      </c>
      <c r="I28" s="16" t="str">
        <f>IF('Conversion Tables'!F27="NA","NA",(E28*'Conversion Tables'!$C27)/'Conversion Tables'!F27)</f>
        <v>NA</v>
      </c>
      <c r="J28" s="16" t="str">
        <f>IF('Conversion Tables'!G27="NA","NA",(F28*'Conversion Tables'!$C27)/'Conversion Tables'!G27)</f>
        <v>NA</v>
      </c>
      <c r="K28" s="16" t="str">
        <f>IF('Conversion Tables'!H27="NA","NA",(G28*'Conversion Tables'!$C27)/'Conversion Tables'!H27)</f>
        <v>NA</v>
      </c>
      <c r="L28" s="16" t="str">
        <f>IF('Conversion Tables'!I27="NA","NA",(H28*'Conversion Tables'!$C27)/'Conversion Tables'!I27)</f>
        <v>NA</v>
      </c>
      <c r="M28" s="16" t="str">
        <f>IF('Conversion Tables'!K27="NA","NA",E28*'Conversion Tables'!K27)</f>
        <v>NA</v>
      </c>
      <c r="N28" s="16" t="str">
        <f>IF('Conversion Tables'!L27="NA","NA",F28*'Conversion Tables'!L27)</f>
        <v>NA</v>
      </c>
      <c r="O28" s="16" t="str">
        <f>IF('Conversion Tables'!M27="NA","NA",G28*'Conversion Tables'!M27)</f>
        <v>NA</v>
      </c>
      <c r="P28" s="16" t="str">
        <f>IF('Conversion Tables'!N27="NA","NA",H28*'Conversion Tables'!N27)</f>
        <v>NA</v>
      </c>
      <c r="Q28" s="13"/>
    </row>
    <row r="29" spans="1:17" x14ac:dyDescent="0.25">
      <c r="A29" s="1208"/>
      <c r="B29" s="9" t="s">
        <v>524</v>
      </c>
      <c r="C29" s="295">
        <f t="shared" ref="C29:P29" si="3">SUM(C13:C28)</f>
        <v>134938.16250000001</v>
      </c>
      <c r="D29" s="295">
        <f>SUM(D13:D28)</f>
        <v>1066211.8765500002</v>
      </c>
      <c r="E29" s="295">
        <f t="shared" si="3"/>
        <v>67724.137499999997</v>
      </c>
      <c r="F29" s="295">
        <f>SUM(F13:F28)</f>
        <v>67878.235088597838</v>
      </c>
      <c r="G29" s="295">
        <f>SUM(G13:G28)</f>
        <v>68123.958270416028</v>
      </c>
      <c r="H29" s="295">
        <f>SUM(H13:H28)</f>
        <v>68340.527854391359</v>
      </c>
      <c r="I29" s="19">
        <f t="shared" si="3"/>
        <v>0</v>
      </c>
      <c r="J29" s="19">
        <f t="shared" si="3"/>
        <v>0</v>
      </c>
      <c r="K29" s="19">
        <f t="shared" si="3"/>
        <v>0</v>
      </c>
      <c r="L29" s="19">
        <f t="shared" si="3"/>
        <v>0</v>
      </c>
      <c r="M29" s="19">
        <f t="shared" si="3"/>
        <v>0</v>
      </c>
      <c r="N29" s="19">
        <f t="shared" si="3"/>
        <v>0</v>
      </c>
      <c r="O29" s="19">
        <f t="shared" si="3"/>
        <v>0</v>
      </c>
      <c r="P29" s="19">
        <f t="shared" si="3"/>
        <v>0</v>
      </c>
      <c r="Q29" s="19"/>
    </row>
    <row r="30" spans="1:17" x14ac:dyDescent="0.25">
      <c r="A30" s="8"/>
      <c r="C30" s="296"/>
      <c r="D30" s="296"/>
      <c r="E30" s="296"/>
      <c r="F30" s="296"/>
      <c r="G30" s="296"/>
      <c r="H30" s="296"/>
      <c r="I30" s="28"/>
      <c r="J30" s="28"/>
      <c r="K30" s="28"/>
      <c r="L30" s="28"/>
      <c r="M30" s="28"/>
      <c r="N30" s="28"/>
      <c r="O30" s="28"/>
      <c r="P30" s="28"/>
    </row>
    <row r="31" spans="1:17" x14ac:dyDescent="0.25">
      <c r="A31" s="1064" t="s">
        <v>516</v>
      </c>
      <c r="B31" s="130" t="str">
        <f>'Bioenergy Calculator'!B34</f>
        <v>Solid wastes - Landfilled</v>
      </c>
      <c r="C31" s="294"/>
      <c r="D31" s="294"/>
      <c r="E31" s="294"/>
      <c r="F31" s="294"/>
      <c r="G31" s="294"/>
      <c r="H31" s="294"/>
      <c r="I31" s="16"/>
      <c r="J31" s="16"/>
      <c r="K31" s="16"/>
      <c r="L31" s="16"/>
      <c r="M31" s="16"/>
      <c r="N31" s="16"/>
      <c r="O31" s="16"/>
      <c r="P31" s="16"/>
      <c r="Q31" s="7"/>
    </row>
    <row r="32" spans="1:17" x14ac:dyDescent="0.25">
      <c r="A32" s="1064"/>
      <c r="B32" s="11" t="str">
        <f>'Bioenergy Calculator'!B35</f>
        <v>Food waste, Landfilled</v>
      </c>
      <c r="C32" s="294">
        <f>C141</f>
        <v>2328.7089042000002</v>
      </c>
      <c r="D32" s="294">
        <f>E32*'Conversion Tables'!C29</f>
        <v>22355.605480320006</v>
      </c>
      <c r="E32" s="294">
        <f>C32*'Prac. Rec. Assumptions'!B26</f>
        <v>1397.2253425200004</v>
      </c>
      <c r="F32" s="294">
        <f>($C32*(1+'Biomass Data Assumptions'!G$101)*(1+'Biomass Data Assumptions'!C$82))*'Prac. Rec. Assumptions'!$B26</f>
        <v>1436.0780698157291</v>
      </c>
      <c r="G32" s="294">
        <f>($C32*(1+'Biomass Data Assumptions'!H$101)*(1+'Biomass Data Assumptions'!D$82))*'Prac. Rec. Assumptions'!$B26</f>
        <v>1498.527030051019</v>
      </c>
      <c r="H32" s="294">
        <f>($C32*(1+'Biomass Data Assumptions'!I$101)*(1+'Biomass Data Assumptions'!E$82))*'Prac. Rec. Assumptions'!$B26</f>
        <v>1553.3707496935665</v>
      </c>
      <c r="I32" s="16" t="str">
        <f>IF('Conversion Tables'!F29="NA","NA",(E32*'Conversion Tables'!$C29)/'Conversion Tables'!F29)</f>
        <v>NA</v>
      </c>
      <c r="J32" s="16" t="str">
        <f>IF('Conversion Tables'!G29="NA","NA",(F32*'Conversion Tables'!$C29)/'Conversion Tables'!G29)</f>
        <v>NA</v>
      </c>
      <c r="K32" s="16" t="str">
        <f>IF('Conversion Tables'!H29="NA","NA",(G32*'Conversion Tables'!$C29)/'Conversion Tables'!H29)</f>
        <v>NA</v>
      </c>
      <c r="L32" s="16" t="str">
        <f>IF('Conversion Tables'!I29="NA","NA",(H32*'Conversion Tables'!$C29)/'Conversion Tables'!I29)</f>
        <v>NA</v>
      </c>
      <c r="M32" s="16" t="str">
        <f>IF('Conversion Tables'!K29="NA","NA",E32*'Conversion Tables'!K29)</f>
        <v>NA</v>
      </c>
      <c r="N32" s="16" t="str">
        <f>IF('Conversion Tables'!L29="NA","NA",F32*'Conversion Tables'!L29)</f>
        <v>NA</v>
      </c>
      <c r="O32" s="16" t="str">
        <f>IF('Conversion Tables'!M29="NA","NA",G32*'Conversion Tables'!M29)</f>
        <v>NA</v>
      </c>
      <c r="P32" s="16" t="str">
        <f>IF('Conversion Tables'!N29="NA","NA",H32*'Conversion Tables'!N29)</f>
        <v>NA</v>
      </c>
      <c r="Q32" s="7"/>
    </row>
    <row r="33" spans="1:17" x14ac:dyDescent="0.25">
      <c r="A33" s="1064"/>
      <c r="B33" s="11" t="str">
        <f>'Bioenergy Calculator'!B36</f>
        <v>Waste paper, Landfilled</v>
      </c>
      <c r="C33" s="294">
        <f>C142</f>
        <v>8589.1380885000017</v>
      </c>
      <c r="D33" s="294">
        <f>E33*'Conversion Tables'!C30</f>
        <v>99785.170656957634</v>
      </c>
      <c r="E33" s="294">
        <f>C33*'Prac. Rec. Assumptions'!B27</f>
        <v>6871.3104708000019</v>
      </c>
      <c r="F33" s="294">
        <f>($C33*(1+'Biomass Data Assumptions'!G$101)*(1+'Biomass Data Assumptions'!C$82))*'Prac. Rec. Assumptions'!$B27</f>
        <v>7062.3814052884773</v>
      </c>
      <c r="G33" s="294">
        <f>($C33*(1+'Biomass Data Assumptions'!H$101)*(1+'Biomass Data Assumptions'!D$82))*'Prac. Rec. Assumptions'!$B27</f>
        <v>7369.4944967110787</v>
      </c>
      <c r="H33" s="294">
        <f>($C33*(1+'Biomass Data Assumptions'!I$101)*(1+'Biomass Data Assumptions'!E$82))*'Prac. Rec. Assumptions'!$B27</f>
        <v>7639.206341729423</v>
      </c>
      <c r="I33" s="16" t="str">
        <f>IF('Conversion Tables'!F30="NA","NA",(E33*'Conversion Tables'!$C30)/'Conversion Tables'!F30)</f>
        <v>NA</v>
      </c>
      <c r="J33" s="16" t="str">
        <f>IF('Conversion Tables'!G30="NA","NA",(F33*'Conversion Tables'!$C30)/'Conversion Tables'!G30)</f>
        <v>NA</v>
      </c>
      <c r="K33" s="16" t="str">
        <f>IF('Conversion Tables'!H30="NA","NA",(G33*'Conversion Tables'!$C30)/'Conversion Tables'!H30)</f>
        <v>NA</v>
      </c>
      <c r="L33" s="16" t="str">
        <f>IF('Conversion Tables'!I30="NA","NA",(H33*'Conversion Tables'!$C30)/'Conversion Tables'!I30)</f>
        <v>NA</v>
      </c>
      <c r="M33" s="16" t="str">
        <f>IF('Conversion Tables'!K30="NA","NA",E33*'Conversion Tables'!K30)</f>
        <v>NA</v>
      </c>
      <c r="N33" s="16" t="str">
        <f>IF('Conversion Tables'!L30="NA","NA",F33*'Conversion Tables'!L30)</f>
        <v>NA</v>
      </c>
      <c r="O33" s="16" t="str">
        <f>IF('Conversion Tables'!M30="NA","NA",G33*'Conversion Tables'!M30)</f>
        <v>NA</v>
      </c>
      <c r="P33" s="16" t="str">
        <f>IF('Conversion Tables'!N30="NA","NA",H33*'Conversion Tables'!N30)</f>
        <v>NA</v>
      </c>
      <c r="Q33" s="7"/>
    </row>
    <row r="34" spans="1:17" x14ac:dyDescent="0.25">
      <c r="A34" s="1064"/>
      <c r="B34" s="11" t="str">
        <f>'Bioenergy Calculator'!B37</f>
        <v>Other Biomass, Landfilled</v>
      </c>
      <c r="C34" s="294">
        <f>C143</f>
        <v>6606.8405805000002</v>
      </c>
      <c r="D34" s="294">
        <f>E34*'Conversion Tables'!C31</f>
        <v>69080.068015215133</v>
      </c>
      <c r="E34" s="294">
        <f>C34*'Prac. Rec. Assumptions'!B28</f>
        <v>4756.9252179600007</v>
      </c>
      <c r="F34" s="294">
        <f>($C34*(1+'Biomass Data Assumptions'!G$101)*(1+'Biomass Data Assumptions'!C$82))*'Prac. Rec. Assumptions'!$B28</f>
        <v>4889.2013173372416</v>
      </c>
      <c r="G34" s="294">
        <f>($C34*(1+'Biomass Data Assumptions'!H$101)*(1+'Biomass Data Assumptions'!D$82))*'Prac. Rec. Assumptions'!$B28</f>
        <v>5101.8119999082091</v>
      </c>
      <c r="H34" s="294">
        <f>($C34*(1+'Biomass Data Assumptions'!I$101)*(1+'Biomass Data Assumptions'!E$82))*'Prac. Rec. Assumptions'!$B28</f>
        <v>5288.5302514851755</v>
      </c>
      <c r="I34" s="16" t="str">
        <f>IF('Conversion Tables'!F31="NA","NA",(E34*'Conversion Tables'!$C31)/'Conversion Tables'!F31)</f>
        <v>NA</v>
      </c>
      <c r="J34" s="16" t="str">
        <f>IF('Conversion Tables'!G31="NA","NA",(F34*'Conversion Tables'!$C31)/'Conversion Tables'!G31)</f>
        <v>NA</v>
      </c>
      <c r="K34" s="16" t="str">
        <f>IF('Conversion Tables'!H31="NA","NA",(G34*'Conversion Tables'!$C31)/'Conversion Tables'!H31)</f>
        <v>NA</v>
      </c>
      <c r="L34" s="16" t="str">
        <f>IF('Conversion Tables'!I31="NA","NA",(H34*'Conversion Tables'!$C31)/'Conversion Tables'!I31)</f>
        <v>NA</v>
      </c>
      <c r="M34" s="16" t="str">
        <f>IF('Conversion Tables'!K31="NA","NA",E34*'Conversion Tables'!K31)</f>
        <v>NA</v>
      </c>
      <c r="N34" s="16" t="str">
        <f>IF('Conversion Tables'!L31="NA","NA",F34*'Conversion Tables'!L31)</f>
        <v>NA</v>
      </c>
      <c r="O34" s="16" t="str">
        <f>IF('Conversion Tables'!M31="NA","NA",G34*'Conversion Tables'!M31)</f>
        <v>NA</v>
      </c>
      <c r="P34" s="16" t="str">
        <f>IF('Conversion Tables'!N31="NA","NA",H34*'Conversion Tables'!N31)</f>
        <v>NA</v>
      </c>
      <c r="Q34" s="7"/>
    </row>
    <row r="35" spans="1:17" x14ac:dyDescent="0.25">
      <c r="A35" s="1065"/>
      <c r="B35" s="11" t="str">
        <f>'Bioenergy Calculator'!B38</f>
        <v>C&amp;D (Non-recycled wood)</v>
      </c>
      <c r="C35" s="294">
        <f>C145</f>
        <v>8298.1792000000023</v>
      </c>
      <c r="D35" s="294">
        <f>E35*'Conversion Tables'!C32</f>
        <v>94001.773977600038</v>
      </c>
      <c r="E35" s="294">
        <f>C35*'Prac. Rec. Assumptions'!B29</f>
        <v>5310.8346880000026</v>
      </c>
      <c r="F35" s="294">
        <f>($C35*(1+'Biomass Data Assumptions'!G$101)*(1+'Biomass Data Assumptions'!C$83))*'Prac. Rec. Assumptions'!$B29</f>
        <v>5736.486261308497</v>
      </c>
      <c r="G35" s="294">
        <f>($C35*(1+'Biomass Data Assumptions'!H$101)*(1+'Biomass Data Assumptions'!D$83))*'Prac. Rec. Assumptions'!$B29</f>
        <v>6290.7737690182912</v>
      </c>
      <c r="H35" s="294">
        <f>($C35*(1+'Biomass Data Assumptions'!I$101)*(1+'Biomass Data Assumptions'!E$83))*'Prac. Rec. Assumptions'!$B29</f>
        <v>6853.0860933561835</v>
      </c>
      <c r="I35" s="16" t="str">
        <f>IF('Conversion Tables'!F32="NA","NA",(E35*'Conversion Tables'!$C32)/'Conversion Tables'!F32)</f>
        <v>NA</v>
      </c>
      <c r="J35" s="16" t="str">
        <f>IF('Conversion Tables'!G32="NA","NA",(F35*'Conversion Tables'!$C32)/'Conversion Tables'!G32)</f>
        <v>NA</v>
      </c>
      <c r="K35" s="16" t="str">
        <f>IF('Conversion Tables'!H32="NA","NA",(G35*'Conversion Tables'!$C32)/'Conversion Tables'!H32)</f>
        <v>NA</v>
      </c>
      <c r="L35" s="16" t="str">
        <f>IF('Conversion Tables'!I32="NA","NA",(H35*'Conversion Tables'!$C32)/'Conversion Tables'!I32)</f>
        <v>NA</v>
      </c>
      <c r="M35" s="16" t="str">
        <f>IF('Conversion Tables'!K32="NA","NA",E35*'Conversion Tables'!K32)</f>
        <v>NA</v>
      </c>
      <c r="N35" s="16" t="str">
        <f>IF('Conversion Tables'!L32="NA","NA",F35*'Conversion Tables'!L32)</f>
        <v>NA</v>
      </c>
      <c r="O35" s="16" t="str">
        <f>IF('Conversion Tables'!M32="NA","NA",G35*'Conversion Tables'!M32)</f>
        <v>NA</v>
      </c>
      <c r="P35" s="16" t="str">
        <f>IF('Conversion Tables'!N32="NA","NA",H35*'Conversion Tables'!N32)</f>
        <v>NA</v>
      </c>
      <c r="Q35" s="7"/>
    </row>
    <row r="36" spans="1:17" x14ac:dyDescent="0.25">
      <c r="A36" s="1065"/>
      <c r="B36" s="4" t="s">
        <v>280</v>
      </c>
      <c r="C36" s="294"/>
      <c r="D36" s="294"/>
      <c r="E36" s="294"/>
      <c r="F36" s="294"/>
      <c r="G36" s="294"/>
      <c r="H36" s="294"/>
      <c r="I36" s="16"/>
      <c r="J36" s="16"/>
      <c r="K36" s="16"/>
      <c r="L36" s="16"/>
      <c r="M36" s="16"/>
      <c r="N36" s="16"/>
      <c r="O36" s="16"/>
      <c r="P36" s="16"/>
      <c r="Q36" s="7"/>
    </row>
    <row r="37" spans="1:17" x14ac:dyDescent="0.25">
      <c r="A37" s="1065"/>
      <c r="B37" s="677" t="s">
        <v>563</v>
      </c>
      <c r="C37" s="299">
        <f>C132</f>
        <v>28.497499999999999</v>
      </c>
      <c r="D37" s="294">
        <f>E37*'Conversion Tables'!C34</f>
        <v>455.96</v>
      </c>
      <c r="E37" s="294">
        <f>C37*'Prac. Rec. Assumptions'!B31</f>
        <v>28.497499999999999</v>
      </c>
      <c r="F37" s="294">
        <f>($C37*(1+'Biomass Data Assumptions'!G$101)*(1+'Biomass Data Assumptions'!C$84))*'Prac. Rec. Assumptions'!$B31</f>
        <v>32.049603758939838</v>
      </c>
      <c r="G37" s="294">
        <f>($C37*(1+'Biomass Data Assumptions'!H$101)*(1+'Biomass Data Assumptions'!D$84))*'Prac. Rec. Assumptions'!$B31</f>
        <v>36.594304843705217</v>
      </c>
      <c r="H37" s="294">
        <f>($C37*(1+'Biomass Data Assumptions'!I$101)*(1+'Biomass Data Assumptions'!E$84))*'Prac. Rec. Assumptions'!$B31</f>
        <v>41.507669471744336</v>
      </c>
      <c r="I37" s="16" t="str">
        <f>IF('Conversion Tables'!F34="NA","NA",(E37*'Conversion Tables'!$C34)/'Conversion Tables'!F34)</f>
        <v>NA</v>
      </c>
      <c r="J37" s="16" t="str">
        <f>IF('Conversion Tables'!G34="NA","NA",(F37*'Conversion Tables'!$C34)/'Conversion Tables'!G34)</f>
        <v>NA</v>
      </c>
      <c r="K37" s="16" t="str">
        <f>IF('Conversion Tables'!H34="NA","NA",(G37*'Conversion Tables'!$C34)/'Conversion Tables'!H34)</f>
        <v>NA</v>
      </c>
      <c r="L37" s="16" t="str">
        <f>IF('Conversion Tables'!I34="NA","NA",(H37*'Conversion Tables'!$C34)/'Conversion Tables'!I34)</f>
        <v>NA</v>
      </c>
      <c r="M37" s="16" t="str">
        <f>IF('Conversion Tables'!K34="NA","NA",E37*'Conversion Tables'!K34)</f>
        <v>NA</v>
      </c>
      <c r="N37" s="16" t="str">
        <f>IF('Conversion Tables'!L34="NA","NA",F37*'Conversion Tables'!L34)</f>
        <v>NA</v>
      </c>
      <c r="O37" s="16" t="str">
        <f>IF('Conversion Tables'!M34="NA","NA",G37*'Conversion Tables'!M34)</f>
        <v>NA</v>
      </c>
      <c r="P37" s="16" t="str">
        <f>IF('Conversion Tables'!N34="NA","NA",H37*'Conversion Tables'!N34)</f>
        <v>NA</v>
      </c>
      <c r="Q37" s="18"/>
    </row>
    <row r="38" spans="1:17" x14ac:dyDescent="0.25">
      <c r="A38" s="1065"/>
      <c r="B38" s="11" t="s">
        <v>565</v>
      </c>
      <c r="C38" s="294">
        <f>C134</f>
        <v>1364.1200000000001</v>
      </c>
      <c r="D38" s="294">
        <f>E38*'Conversion Tables'!C35</f>
        <v>12072.462000000001</v>
      </c>
      <c r="E38" s="294">
        <f>C38*'Prac. Rec. Assumptions'!B32</f>
        <v>682.06000000000006</v>
      </c>
      <c r="F38" s="294">
        <f>($C38*(1+'Biomass Data Assumptions'!G$101)*(1+'Biomass Data Assumptions'!C$84))*'Prac. Rec. Assumptions'!$B32</f>
        <v>767.07615544600435</v>
      </c>
      <c r="G38" s="294">
        <f>($C38*(1+'Biomass Data Assumptions'!H$101)*(1+'Biomass Data Assumptions'!D$84))*'Prac. Rec. Assumptions'!$B32</f>
        <v>875.84916437222853</v>
      </c>
      <c r="H38" s="294">
        <f>($C38*(1+'Biomass Data Assumptions'!I$101)*(1+'Biomass Data Assumptions'!E$84))*'Prac. Rec. Assumptions'!$B32</f>
        <v>993.44577734530912</v>
      </c>
      <c r="I38" s="16" t="str">
        <f>IF('Conversion Tables'!F35="NA","NA",(E38*'Conversion Tables'!$C35)/'Conversion Tables'!F35)</f>
        <v>NA</v>
      </c>
      <c r="J38" s="16" t="str">
        <f>IF('Conversion Tables'!G35="NA","NA",(F38*'Conversion Tables'!$C35)/'Conversion Tables'!G35)</f>
        <v>NA</v>
      </c>
      <c r="K38" s="16" t="str">
        <f>IF('Conversion Tables'!H35="NA","NA",(G38*'Conversion Tables'!$C35)/'Conversion Tables'!H35)</f>
        <v>NA</v>
      </c>
      <c r="L38" s="16" t="str">
        <f>IF('Conversion Tables'!I35="NA","NA",(H38*'Conversion Tables'!$C35)/'Conversion Tables'!I35)</f>
        <v>NA</v>
      </c>
      <c r="M38" s="16" t="str">
        <f>IF('Conversion Tables'!K35="NA","NA",E38*'Conversion Tables'!K35)</f>
        <v>NA</v>
      </c>
      <c r="N38" s="16" t="str">
        <f>IF('Conversion Tables'!L35="NA","NA",F38*'Conversion Tables'!L35)</f>
        <v>NA</v>
      </c>
      <c r="O38" s="16" t="str">
        <f>IF('Conversion Tables'!M35="NA","NA",G38*'Conversion Tables'!M35)</f>
        <v>NA</v>
      </c>
      <c r="P38" s="16" t="str">
        <f>IF('Conversion Tables'!N35="NA","NA",H38*'Conversion Tables'!N35)</f>
        <v>NA</v>
      </c>
      <c r="Q38" s="13"/>
    </row>
    <row r="39" spans="1:17" x14ac:dyDescent="0.25">
      <c r="A39" s="1065"/>
      <c r="B39" s="17" t="s">
        <v>555</v>
      </c>
      <c r="C39" s="294">
        <f>C124</f>
        <v>7379.9279999999999</v>
      </c>
      <c r="D39" s="299">
        <f>E39*'Conversion Tables'!C36</f>
        <v>0</v>
      </c>
      <c r="E39" s="299">
        <f>C39*'Prac. Rec. Assumptions'!B33</f>
        <v>0</v>
      </c>
      <c r="F39" s="294">
        <f>($C39*(1+'Biomass Data Assumptions'!G$101)*(1+'Biomass Data Assumptions'!C$84))*'Prac. Rec. Assumptions'!$B33</f>
        <v>0</v>
      </c>
      <c r="G39" s="294">
        <f>($C39*(1+'Biomass Data Assumptions'!H$101)*(1+'Biomass Data Assumptions'!D$84))*'Prac. Rec. Assumptions'!$B33</f>
        <v>0</v>
      </c>
      <c r="H39" s="294">
        <f>($C39*(1+'Biomass Data Assumptions'!I$101)*(1+'Biomass Data Assumptions'!E$84))*'Prac. Rec. Assumptions'!$B33</f>
        <v>0</v>
      </c>
      <c r="I39" s="16" t="str">
        <f>IF('Conversion Tables'!F36="NA","NA",(E39*'Conversion Tables'!$C36)/'Conversion Tables'!F36)</f>
        <v>NA</v>
      </c>
      <c r="J39" s="16" t="str">
        <f>IF('Conversion Tables'!G36="NA","NA",(F39*'Conversion Tables'!$C36)/'Conversion Tables'!G36)</f>
        <v>NA</v>
      </c>
      <c r="K39" s="16" t="str">
        <f>IF('Conversion Tables'!H36="NA","NA",(G39*'Conversion Tables'!$C36)/'Conversion Tables'!H36)</f>
        <v>NA</v>
      </c>
      <c r="L39" s="16" t="str">
        <f>IF('Conversion Tables'!I36="NA","NA",(H39*'Conversion Tables'!$C36)/'Conversion Tables'!I36)</f>
        <v>NA</v>
      </c>
      <c r="M39" s="16" t="str">
        <f>IF('Conversion Tables'!K36="NA","NA",E39*'Conversion Tables'!K36)</f>
        <v>NA</v>
      </c>
      <c r="N39" s="16" t="str">
        <f>IF('Conversion Tables'!L36="NA","NA",F39*'Conversion Tables'!L36)</f>
        <v>NA</v>
      </c>
      <c r="O39" s="16" t="str">
        <f>IF('Conversion Tables'!M36="NA","NA",G39*'Conversion Tables'!M36)</f>
        <v>NA</v>
      </c>
      <c r="P39" s="16" t="str">
        <f>IF('Conversion Tables'!N36="NA","NA",H39*'Conversion Tables'!N36)</f>
        <v>NA</v>
      </c>
      <c r="Q39" s="27"/>
    </row>
    <row r="40" spans="1:17" x14ac:dyDescent="0.25">
      <c r="A40" s="1065"/>
      <c r="B40" s="17" t="s">
        <v>556</v>
      </c>
      <c r="C40" s="294">
        <f>C125</f>
        <v>2013.8310000000001</v>
      </c>
      <c r="D40" s="299">
        <f>E40*'Conversion Tables'!C37</f>
        <v>0</v>
      </c>
      <c r="E40" s="299">
        <f>C40*'Prac. Rec. Assumptions'!B34</f>
        <v>0</v>
      </c>
      <c r="F40" s="294">
        <f>($C40*(1+'Biomass Data Assumptions'!G$101)*(1+'Biomass Data Assumptions'!C$84))*'Prac. Rec. Assumptions'!$B34</f>
        <v>0</v>
      </c>
      <c r="G40" s="294">
        <f>($C40*(1+'Biomass Data Assumptions'!H$101)*(1+'Biomass Data Assumptions'!D$84))*'Prac. Rec. Assumptions'!$B34</f>
        <v>0</v>
      </c>
      <c r="H40" s="294">
        <f>($C40*(1+'Biomass Data Assumptions'!I$101)*(1+'Biomass Data Assumptions'!E$84))*'Prac. Rec. Assumptions'!$B34</f>
        <v>0</v>
      </c>
      <c r="I40" s="16" t="str">
        <f>IF('Conversion Tables'!F37="NA","NA",(E40*'Conversion Tables'!$C37)/'Conversion Tables'!F37)</f>
        <v>NA</v>
      </c>
      <c r="J40" s="16" t="str">
        <f>IF('Conversion Tables'!G37="NA","NA",(F40*'Conversion Tables'!$C37)/'Conversion Tables'!G37)</f>
        <v>NA</v>
      </c>
      <c r="K40" s="16" t="str">
        <f>IF('Conversion Tables'!H37="NA","NA",(G40*'Conversion Tables'!$C37)/'Conversion Tables'!H37)</f>
        <v>NA</v>
      </c>
      <c r="L40" s="16" t="str">
        <f>IF('Conversion Tables'!I37="NA","NA",(H40*'Conversion Tables'!$C37)/'Conversion Tables'!I37)</f>
        <v>NA</v>
      </c>
      <c r="M40" s="16" t="str">
        <f>IF('Conversion Tables'!K37="NA","NA",E40*'Conversion Tables'!K37)</f>
        <v>NA</v>
      </c>
      <c r="N40" s="16" t="str">
        <f>IF('Conversion Tables'!L37="NA","NA",F40*'Conversion Tables'!L37)</f>
        <v>NA</v>
      </c>
      <c r="O40" s="16" t="str">
        <f>IF('Conversion Tables'!M37="NA","NA",G40*'Conversion Tables'!M37)</f>
        <v>NA</v>
      </c>
      <c r="P40" s="16" t="str">
        <f>IF('Conversion Tables'!N37="NA","NA",H40*'Conversion Tables'!N37)</f>
        <v>NA</v>
      </c>
      <c r="Q40" s="27"/>
    </row>
    <row r="41" spans="1:17" x14ac:dyDescent="0.25">
      <c r="A41" s="1065"/>
      <c r="B41" s="17" t="s">
        <v>557</v>
      </c>
      <c r="C41" s="294">
        <f>C126</f>
        <v>4166.6040000000003</v>
      </c>
      <c r="D41" s="299">
        <f>E41*'Conversion Tables'!C38</f>
        <v>0</v>
      </c>
      <c r="E41" s="299">
        <f>C41*'Prac. Rec. Assumptions'!B35</f>
        <v>0</v>
      </c>
      <c r="F41" s="294">
        <f>($C41*(1+'Biomass Data Assumptions'!G$101)*(1+'Biomass Data Assumptions'!C$84))*'Prac. Rec. Assumptions'!$B35</f>
        <v>0</v>
      </c>
      <c r="G41" s="294">
        <f>($C41*(1+'Biomass Data Assumptions'!H$101)*(1+'Biomass Data Assumptions'!D$84))*'Prac. Rec. Assumptions'!$B35</f>
        <v>0</v>
      </c>
      <c r="H41" s="294">
        <f>($C41*(1+'Biomass Data Assumptions'!I$101)*(1+'Biomass Data Assumptions'!E$84))*'Prac. Rec. Assumptions'!$B35</f>
        <v>0</v>
      </c>
      <c r="I41" s="16" t="str">
        <f>IF('Conversion Tables'!F38="NA","NA",(E41*'Conversion Tables'!$C38)/'Conversion Tables'!F38)</f>
        <v>NA</v>
      </c>
      <c r="J41" s="16" t="str">
        <f>IF('Conversion Tables'!G38="NA","NA",(F41*'Conversion Tables'!$C38)/'Conversion Tables'!G38)</f>
        <v>NA</v>
      </c>
      <c r="K41" s="16" t="str">
        <f>IF('Conversion Tables'!H38="NA","NA",(G41*'Conversion Tables'!$C38)/'Conversion Tables'!H38)</f>
        <v>NA</v>
      </c>
      <c r="L41" s="16" t="str">
        <f>IF('Conversion Tables'!I38="NA","NA",(H41*'Conversion Tables'!$C38)/'Conversion Tables'!I38)</f>
        <v>NA</v>
      </c>
      <c r="M41" s="16" t="str">
        <f>IF('Conversion Tables'!K38="NA","NA",E41*'Conversion Tables'!K38)</f>
        <v>NA</v>
      </c>
      <c r="N41" s="16" t="str">
        <f>IF('Conversion Tables'!L38="NA","NA",F41*'Conversion Tables'!L38)</f>
        <v>NA</v>
      </c>
      <c r="O41" s="16" t="str">
        <f>IF('Conversion Tables'!M38="NA","NA",G41*'Conversion Tables'!M38)</f>
        <v>NA</v>
      </c>
      <c r="P41" s="16" t="str">
        <f>IF('Conversion Tables'!N38="NA","NA",H41*'Conversion Tables'!N38)</f>
        <v>NA</v>
      </c>
      <c r="Q41" s="27"/>
    </row>
    <row r="42" spans="1:17" x14ac:dyDescent="0.25">
      <c r="A42" s="1065"/>
      <c r="B42" s="17" t="s">
        <v>558</v>
      </c>
      <c r="C42" s="294">
        <f>C127</f>
        <v>1215.5219999999999</v>
      </c>
      <c r="D42" s="299">
        <f>E42*'Conversion Tables'!C39</f>
        <v>17651.810483999998</v>
      </c>
      <c r="E42" s="299">
        <f>C42*'Prac. Rec. Assumptions'!B36</f>
        <v>1215.5219999999999</v>
      </c>
      <c r="F42" s="294">
        <f>($C42*(1+'Biomass Data Assumptions'!G$101)*(1+'Biomass Data Assumptions'!C$84))*'Prac. Rec. Assumptions'!$B36</f>
        <v>1367.0321417764392</v>
      </c>
      <c r="G42" s="294">
        <f>($C42*(1+'Biomass Data Assumptions'!H$101)*(1+'Biomass Data Assumptions'!D$84))*'Prac. Rec. Assumptions'!$B36</f>
        <v>1560.8801688649971</v>
      </c>
      <c r="H42" s="294">
        <f>($C42*(1+'Biomass Data Assumptions'!I$101)*(1+'Biomass Data Assumptions'!E$84))*'Prac. Rec. Assumptions'!$B36</f>
        <v>1770.4530366394813</v>
      </c>
      <c r="I42" s="16" t="str">
        <f>IF('Conversion Tables'!F39="NA","NA",(E42*'Conversion Tables'!$C39)/'Conversion Tables'!F39)</f>
        <v>NA</v>
      </c>
      <c r="J42" s="16" t="str">
        <f>IF('Conversion Tables'!G39="NA","NA",(F42*'Conversion Tables'!$C39)/'Conversion Tables'!G39)</f>
        <v>NA</v>
      </c>
      <c r="K42" s="16" t="str">
        <f>IF('Conversion Tables'!H39="NA","NA",(G42*'Conversion Tables'!$C39)/'Conversion Tables'!H39)</f>
        <v>NA</v>
      </c>
      <c r="L42" s="16" t="str">
        <f>IF('Conversion Tables'!I39="NA","NA",(H42*'Conversion Tables'!$C39)/'Conversion Tables'!I39)</f>
        <v>NA</v>
      </c>
      <c r="M42" s="16" t="str">
        <f>IF('Conversion Tables'!K39="NA","NA",E42*'Conversion Tables'!K39)</f>
        <v>NA</v>
      </c>
      <c r="N42" s="16" t="str">
        <f>IF('Conversion Tables'!L39="NA","NA",F42*'Conversion Tables'!L39)</f>
        <v>NA</v>
      </c>
      <c r="O42" s="16" t="str">
        <f>IF('Conversion Tables'!M39="NA","NA",G42*'Conversion Tables'!M39)</f>
        <v>NA</v>
      </c>
      <c r="P42" s="16" t="str">
        <f>IF('Conversion Tables'!N39="NA","NA",H42*'Conversion Tables'!N39)</f>
        <v>NA</v>
      </c>
      <c r="Q42" s="27"/>
    </row>
    <row r="43" spans="1:17" x14ac:dyDescent="0.25">
      <c r="A43" s="1065"/>
      <c r="B43" s="9" t="s">
        <v>524</v>
      </c>
      <c r="C43" s="295">
        <f t="shared" ref="C43:P43" si="4">SUM(C31:C42)</f>
        <v>41991.369273200005</v>
      </c>
      <c r="D43" s="295">
        <f t="shared" si="4"/>
        <v>315402.85061409284</v>
      </c>
      <c r="E43" s="295">
        <f t="shared" si="4"/>
        <v>20262.375219280009</v>
      </c>
      <c r="F43" s="295">
        <f t="shared" si="4"/>
        <v>21290.304954731328</v>
      </c>
      <c r="G43" s="295">
        <f t="shared" si="4"/>
        <v>22733.93093376953</v>
      </c>
      <c r="H43" s="295">
        <f t="shared" si="4"/>
        <v>24139.599919720884</v>
      </c>
      <c r="I43" s="19">
        <f t="shared" si="4"/>
        <v>0</v>
      </c>
      <c r="J43" s="19">
        <f t="shared" si="4"/>
        <v>0</v>
      </c>
      <c r="K43" s="19">
        <f t="shared" si="4"/>
        <v>0</v>
      </c>
      <c r="L43" s="19">
        <f t="shared" si="4"/>
        <v>0</v>
      </c>
      <c r="M43" s="19">
        <f t="shared" si="4"/>
        <v>0</v>
      </c>
      <c r="N43" s="19">
        <f t="shared" si="4"/>
        <v>0</v>
      </c>
      <c r="O43" s="19">
        <f t="shared" si="4"/>
        <v>0</v>
      </c>
      <c r="P43" s="19">
        <f t="shared" si="4"/>
        <v>0</v>
      </c>
      <c r="Q43" s="19"/>
    </row>
    <row r="44" spans="1:17" x14ac:dyDescent="0.25">
      <c r="A44" s="8"/>
      <c r="C44" s="296"/>
      <c r="D44" s="296"/>
      <c r="E44" s="296"/>
      <c r="F44" s="296"/>
      <c r="G44" s="296"/>
      <c r="H44" s="296"/>
      <c r="I44" s="28"/>
      <c r="J44" s="28"/>
      <c r="K44" s="28"/>
      <c r="L44" s="28"/>
      <c r="M44" s="28"/>
      <c r="N44" s="28"/>
      <c r="O44" s="28"/>
      <c r="P44" s="28"/>
    </row>
    <row r="45" spans="1:17" x14ac:dyDescent="0.25">
      <c r="A45" s="1064" t="s">
        <v>515</v>
      </c>
      <c r="B45" s="2" t="s">
        <v>510</v>
      </c>
      <c r="C45" s="294"/>
      <c r="D45" s="294"/>
      <c r="E45" s="294"/>
      <c r="F45" s="294"/>
      <c r="G45" s="294"/>
      <c r="H45" s="294"/>
      <c r="I45" s="16"/>
      <c r="J45" s="16"/>
      <c r="K45" s="16"/>
      <c r="L45" s="16"/>
      <c r="M45" s="16"/>
      <c r="N45" s="16"/>
      <c r="O45" s="16"/>
      <c r="P45" s="16"/>
      <c r="Q45" s="7"/>
    </row>
    <row r="46" spans="1:17" x14ac:dyDescent="0.25">
      <c r="A46" s="1064"/>
      <c r="B46" s="12" t="s">
        <v>525</v>
      </c>
      <c r="C46" s="294">
        <f>D77</f>
        <v>4189.4399999999996</v>
      </c>
      <c r="D46" s="294">
        <f>E46*'Conversion Tables'!C41</f>
        <v>0</v>
      </c>
      <c r="E46" s="294">
        <f>C46*'Prac. Rec. Assumptions'!B38</f>
        <v>4189.4399999999996</v>
      </c>
      <c r="F46" s="294">
        <f>$E46</f>
        <v>4189.4399999999996</v>
      </c>
      <c r="G46" s="294">
        <f>$E46</f>
        <v>4189.4399999999996</v>
      </c>
      <c r="H46" s="294">
        <f>$E46</f>
        <v>4189.4399999999996</v>
      </c>
      <c r="I46" s="16" t="str">
        <f>IF('Conversion Tables'!F41="NA","NA",(E46*'Conversion Tables'!$C41)/'Conversion Tables'!F41)</f>
        <v>NA</v>
      </c>
      <c r="J46" s="16" t="str">
        <f>IF('Conversion Tables'!G41="NA","NA",(F46*'Conversion Tables'!$C41)/'Conversion Tables'!G41)</f>
        <v>NA</v>
      </c>
      <c r="K46" s="16" t="str">
        <f>IF('Conversion Tables'!H41="NA","NA",(G46*'Conversion Tables'!$C41)/'Conversion Tables'!H41)</f>
        <v>NA</v>
      </c>
      <c r="L46" s="16" t="str">
        <f>IF('Conversion Tables'!I41="NA","NA",(H46*'Conversion Tables'!$C41)/'Conversion Tables'!I41)</f>
        <v>NA</v>
      </c>
      <c r="M46" s="16" t="str">
        <f>IF('Conversion Tables'!K41="NA","NA",E46*'Conversion Tables'!K41)</f>
        <v>NA</v>
      </c>
      <c r="N46" s="16" t="str">
        <f>IF('Conversion Tables'!L41="NA","NA",F46*'Conversion Tables'!L41)</f>
        <v>NA</v>
      </c>
      <c r="O46" s="16" t="str">
        <f>IF('Conversion Tables'!M41="NA","NA",G46*'Conversion Tables'!M41)</f>
        <v>NA</v>
      </c>
      <c r="P46" s="16" t="str">
        <f>IF('Conversion Tables'!N41="NA","NA",H46*'Conversion Tables'!N41)</f>
        <v>NA</v>
      </c>
      <c r="Q46" s="15"/>
    </row>
    <row r="47" spans="1:17" x14ac:dyDescent="0.25">
      <c r="A47" s="1065"/>
      <c r="B47" s="2" t="s">
        <v>508</v>
      </c>
      <c r="C47" s="294">
        <f t="shared" ref="C47:C48" si="5">C148</f>
        <v>480.02526000000006</v>
      </c>
      <c r="D47" s="294"/>
      <c r="E47" s="294">
        <f>C47*'Prac. Rec. Assumptions'!B39</f>
        <v>240.01263000000003</v>
      </c>
      <c r="F47" s="294">
        <f>($C47*(1+'Biomass Data Assumptions'!G$101))*'Prac. Rec. Assumptions'!$B39</f>
        <v>246.85428432203392</v>
      </c>
      <c r="G47" s="294">
        <f>($C47*(1+'Biomass Data Assumptions'!H$101))*'Prac. Rec. Assumptions'!$B39</f>
        <v>257.76394932203391</v>
      </c>
      <c r="H47" s="294">
        <f>($C47*(1+'Biomass Data Assumptions'!I$101))*'Prac. Rec. Assumptions'!$B39</f>
        <v>267.37924728813562</v>
      </c>
      <c r="I47" s="16" t="str">
        <f>IF('Conversion Tables'!F42="NA","NA",(E47*'Conversion Tables'!$C42)/'Conversion Tables'!F42)</f>
        <v>NA</v>
      </c>
      <c r="J47" s="16" t="str">
        <f>IF('Conversion Tables'!G42="NA","NA",(F47*'Conversion Tables'!$C42)/'Conversion Tables'!G42)</f>
        <v>NA</v>
      </c>
      <c r="K47" s="16" t="str">
        <f>IF('Conversion Tables'!H42="NA","NA",(G47*'Conversion Tables'!$C42)/'Conversion Tables'!H42)</f>
        <v>NA</v>
      </c>
      <c r="L47" s="16" t="str">
        <f>IF('Conversion Tables'!I42="NA","NA",(H47*'Conversion Tables'!$C42)/'Conversion Tables'!I42)</f>
        <v>NA</v>
      </c>
      <c r="M47" s="16" t="str">
        <f>IF('Conversion Tables'!K42="NA","NA",E47*'Conversion Tables'!K42)</f>
        <v>NA</v>
      </c>
      <c r="N47" s="16" t="str">
        <f>IF('Conversion Tables'!L42="NA","NA",F47*'Conversion Tables'!L42)</f>
        <v>NA</v>
      </c>
      <c r="O47" s="16" t="str">
        <f>IF('Conversion Tables'!M42="NA","NA",G47*'Conversion Tables'!M42)</f>
        <v>NA</v>
      </c>
      <c r="P47" s="16" t="str">
        <f>IF('Conversion Tables'!N42="NA","NA",H47*'Conversion Tables'!N42)</f>
        <v>NA</v>
      </c>
      <c r="Q47" s="7"/>
    </row>
    <row r="48" spans="1:17" x14ac:dyDescent="0.25">
      <c r="A48" s="1065"/>
      <c r="B48" s="1" t="s">
        <v>509</v>
      </c>
      <c r="C48" s="294">
        <f t="shared" si="5"/>
        <v>42.900653250000005</v>
      </c>
      <c r="D48" s="294"/>
      <c r="E48" s="294">
        <f>C48*'Prac. Rec. Assumptions'!B40</f>
        <v>42.900653250000005</v>
      </c>
      <c r="F48" s="294">
        <f>($C48*(1+'Biomass Data Assumptions'!G$101))*'Prac. Rec. Assumptions'!$B40</f>
        <v>44.12355322708013</v>
      </c>
      <c r="G48" s="294">
        <f>($C48*(1+'Biomass Data Assumptions'!H$101))*'Prac. Rec. Assumptions'!$B40</f>
        <v>46.073582920261948</v>
      </c>
      <c r="H48" s="294">
        <f>($C48*(1+'Biomass Data Assumptions'!I$101))*'Prac. Rec. Assumptions'!$B40</f>
        <v>47.792253158320499</v>
      </c>
      <c r="I48" s="16" t="str">
        <f>IF('Conversion Tables'!F43="NA","NA",(E48*'Conversion Tables'!$C43)/'Conversion Tables'!F43)</f>
        <v>NA</v>
      </c>
      <c r="J48" s="16" t="str">
        <f>IF('Conversion Tables'!G43="NA","NA",(F48*'Conversion Tables'!$C43)/'Conversion Tables'!G43)</f>
        <v>NA</v>
      </c>
      <c r="K48" s="16" t="str">
        <f>IF('Conversion Tables'!H43="NA","NA",(G48*'Conversion Tables'!$C43)/'Conversion Tables'!H43)</f>
        <v>NA</v>
      </c>
      <c r="L48" s="16" t="str">
        <f>IF('Conversion Tables'!I43="NA","NA",(H48*'Conversion Tables'!$C43)/'Conversion Tables'!I43)</f>
        <v>NA</v>
      </c>
      <c r="M48" s="16" t="str">
        <f>IF('Conversion Tables'!K43="NA","NA",E48*'Conversion Tables'!K43)</f>
        <v>NA</v>
      </c>
      <c r="N48" s="16" t="str">
        <f>IF('Conversion Tables'!L43="NA","NA",F48*'Conversion Tables'!L43)</f>
        <v>NA</v>
      </c>
      <c r="O48" s="16" t="str">
        <f>IF('Conversion Tables'!M43="NA","NA",G48*'Conversion Tables'!M43)</f>
        <v>NA</v>
      </c>
      <c r="P48" s="16" t="str">
        <f>IF('Conversion Tables'!N43="NA","NA",H48*'Conversion Tables'!N43)</f>
        <v>NA</v>
      </c>
      <c r="Q48" s="7"/>
    </row>
    <row r="49" spans="1:17" x14ac:dyDescent="0.25">
      <c r="A49" s="1065"/>
      <c r="B49" s="9" t="s">
        <v>524</v>
      </c>
      <c r="C49" s="295">
        <f t="shared" ref="C49:P49" si="6">SUM(C45:C48)</f>
        <v>4712.3659132499997</v>
      </c>
      <c r="D49" s="295">
        <f>SUM(D45:D48)</f>
        <v>0</v>
      </c>
      <c r="E49" s="295">
        <f t="shared" si="6"/>
        <v>4472.3532832499995</v>
      </c>
      <c r="F49" s="295">
        <f>SUM(F45:F48)</f>
        <v>4480.4178375491138</v>
      </c>
      <c r="G49" s="295">
        <f>SUM(G45:G48)</f>
        <v>4493.2775322422958</v>
      </c>
      <c r="H49" s="295">
        <f>SUM(H45:H48)</f>
        <v>4504.6115004464564</v>
      </c>
      <c r="I49" s="19">
        <f t="shared" si="6"/>
        <v>0</v>
      </c>
      <c r="J49" s="19">
        <f t="shared" si="6"/>
        <v>0</v>
      </c>
      <c r="K49" s="19">
        <f t="shared" si="6"/>
        <v>0</v>
      </c>
      <c r="L49" s="19">
        <f t="shared" si="6"/>
        <v>0</v>
      </c>
      <c r="M49" s="19">
        <f t="shared" si="6"/>
        <v>0</v>
      </c>
      <c r="N49" s="19">
        <f t="shared" si="6"/>
        <v>0</v>
      </c>
      <c r="O49" s="19">
        <f t="shared" si="6"/>
        <v>0</v>
      </c>
      <c r="P49" s="19">
        <f t="shared" si="6"/>
        <v>0</v>
      </c>
      <c r="Q49" s="19"/>
    </row>
    <row r="50" spans="1:17" x14ac:dyDescent="0.25">
      <c r="A50" s="8"/>
      <c r="C50" s="296"/>
      <c r="D50" s="296"/>
      <c r="E50" s="296"/>
      <c r="F50" s="296"/>
      <c r="G50" s="296"/>
      <c r="H50" s="296"/>
      <c r="I50" s="28"/>
      <c r="J50" s="28"/>
      <c r="K50" s="28"/>
      <c r="L50" s="28"/>
      <c r="M50" s="28"/>
      <c r="N50" s="28"/>
      <c r="O50" s="28"/>
      <c r="P50" s="28"/>
    </row>
    <row r="51" spans="1:17" x14ac:dyDescent="0.25">
      <c r="A51" s="1200" t="s">
        <v>517</v>
      </c>
      <c r="B51" s="2" t="s">
        <v>505</v>
      </c>
      <c r="C51" s="294"/>
      <c r="D51" s="294"/>
      <c r="E51" s="294"/>
      <c r="F51" s="294"/>
      <c r="G51" s="294"/>
      <c r="H51" s="294"/>
      <c r="I51" s="16"/>
      <c r="J51" s="16"/>
      <c r="K51" s="16"/>
      <c r="L51" s="16"/>
      <c r="M51" s="16"/>
      <c r="N51" s="16"/>
      <c r="O51" s="16"/>
      <c r="P51" s="16"/>
      <c r="Q51" s="7"/>
    </row>
    <row r="52" spans="1:17" x14ac:dyDescent="0.25">
      <c r="A52" s="1201"/>
      <c r="B52" s="12" t="s">
        <v>535</v>
      </c>
      <c r="C52" s="294">
        <f>G97</f>
        <v>4248.6000000000004</v>
      </c>
      <c r="D52" s="299">
        <f>E52*'Conversion Tables'!C45</f>
        <v>12545.266080000001</v>
      </c>
      <c r="E52" s="299">
        <f>C52*'Prac. Rec. Assumptions'!B42</f>
        <v>849.72000000000014</v>
      </c>
      <c r="F52" s="294">
        <f t="shared" ref="F52:H59" si="7">$E52</f>
        <v>849.72000000000014</v>
      </c>
      <c r="G52" s="294">
        <f t="shared" si="7"/>
        <v>849.72000000000014</v>
      </c>
      <c r="H52" s="294">
        <f t="shared" si="7"/>
        <v>849.72000000000014</v>
      </c>
      <c r="I52" s="16" t="str">
        <f>IF('Conversion Tables'!F45="NA","NA",(E52*'Conversion Tables'!$C45)/'Conversion Tables'!F45)</f>
        <v>NA</v>
      </c>
      <c r="J52" s="16" t="str">
        <f>IF('Conversion Tables'!G45="NA","NA",(F52*'Conversion Tables'!$C45)/'Conversion Tables'!G45)</f>
        <v>NA</v>
      </c>
      <c r="K52" s="16" t="str">
        <f>IF('Conversion Tables'!H45="NA","NA",(G52*'Conversion Tables'!$C45)/'Conversion Tables'!H45)</f>
        <v>NA</v>
      </c>
      <c r="L52" s="16" t="str">
        <f>IF('Conversion Tables'!I45="NA","NA",(H52*'Conversion Tables'!$C45)/'Conversion Tables'!I45)</f>
        <v>NA</v>
      </c>
      <c r="M52" s="16" t="str">
        <f>IF('Conversion Tables'!K45="NA","NA",E52*'Conversion Tables'!K45)</f>
        <v>NA</v>
      </c>
      <c r="N52" s="16" t="str">
        <f>IF('Conversion Tables'!L45="NA","NA",F52*'Conversion Tables'!L45)</f>
        <v>NA</v>
      </c>
      <c r="O52" s="16" t="str">
        <f>IF('Conversion Tables'!M45="NA","NA",G52*'Conversion Tables'!M45)</f>
        <v>NA</v>
      </c>
      <c r="P52" s="16" t="str">
        <f>IF('Conversion Tables'!N45="NA","NA",H52*'Conversion Tables'!N45)</f>
        <v>NA</v>
      </c>
      <c r="Q52" s="27"/>
    </row>
    <row r="53" spans="1:17" x14ac:dyDescent="0.25">
      <c r="A53" s="1201"/>
      <c r="B53" s="12" t="s">
        <v>539</v>
      </c>
      <c r="C53" s="294">
        <f>G104</f>
        <v>3461.658175</v>
      </c>
      <c r="D53" s="299">
        <f>E53*'Conversion Tables'!C46</f>
        <v>30664.752777419999</v>
      </c>
      <c r="E53" s="299">
        <f>C53*'Prac. Rec. Assumptions'!B43</f>
        <v>2076.994905</v>
      </c>
      <c r="F53" s="294">
        <f t="shared" si="7"/>
        <v>2076.994905</v>
      </c>
      <c r="G53" s="294">
        <f t="shared" si="7"/>
        <v>2076.994905</v>
      </c>
      <c r="H53" s="294">
        <f t="shared" si="7"/>
        <v>2076.994905</v>
      </c>
      <c r="I53" s="16" t="str">
        <f>IF('Conversion Tables'!F46="NA","NA",(E53*'Conversion Tables'!$C46)/'Conversion Tables'!F46)</f>
        <v>NA</v>
      </c>
      <c r="J53" s="16" t="str">
        <f>IF('Conversion Tables'!G46="NA","NA",(F53*'Conversion Tables'!$C46)/'Conversion Tables'!G46)</f>
        <v>NA</v>
      </c>
      <c r="K53" s="16" t="str">
        <f>IF('Conversion Tables'!H46="NA","NA",(G53*'Conversion Tables'!$C46)/'Conversion Tables'!H46)</f>
        <v>NA</v>
      </c>
      <c r="L53" s="16" t="str">
        <f>IF('Conversion Tables'!I46="NA","NA",(H53*'Conversion Tables'!$C46)/'Conversion Tables'!I46)</f>
        <v>NA</v>
      </c>
      <c r="M53" s="16" t="str">
        <f>IF('Conversion Tables'!K46="NA","NA",E53*'Conversion Tables'!K46)</f>
        <v>NA</v>
      </c>
      <c r="N53" s="16" t="str">
        <f>IF('Conversion Tables'!L46="NA","NA",F53*'Conversion Tables'!L46)</f>
        <v>NA</v>
      </c>
      <c r="O53" s="16" t="str">
        <f>IF('Conversion Tables'!M46="NA","NA",G53*'Conversion Tables'!M46)</f>
        <v>NA</v>
      </c>
      <c r="P53" s="16" t="str">
        <f>IF('Conversion Tables'!N46="NA","NA",H53*'Conversion Tables'!N46)</f>
        <v>NA</v>
      </c>
      <c r="Q53" s="27"/>
    </row>
    <row r="54" spans="1:17" x14ac:dyDescent="0.25">
      <c r="A54" s="1201"/>
      <c r="B54" s="12" t="s">
        <v>545</v>
      </c>
      <c r="C54" s="294">
        <f>G106</f>
        <v>15609.255112500001</v>
      </c>
      <c r="D54" s="299">
        <f>E54*'Conversion Tables'!C47</f>
        <v>138273.02548857001</v>
      </c>
      <c r="E54" s="299">
        <f>C54*'Prac. Rec. Assumptions'!B44</f>
        <v>9365.5530675000009</v>
      </c>
      <c r="F54" s="294">
        <f t="shared" si="7"/>
        <v>9365.5530675000009</v>
      </c>
      <c r="G54" s="294">
        <f t="shared" si="7"/>
        <v>9365.5530675000009</v>
      </c>
      <c r="H54" s="294">
        <f t="shared" si="7"/>
        <v>9365.5530675000009</v>
      </c>
      <c r="I54" s="16" t="str">
        <f>IF('Conversion Tables'!F47="NA","NA",(E54*'Conversion Tables'!$C47)/'Conversion Tables'!F47)</f>
        <v>NA</v>
      </c>
      <c r="J54" s="16" t="str">
        <f>IF('Conversion Tables'!G47="NA","NA",(F54*'Conversion Tables'!$C47)/'Conversion Tables'!G47)</f>
        <v>NA</v>
      </c>
      <c r="K54" s="16" t="str">
        <f>IF('Conversion Tables'!H47="NA","NA",(G54*'Conversion Tables'!$C47)/'Conversion Tables'!H47)</f>
        <v>NA</v>
      </c>
      <c r="L54" s="16" t="str">
        <f>IF('Conversion Tables'!I47="NA","NA",(H54*'Conversion Tables'!$C47)/'Conversion Tables'!I47)</f>
        <v>NA</v>
      </c>
      <c r="M54" s="16" t="str">
        <f>IF('Conversion Tables'!K47="NA","NA",E54*'Conversion Tables'!K47)</f>
        <v>NA</v>
      </c>
      <c r="N54" s="16" t="str">
        <f>IF('Conversion Tables'!L47="NA","NA",F54*'Conversion Tables'!L47)</f>
        <v>NA</v>
      </c>
      <c r="O54" s="16" t="str">
        <f>IF('Conversion Tables'!M47="NA","NA",G54*'Conversion Tables'!M47)</f>
        <v>NA</v>
      </c>
      <c r="P54" s="16" t="str">
        <f>IF('Conversion Tables'!N47="NA","NA",H54*'Conversion Tables'!N47)</f>
        <v>NA</v>
      </c>
      <c r="Q54" s="27"/>
    </row>
    <row r="55" spans="1:17" x14ac:dyDescent="0.25">
      <c r="A55" s="1201"/>
      <c r="B55" s="12" t="s">
        <v>546</v>
      </c>
      <c r="C55" s="294">
        <f>G108</f>
        <v>716.73225000000002</v>
      </c>
      <c r="D55" s="299">
        <f>E55*'Conversion Tables'!C48</f>
        <v>2116.3669878000001</v>
      </c>
      <c r="E55" s="299">
        <f>C55*'Prac. Rec. Assumptions'!B45</f>
        <v>143.34645</v>
      </c>
      <c r="F55" s="294">
        <f t="shared" si="7"/>
        <v>143.34645</v>
      </c>
      <c r="G55" s="294">
        <f t="shared" si="7"/>
        <v>143.34645</v>
      </c>
      <c r="H55" s="294">
        <f t="shared" si="7"/>
        <v>143.34645</v>
      </c>
      <c r="I55" s="16" t="str">
        <f>IF('Conversion Tables'!F48="NA","NA",(E55*'Conversion Tables'!$C48)/'Conversion Tables'!F48)</f>
        <v>NA</v>
      </c>
      <c r="J55" s="16" t="str">
        <f>IF('Conversion Tables'!G48="NA","NA",(F55*'Conversion Tables'!$C48)/'Conversion Tables'!G48)</f>
        <v>NA</v>
      </c>
      <c r="K55" s="16" t="str">
        <f>IF('Conversion Tables'!H48="NA","NA",(G55*'Conversion Tables'!$C48)/'Conversion Tables'!H48)</f>
        <v>NA</v>
      </c>
      <c r="L55" s="16" t="str">
        <f>IF('Conversion Tables'!I48="NA","NA",(H55*'Conversion Tables'!$C48)/'Conversion Tables'!I48)</f>
        <v>NA</v>
      </c>
      <c r="M55" s="16" t="str">
        <f>IF('Conversion Tables'!K48="NA","NA",E55*'Conversion Tables'!K48)</f>
        <v>NA</v>
      </c>
      <c r="N55" s="16" t="str">
        <f>IF('Conversion Tables'!L48="NA","NA",F55*'Conversion Tables'!L48)</f>
        <v>NA</v>
      </c>
      <c r="O55" s="16" t="str">
        <f>IF('Conversion Tables'!M48="NA","NA",G55*'Conversion Tables'!M48)</f>
        <v>NA</v>
      </c>
      <c r="P55" s="16" t="str">
        <f>IF('Conversion Tables'!N48="NA","NA",H55*'Conversion Tables'!N48)</f>
        <v>NA</v>
      </c>
      <c r="Q55" s="27"/>
    </row>
    <row r="56" spans="1:17" x14ac:dyDescent="0.25">
      <c r="A56" s="1201"/>
      <c r="B56" s="12" t="s">
        <v>547</v>
      </c>
      <c r="C56" s="294">
        <f>G110</f>
        <v>386.13350000000003</v>
      </c>
      <c r="D56" s="299">
        <f>E56*'Conversion Tables'!C49</f>
        <v>1140.1749988000001</v>
      </c>
      <c r="E56" s="299">
        <f>C56*'Prac. Rec. Assumptions'!B46</f>
        <v>77.226700000000008</v>
      </c>
      <c r="F56" s="294">
        <f t="shared" si="7"/>
        <v>77.226700000000008</v>
      </c>
      <c r="G56" s="294">
        <f t="shared" si="7"/>
        <v>77.226700000000008</v>
      </c>
      <c r="H56" s="294">
        <f t="shared" si="7"/>
        <v>77.226700000000008</v>
      </c>
      <c r="I56" s="16" t="str">
        <f>IF('Conversion Tables'!F49="NA","NA",(E56*'Conversion Tables'!$C49)/'Conversion Tables'!F49)</f>
        <v>NA</v>
      </c>
      <c r="J56" s="16" t="str">
        <f>IF('Conversion Tables'!G49="NA","NA",(F56*'Conversion Tables'!$C49)/'Conversion Tables'!G49)</f>
        <v>NA</v>
      </c>
      <c r="K56" s="16" t="str">
        <f>IF('Conversion Tables'!H49="NA","NA",(G56*'Conversion Tables'!$C49)/'Conversion Tables'!H49)</f>
        <v>NA</v>
      </c>
      <c r="L56" s="16" t="str">
        <f>IF('Conversion Tables'!I49="NA","NA",(H56*'Conversion Tables'!$C49)/'Conversion Tables'!I49)</f>
        <v>NA</v>
      </c>
      <c r="M56" s="16" t="str">
        <f>IF('Conversion Tables'!K49="NA","NA",E56*'Conversion Tables'!K49)</f>
        <v>NA</v>
      </c>
      <c r="N56" s="16" t="str">
        <f>IF('Conversion Tables'!L49="NA","NA",F56*'Conversion Tables'!L49)</f>
        <v>NA</v>
      </c>
      <c r="O56" s="16" t="str">
        <f>IF('Conversion Tables'!M49="NA","NA",G56*'Conversion Tables'!M49)</f>
        <v>NA</v>
      </c>
      <c r="P56" s="16" t="str">
        <f>IF('Conversion Tables'!N49="NA","NA",H56*'Conversion Tables'!N49)</f>
        <v>NA</v>
      </c>
      <c r="Q56" s="27"/>
    </row>
    <row r="57" spans="1:17" x14ac:dyDescent="0.25">
      <c r="A57" s="1201"/>
      <c r="B57" s="133" t="s">
        <v>605</v>
      </c>
      <c r="C57" s="294">
        <f>G115</f>
        <v>121.8005</v>
      </c>
      <c r="D57" s="299">
        <f>E57*'Conversion Tables'!C50</f>
        <v>899.13129099999992</v>
      </c>
      <c r="E57" s="299">
        <f>C57*'Prac. Rec. Assumptions'!B47</f>
        <v>60.90025</v>
      </c>
      <c r="F57" s="294">
        <f t="shared" si="7"/>
        <v>60.90025</v>
      </c>
      <c r="G57" s="294">
        <f t="shared" si="7"/>
        <v>60.90025</v>
      </c>
      <c r="H57" s="294">
        <f t="shared" si="7"/>
        <v>60.90025</v>
      </c>
      <c r="I57" s="16" t="str">
        <f>IF('Conversion Tables'!F50="NA","NA",(E57*'Conversion Tables'!$C50)/'Conversion Tables'!F50)</f>
        <v>NA</v>
      </c>
      <c r="J57" s="16" t="str">
        <f>IF('Conversion Tables'!G50="NA","NA",(F57*'Conversion Tables'!$C50)/'Conversion Tables'!G50)</f>
        <v>NA</v>
      </c>
      <c r="K57" s="16" t="str">
        <f>IF('Conversion Tables'!H50="NA","NA",(G57*'Conversion Tables'!$C50)/'Conversion Tables'!H50)</f>
        <v>NA</v>
      </c>
      <c r="L57" s="16" t="str">
        <f>IF('Conversion Tables'!I50="NA","NA",(H57*'Conversion Tables'!$C50)/'Conversion Tables'!I50)</f>
        <v>NA</v>
      </c>
      <c r="M57" s="16" t="str">
        <f>IF('Conversion Tables'!K50="NA","NA",E57*'Conversion Tables'!K50)</f>
        <v>NA</v>
      </c>
      <c r="N57" s="16" t="str">
        <f>IF('Conversion Tables'!L50="NA","NA",F57*'Conversion Tables'!L50)</f>
        <v>NA</v>
      </c>
      <c r="O57" s="16" t="str">
        <f>IF('Conversion Tables'!M50="NA","NA",G57*'Conversion Tables'!M50)</f>
        <v>NA</v>
      </c>
      <c r="P57" s="16" t="str">
        <f>IF('Conversion Tables'!N50="NA","NA",H57*'Conversion Tables'!N50)</f>
        <v>NA</v>
      </c>
      <c r="Q57" s="27"/>
    </row>
    <row r="58" spans="1:17" x14ac:dyDescent="0.25">
      <c r="A58" s="1201"/>
      <c r="B58" s="12" t="s">
        <v>551</v>
      </c>
      <c r="C58" s="294">
        <f>G117</f>
        <v>151.24687499999999</v>
      </c>
      <c r="D58" s="299">
        <f>E58*'Conversion Tables'!C51</f>
        <v>1814.9624999999999</v>
      </c>
      <c r="E58" s="299">
        <f>C58*'Prac. Rec. Assumptions'!B48</f>
        <v>151.24687499999999</v>
      </c>
      <c r="F58" s="294">
        <f t="shared" si="7"/>
        <v>151.24687499999999</v>
      </c>
      <c r="G58" s="294">
        <f t="shared" si="7"/>
        <v>151.24687499999999</v>
      </c>
      <c r="H58" s="294">
        <f t="shared" si="7"/>
        <v>151.24687499999999</v>
      </c>
      <c r="I58" s="16" t="str">
        <f>IF('Conversion Tables'!F51="NA","NA",(E58*'Conversion Tables'!$C51)/'Conversion Tables'!F51)</f>
        <v>NA</v>
      </c>
      <c r="J58" s="16" t="str">
        <f>IF('Conversion Tables'!G51="NA","NA",(F58*'Conversion Tables'!$C51)/'Conversion Tables'!G51)</f>
        <v>NA</v>
      </c>
      <c r="K58" s="16" t="str">
        <f>IF('Conversion Tables'!H51="NA","NA",(G58*'Conversion Tables'!$C51)/'Conversion Tables'!H51)</f>
        <v>NA</v>
      </c>
      <c r="L58" s="16" t="str">
        <f>IF('Conversion Tables'!I51="NA","NA",(H58*'Conversion Tables'!$C51)/'Conversion Tables'!I51)</f>
        <v>NA</v>
      </c>
      <c r="M58" s="16" t="str">
        <f>IF('Conversion Tables'!K51="NA","NA",E58*'Conversion Tables'!K51)</f>
        <v>NA</v>
      </c>
      <c r="N58" s="16" t="str">
        <f>IF('Conversion Tables'!L51="NA","NA",F58*'Conversion Tables'!L51)</f>
        <v>NA</v>
      </c>
      <c r="O58" s="16" t="str">
        <f>IF('Conversion Tables'!M51="NA","NA",G58*'Conversion Tables'!M51)</f>
        <v>NA</v>
      </c>
      <c r="P58" s="16" t="str">
        <f>IF('Conversion Tables'!N51="NA","NA",H58*'Conversion Tables'!N51)</f>
        <v>NA</v>
      </c>
      <c r="Q58" s="27"/>
    </row>
    <row r="59" spans="1:17" x14ac:dyDescent="0.25">
      <c r="A59" s="1201"/>
      <c r="B59" s="12" t="s">
        <v>552</v>
      </c>
      <c r="C59" s="294">
        <f>G119</f>
        <v>37.163843749999998</v>
      </c>
      <c r="D59" s="299">
        <f>E59*'Conversion Tables'!C52</f>
        <v>548.68698912499997</v>
      </c>
      <c r="E59" s="299">
        <f>C59*'Prac. Rec. Assumptions'!B49</f>
        <v>37.163843749999998</v>
      </c>
      <c r="F59" s="294">
        <f t="shared" si="7"/>
        <v>37.163843749999998</v>
      </c>
      <c r="G59" s="294">
        <f t="shared" si="7"/>
        <v>37.163843749999998</v>
      </c>
      <c r="H59" s="294">
        <f t="shared" si="7"/>
        <v>37.163843749999998</v>
      </c>
      <c r="I59" s="16" t="str">
        <f>IF('Conversion Tables'!F52="NA","NA",(E59*'Conversion Tables'!$C52)/'Conversion Tables'!F52)</f>
        <v>NA</v>
      </c>
      <c r="J59" s="16" t="str">
        <f>IF('Conversion Tables'!G52="NA","NA",(F59*'Conversion Tables'!$C52)/'Conversion Tables'!G52)</f>
        <v>NA</v>
      </c>
      <c r="K59" s="16" t="str">
        <f>IF('Conversion Tables'!H52="NA","NA",(G59*'Conversion Tables'!$C52)/'Conversion Tables'!H52)</f>
        <v>NA</v>
      </c>
      <c r="L59" s="16" t="str">
        <f>IF('Conversion Tables'!I52="NA","NA",(H59*'Conversion Tables'!$C52)/'Conversion Tables'!I52)</f>
        <v>NA</v>
      </c>
      <c r="M59" s="16" t="str">
        <f>IF('Conversion Tables'!K52="NA","NA",E59*'Conversion Tables'!K52)</f>
        <v>NA</v>
      </c>
      <c r="N59" s="16" t="str">
        <f>IF('Conversion Tables'!L52="NA","NA",F59*'Conversion Tables'!L52)</f>
        <v>NA</v>
      </c>
      <c r="O59" s="16" t="str">
        <f>IF('Conversion Tables'!M52="NA","NA",G59*'Conversion Tables'!M52)</f>
        <v>NA</v>
      </c>
      <c r="P59" s="16" t="str">
        <f>IF('Conversion Tables'!N52="NA","NA",H59*'Conversion Tables'!N52)</f>
        <v>NA</v>
      </c>
      <c r="Q59" s="27"/>
    </row>
    <row r="60" spans="1:17" x14ac:dyDescent="0.25">
      <c r="A60" s="1202"/>
      <c r="B60" s="129" t="s">
        <v>305</v>
      </c>
      <c r="C60" s="294">
        <f>'Biomass Data Assumptions'!AE16</f>
        <v>1808.0088619999999</v>
      </c>
      <c r="D60" s="299">
        <f>E60*'Conversion Tables'!C53</f>
        <v>21696.106344</v>
      </c>
      <c r="E60" s="299">
        <f>C60*'Prac. Rec. Assumptions'!B50</f>
        <v>1808.0088619999999</v>
      </c>
      <c r="F60" s="294">
        <f>($C60*(1+'Biomass Data Assumptions'!G$101*(4/5)))*'Prac. Rec. Assumptions'!$B50</f>
        <v>1849.2392643999999</v>
      </c>
      <c r="G60" s="294">
        <f>($C60*(1+'Biomass Data Assumptions'!H$101*(9/10)))*'Prac. Rec. Assumptions'!$B50</f>
        <v>1928.3570636000002</v>
      </c>
      <c r="H60" s="294">
        <f>($C60*(1+'Biomass Data Assumptions'!I$101*(14/15)))*'Prac. Rec. Assumptions'!$B50</f>
        <v>2000.4174065333332</v>
      </c>
      <c r="I60" s="16" t="str">
        <f>IF('Conversion Tables'!F53="NA","NA",(E60*'Conversion Tables'!$C53)/'Conversion Tables'!F53)</f>
        <v>NA</v>
      </c>
      <c r="J60" s="16" t="str">
        <f>IF('Conversion Tables'!G53="NA","NA",(F60*'Conversion Tables'!$C53)/'Conversion Tables'!G53)</f>
        <v>NA</v>
      </c>
      <c r="K60" s="16" t="str">
        <f>IF('Conversion Tables'!H53="NA","NA",(G60*'Conversion Tables'!$C53)/'Conversion Tables'!H53)</f>
        <v>NA</v>
      </c>
      <c r="L60" s="16" t="str">
        <f>IF('Conversion Tables'!I53="NA","NA",(H60*'Conversion Tables'!$C53)/'Conversion Tables'!I53)</f>
        <v>NA</v>
      </c>
      <c r="M60" s="16" t="str">
        <f>IF('Conversion Tables'!K53="NA","NA",E60*'Conversion Tables'!K53)</f>
        <v>NA</v>
      </c>
      <c r="N60" s="16" t="str">
        <f>IF('Conversion Tables'!L53="NA","NA",F60*'Conversion Tables'!L53)</f>
        <v>NA</v>
      </c>
      <c r="O60" s="16" t="str">
        <f>IF('Conversion Tables'!M53="NA","NA",G60*'Conversion Tables'!M53)</f>
        <v>NA</v>
      </c>
      <c r="P60" s="16" t="str">
        <f>IF('Conversion Tables'!N53="NA","NA",H60*'Conversion Tables'!N53)</f>
        <v>NA</v>
      </c>
      <c r="Q60" s="7"/>
    </row>
    <row r="61" spans="1:17" x14ac:dyDescent="0.25">
      <c r="A61" s="1202"/>
      <c r="B61" s="9" t="s">
        <v>257</v>
      </c>
      <c r="C61" s="295">
        <f>SUM(C52:C60)</f>
        <v>26540.599118250004</v>
      </c>
      <c r="D61" s="295">
        <f>SUM(D52:D60)</f>
        <v>209698.473456715</v>
      </c>
      <c r="E61" s="295">
        <f t="shared" ref="E61:P61" si="8">SUM(E52:E60)</f>
        <v>14570.160953250004</v>
      </c>
      <c r="F61" s="295">
        <f>SUM(F52:F60)</f>
        <v>14611.391355650003</v>
      </c>
      <c r="G61" s="295">
        <f>SUM(G52:G60)</f>
        <v>14690.509154850004</v>
      </c>
      <c r="H61" s="295">
        <f>SUM(H52:H60)</f>
        <v>14762.569497783337</v>
      </c>
      <c r="I61" s="19">
        <f t="shared" si="8"/>
        <v>0</v>
      </c>
      <c r="J61" s="19">
        <f t="shared" si="8"/>
        <v>0</v>
      </c>
      <c r="K61" s="19">
        <f t="shared" si="8"/>
        <v>0</v>
      </c>
      <c r="L61" s="19">
        <f t="shared" si="8"/>
        <v>0</v>
      </c>
      <c r="M61" s="19">
        <f t="shared" si="8"/>
        <v>0</v>
      </c>
      <c r="N61" s="19">
        <f t="shared" si="8"/>
        <v>0</v>
      </c>
      <c r="O61" s="19">
        <f t="shared" si="8"/>
        <v>0</v>
      </c>
      <c r="P61" s="19">
        <f t="shared" si="8"/>
        <v>0</v>
      </c>
      <c r="Q61" s="7"/>
    </row>
    <row r="62" spans="1:17" x14ac:dyDescent="0.25">
      <c r="A62" s="1202"/>
      <c r="B62" s="7" t="s">
        <v>256</v>
      </c>
      <c r="C62" s="298" t="s">
        <v>251</v>
      </c>
      <c r="D62" s="13"/>
      <c r="E62" s="298" t="s">
        <v>251</v>
      </c>
      <c r="F62" s="298"/>
      <c r="G62" s="298"/>
      <c r="H62" s="298"/>
      <c r="I62" s="7"/>
      <c r="J62" s="7"/>
      <c r="K62" s="7"/>
      <c r="L62" s="7"/>
      <c r="M62" s="7"/>
      <c r="N62" s="7"/>
      <c r="O62" s="7"/>
      <c r="P62" s="7"/>
      <c r="Q62" s="7"/>
    </row>
    <row r="63" spans="1:17" x14ac:dyDescent="0.25">
      <c r="A63" s="1203"/>
      <c r="B63" s="133" t="s">
        <v>304</v>
      </c>
      <c r="C63" s="294">
        <f>'Biomass Data Assumptions'!AB16</f>
        <v>10.736566250000001</v>
      </c>
      <c r="D63" s="300">
        <f>E63*'Conversion Tables'!C55</f>
        <v>6645.9345087500005</v>
      </c>
      <c r="E63" s="299">
        <f>C63*'Prac. Rec. Assumptions'!B51</f>
        <v>10.736566250000001</v>
      </c>
      <c r="F63" s="294">
        <f>($C63*(1+'Biomass Data Assumptions'!G$101*(4/5)))*'Prac. Rec. Assumptions'!$B51</f>
        <v>10.981406281587057</v>
      </c>
      <c r="G63" s="294">
        <f>($C63*(1+'Biomass Data Assumptions'!H$101*(9/10)))*'Prac. Rec. Assumptions'!$B51</f>
        <v>11.451234450308169</v>
      </c>
      <c r="H63" s="294">
        <f>($C63*(1+'Biomass Data Assumptions'!I$101*(14/15)))*'Prac. Rec. Assumptions'!$B51</f>
        <v>11.879153064072932</v>
      </c>
      <c r="I63" s="16" t="str">
        <f>IF('Conversion Tables'!F55="NA","NA",(E63*'Conversion Tables'!$C55)/'Conversion Tables'!F55)</f>
        <v>NA</v>
      </c>
      <c r="J63" s="16" t="str">
        <f>IF('Conversion Tables'!G55="NA","NA",(F63*'Conversion Tables'!$C55)/'Conversion Tables'!G55)</f>
        <v>NA</v>
      </c>
      <c r="K63" s="16" t="str">
        <f>IF('Conversion Tables'!H55="NA","NA",(G63*'Conversion Tables'!$C55)/'Conversion Tables'!H55)</f>
        <v>NA</v>
      </c>
      <c r="L63" s="16" t="str">
        <f>IF('Conversion Tables'!I55="NA","NA",(H63*'Conversion Tables'!$C55)/'Conversion Tables'!I55)</f>
        <v>NA</v>
      </c>
      <c r="M63" s="16" t="str">
        <f>IF('Conversion Tables'!K55="NA","NA",E63*'Conversion Tables'!K55)</f>
        <v>NA</v>
      </c>
      <c r="N63" s="16" t="str">
        <f>IF('Conversion Tables'!L55="NA","NA",F63*'Conversion Tables'!L55)</f>
        <v>NA</v>
      </c>
      <c r="O63" s="16" t="str">
        <f>IF('Conversion Tables'!M55="NA","NA",G63*'Conversion Tables'!M55)</f>
        <v>NA</v>
      </c>
      <c r="P63" s="16" t="str">
        <f>IF('Conversion Tables'!N55="NA","NA",H63*'Conversion Tables'!N55)</f>
        <v>NA</v>
      </c>
      <c r="Q63" s="7"/>
    </row>
    <row r="64" spans="1:17" x14ac:dyDescent="0.25">
      <c r="A64" s="1204"/>
      <c r="B64" s="17" t="s">
        <v>512</v>
      </c>
      <c r="C64" s="294">
        <f>'Biomass Data Assumptions'!X16</f>
        <v>0</v>
      </c>
      <c r="D64" s="300">
        <f>E64*'Conversion Tables'!C56</f>
        <v>0</v>
      </c>
      <c r="E64" s="299">
        <f>C64*'Prac. Rec. Assumptions'!B52</f>
        <v>0</v>
      </c>
      <c r="F64" s="545">
        <f>($C64*(1+'Biomass Data Assumptions'!G$101*(3/5))*(1+('Biomass Data Assumptions'!C$82-((1+'Biomass Data Assumptions'!$B$82)^2 - 1))))*'Prac. Rec. Assumptions'!$B52</f>
        <v>0</v>
      </c>
      <c r="G64" s="545">
        <f>($C64*(1+'Biomass Data Assumptions'!H$101*(4/5))*(1+('Biomass Data Assumptions'!D$82-((1+'Biomass Data Assumptions'!$B$82)^2 - 1))))*'Prac. Rec. Assumptions'!$B52</f>
        <v>0</v>
      </c>
      <c r="H64" s="545">
        <f>($C64*(1+'Biomass Data Assumptions'!I$101*(13/15))*(1+('Biomass Data Assumptions'!E$82-((1+'Biomass Data Assumptions'!$B$82)^2 - 1))))*'Prac. Rec. Assumptions'!$B52</f>
        <v>0</v>
      </c>
      <c r="I64" s="16" t="str">
        <f>IF('Conversion Tables'!F56="NA","NA",(E64*'Conversion Tables'!$C56)/'Conversion Tables'!F56)</f>
        <v>NA</v>
      </c>
      <c r="J64" s="16" t="str">
        <f>IF('Conversion Tables'!G56="NA","NA",(F64*'Conversion Tables'!$C56)/'Conversion Tables'!G56)</f>
        <v>NA</v>
      </c>
      <c r="K64" s="16" t="str">
        <f>IF('Conversion Tables'!H56="NA","NA",(G64*'Conversion Tables'!$C56)/'Conversion Tables'!H56)</f>
        <v>NA</v>
      </c>
      <c r="L64" s="16" t="str">
        <f>IF('Conversion Tables'!I56="NA","NA",(H64*'Conversion Tables'!$C56)/'Conversion Tables'!I56)</f>
        <v>NA</v>
      </c>
      <c r="M64" s="16" t="str">
        <f>IF('Conversion Tables'!K56="NA","NA",E64*'Conversion Tables'!K56)</f>
        <v>NA</v>
      </c>
      <c r="N64" s="16" t="str">
        <f>IF('Conversion Tables'!L56="NA","NA",F64*'Conversion Tables'!L56)</f>
        <v>NA</v>
      </c>
      <c r="O64" s="16" t="str">
        <f>IF('Conversion Tables'!M56="NA","NA",G64*'Conversion Tables'!M56)</f>
        <v>NA</v>
      </c>
      <c r="P64" s="16" t="str">
        <f>IF('Conversion Tables'!N56="NA","NA",H64*'Conversion Tables'!N56)</f>
        <v>NA</v>
      </c>
      <c r="Q64" s="7"/>
    </row>
    <row r="65" spans="1:19" x14ac:dyDescent="0.25">
      <c r="A65" s="1204"/>
      <c r="B65" s="9" t="s">
        <v>248</v>
      </c>
      <c r="C65" s="295">
        <f>SUM(C63:C64)</f>
        <v>10.736566250000001</v>
      </c>
      <c r="D65" s="295">
        <f>SUM(D63:D64)</f>
        <v>6645.9345087500005</v>
      </c>
      <c r="E65" s="295">
        <f t="shared" ref="E65:P65" si="9">SUM(E63:E64)</f>
        <v>10.736566250000001</v>
      </c>
      <c r="F65" s="295">
        <f>SUM(F63:F64)</f>
        <v>10.981406281587057</v>
      </c>
      <c r="G65" s="295">
        <f>SUM(G63:G64)</f>
        <v>11.451234450308169</v>
      </c>
      <c r="H65" s="295">
        <f>SUM(H63:H64)</f>
        <v>11.879153064072932</v>
      </c>
      <c r="I65" s="19">
        <f t="shared" si="9"/>
        <v>0</v>
      </c>
      <c r="J65" s="19">
        <f t="shared" si="9"/>
        <v>0</v>
      </c>
      <c r="K65" s="19">
        <f t="shared" si="9"/>
        <v>0</v>
      </c>
      <c r="L65" s="19">
        <f t="shared" si="9"/>
        <v>0</v>
      </c>
      <c r="M65" s="19">
        <f t="shared" si="9"/>
        <v>0</v>
      </c>
      <c r="N65" s="19">
        <f t="shared" si="9"/>
        <v>0</v>
      </c>
      <c r="O65" s="19">
        <f t="shared" si="9"/>
        <v>0</v>
      </c>
      <c r="P65" s="19">
        <f t="shared" si="9"/>
        <v>0</v>
      </c>
      <c r="Q65" s="19">
        <f>SUM(Q51:Q64)</f>
        <v>0</v>
      </c>
    </row>
    <row r="66" spans="1:19" x14ac:dyDescent="0.25">
      <c r="A66" s="1204"/>
      <c r="B66" s="9"/>
      <c r="C66" s="295"/>
      <c r="D66" s="295"/>
      <c r="E66" s="295"/>
      <c r="F66" s="295"/>
      <c r="G66" s="295"/>
      <c r="H66" s="295"/>
      <c r="I66" s="19"/>
      <c r="J66" s="19"/>
      <c r="K66" s="19"/>
      <c r="L66" s="19"/>
      <c r="M66" s="19"/>
      <c r="N66" s="19"/>
      <c r="O66" s="19"/>
      <c r="P66" s="19"/>
      <c r="Q66" s="19"/>
    </row>
    <row r="67" spans="1:19" x14ac:dyDescent="0.25">
      <c r="A67" s="1205"/>
      <c r="B67" s="9" t="s">
        <v>258</v>
      </c>
      <c r="C67" s="295">
        <f>C61+(C63*1000000/29487.1582406855)+(C64*1000000/25364.5039539246)</f>
        <v>26904.709018646779</v>
      </c>
      <c r="D67" s="295">
        <f t="shared" ref="D67" si="10">D61+D65</f>
        <v>216344.40796546501</v>
      </c>
      <c r="E67" s="295">
        <f>E61+(E63*1000000/29487.1582406855)+(E64*1000000/25364.5039539246)</f>
        <v>14934.270853646782</v>
      </c>
      <c r="F67" s="295">
        <f t="shared" ref="F67:H67" si="11">F61+(F63*1000000/29487.1582406855)+(F64*1000000/25364.5039539246)</f>
        <v>14983.804532665998</v>
      </c>
      <c r="G67" s="295">
        <f t="shared" si="11"/>
        <v>15078.855646459633</v>
      </c>
      <c r="H67" s="295">
        <f t="shared" si="11"/>
        <v>15165.42802240313</v>
      </c>
      <c r="I67" s="19">
        <f t="shared" ref="I67:P67" si="12">I61+I65</f>
        <v>0</v>
      </c>
      <c r="J67" s="19">
        <f t="shared" si="12"/>
        <v>0</v>
      </c>
      <c r="K67" s="19">
        <f t="shared" si="12"/>
        <v>0</v>
      </c>
      <c r="L67" s="19">
        <f t="shared" si="12"/>
        <v>0</v>
      </c>
      <c r="M67" s="19">
        <f t="shared" si="12"/>
        <v>0</v>
      </c>
      <c r="N67" s="19">
        <f t="shared" si="12"/>
        <v>0</v>
      </c>
      <c r="O67" s="19">
        <f t="shared" si="12"/>
        <v>0</v>
      </c>
      <c r="P67" s="19">
        <f t="shared" si="12"/>
        <v>0</v>
      </c>
      <c r="Q67" s="19"/>
    </row>
    <row r="68" spans="1:19" customFormat="1" x14ac:dyDescent="0.25">
      <c r="B68" s="270" t="s">
        <v>162</v>
      </c>
      <c r="C68" s="132">
        <f>C11+C29+C43+C49+C67</f>
        <v>236472.25510509679</v>
      </c>
      <c r="D68" s="132"/>
      <c r="E68" s="132">
        <f>E11+E29+E43+E49+E67</f>
        <v>107393.13685617679</v>
      </c>
      <c r="F68" s="132">
        <f>F11+F29+F43+F49+F67</f>
        <v>108632.76241354427</v>
      </c>
      <c r="G68" s="132">
        <f>G11+G29+G43+G49+G67</f>
        <v>110430.02238288749</v>
      </c>
      <c r="H68" s="132">
        <f>H11+H29+H43+H49+H67</f>
        <v>112150.16729696182</v>
      </c>
      <c r="I68" s="264"/>
    </row>
    <row r="69" spans="1:19" ht="13.8" thickBot="1" x14ac:dyDescent="0.3">
      <c r="A69" s="10"/>
      <c r="B69" s="10"/>
      <c r="C69" s="10"/>
      <c r="D69" s="10"/>
      <c r="E69" s="10"/>
      <c r="F69" s="10"/>
      <c r="G69" s="10"/>
      <c r="H69" s="10"/>
      <c r="I69" s="1003">
        <f>SUM(I8:I66)/2</f>
        <v>0</v>
      </c>
      <c r="J69" s="1003">
        <f>SUM(J8:J66)/2</f>
        <v>0</v>
      </c>
      <c r="K69" s="1003">
        <f>SUM(K8:K66)/2</f>
        <v>0</v>
      </c>
      <c r="L69" s="1003">
        <f>SUM(L8:L66)/2</f>
        <v>0</v>
      </c>
      <c r="M69" s="1003">
        <f>SUM(M8:M66)/2</f>
        <v>0</v>
      </c>
      <c r="N69" s="1003">
        <f t="shared" ref="N69:P69" si="13">SUM(N8:N66)/2</f>
        <v>0</v>
      </c>
      <c r="O69" s="1003">
        <f t="shared" si="13"/>
        <v>0</v>
      </c>
      <c r="P69" s="1003">
        <f t="shared" si="13"/>
        <v>0</v>
      </c>
      <c r="Q69" s="10"/>
      <c r="R69" s="10"/>
      <c r="S69" s="10"/>
    </row>
    <row r="70" spans="1:19" x14ac:dyDescent="0.25">
      <c r="A70" s="35" t="s">
        <v>23</v>
      </c>
      <c r="B70" s="36"/>
      <c r="C70" s="36"/>
      <c r="D70" s="36"/>
      <c r="E70" s="36"/>
      <c r="F70" s="36"/>
      <c r="G70" s="36"/>
      <c r="H70" s="36"/>
      <c r="I70" s="36"/>
      <c r="J70" s="36"/>
      <c r="K70" s="36"/>
      <c r="L70" s="36"/>
      <c r="M70" s="36"/>
      <c r="N70" s="36"/>
      <c r="O70" s="36"/>
      <c r="P70" s="36"/>
      <c r="Q70" s="36"/>
      <c r="R70" s="36"/>
    </row>
    <row r="71" spans="1:19" x14ac:dyDescent="0.25">
      <c r="A71" s="36"/>
      <c r="B71" s="36"/>
      <c r="C71" s="36"/>
      <c r="D71" s="36"/>
      <c r="E71" s="36"/>
      <c r="F71" s="36"/>
      <c r="G71" s="36"/>
      <c r="H71" s="36"/>
      <c r="I71" s="36"/>
      <c r="J71" s="36"/>
      <c r="K71" s="36"/>
      <c r="L71" s="36"/>
      <c r="M71" s="36"/>
      <c r="N71" s="36"/>
      <c r="O71" s="36"/>
      <c r="P71" s="36"/>
      <c r="Q71" s="36"/>
      <c r="R71" s="36"/>
    </row>
    <row r="72" spans="1:19" x14ac:dyDescent="0.25">
      <c r="A72" s="36"/>
      <c r="B72" s="36"/>
      <c r="C72" s="36"/>
      <c r="D72" s="36"/>
      <c r="E72" s="36"/>
      <c r="F72" s="36"/>
      <c r="G72" s="36"/>
      <c r="H72" s="36"/>
      <c r="I72" s="36"/>
      <c r="J72" s="36"/>
      <c r="K72" s="36"/>
      <c r="L72" s="36"/>
      <c r="M72" s="36"/>
      <c r="N72" s="36"/>
      <c r="O72" s="36"/>
      <c r="P72" s="36"/>
      <c r="Q72" s="36"/>
      <c r="R72" s="36"/>
    </row>
    <row r="73" spans="1:19" ht="26.4" x14ac:dyDescent="0.25">
      <c r="A73" s="37" t="s">
        <v>1037</v>
      </c>
      <c r="B73" s="454" t="s">
        <v>297</v>
      </c>
      <c r="C73" s="37" t="s">
        <v>1042</v>
      </c>
      <c r="D73" s="37" t="s">
        <v>1041</v>
      </c>
      <c r="E73" s="36" t="s">
        <v>598</v>
      </c>
      <c r="F73" s="38"/>
      <c r="G73" s="38"/>
      <c r="H73" s="36"/>
      <c r="I73" s="36"/>
      <c r="J73" s="36"/>
      <c r="K73" s="36"/>
      <c r="L73" s="36"/>
      <c r="M73" s="36"/>
      <c r="N73" s="36"/>
      <c r="O73" s="36"/>
      <c r="P73" s="36"/>
      <c r="Q73" s="36"/>
      <c r="R73" s="36"/>
    </row>
    <row r="74" spans="1:19" x14ac:dyDescent="0.25">
      <c r="A74" s="39" t="s">
        <v>519</v>
      </c>
      <c r="B74" s="21">
        <v>312</v>
      </c>
      <c r="C74" s="40">
        <f>'Biomass Data Assumptions'!B38*B74</f>
        <v>20373.599999999999</v>
      </c>
      <c r="D74" s="40">
        <f>(C74*'Biomass Data Assumptions'!C38)/2000</f>
        <v>570.46079999999995</v>
      </c>
      <c r="E74" s="41"/>
      <c r="F74" s="41"/>
      <c r="G74" s="41"/>
      <c r="H74" s="36"/>
      <c r="I74" s="36"/>
      <c r="J74" s="36"/>
      <c r="K74" s="36"/>
      <c r="L74" s="36"/>
      <c r="M74" s="36"/>
      <c r="N74" s="36"/>
      <c r="O74" s="36"/>
      <c r="P74" s="36"/>
      <c r="Q74" s="36"/>
      <c r="R74" s="36"/>
    </row>
    <row r="75" spans="1:19" x14ac:dyDescent="0.25">
      <c r="A75" s="39" t="s">
        <v>520</v>
      </c>
      <c r="B75" s="21">
        <v>629</v>
      </c>
      <c r="C75" s="40">
        <f>'Biomass Data Assumptions'!B39*B75</f>
        <v>17171.7</v>
      </c>
      <c r="D75" s="40">
        <f>(C75*'Biomass Data Assumptions'!C39)/2000</f>
        <v>480.80760000000004</v>
      </c>
      <c r="E75" s="41"/>
      <c r="F75" s="41"/>
      <c r="G75" s="41"/>
      <c r="H75" s="36"/>
      <c r="I75" s="36"/>
      <c r="J75" s="36"/>
      <c r="K75" s="36"/>
      <c r="L75" s="36"/>
      <c r="M75" s="36"/>
      <c r="N75" s="36"/>
      <c r="O75" s="36"/>
      <c r="P75" s="36"/>
      <c r="Q75" s="36"/>
      <c r="R75" s="36"/>
    </row>
    <row r="76" spans="1:19" x14ac:dyDescent="0.25">
      <c r="A76" s="39" t="s">
        <v>521</v>
      </c>
      <c r="B76" s="21">
        <v>6730</v>
      </c>
      <c r="C76" s="40">
        <f>'Biomass Data Assumptions'!B40*B76</f>
        <v>841250</v>
      </c>
      <c r="D76" s="40">
        <f>(C76*'Biomass Data Assumptions'!C40)/2000</f>
        <v>23555</v>
      </c>
      <c r="E76" s="41"/>
      <c r="F76" s="41"/>
      <c r="G76" s="41"/>
      <c r="H76" s="36"/>
      <c r="I76" s="36"/>
      <c r="J76" s="36"/>
      <c r="K76" s="36"/>
      <c r="L76" s="36"/>
      <c r="M76" s="36"/>
      <c r="N76" s="36"/>
      <c r="O76" s="36"/>
      <c r="P76" s="36"/>
      <c r="Q76" s="36"/>
      <c r="R76" s="36"/>
    </row>
    <row r="77" spans="1:19" x14ac:dyDescent="0.25">
      <c r="A77" s="39" t="s">
        <v>525</v>
      </c>
      <c r="B77" s="21">
        <v>4364</v>
      </c>
      <c r="C77" s="40">
        <f>'Biomass Data Assumptions'!B41*B77</f>
        <v>139648</v>
      </c>
      <c r="D77" s="40">
        <f>(C77*'Biomass Data Assumptions'!C41)/2000</f>
        <v>4189.4399999999996</v>
      </c>
      <c r="E77" s="41"/>
      <c r="F77" s="41"/>
      <c r="G77" s="41"/>
      <c r="H77" s="36"/>
      <c r="I77" s="36"/>
      <c r="J77" s="36"/>
      <c r="K77" s="36"/>
      <c r="L77" s="36"/>
      <c r="M77" s="36"/>
      <c r="N77" s="36"/>
      <c r="O77" s="36"/>
      <c r="P77" s="36"/>
      <c r="Q77" s="36"/>
      <c r="R77" s="36"/>
    </row>
    <row r="78" spans="1:19" x14ac:dyDescent="0.25">
      <c r="A78" s="39" t="s">
        <v>522</v>
      </c>
      <c r="B78" s="21">
        <v>2049</v>
      </c>
      <c r="C78" s="40">
        <f>'Biomass Data Assumptions'!B42*B78</f>
        <v>110646</v>
      </c>
      <c r="D78" s="40">
        <f>(C78*'Biomass Data Assumptions'!C42)/2000</f>
        <v>3319.38</v>
      </c>
      <c r="E78" s="41"/>
      <c r="F78" s="41"/>
      <c r="G78" s="41"/>
      <c r="H78" s="36"/>
      <c r="I78" s="36"/>
      <c r="J78" s="36"/>
      <c r="K78" s="36"/>
      <c r="L78" s="36"/>
      <c r="M78" s="36"/>
      <c r="N78" s="36"/>
      <c r="O78" s="36"/>
      <c r="P78" s="36"/>
      <c r="Q78" s="36"/>
      <c r="R78" s="36"/>
    </row>
    <row r="79" spans="1:19" x14ac:dyDescent="0.25">
      <c r="A79" s="36"/>
      <c r="B79" s="36"/>
      <c r="C79" s="36"/>
      <c r="D79" s="36"/>
      <c r="E79" s="36"/>
      <c r="F79" s="36"/>
      <c r="G79" s="36"/>
      <c r="H79" s="36"/>
      <c r="I79" s="36"/>
      <c r="J79" s="36"/>
      <c r="K79" s="36"/>
      <c r="L79" s="36"/>
      <c r="M79" s="36"/>
      <c r="N79" s="36"/>
      <c r="O79" s="36"/>
      <c r="P79" s="36"/>
      <c r="Q79" s="36"/>
      <c r="R79" s="36"/>
    </row>
    <row r="80" spans="1:19" ht="39.6" x14ac:dyDescent="0.25">
      <c r="A80" s="37" t="s">
        <v>526</v>
      </c>
      <c r="B80" s="454" t="s">
        <v>297</v>
      </c>
      <c r="C80" s="37" t="s">
        <v>1041</v>
      </c>
      <c r="D80" s="37" t="s">
        <v>1036</v>
      </c>
      <c r="E80" s="36" t="s">
        <v>598</v>
      </c>
      <c r="F80" s="38"/>
      <c r="G80" s="38"/>
      <c r="H80" s="36"/>
      <c r="I80" s="36"/>
      <c r="J80" s="36"/>
      <c r="K80" s="36"/>
      <c r="L80" s="36"/>
      <c r="M80" s="36"/>
      <c r="N80" s="36"/>
      <c r="O80" s="36"/>
      <c r="P80" s="36"/>
      <c r="Q80" s="36"/>
      <c r="R80" s="36"/>
    </row>
    <row r="81" spans="1:18" x14ac:dyDescent="0.25">
      <c r="A81" s="39" t="s">
        <v>527</v>
      </c>
      <c r="B81" s="21">
        <v>322</v>
      </c>
      <c r="C81" s="40">
        <f>'Biomass Data Assumptions'!B49*B81</f>
        <v>322</v>
      </c>
      <c r="D81" s="40">
        <f>C81*'Energy Content Assumptions'!C11</f>
        <v>273.7</v>
      </c>
      <c r="E81" s="41"/>
      <c r="F81" s="41"/>
      <c r="G81" s="41"/>
      <c r="H81" s="36"/>
      <c r="I81" s="36"/>
      <c r="J81" s="36"/>
      <c r="K81" s="36"/>
      <c r="L81" s="36"/>
      <c r="M81" s="36"/>
      <c r="N81" s="36"/>
      <c r="O81" s="36"/>
      <c r="P81" s="36"/>
      <c r="Q81" s="36"/>
      <c r="R81" s="36"/>
    </row>
    <row r="82" spans="1:18" x14ac:dyDescent="0.25">
      <c r="A82" s="39" t="s">
        <v>520</v>
      </c>
      <c r="B82" s="21">
        <f>629+168</f>
        <v>797</v>
      </c>
      <c r="C82" s="40">
        <f>'Biomass Data Assumptions'!B50*B82</f>
        <v>1793.25</v>
      </c>
      <c r="D82" s="40">
        <f>C82*'Energy Content Assumptions'!C12</f>
        <v>1524.2625</v>
      </c>
      <c r="E82" s="41"/>
      <c r="F82" s="41"/>
      <c r="G82" s="41"/>
      <c r="H82" s="36"/>
      <c r="I82" s="36"/>
      <c r="J82" s="36"/>
      <c r="K82" s="36"/>
      <c r="L82" s="36"/>
      <c r="M82" s="36"/>
      <c r="N82" s="36"/>
      <c r="O82" s="36"/>
      <c r="P82" s="36"/>
      <c r="Q82" s="36"/>
      <c r="R82" s="36"/>
    </row>
    <row r="83" spans="1:18" x14ac:dyDescent="0.25">
      <c r="A83" s="39" t="s">
        <v>521</v>
      </c>
      <c r="B83" s="21">
        <v>6730</v>
      </c>
      <c r="C83" s="40">
        <f>'Biomass Data Assumptions'!B51*B83</f>
        <v>16825</v>
      </c>
      <c r="D83" s="40">
        <f>C83*'Energy Content Assumptions'!C13</f>
        <v>14301.25</v>
      </c>
      <c r="E83" s="41"/>
      <c r="F83" s="41"/>
      <c r="G83" s="41"/>
      <c r="H83" s="36"/>
      <c r="I83" s="36"/>
      <c r="J83" s="36"/>
      <c r="K83" s="36"/>
      <c r="L83" s="36"/>
      <c r="M83" s="36"/>
      <c r="N83" s="36"/>
      <c r="O83" s="36"/>
      <c r="P83" s="36"/>
      <c r="Q83" s="36"/>
      <c r="R83" s="36"/>
    </row>
    <row r="84" spans="1:18" x14ac:dyDescent="0.25">
      <c r="A84" s="39" t="s">
        <v>528</v>
      </c>
      <c r="B84" s="21">
        <v>1233</v>
      </c>
      <c r="C84" s="40">
        <f>'Biomass Data Assumptions'!B52*B84</f>
        <v>20221.199999999997</v>
      </c>
      <c r="D84" s="40">
        <f>C84*'Energy Content Assumptions'!C14</f>
        <v>7077.4199999999983</v>
      </c>
      <c r="E84" s="41"/>
      <c r="F84" s="41"/>
      <c r="G84" s="41"/>
      <c r="H84" s="36"/>
      <c r="I84" s="36"/>
      <c r="J84" s="36"/>
      <c r="K84" s="36"/>
      <c r="L84" s="36"/>
      <c r="M84" s="36"/>
      <c r="N84" s="36"/>
      <c r="O84" s="36"/>
      <c r="P84" s="36"/>
      <c r="Q84" s="36"/>
      <c r="R84" s="36"/>
    </row>
    <row r="85" spans="1:18" x14ac:dyDescent="0.25">
      <c r="A85" s="39" t="s">
        <v>529</v>
      </c>
      <c r="B85" s="21">
        <v>5157</v>
      </c>
      <c r="C85" s="40">
        <f>'Biomass Data Assumptions'!B53*B85</f>
        <v>16502.400000000001</v>
      </c>
      <c r="D85" s="40">
        <f>C85*'Energy Content Assumptions'!C15</f>
        <v>14027.04</v>
      </c>
      <c r="E85" s="41"/>
      <c r="F85" s="41"/>
      <c r="G85" s="41"/>
      <c r="H85" s="36"/>
      <c r="I85" s="36"/>
      <c r="J85" s="36"/>
      <c r="K85" s="36"/>
      <c r="L85" s="36"/>
      <c r="M85" s="36"/>
      <c r="N85" s="36"/>
      <c r="O85" s="36"/>
      <c r="P85" s="36"/>
      <c r="Q85" s="36"/>
      <c r="R85" s="36"/>
    </row>
    <row r="86" spans="1:18" x14ac:dyDescent="0.25">
      <c r="A86" s="39" t="s">
        <v>530</v>
      </c>
      <c r="B86" s="21">
        <v>26304</v>
      </c>
      <c r="C86" s="40">
        <f>'Biomass Data Assumptions'!B54*B86</f>
        <v>44716.799999999996</v>
      </c>
      <c r="D86" s="40">
        <f>C86*'Energy Content Assumptions'!C16</f>
        <v>38009.279999999999</v>
      </c>
      <c r="E86" s="41"/>
      <c r="F86" s="41"/>
      <c r="G86" s="41"/>
      <c r="H86" s="36"/>
      <c r="I86" s="36"/>
      <c r="J86" s="36"/>
      <c r="K86" s="36"/>
      <c r="L86" s="36"/>
      <c r="M86" s="36"/>
      <c r="N86" s="36"/>
      <c r="O86" s="36"/>
      <c r="P86" s="36"/>
      <c r="Q86" s="36"/>
      <c r="R86" s="36"/>
    </row>
    <row r="87" spans="1:18" x14ac:dyDescent="0.25">
      <c r="A87" s="39" t="s">
        <v>522</v>
      </c>
      <c r="B87" s="21">
        <f>2049+7</f>
        <v>2056</v>
      </c>
      <c r="C87" s="40">
        <f>'Biomass Data Assumptions'!B55*B87</f>
        <v>3598</v>
      </c>
      <c r="D87" s="40">
        <f>C87*'Energy Content Assumptions'!C17</f>
        <v>3058.2999999999997</v>
      </c>
      <c r="E87" s="41"/>
      <c r="F87" s="41"/>
      <c r="G87" s="41"/>
      <c r="H87" s="36"/>
      <c r="I87" s="36"/>
      <c r="J87" s="36"/>
      <c r="K87" s="36"/>
      <c r="L87" s="36"/>
      <c r="M87" s="36"/>
      <c r="N87" s="36"/>
      <c r="O87" s="36"/>
      <c r="P87" s="36"/>
      <c r="Q87" s="36"/>
      <c r="R87" s="36"/>
    </row>
    <row r="88" spans="1:18" x14ac:dyDescent="0.25">
      <c r="A88" s="43"/>
      <c r="B88" s="41"/>
      <c r="C88" s="41"/>
      <c r="D88" s="41"/>
      <c r="E88" s="41"/>
      <c r="F88" s="41"/>
      <c r="G88" s="41"/>
      <c r="H88" s="36"/>
      <c r="I88" s="36"/>
      <c r="J88" s="36"/>
      <c r="K88" s="36"/>
      <c r="L88" s="36"/>
      <c r="M88" s="36"/>
      <c r="N88" s="36"/>
      <c r="O88" s="36"/>
      <c r="P88" s="36"/>
      <c r="Q88" s="36"/>
      <c r="R88" s="36"/>
    </row>
    <row r="89" spans="1:18" x14ac:dyDescent="0.25">
      <c r="A89" s="43"/>
      <c r="B89" s="640" t="s">
        <v>297</v>
      </c>
      <c r="C89" s="122" t="s">
        <v>299</v>
      </c>
      <c r="D89" s="122" t="s">
        <v>300</v>
      </c>
      <c r="E89" s="41"/>
      <c r="F89" s="41"/>
      <c r="G89" s="41"/>
      <c r="H89" s="36"/>
      <c r="I89" s="36"/>
      <c r="J89" s="36"/>
      <c r="K89" s="36"/>
      <c r="L89" s="36"/>
      <c r="M89" s="36"/>
      <c r="N89" s="36"/>
      <c r="O89" s="36"/>
      <c r="P89" s="36"/>
      <c r="Q89" s="36"/>
      <c r="R89" s="36"/>
    </row>
    <row r="90" spans="1:18" x14ac:dyDescent="0.25">
      <c r="A90" s="43" t="s">
        <v>296</v>
      </c>
      <c r="B90" s="85">
        <f>IF('Prac. Rec. Assumptions'!B56='Prac. Rec. Assumptions'!V3,0,SUM(IF('Prac. Rec. Assumptions'!B57="Yes",B74,0),IF('Prac. Rec. Assumptions'!B58="Yes",B81,0),IF('Prac. Rec. Assumptions'!B59="Yes",B82,0),IF('Prac. Rec. Assumptions'!B60="Yes",B83,0),IF('Prac. Rec. Assumptions'!B61="Yes",B84,0),IF('Prac. Rec. Assumptions'!B62="Yes",B85,0),IF('Prac. Rec. Assumptions'!B63="Yes",B86,0),IF('Prac. Rec. Assumptions'!B64="Yes",B87,0)))</f>
        <v>0</v>
      </c>
      <c r="C90" s="41">
        <f>IF('Prac. Rec. Assumptions'!B56='Prac. Rec. Assumptions'!V1,'Biomass Data Assumptions'!C46,IF('Prac. Rec. Assumptions'!B56='Prac. Rec. Assumptions'!V2,'Biomass Data Assumptions'!C45,0))</f>
        <v>0</v>
      </c>
      <c r="D90" s="41">
        <f>(C90*'Energy Content Assumptions'!C9)*B90</f>
        <v>0</v>
      </c>
      <c r="E90" s="41"/>
      <c r="F90" s="41"/>
      <c r="G90" s="41"/>
      <c r="H90" s="36"/>
      <c r="I90" s="36"/>
      <c r="J90" s="36"/>
      <c r="K90" s="36"/>
      <c r="L90" s="36"/>
      <c r="M90" s="36"/>
      <c r="N90" s="36"/>
      <c r="O90" s="36"/>
      <c r="P90" s="36"/>
      <c r="Q90" s="36"/>
      <c r="R90" s="36"/>
    </row>
    <row r="91" spans="1:18" x14ac:dyDescent="0.25">
      <c r="A91" s="36"/>
      <c r="B91" s="36"/>
      <c r="C91" s="36"/>
      <c r="D91" s="36"/>
      <c r="E91" s="36"/>
      <c r="F91" s="36"/>
      <c r="G91" s="36"/>
      <c r="H91" s="36"/>
      <c r="I91" s="36"/>
      <c r="J91" s="36"/>
      <c r="K91" s="36"/>
      <c r="L91" s="36"/>
      <c r="M91" s="36"/>
      <c r="N91" s="36"/>
      <c r="O91" s="36"/>
      <c r="P91" s="36"/>
      <c r="Q91" s="36"/>
      <c r="R91" s="36"/>
    </row>
    <row r="92" spans="1:18" ht="39.6" x14ac:dyDescent="0.25">
      <c r="A92" s="42" t="s">
        <v>531</v>
      </c>
      <c r="B92" s="455" t="s">
        <v>298</v>
      </c>
      <c r="C92" s="38" t="s">
        <v>1050</v>
      </c>
      <c r="D92" s="38" t="s">
        <v>1045</v>
      </c>
      <c r="E92" s="38" t="s">
        <v>1048</v>
      </c>
      <c r="F92" s="38" t="s">
        <v>1047</v>
      </c>
      <c r="G92" s="38" t="s">
        <v>1046</v>
      </c>
      <c r="H92" s="36" t="s">
        <v>599</v>
      </c>
      <c r="I92" s="36"/>
      <c r="J92" s="38"/>
      <c r="K92" s="38"/>
      <c r="L92" s="38"/>
      <c r="M92" s="38"/>
      <c r="N92" s="36"/>
      <c r="O92" s="36"/>
      <c r="P92" s="36"/>
      <c r="Q92" s="36"/>
      <c r="R92" s="36"/>
    </row>
    <row r="93" spans="1:18" x14ac:dyDescent="0.25">
      <c r="A93" s="42"/>
      <c r="B93" s="38"/>
      <c r="C93" s="38"/>
      <c r="D93" s="38"/>
      <c r="E93" s="38"/>
      <c r="F93" s="36"/>
      <c r="G93" s="36"/>
      <c r="H93" s="36"/>
      <c r="I93" s="36"/>
      <c r="J93" s="38"/>
      <c r="K93" s="38"/>
      <c r="L93" s="38"/>
      <c r="M93" s="38"/>
      <c r="N93" s="36"/>
      <c r="O93" s="36"/>
      <c r="P93" s="36"/>
      <c r="Q93" s="36"/>
      <c r="R93" s="36"/>
    </row>
    <row r="94" spans="1:18" hidden="1" x14ac:dyDescent="0.25">
      <c r="A94" s="43"/>
      <c r="B94" s="36"/>
      <c r="C94" s="41"/>
      <c r="D94" s="41"/>
      <c r="E94" s="44"/>
      <c r="F94" s="36"/>
      <c r="G94" s="36"/>
      <c r="H94" s="36"/>
      <c r="I94" s="36"/>
      <c r="J94" s="44"/>
      <c r="K94" s="44"/>
      <c r="L94" s="44"/>
      <c r="M94" s="44"/>
      <c r="N94" s="36"/>
      <c r="O94" s="36"/>
      <c r="P94" s="36"/>
      <c r="Q94" s="36"/>
      <c r="R94" s="36"/>
    </row>
    <row r="95" spans="1:18" hidden="1" x14ac:dyDescent="0.25">
      <c r="A95" s="45"/>
      <c r="B95" s="85"/>
      <c r="C95" s="41"/>
      <c r="D95" s="41"/>
      <c r="E95" s="41"/>
      <c r="F95" s="41"/>
      <c r="G95" s="41"/>
      <c r="H95" s="36"/>
      <c r="I95" s="36"/>
      <c r="J95" s="41"/>
      <c r="K95" s="41"/>
      <c r="L95" s="41"/>
      <c r="M95" s="41"/>
      <c r="N95" s="36"/>
      <c r="O95" s="36"/>
      <c r="P95" s="36"/>
      <c r="Q95" s="36"/>
      <c r="R95" s="36"/>
    </row>
    <row r="96" spans="1:18" hidden="1" x14ac:dyDescent="0.25">
      <c r="A96" s="45"/>
      <c r="B96" s="85"/>
      <c r="C96" s="41"/>
      <c r="D96" s="41"/>
      <c r="E96" s="41"/>
      <c r="F96" s="41"/>
      <c r="G96" s="41"/>
      <c r="H96" s="36"/>
      <c r="I96" s="36"/>
      <c r="J96" s="41"/>
      <c r="K96" s="41"/>
      <c r="L96" s="41"/>
      <c r="M96" s="41"/>
      <c r="N96" s="36"/>
      <c r="O96" s="36"/>
      <c r="P96" s="36"/>
      <c r="Q96" s="36"/>
      <c r="R96" s="36"/>
    </row>
    <row r="97" spans="1:18" x14ac:dyDescent="0.25">
      <c r="A97" s="467" t="s">
        <v>535</v>
      </c>
      <c r="B97" s="85">
        <v>3750</v>
      </c>
      <c r="C97" s="41">
        <f>ROUND('Biomass Data Assumptions'!$B$60/1000*B97,0)</f>
        <v>3750</v>
      </c>
      <c r="D97" s="41">
        <f>'Biomass Data Assumptions'!$C$60*C97</f>
        <v>125925000</v>
      </c>
      <c r="E97" s="41">
        <f>('Biomass Data Assumptions'!$D$60*'Energy Content Assumptions'!$C$44*D97)/2000</f>
        <v>1511.1</v>
      </c>
      <c r="F97" s="41">
        <f>('Biomass Data Assumptions'!$E$60*B97*365)/2000</f>
        <v>2737.5</v>
      </c>
      <c r="G97" s="41">
        <f>F97+E97</f>
        <v>4248.6000000000004</v>
      </c>
      <c r="H97" s="36"/>
      <c r="I97" s="36"/>
      <c r="J97" s="41"/>
      <c r="K97" s="41"/>
      <c r="L97" s="41"/>
      <c r="M97" s="41"/>
      <c r="N97" s="36"/>
      <c r="O97" s="36"/>
      <c r="P97" s="36"/>
      <c r="Q97" s="36"/>
      <c r="R97" s="36"/>
    </row>
    <row r="98" spans="1:18" x14ac:dyDescent="0.25">
      <c r="A98" s="46"/>
      <c r="B98" s="41"/>
      <c r="C98" s="41"/>
      <c r="D98" s="41"/>
      <c r="E98" s="41"/>
      <c r="F98" s="41"/>
      <c r="G98" s="41"/>
      <c r="H98" s="36"/>
      <c r="I98" s="36"/>
      <c r="J98" s="41"/>
      <c r="K98" s="41"/>
      <c r="L98" s="41"/>
      <c r="M98" s="41"/>
      <c r="N98" s="36"/>
      <c r="O98" s="36"/>
      <c r="P98" s="36"/>
      <c r="Q98" s="36"/>
      <c r="R98" s="36"/>
    </row>
    <row r="99" spans="1:18" x14ac:dyDescent="0.25">
      <c r="A99" s="43" t="s">
        <v>539</v>
      </c>
      <c r="B99" s="47"/>
      <c r="C99" s="41"/>
      <c r="D99" s="41"/>
      <c r="E99" s="41"/>
      <c r="F99" s="41"/>
      <c r="G99" s="41"/>
      <c r="H99" s="36"/>
      <c r="I99" s="36"/>
      <c r="J99" s="41"/>
      <c r="K99" s="41"/>
      <c r="L99" s="41"/>
      <c r="M99" s="41"/>
      <c r="N99" s="36"/>
      <c r="O99" s="36"/>
      <c r="P99" s="36"/>
      <c r="Q99" s="36"/>
      <c r="R99" s="36"/>
    </row>
    <row r="100" spans="1:18" ht="11.25" customHeight="1" x14ac:dyDescent="0.25">
      <c r="A100" s="460" t="s">
        <v>603</v>
      </c>
      <c r="B100" s="85">
        <v>606</v>
      </c>
      <c r="C100" s="41">
        <f>ROUND('Biomass Data Assumptions'!B62/1000*B100,0)</f>
        <v>212</v>
      </c>
      <c r="D100" s="41">
        <f>'Biomass Data Assumptions'!C62*C100</f>
        <v>6190400</v>
      </c>
      <c r="E100" s="41">
        <f>('Biomass Data Assumptions'!D62*'Energy Content Assumptions'!C46*D100)/2000</f>
        <v>278.56799999999998</v>
      </c>
      <c r="F100" s="41">
        <f>('Biomass Data Assumptions'!E62*B100*365)/2000</f>
        <v>552.97500000000002</v>
      </c>
      <c r="G100" s="41">
        <f>F100+E100</f>
        <v>831.54300000000001</v>
      </c>
      <c r="H100" s="36"/>
      <c r="I100" s="36"/>
      <c r="J100" s="41"/>
      <c r="K100" s="41"/>
      <c r="L100" s="41"/>
      <c r="M100" s="41"/>
      <c r="N100" s="36"/>
      <c r="O100" s="36"/>
      <c r="P100" s="36"/>
      <c r="Q100" s="36"/>
      <c r="R100" s="36"/>
    </row>
    <row r="101" spans="1:18" hidden="1" x14ac:dyDescent="0.25">
      <c r="A101" s="45"/>
      <c r="B101" s="85"/>
      <c r="C101" s="41"/>
      <c r="D101" s="41"/>
      <c r="E101" s="41"/>
      <c r="F101" s="41"/>
      <c r="G101" s="41"/>
      <c r="H101" s="36"/>
      <c r="I101" s="36"/>
      <c r="J101" s="41"/>
      <c r="K101" s="41"/>
      <c r="L101" s="41"/>
      <c r="M101" s="41"/>
      <c r="N101" s="36"/>
      <c r="O101" s="36"/>
      <c r="P101" s="36"/>
      <c r="Q101" s="36"/>
      <c r="R101" s="36"/>
    </row>
    <row r="102" spans="1:18" ht="11.25" customHeight="1" x14ac:dyDescent="0.25">
      <c r="A102" s="460" t="s">
        <v>604</v>
      </c>
      <c r="B102" s="85">
        <v>601</v>
      </c>
      <c r="C102" s="41">
        <f>ROUND('Biomass Data Assumptions'!B64/1000*B102,0)</f>
        <v>841</v>
      </c>
      <c r="D102" s="41">
        <f>'Biomass Data Assumptions'!C64*C102</f>
        <v>34073115</v>
      </c>
      <c r="E102" s="41">
        <f>('Biomass Data Assumptions'!D64*'Energy Content Assumptions'!C48*D102)/2000</f>
        <v>1533.2901750000001</v>
      </c>
      <c r="F102" s="41">
        <f>'Biomass Data Assumptions'!E64*B102*365/2000</f>
        <v>1096.825</v>
      </c>
      <c r="G102" s="41">
        <f>F102+E102</f>
        <v>2630.1151749999999</v>
      </c>
      <c r="H102" s="36"/>
      <c r="I102" s="36"/>
      <c r="J102" s="41"/>
      <c r="K102" s="41"/>
      <c r="L102" s="41"/>
      <c r="M102" s="41"/>
      <c r="N102" s="36"/>
      <c r="O102" s="36"/>
      <c r="P102" s="36"/>
      <c r="Q102" s="36"/>
      <c r="R102" s="36"/>
    </row>
    <row r="103" spans="1:18" hidden="1" x14ac:dyDescent="0.25">
      <c r="A103" s="45"/>
      <c r="B103" s="85"/>
      <c r="C103" s="41"/>
      <c r="D103" s="41"/>
      <c r="E103" s="41"/>
      <c r="F103" s="41"/>
      <c r="G103" s="41"/>
      <c r="H103" s="36"/>
      <c r="I103" s="36"/>
      <c r="J103" s="41"/>
      <c r="K103" s="41"/>
      <c r="L103" s="41"/>
      <c r="M103" s="41"/>
      <c r="N103" s="36"/>
      <c r="O103" s="36"/>
      <c r="P103" s="36"/>
      <c r="Q103" s="36"/>
      <c r="R103" s="36"/>
    </row>
    <row r="104" spans="1:18" x14ac:dyDescent="0.25">
      <c r="A104" s="46" t="s">
        <v>544</v>
      </c>
      <c r="B104" s="85">
        <f t="shared" ref="B104:G104" si="14">SUM(B100:B103)</f>
        <v>1207</v>
      </c>
      <c r="C104" s="41">
        <f t="shared" si="14"/>
        <v>1053</v>
      </c>
      <c r="D104" s="41">
        <f t="shared" si="14"/>
        <v>40263515</v>
      </c>
      <c r="E104" s="41">
        <f t="shared" si="14"/>
        <v>1811.8581750000001</v>
      </c>
      <c r="F104" s="41">
        <f t="shared" si="14"/>
        <v>1649.8000000000002</v>
      </c>
      <c r="G104" s="41">
        <f t="shared" si="14"/>
        <v>3461.658175</v>
      </c>
      <c r="H104" s="36"/>
      <c r="I104" s="36"/>
      <c r="J104" s="41"/>
      <c r="K104" s="41"/>
      <c r="L104" s="41"/>
      <c r="M104" s="41"/>
      <c r="N104" s="36"/>
      <c r="O104" s="36"/>
      <c r="P104" s="36"/>
      <c r="Q104" s="36"/>
      <c r="R104" s="36"/>
    </row>
    <row r="105" spans="1:18" x14ac:dyDescent="0.25">
      <c r="A105" s="46"/>
      <c r="B105" s="41"/>
      <c r="C105" s="41"/>
      <c r="D105" s="41"/>
      <c r="E105" s="41"/>
      <c r="F105" s="41"/>
      <c r="G105" s="41"/>
      <c r="H105" s="36"/>
      <c r="I105" s="36"/>
      <c r="J105" s="41"/>
      <c r="K105" s="41"/>
      <c r="L105" s="41"/>
      <c r="M105" s="41"/>
      <c r="N105" s="36"/>
      <c r="O105" s="36"/>
      <c r="P105" s="36"/>
      <c r="Q105" s="36"/>
      <c r="R105" s="36"/>
    </row>
    <row r="106" spans="1:18" x14ac:dyDescent="0.25">
      <c r="A106" s="43" t="s">
        <v>545</v>
      </c>
      <c r="B106" s="85">
        <v>4529</v>
      </c>
      <c r="C106" s="41">
        <f>ROUND('Biomass Data Assumptions'!B66/1000*B106,0)</f>
        <v>4529</v>
      </c>
      <c r="D106" s="41">
        <f>'Biomass Data Assumptions'!C66*C106</f>
        <v>91746217.5</v>
      </c>
      <c r="E106" s="41">
        <f>('Biomass Data Assumptions'!D66*'Energy Content Assumptions'!C50*D106)/2000</f>
        <v>3211.1176125000002</v>
      </c>
      <c r="F106" s="41">
        <f>'Biomass Data Assumptions'!E66*B106*365/2000</f>
        <v>12398.137500000001</v>
      </c>
      <c r="G106" s="41">
        <f>F106+E106</f>
        <v>15609.255112500001</v>
      </c>
      <c r="H106" s="36"/>
      <c r="I106" s="36"/>
      <c r="J106" s="41"/>
      <c r="K106" s="41"/>
      <c r="L106" s="41"/>
      <c r="M106" s="41"/>
      <c r="N106" s="36"/>
      <c r="O106" s="36"/>
      <c r="P106" s="36"/>
      <c r="Q106" s="36"/>
      <c r="R106" s="36"/>
    </row>
    <row r="107" spans="1:18" x14ac:dyDescent="0.25">
      <c r="A107" s="43"/>
      <c r="B107" s="41"/>
      <c r="C107" s="41"/>
      <c r="D107" s="41"/>
      <c r="E107" s="41"/>
      <c r="F107" s="41"/>
      <c r="G107" s="41"/>
      <c r="H107" s="36"/>
      <c r="I107" s="36"/>
      <c r="J107" s="41"/>
      <c r="K107" s="41"/>
      <c r="L107" s="41"/>
      <c r="M107" s="41"/>
      <c r="N107" s="36"/>
      <c r="O107" s="36"/>
      <c r="P107" s="36"/>
      <c r="Q107" s="36"/>
      <c r="R107" s="36"/>
    </row>
    <row r="108" spans="1:18" x14ac:dyDescent="0.25">
      <c r="A108" s="43" t="s">
        <v>546</v>
      </c>
      <c r="B108" s="85">
        <v>3259</v>
      </c>
      <c r="C108" s="41">
        <f>ROUND('Biomass Data Assumptions'!B67/1000*B108,0)</f>
        <v>326</v>
      </c>
      <c r="D108" s="41">
        <f>'Biomass Data Assumptions'!C67*C108</f>
        <v>4878590</v>
      </c>
      <c r="E108" s="41">
        <f>('Biomass Data Assumptions'!D67*'Energy Content Assumptions'!C51*D108)/2000</f>
        <v>121.96475</v>
      </c>
      <c r="F108" s="41">
        <f>'Biomass Data Assumptions'!E67*B108*365/2000</f>
        <v>594.76750000000004</v>
      </c>
      <c r="G108" s="41">
        <f>F108+E108</f>
        <v>716.73225000000002</v>
      </c>
      <c r="H108" s="36"/>
      <c r="I108" s="36"/>
      <c r="J108" s="41"/>
      <c r="K108" s="41"/>
      <c r="L108" s="41"/>
      <c r="M108" s="41"/>
      <c r="N108" s="36"/>
      <c r="O108" s="36"/>
      <c r="P108" s="36"/>
      <c r="Q108" s="36"/>
      <c r="R108" s="36"/>
    </row>
    <row r="109" spans="1:18" x14ac:dyDescent="0.25">
      <c r="A109" s="43"/>
      <c r="B109" s="41"/>
      <c r="C109" s="41"/>
      <c r="D109" s="41"/>
      <c r="E109" s="41"/>
      <c r="F109" s="41"/>
      <c r="G109" s="41"/>
      <c r="H109" s="36"/>
      <c r="I109" s="36"/>
      <c r="J109" s="41"/>
      <c r="K109" s="41"/>
      <c r="L109" s="41"/>
      <c r="M109" s="41"/>
      <c r="N109" s="36"/>
      <c r="O109" s="36"/>
      <c r="P109" s="36"/>
      <c r="Q109" s="36"/>
      <c r="R109" s="36"/>
    </row>
    <row r="110" spans="1:18" x14ac:dyDescent="0.25">
      <c r="A110" s="43" t="s">
        <v>547</v>
      </c>
      <c r="B110" s="85">
        <v>1755</v>
      </c>
      <c r="C110" s="41">
        <f>ROUND('Biomass Data Assumptions'!B68/1000*B110,0)</f>
        <v>176</v>
      </c>
      <c r="D110" s="41">
        <f>'Biomass Data Assumptions'!C68*C110</f>
        <v>2633840</v>
      </c>
      <c r="E110" s="41">
        <f>('Biomass Data Assumptions'!D68*'Energy Content Assumptions'!C52*D110)/2000</f>
        <v>65.846000000000004</v>
      </c>
      <c r="F110" s="41">
        <f>'Biomass Data Assumptions'!E68*B110*365/2000</f>
        <v>320.28750000000002</v>
      </c>
      <c r="G110" s="41">
        <f>F110+E110</f>
        <v>386.13350000000003</v>
      </c>
      <c r="H110" s="36"/>
      <c r="I110" s="36"/>
      <c r="J110" s="41"/>
      <c r="K110" s="41"/>
      <c r="L110" s="41"/>
      <c r="M110" s="41"/>
      <c r="N110" s="36"/>
      <c r="O110" s="36"/>
      <c r="P110" s="36"/>
      <c r="Q110" s="36"/>
      <c r="R110" s="36"/>
    </row>
    <row r="111" spans="1:18" x14ac:dyDescent="0.25">
      <c r="A111" s="43"/>
      <c r="B111" s="41"/>
      <c r="C111" s="41"/>
      <c r="D111" s="41"/>
      <c r="E111" s="41"/>
      <c r="F111" s="41"/>
      <c r="G111" s="41"/>
      <c r="H111" s="36"/>
      <c r="I111" s="36"/>
      <c r="J111" s="41"/>
      <c r="K111" s="41"/>
      <c r="L111" s="41"/>
      <c r="M111" s="41"/>
      <c r="N111" s="36"/>
      <c r="O111" s="36"/>
      <c r="P111" s="36"/>
      <c r="Q111" s="36"/>
      <c r="R111" s="36"/>
    </row>
    <row r="112" spans="1:18" hidden="1" x14ac:dyDescent="0.25">
      <c r="A112" s="43"/>
      <c r="B112" s="36"/>
      <c r="C112" s="41"/>
      <c r="D112" s="41"/>
      <c r="E112" s="41"/>
      <c r="F112" s="41"/>
      <c r="G112" s="41"/>
      <c r="H112" s="36"/>
      <c r="I112" s="36"/>
      <c r="J112" s="41"/>
      <c r="K112" s="41"/>
      <c r="L112" s="41"/>
      <c r="M112" s="41"/>
      <c r="N112" s="36"/>
      <c r="O112" s="36"/>
      <c r="P112" s="36"/>
      <c r="Q112" s="36"/>
      <c r="R112" s="36"/>
    </row>
    <row r="113" spans="1:18" hidden="1" x14ac:dyDescent="0.25">
      <c r="A113" s="45"/>
      <c r="B113" s="85"/>
      <c r="C113" s="41"/>
      <c r="D113" s="41"/>
      <c r="E113" s="41"/>
      <c r="F113" s="41"/>
      <c r="G113" s="41"/>
      <c r="H113" s="36"/>
      <c r="I113" s="36"/>
      <c r="J113" s="41"/>
      <c r="K113" s="41"/>
      <c r="L113" s="41"/>
      <c r="M113" s="41"/>
      <c r="N113" s="36"/>
      <c r="O113" s="36"/>
      <c r="P113" s="36"/>
      <c r="Q113" s="36"/>
      <c r="R113" s="36"/>
    </row>
    <row r="114" spans="1:18" hidden="1" x14ac:dyDescent="0.25">
      <c r="A114" s="45"/>
      <c r="B114" s="85"/>
      <c r="C114" s="41"/>
      <c r="D114" s="41"/>
      <c r="E114" s="41"/>
      <c r="F114" s="41"/>
      <c r="G114" s="41"/>
      <c r="H114" s="36"/>
      <c r="I114" s="36"/>
      <c r="J114" s="41"/>
      <c r="K114" s="41"/>
      <c r="L114" s="41"/>
      <c r="M114" s="41"/>
      <c r="N114" s="36"/>
      <c r="O114" s="36"/>
      <c r="P114" s="36"/>
      <c r="Q114" s="36"/>
      <c r="R114" s="36"/>
    </row>
    <row r="115" spans="1:18" x14ac:dyDescent="0.25">
      <c r="A115" s="467" t="s">
        <v>605</v>
      </c>
      <c r="B115" s="85">
        <v>711</v>
      </c>
      <c r="C115" s="41">
        <f>ROUND('Biomass Data Assumptions'!$B$71/1000*B115,0)</f>
        <v>284</v>
      </c>
      <c r="D115" s="41">
        <f>'Biomass Data Assumptions'!$C$71*C115</f>
        <v>4872020</v>
      </c>
      <c r="E115" s="41">
        <f>('Biomass Data Assumptions'!$D$71*'Energy Content Assumptions'!$C$55*D115)/2000</f>
        <v>121.8005</v>
      </c>
      <c r="F115" s="41">
        <f>'Biomass Data Assumptions'!$E$71*B115*365/2000</f>
        <v>0</v>
      </c>
      <c r="G115" s="41">
        <f>F115+E115</f>
        <v>121.8005</v>
      </c>
      <c r="H115" s="36"/>
      <c r="I115" s="36"/>
      <c r="J115" s="41"/>
      <c r="K115" s="41"/>
      <c r="L115" s="41"/>
      <c r="M115" s="41"/>
      <c r="N115" s="36"/>
      <c r="O115" s="36"/>
      <c r="P115" s="36"/>
      <c r="Q115" s="36"/>
      <c r="R115" s="36"/>
    </row>
    <row r="116" spans="1:18" x14ac:dyDescent="0.25">
      <c r="A116" s="46"/>
      <c r="B116" s="41"/>
      <c r="C116" s="41"/>
      <c r="D116" s="41"/>
      <c r="E116" s="41"/>
      <c r="F116" s="41"/>
      <c r="G116" s="41"/>
      <c r="H116" s="36"/>
      <c r="I116" s="36"/>
      <c r="J116" s="41"/>
      <c r="K116" s="41"/>
      <c r="L116" s="41"/>
      <c r="M116" s="41"/>
      <c r="N116" s="36"/>
      <c r="O116" s="36"/>
      <c r="P116" s="36"/>
      <c r="Q116" s="36"/>
      <c r="R116" s="36"/>
    </row>
    <row r="117" spans="1:18" x14ac:dyDescent="0.25">
      <c r="A117" s="43" t="s">
        <v>551</v>
      </c>
      <c r="B117" s="85">
        <f>1454+4831+10705</f>
        <v>16990</v>
      </c>
      <c r="C117" s="41">
        <f>ROUND('Biomass Data Assumptions'!B72/1000*B117,0)</f>
        <v>85</v>
      </c>
      <c r="D117" s="41">
        <f>'Biomass Data Assumptions'!C72*C117</f>
        <v>1551250</v>
      </c>
      <c r="E117" s="41">
        <f>('Biomass Data Assumptions'!D72*'Energy Content Assumptions'!C56*D117)/2000</f>
        <v>151.24687499999999</v>
      </c>
      <c r="F117" s="41">
        <f>'Biomass Data Assumptions'!E72*B117*365/2000</f>
        <v>0</v>
      </c>
      <c r="G117" s="41">
        <f>F117+E117</f>
        <v>151.24687499999999</v>
      </c>
      <c r="H117" s="150" t="s">
        <v>610</v>
      </c>
      <c r="I117" s="36"/>
      <c r="J117" s="41"/>
      <c r="K117" s="41"/>
      <c r="L117" s="41"/>
      <c r="M117" s="41"/>
      <c r="N117" s="36"/>
      <c r="O117" s="36"/>
      <c r="P117" s="36"/>
      <c r="Q117" s="36"/>
      <c r="R117" s="36"/>
    </row>
    <row r="118" spans="1:18" x14ac:dyDescent="0.25">
      <c r="A118" s="43"/>
      <c r="B118" s="41"/>
      <c r="C118" s="41"/>
      <c r="D118" s="41"/>
      <c r="E118" s="41"/>
      <c r="F118" s="41"/>
      <c r="G118" s="41"/>
      <c r="H118" s="36"/>
      <c r="I118" s="36"/>
      <c r="J118" s="41"/>
      <c r="K118" s="41"/>
      <c r="L118" s="41"/>
      <c r="M118" s="41"/>
      <c r="N118" s="36"/>
      <c r="O118" s="36"/>
      <c r="P118" s="36"/>
      <c r="Q118" s="36"/>
      <c r="R118" s="36"/>
    </row>
    <row r="119" spans="1:18" x14ac:dyDescent="0.25">
      <c r="A119" s="43" t="s">
        <v>552</v>
      </c>
      <c r="B119" s="85">
        <v>857</v>
      </c>
      <c r="C119" s="41">
        <f>ROUND('Biomass Data Assumptions'!B73/1000*B119,0)</f>
        <v>17</v>
      </c>
      <c r="D119" s="41">
        <f>'Biomass Data Assumptions'!C73*C119</f>
        <v>229585</v>
      </c>
      <c r="E119" s="41">
        <f>('Biomass Data Assumptions'!D73*'Energy Content Assumptions'!C57*D119)/2000</f>
        <v>21.52359375</v>
      </c>
      <c r="F119" s="41">
        <f>'Biomass Data Assumptions'!E73*B119*365/2000</f>
        <v>15.64025</v>
      </c>
      <c r="G119" s="41">
        <f>F119+E119</f>
        <v>37.163843749999998</v>
      </c>
      <c r="H119" s="36"/>
      <c r="I119" s="36"/>
      <c r="J119" s="41"/>
      <c r="K119" s="41"/>
      <c r="L119" s="41"/>
      <c r="M119" s="41"/>
      <c r="N119" s="36"/>
      <c r="O119" s="36"/>
      <c r="P119" s="36"/>
      <c r="Q119" s="36"/>
      <c r="R119" s="36"/>
    </row>
    <row r="120" spans="1:18" x14ac:dyDescent="0.25">
      <c r="A120" s="43"/>
      <c r="B120" s="41"/>
      <c r="C120" s="41"/>
      <c r="D120" s="41"/>
      <c r="E120" s="41"/>
      <c r="F120" s="41"/>
      <c r="G120" s="41"/>
      <c r="H120" s="36"/>
      <c r="I120" s="36"/>
      <c r="J120" s="41"/>
      <c r="K120" s="41"/>
      <c r="L120" s="41"/>
      <c r="M120" s="41"/>
      <c r="N120" s="36"/>
      <c r="O120" s="36"/>
      <c r="P120" s="36"/>
      <c r="Q120" s="36"/>
      <c r="R120" s="36"/>
    </row>
    <row r="121" spans="1:18" x14ac:dyDescent="0.25">
      <c r="A121" s="43" t="s">
        <v>553</v>
      </c>
      <c r="B121" s="86">
        <f t="shared" ref="B121:G121" si="15">B97+B104+B106+B108+B110+B115+B117+B119</f>
        <v>33058</v>
      </c>
      <c r="C121" s="48">
        <f t="shared" si="15"/>
        <v>10220</v>
      </c>
      <c r="D121" s="48">
        <f t="shared" si="15"/>
        <v>272100017.5</v>
      </c>
      <c r="E121" s="48">
        <f t="shared" si="15"/>
        <v>7016.4575062500007</v>
      </c>
      <c r="F121" s="48">
        <f t="shared" si="15"/>
        <v>17716.132750000001</v>
      </c>
      <c r="G121" s="48">
        <f t="shared" si="15"/>
        <v>24732.590256250005</v>
      </c>
      <c r="H121" s="36"/>
      <c r="I121" s="36"/>
      <c r="J121" s="48"/>
      <c r="K121" s="48"/>
      <c r="L121" s="48"/>
      <c r="M121" s="48"/>
      <c r="N121" s="36"/>
      <c r="O121" s="36"/>
      <c r="P121" s="36"/>
      <c r="Q121" s="36"/>
      <c r="R121" s="36"/>
    </row>
    <row r="122" spans="1:18" x14ac:dyDescent="0.25">
      <c r="A122" s="36"/>
      <c r="B122" s="36"/>
      <c r="C122" s="36"/>
      <c r="D122" s="36"/>
      <c r="E122" s="36"/>
      <c r="F122" s="36"/>
      <c r="G122" s="36"/>
      <c r="H122" s="36"/>
      <c r="I122" s="36"/>
      <c r="J122" s="36"/>
      <c r="K122" s="36"/>
      <c r="L122" s="36"/>
      <c r="M122" s="36"/>
      <c r="N122" s="36"/>
      <c r="O122" s="36"/>
      <c r="P122" s="36"/>
      <c r="Q122" s="36"/>
      <c r="R122" s="36"/>
    </row>
    <row r="123" spans="1:18" x14ac:dyDescent="0.25">
      <c r="A123" s="49" t="s">
        <v>1014</v>
      </c>
      <c r="B123" s="49" t="s">
        <v>1043</v>
      </c>
      <c r="C123" s="49" t="s">
        <v>1044</v>
      </c>
      <c r="D123" s="546" t="s">
        <v>1013</v>
      </c>
      <c r="E123" s="36"/>
      <c r="F123" s="36"/>
      <c r="G123" s="36"/>
      <c r="H123" s="36"/>
      <c r="I123" s="36"/>
      <c r="J123" s="36"/>
      <c r="K123" s="36"/>
      <c r="L123" s="36"/>
      <c r="M123" s="36"/>
      <c r="N123" s="36"/>
      <c r="O123" s="36"/>
      <c r="P123" s="36"/>
      <c r="Q123" s="36"/>
      <c r="R123" s="36"/>
    </row>
    <row r="124" spans="1:18" x14ac:dyDescent="0.25">
      <c r="A124" s="50" t="s">
        <v>555</v>
      </c>
      <c r="B124" s="87">
        <v>8199.92</v>
      </c>
      <c r="C124" s="543">
        <f>B124*'Energy Content Assumptions'!C33</f>
        <v>7379.9279999999999</v>
      </c>
      <c r="D124" s="36"/>
      <c r="E124" s="36"/>
      <c r="F124" s="36"/>
      <c r="G124" s="36"/>
      <c r="H124" s="36"/>
      <c r="I124" s="36"/>
      <c r="J124" s="36"/>
      <c r="K124" s="36"/>
      <c r="L124" s="36"/>
      <c r="M124" s="36"/>
      <c r="N124" s="36"/>
      <c r="O124" s="36"/>
      <c r="P124" s="36"/>
      <c r="Q124" s="36"/>
      <c r="R124" s="36"/>
    </row>
    <row r="125" spans="1:18" x14ac:dyDescent="0.25">
      <c r="A125" s="50" t="s">
        <v>556</v>
      </c>
      <c r="B125" s="87">
        <v>2237.59</v>
      </c>
      <c r="C125" s="543">
        <f>B125*'Energy Content Assumptions'!C34</f>
        <v>2013.8310000000001</v>
      </c>
      <c r="D125" s="36"/>
      <c r="E125" s="36"/>
      <c r="F125" s="36"/>
      <c r="G125" s="36"/>
      <c r="H125" s="36"/>
      <c r="I125" s="36"/>
      <c r="J125" s="36"/>
      <c r="K125" s="36"/>
      <c r="L125" s="36"/>
      <c r="M125" s="36"/>
      <c r="N125" s="36"/>
      <c r="O125" s="36"/>
      <c r="P125" s="36"/>
      <c r="Q125" s="36"/>
      <c r="R125" s="36"/>
    </row>
    <row r="126" spans="1:18" x14ac:dyDescent="0.25">
      <c r="A126" s="50" t="s">
        <v>557</v>
      </c>
      <c r="B126" s="87">
        <v>4629.5600000000004</v>
      </c>
      <c r="C126" s="543">
        <f>B126*'Energy Content Assumptions'!C35</f>
        <v>4166.6040000000003</v>
      </c>
      <c r="D126" s="36"/>
      <c r="E126" s="36"/>
      <c r="F126" s="36"/>
      <c r="G126" s="36"/>
      <c r="H126" s="36"/>
      <c r="I126" s="36"/>
      <c r="J126" s="36"/>
      <c r="K126" s="36"/>
      <c r="L126" s="36"/>
      <c r="M126" s="36"/>
      <c r="N126" s="36"/>
      <c r="O126" s="36"/>
      <c r="P126" s="36"/>
      <c r="Q126" s="36"/>
      <c r="R126" s="36"/>
    </row>
    <row r="127" spans="1:18" x14ac:dyDescent="0.25">
      <c r="A127" s="50" t="s">
        <v>558</v>
      </c>
      <c r="B127" s="87">
        <v>1350.58</v>
      </c>
      <c r="C127" s="543">
        <f>B127*'Energy Content Assumptions'!C36</f>
        <v>1215.5219999999999</v>
      </c>
      <c r="D127" s="36"/>
      <c r="E127" s="36"/>
      <c r="F127" s="36"/>
      <c r="G127" s="36"/>
      <c r="H127" s="36"/>
      <c r="I127" s="36"/>
      <c r="J127" s="36"/>
      <c r="K127" s="36"/>
      <c r="L127" s="36"/>
      <c r="M127" s="36"/>
      <c r="N127" s="36"/>
      <c r="O127" s="36"/>
      <c r="P127" s="36"/>
      <c r="Q127" s="36"/>
      <c r="R127" s="36"/>
    </row>
    <row r="128" spans="1:18" x14ac:dyDescent="0.25">
      <c r="A128" s="50" t="s">
        <v>559</v>
      </c>
      <c r="B128" s="87">
        <v>6025.69</v>
      </c>
      <c r="C128" s="543">
        <f>B128*'Energy Content Assumptions'!C21</f>
        <v>3012.8449999999998</v>
      </c>
      <c r="D128" s="36"/>
      <c r="E128" s="36"/>
      <c r="F128" s="36"/>
      <c r="G128" s="36"/>
      <c r="H128" s="36"/>
      <c r="I128" s="36"/>
      <c r="J128" s="36"/>
      <c r="K128" s="36"/>
      <c r="L128" s="36"/>
      <c r="M128" s="36"/>
      <c r="N128" s="36"/>
      <c r="O128" s="36"/>
      <c r="P128" s="36"/>
      <c r="Q128" s="36"/>
      <c r="R128" s="36"/>
    </row>
    <row r="129" spans="1:18" x14ac:dyDescent="0.25">
      <c r="A129" s="50" t="s">
        <v>560</v>
      </c>
      <c r="B129" s="87">
        <v>0</v>
      </c>
      <c r="C129" s="543">
        <f>B129*'Energy Content Assumptions'!C22</f>
        <v>0</v>
      </c>
      <c r="D129" s="36"/>
      <c r="E129" s="36"/>
      <c r="F129" s="36"/>
      <c r="G129" s="36"/>
      <c r="H129" s="36"/>
      <c r="I129" s="36"/>
      <c r="J129" s="36"/>
      <c r="K129" s="36"/>
      <c r="L129" s="36"/>
      <c r="M129" s="36"/>
      <c r="N129" s="36"/>
      <c r="O129" s="36"/>
      <c r="P129" s="36"/>
      <c r="Q129" s="36"/>
      <c r="R129" s="36"/>
    </row>
    <row r="130" spans="1:18" x14ac:dyDescent="0.25">
      <c r="A130" s="50" t="s">
        <v>561</v>
      </c>
      <c r="B130" s="87">
        <v>5673.21</v>
      </c>
      <c r="C130" s="543">
        <f>B130*'Energy Content Assumptions'!C23</f>
        <v>1891.07</v>
      </c>
      <c r="D130" s="36"/>
      <c r="E130" s="36"/>
      <c r="F130" s="36"/>
      <c r="G130" s="36"/>
      <c r="H130" s="36"/>
      <c r="I130" s="36"/>
      <c r="J130" s="36"/>
      <c r="K130" s="36"/>
      <c r="L130" s="36"/>
      <c r="M130" s="36"/>
      <c r="N130" s="36"/>
      <c r="O130" s="36"/>
      <c r="P130" s="36"/>
      <c r="Q130" s="36"/>
      <c r="R130" s="36"/>
    </row>
    <row r="131" spans="1:18" x14ac:dyDescent="0.25">
      <c r="A131" s="50" t="s">
        <v>562</v>
      </c>
      <c r="B131" s="87">
        <v>1003.99</v>
      </c>
      <c r="C131" s="543">
        <f>B131*'Energy Content Assumptions'!C24</f>
        <v>501.995</v>
      </c>
      <c r="D131" s="36"/>
      <c r="E131" s="36"/>
      <c r="F131" s="36"/>
      <c r="G131" s="36"/>
      <c r="H131" s="36"/>
      <c r="I131" s="36"/>
      <c r="J131" s="36"/>
      <c r="K131" s="36"/>
      <c r="L131" s="36"/>
      <c r="M131" s="36"/>
      <c r="N131" s="36"/>
      <c r="O131" s="36"/>
      <c r="P131" s="36"/>
      <c r="Q131" s="36"/>
      <c r="R131" s="36"/>
    </row>
    <row r="132" spans="1:18" x14ac:dyDescent="0.25">
      <c r="A132" s="50" t="s">
        <v>563</v>
      </c>
      <c r="B132" s="87">
        <v>113.99</v>
      </c>
      <c r="C132" s="543">
        <f>B132*'Energy Content Assumptions'!C31</f>
        <v>28.497499999999999</v>
      </c>
      <c r="D132" s="36"/>
      <c r="E132" s="36"/>
      <c r="F132" s="36"/>
      <c r="G132" s="36"/>
      <c r="H132" s="36"/>
      <c r="I132" s="36"/>
      <c r="J132" s="36"/>
      <c r="K132" s="36"/>
      <c r="L132" s="36"/>
      <c r="M132" s="36"/>
      <c r="N132" s="36"/>
      <c r="O132" s="36"/>
      <c r="P132" s="36"/>
      <c r="Q132" s="36"/>
      <c r="R132" s="36"/>
    </row>
    <row r="133" spans="1:18" x14ac:dyDescent="0.25">
      <c r="A133" s="50" t="s">
        <v>564</v>
      </c>
      <c r="B133" s="87">
        <v>0</v>
      </c>
      <c r="C133" s="543">
        <f>B133*'Energy Content Assumptions'!C19</f>
        <v>0</v>
      </c>
      <c r="D133" s="36"/>
      <c r="E133" s="36"/>
      <c r="F133" s="36"/>
      <c r="G133" s="36"/>
      <c r="H133" s="36"/>
      <c r="I133" s="36"/>
      <c r="J133" s="36"/>
      <c r="K133" s="36"/>
      <c r="L133" s="36"/>
      <c r="M133" s="36"/>
      <c r="N133" s="36"/>
      <c r="O133" s="36"/>
      <c r="P133" s="36"/>
      <c r="Q133" s="36"/>
      <c r="R133" s="36"/>
    </row>
    <row r="134" spans="1:18" x14ac:dyDescent="0.25">
      <c r="A134" s="50" t="s">
        <v>565</v>
      </c>
      <c r="B134" s="87">
        <v>1705.15</v>
      </c>
      <c r="C134" s="543">
        <f>B134*'Energy Content Assumptions'!C32</f>
        <v>1364.1200000000001</v>
      </c>
      <c r="D134" s="36"/>
      <c r="E134" s="36"/>
      <c r="F134" s="36"/>
      <c r="G134" s="36"/>
      <c r="H134" s="36"/>
      <c r="I134" s="36"/>
      <c r="J134" s="36"/>
      <c r="K134" s="36"/>
      <c r="L134" s="36"/>
      <c r="M134" s="36"/>
      <c r="N134" s="36"/>
      <c r="O134" s="36"/>
      <c r="P134" s="36"/>
      <c r="Q134" s="36"/>
      <c r="R134" s="36"/>
    </row>
    <row r="135" spans="1:18" x14ac:dyDescent="0.25">
      <c r="A135" s="36"/>
      <c r="B135" s="36"/>
      <c r="C135" s="36"/>
      <c r="D135" s="36"/>
      <c r="E135" s="36"/>
      <c r="F135" s="36"/>
      <c r="G135" s="36"/>
      <c r="H135" s="36"/>
      <c r="I135" s="36"/>
      <c r="J135" s="36"/>
      <c r="K135" s="36"/>
      <c r="L135" s="36"/>
      <c r="M135" s="36"/>
      <c r="N135" s="36"/>
      <c r="O135" s="36"/>
      <c r="P135" s="36"/>
      <c r="Q135" s="36"/>
      <c r="R135" s="36"/>
    </row>
    <row r="136" spans="1:18" x14ac:dyDescent="0.25">
      <c r="A136" s="49" t="s">
        <v>462</v>
      </c>
      <c r="B136" s="49" t="s">
        <v>1039</v>
      </c>
      <c r="C136" s="49" t="s">
        <v>1040</v>
      </c>
      <c r="D136" s="36"/>
      <c r="E136" s="36"/>
      <c r="F136" s="36"/>
      <c r="G136" s="36"/>
      <c r="H136" s="36"/>
      <c r="I136" s="36"/>
      <c r="J136" s="36"/>
      <c r="K136" s="36"/>
      <c r="L136" s="36"/>
      <c r="M136" s="36"/>
      <c r="N136" s="36"/>
      <c r="O136" s="36"/>
      <c r="P136" s="36"/>
      <c r="Q136" s="36"/>
      <c r="R136" s="36"/>
    </row>
    <row r="137" spans="1:18" x14ac:dyDescent="0.25">
      <c r="A137" s="50" t="s">
        <v>211</v>
      </c>
      <c r="B137" s="87">
        <f>'Biomass Data Assumptions'!$M$16</f>
        <v>113967.73</v>
      </c>
      <c r="C137" s="544"/>
      <c r="D137" s="546" t="s">
        <v>1016</v>
      </c>
      <c r="E137" s="36"/>
      <c r="F137" s="36"/>
      <c r="G137" s="36"/>
      <c r="H137" s="36"/>
      <c r="I137" s="36"/>
      <c r="J137" s="36"/>
      <c r="K137" s="36"/>
      <c r="L137" s="36"/>
      <c r="M137" s="36"/>
      <c r="N137" s="36"/>
      <c r="O137" s="36"/>
      <c r="P137" s="36"/>
      <c r="Q137" s="36"/>
      <c r="R137" s="36"/>
    </row>
    <row r="138" spans="1:18" x14ac:dyDescent="0.25">
      <c r="A138" s="50" t="s">
        <v>208</v>
      </c>
      <c r="B138" s="87">
        <f>'Biomass Data Assumptions'!$F$16</f>
        <v>76176.070000000007</v>
      </c>
      <c r="C138" s="543">
        <f>B138*'Energy Content Assumptions'!$C$28</f>
        <v>38088.035000000003</v>
      </c>
      <c r="D138" s="546" t="s">
        <v>1016</v>
      </c>
      <c r="E138" s="36"/>
      <c r="F138" s="36"/>
      <c r="G138" s="36"/>
      <c r="H138" s="36"/>
      <c r="I138" s="36"/>
      <c r="J138" s="36"/>
      <c r="K138" s="36"/>
      <c r="L138" s="36"/>
      <c r="M138" s="36"/>
      <c r="N138" s="36"/>
      <c r="O138" s="36"/>
      <c r="P138" s="36"/>
      <c r="Q138" s="36"/>
      <c r="R138" s="36"/>
    </row>
    <row r="139" spans="1:18" x14ac:dyDescent="0.25">
      <c r="A139" s="50" t="s">
        <v>209</v>
      </c>
      <c r="B139" s="87">
        <f>'Biomass Data Assumptions'!$H$16</f>
        <v>27109.3</v>
      </c>
      <c r="C139" s="543"/>
      <c r="D139" s="36" t="s">
        <v>1020</v>
      </c>
      <c r="E139" s="36"/>
      <c r="F139" s="36"/>
      <c r="G139" s="36"/>
      <c r="H139" s="36"/>
      <c r="I139" s="36"/>
      <c r="J139" s="36"/>
      <c r="K139" s="36"/>
      <c r="L139" s="36"/>
      <c r="M139" s="36"/>
      <c r="N139" s="36"/>
      <c r="O139" s="36"/>
      <c r="P139" s="36"/>
      <c r="Q139" s="36"/>
      <c r="R139" s="36"/>
    </row>
    <row r="140" spans="1:18" x14ac:dyDescent="0.25">
      <c r="A140" s="50" t="s">
        <v>210</v>
      </c>
      <c r="B140" s="87">
        <f>'Biomass Data Assumptions'!$I$16</f>
        <v>49066.770000000004</v>
      </c>
      <c r="C140" s="543">
        <f>B140*'Energy Content Assumptions'!$C$28</f>
        <v>24533.385000000002</v>
      </c>
      <c r="D140" s="36" t="s">
        <v>1021</v>
      </c>
      <c r="E140" s="36"/>
      <c r="F140" s="36"/>
      <c r="G140" s="36"/>
      <c r="H140" s="36"/>
      <c r="I140" s="36"/>
      <c r="J140" s="36"/>
      <c r="K140" s="36"/>
      <c r="L140" s="36"/>
      <c r="M140" s="36"/>
      <c r="N140" s="36"/>
      <c r="O140" s="36"/>
      <c r="P140" s="36"/>
      <c r="Q140" s="36"/>
      <c r="R140" s="36"/>
    </row>
    <row r="141" spans="1:18" x14ac:dyDescent="0.25">
      <c r="A141" s="50" t="str">
        <f>'Bioenergy Calculator'!B35</f>
        <v>Food waste, Landfilled</v>
      </c>
      <c r="B141" s="87">
        <f>IF('Bioenergy Calculator'!H75="No",'Biomass Data Assumptions'!J16,'Biomass Data Assumptions'!F16*'Biomass Data Assumptions'!I41)</f>
        <v>7762.3630140000014</v>
      </c>
      <c r="C141" s="543">
        <f>B141*'Energy Content Assumptions'!C26</f>
        <v>2328.7089042000002</v>
      </c>
      <c r="D141" s="150" t="s">
        <v>1063</v>
      </c>
      <c r="E141" s="36"/>
      <c r="F141" s="36"/>
      <c r="G141" s="36"/>
      <c r="H141" s="36"/>
      <c r="I141" s="36"/>
      <c r="J141" s="36"/>
      <c r="K141" s="36"/>
      <c r="L141" s="36"/>
      <c r="M141" s="36"/>
      <c r="N141" s="36"/>
      <c r="O141" s="36"/>
      <c r="P141" s="36"/>
      <c r="Q141" s="36"/>
      <c r="R141" s="36"/>
    </row>
    <row r="142" spans="1:18" x14ac:dyDescent="0.25">
      <c r="A142" s="50" t="str">
        <f>'Bioenergy Calculator'!B36</f>
        <v>Waste paper, Landfilled</v>
      </c>
      <c r="B142" s="87">
        <f>IF('Bioenergy Calculator'!H75="No",'Biomass Data Assumptions'!K16,'Biomass Data Assumptions'!F16*'Biomass Data Assumptions'!I42)</f>
        <v>9543.4867650000015</v>
      </c>
      <c r="C142" s="543">
        <f>B142*'Energy Content Assumptions'!C27</f>
        <v>8589.1380885000017</v>
      </c>
      <c r="D142" s="150" t="s">
        <v>1063</v>
      </c>
      <c r="E142" s="36"/>
      <c r="F142" s="36"/>
      <c r="G142" s="36"/>
      <c r="H142" s="36"/>
      <c r="I142" s="36"/>
      <c r="J142" s="36"/>
      <c r="K142" s="36"/>
      <c r="L142" s="36"/>
      <c r="M142" s="36"/>
      <c r="N142" s="36"/>
      <c r="O142" s="36"/>
      <c r="P142" s="36"/>
      <c r="Q142" s="36"/>
      <c r="R142" s="36"/>
    </row>
    <row r="143" spans="1:18" x14ac:dyDescent="0.25">
      <c r="A143" s="50" t="str">
        <f>'Bioenergy Calculator'!B37</f>
        <v>Other Biomass, Landfilled</v>
      </c>
      <c r="B143" s="87">
        <f>IF('Bioenergy Calculator'!H75="No",'Biomass Data Assumptions'!L16,'Biomass Data Assumptions'!F16*'Biomass Data Assumptions'!I43)</f>
        <v>13213.681161</v>
      </c>
      <c r="C143" s="543">
        <f>B143*'Energy Content Assumptions'!$C$28</f>
        <v>6606.8405805000002</v>
      </c>
      <c r="D143" s="547" t="s">
        <v>1064</v>
      </c>
      <c r="E143" s="36"/>
      <c r="F143" s="36"/>
      <c r="G143" s="36"/>
      <c r="H143" s="36"/>
      <c r="I143" s="36"/>
      <c r="J143" s="36"/>
      <c r="K143" s="36"/>
      <c r="L143" s="36"/>
      <c r="M143" s="36"/>
      <c r="N143" s="36"/>
      <c r="O143" s="36"/>
      <c r="P143" s="36"/>
      <c r="Q143" s="36"/>
      <c r="R143" s="36"/>
    </row>
    <row r="144" spans="1:18" x14ac:dyDescent="0.25">
      <c r="A144" s="50" t="s">
        <v>463</v>
      </c>
      <c r="B144" s="87">
        <v>25931.81</v>
      </c>
      <c r="C144" s="543">
        <f>B144*'Energy Content Assumptions'!C29</f>
        <v>20745.448000000004</v>
      </c>
      <c r="D144" s="151" t="s">
        <v>206</v>
      </c>
      <c r="E144" s="36"/>
      <c r="F144" s="36"/>
      <c r="G144" s="36"/>
      <c r="H144" s="36"/>
      <c r="I144" s="36"/>
      <c r="J144" s="36"/>
      <c r="K144" s="36"/>
      <c r="L144" s="36"/>
      <c r="M144" s="36"/>
      <c r="N144" s="36"/>
      <c r="O144" s="36"/>
      <c r="P144" s="36"/>
      <c r="Q144" s="36"/>
      <c r="R144" s="36"/>
    </row>
    <row r="145" spans="1:18" x14ac:dyDescent="0.25">
      <c r="A145" s="709" t="s">
        <v>179</v>
      </c>
      <c r="B145" s="710">
        <v>0.4</v>
      </c>
      <c r="C145" s="543">
        <f>C144*B145</f>
        <v>8298.1792000000023</v>
      </c>
      <c r="D145" s="36" t="s">
        <v>1202</v>
      </c>
      <c r="E145" s="36"/>
      <c r="F145" s="36"/>
      <c r="G145" s="36"/>
      <c r="H145" s="36"/>
      <c r="I145" s="36"/>
      <c r="J145" s="36"/>
      <c r="K145" s="36"/>
      <c r="L145" s="36"/>
      <c r="M145" s="36"/>
      <c r="N145" s="36"/>
      <c r="O145" s="36"/>
      <c r="P145" s="36"/>
      <c r="Q145" s="36"/>
      <c r="R145" s="36"/>
    </row>
    <row r="146" spans="1:18" x14ac:dyDescent="0.25">
      <c r="A146" s="712"/>
      <c r="B146" s="713"/>
      <c r="C146" s="543"/>
      <c r="D146" s="150" t="s">
        <v>1553</v>
      </c>
      <c r="E146" s="36"/>
      <c r="F146" s="36"/>
      <c r="G146" s="36"/>
      <c r="H146" s="36"/>
      <c r="I146" s="36"/>
      <c r="J146" s="36"/>
      <c r="K146" s="36"/>
      <c r="L146" s="36"/>
      <c r="M146" s="36"/>
      <c r="N146" s="36"/>
      <c r="O146" s="36"/>
      <c r="P146" s="36"/>
      <c r="Q146" s="36"/>
      <c r="R146" s="36"/>
    </row>
    <row r="147" spans="1:18" x14ac:dyDescent="0.25">
      <c r="A147" s="1238" t="s">
        <v>1568</v>
      </c>
      <c r="B147" s="49" t="s">
        <v>1039</v>
      </c>
      <c r="C147" s="49" t="s">
        <v>1571</v>
      </c>
      <c r="D147" s="150"/>
      <c r="E147" s="36"/>
      <c r="F147" s="36"/>
      <c r="G147" s="36"/>
      <c r="H147" s="36"/>
      <c r="I147" s="36"/>
      <c r="J147" s="36"/>
      <c r="K147" s="36"/>
      <c r="L147" s="36"/>
      <c r="M147" s="36"/>
      <c r="N147" s="36"/>
      <c r="O147" s="36"/>
      <c r="P147" s="36"/>
      <c r="Q147" s="36"/>
      <c r="R147" s="36"/>
    </row>
    <row r="148" spans="1:18" x14ac:dyDescent="0.25">
      <c r="A148" s="1236" t="s">
        <v>508</v>
      </c>
      <c r="B148" s="549">
        <f>'Biomass Data Assumptions'!R16/2000</f>
        <v>564.73560000000009</v>
      </c>
      <c r="C148" s="1239">
        <f>B148*'Energy Content Assumptions'!C39</f>
        <v>480.02526000000006</v>
      </c>
      <c r="D148" s="150" t="s">
        <v>1569</v>
      </c>
      <c r="E148" s="36"/>
      <c r="F148" s="36"/>
      <c r="G148" s="36"/>
      <c r="H148" s="36"/>
      <c r="I148" s="36"/>
      <c r="J148" s="36"/>
      <c r="K148" s="36"/>
      <c r="L148" s="36"/>
      <c r="M148" s="36"/>
      <c r="N148" s="36"/>
      <c r="O148" s="36"/>
      <c r="P148" s="36"/>
      <c r="Q148" s="36"/>
      <c r="R148" s="36"/>
    </row>
    <row r="149" spans="1:18" x14ac:dyDescent="0.25">
      <c r="A149" s="1236" t="s">
        <v>509</v>
      </c>
      <c r="B149" s="549">
        <f>'Biomass Data Assumptions'!S16/2000</f>
        <v>858.01306499999998</v>
      </c>
      <c r="C149" s="1239">
        <f>B149*'Energy Content Assumptions'!C40</f>
        <v>42.900653250000005</v>
      </c>
      <c r="D149" s="150" t="s">
        <v>1570</v>
      </c>
      <c r="E149" s="36"/>
      <c r="F149" s="36"/>
      <c r="G149" s="36"/>
      <c r="H149" s="36"/>
      <c r="I149" s="36"/>
      <c r="J149" s="36"/>
      <c r="K149" s="36"/>
      <c r="L149" s="36"/>
      <c r="M149" s="36"/>
      <c r="N149" s="36"/>
      <c r="O149" s="36"/>
      <c r="P149" s="36"/>
      <c r="Q149" s="36"/>
      <c r="R149" s="36"/>
    </row>
    <row r="150" spans="1:18" x14ac:dyDescent="0.25">
      <c r="A150" s="36"/>
      <c r="B150" s="36"/>
      <c r="C150" s="36"/>
      <c r="D150" s="36"/>
      <c r="E150" s="36"/>
      <c r="F150" s="36"/>
      <c r="G150" s="36"/>
      <c r="H150" s="36"/>
      <c r="I150" s="36"/>
      <c r="J150" s="36"/>
      <c r="K150" s="36"/>
      <c r="L150" s="36"/>
      <c r="M150" s="36"/>
      <c r="N150" s="36"/>
      <c r="O150" s="36"/>
      <c r="P150" s="36"/>
      <c r="Q150" s="36"/>
      <c r="R150" s="36"/>
    </row>
    <row r="151" spans="1:18" x14ac:dyDescent="0.25">
      <c r="A151" s="36"/>
      <c r="B151" s="36"/>
      <c r="C151" s="36"/>
      <c r="D151" s="36"/>
      <c r="E151" s="36"/>
      <c r="F151" s="36"/>
      <c r="G151" s="36"/>
      <c r="H151" s="36"/>
      <c r="I151" s="36"/>
      <c r="J151" s="36"/>
      <c r="K151" s="36"/>
      <c r="L151" s="36"/>
      <c r="M151" s="36"/>
      <c r="N151" s="36"/>
      <c r="O151" s="36"/>
      <c r="P151" s="36"/>
      <c r="Q151" s="36"/>
      <c r="R151" s="36"/>
    </row>
    <row r="152" spans="1:18" x14ac:dyDescent="0.25">
      <c r="A152" s="36"/>
      <c r="B152" s="36"/>
      <c r="C152" s="36"/>
      <c r="D152" s="36"/>
      <c r="E152" s="36"/>
      <c r="F152" s="36"/>
      <c r="G152" s="36"/>
      <c r="H152" s="36"/>
      <c r="I152" s="36"/>
      <c r="J152" s="36"/>
      <c r="K152" s="36"/>
      <c r="L152" s="36"/>
      <c r="M152" s="36"/>
      <c r="N152" s="36"/>
      <c r="O152" s="36"/>
      <c r="P152" s="36"/>
      <c r="Q152" s="36"/>
      <c r="R152" s="36"/>
    </row>
    <row r="153" spans="1:18" x14ac:dyDescent="0.25">
      <c r="A153" s="36"/>
      <c r="B153" s="36"/>
      <c r="C153" s="36"/>
      <c r="D153" s="36"/>
      <c r="E153" s="36"/>
      <c r="F153" s="36"/>
      <c r="G153" s="36"/>
      <c r="H153" s="36"/>
      <c r="I153" s="36"/>
      <c r="J153" s="36"/>
      <c r="K153" s="36"/>
      <c r="L153" s="36"/>
      <c r="M153" s="36"/>
      <c r="N153" s="36"/>
      <c r="O153" s="36"/>
      <c r="P153" s="36"/>
      <c r="Q153" s="36"/>
      <c r="R153" s="36"/>
    </row>
    <row r="154" spans="1:18" x14ac:dyDescent="0.25">
      <c r="A154" s="36"/>
      <c r="B154" s="36"/>
      <c r="C154" s="36"/>
      <c r="D154" s="36"/>
      <c r="E154" s="36"/>
      <c r="F154" s="36"/>
      <c r="G154" s="36"/>
      <c r="H154" s="36"/>
      <c r="I154" s="36"/>
      <c r="J154" s="36"/>
      <c r="K154" s="36"/>
      <c r="L154" s="36"/>
      <c r="M154" s="36"/>
      <c r="N154" s="36"/>
      <c r="O154" s="36"/>
      <c r="P154" s="36"/>
      <c r="Q154" s="36"/>
      <c r="R154" s="36"/>
    </row>
    <row r="155" spans="1:18" x14ac:dyDescent="0.25">
      <c r="A155" s="36"/>
      <c r="B155" s="36"/>
      <c r="C155" s="36"/>
      <c r="D155" s="36"/>
      <c r="E155" s="36"/>
      <c r="F155" s="36"/>
      <c r="G155" s="36"/>
      <c r="H155" s="36"/>
      <c r="I155" s="36"/>
      <c r="J155" s="36"/>
      <c r="K155" s="36"/>
      <c r="L155" s="36"/>
      <c r="M155" s="36"/>
      <c r="N155" s="36"/>
      <c r="O155" s="36"/>
      <c r="P155" s="36"/>
      <c r="Q155" s="36"/>
      <c r="R155" s="36"/>
    </row>
    <row r="156" spans="1:18" x14ac:dyDescent="0.25">
      <c r="A156" s="36"/>
      <c r="B156" s="36"/>
      <c r="C156" s="36"/>
      <c r="D156" s="36"/>
      <c r="E156" s="36"/>
      <c r="F156" s="36"/>
      <c r="G156" s="36"/>
      <c r="H156" s="36"/>
      <c r="I156" s="36"/>
      <c r="J156" s="36"/>
      <c r="K156" s="36"/>
      <c r="L156" s="36"/>
      <c r="M156" s="36"/>
      <c r="N156" s="36"/>
      <c r="O156" s="36"/>
      <c r="P156" s="36"/>
      <c r="Q156" s="36"/>
      <c r="R156" s="36"/>
    </row>
    <row r="157" spans="1:18" x14ac:dyDescent="0.25">
      <c r="A157" s="36"/>
      <c r="B157" s="36"/>
      <c r="C157" s="36"/>
      <c r="D157" s="36"/>
      <c r="E157" s="36"/>
      <c r="F157" s="36"/>
      <c r="G157" s="36"/>
      <c r="H157" s="36"/>
      <c r="I157" s="36"/>
      <c r="J157" s="36"/>
      <c r="K157" s="36"/>
      <c r="L157" s="36"/>
      <c r="M157" s="36"/>
      <c r="N157" s="36"/>
      <c r="O157" s="36"/>
      <c r="P157" s="36"/>
      <c r="Q157" s="36"/>
      <c r="R157" s="36"/>
    </row>
    <row r="158" spans="1:18" x14ac:dyDescent="0.25">
      <c r="A158" s="36"/>
      <c r="B158" s="36"/>
      <c r="C158" s="36"/>
      <c r="D158" s="36"/>
      <c r="E158" s="36"/>
      <c r="F158" s="36"/>
      <c r="G158" s="36"/>
      <c r="H158" s="36"/>
      <c r="I158" s="36"/>
      <c r="J158" s="36"/>
      <c r="K158" s="36"/>
      <c r="L158" s="36"/>
      <c r="M158" s="36"/>
      <c r="N158" s="36"/>
      <c r="O158" s="36"/>
      <c r="P158" s="36"/>
      <c r="Q158" s="36"/>
      <c r="R158" s="36"/>
    </row>
    <row r="159" spans="1:18" x14ac:dyDescent="0.25">
      <c r="A159" s="36"/>
      <c r="B159" s="36"/>
      <c r="C159" s="36"/>
      <c r="D159" s="36"/>
      <c r="E159" s="36"/>
      <c r="F159" s="36"/>
      <c r="G159" s="36"/>
      <c r="H159" s="36"/>
      <c r="I159" s="36"/>
      <c r="J159" s="36"/>
      <c r="K159" s="36"/>
      <c r="L159" s="36"/>
      <c r="M159" s="36"/>
      <c r="N159" s="36"/>
      <c r="O159" s="36"/>
      <c r="P159" s="36"/>
      <c r="Q159" s="36"/>
      <c r="R159" s="36"/>
    </row>
    <row r="160" spans="1:18" x14ac:dyDescent="0.25">
      <c r="A160" s="36"/>
      <c r="B160" s="36"/>
      <c r="C160" s="36"/>
      <c r="D160" s="36"/>
      <c r="E160" s="36"/>
      <c r="F160" s="36"/>
      <c r="G160" s="36"/>
      <c r="H160" s="36"/>
      <c r="I160" s="36"/>
      <c r="J160" s="36"/>
      <c r="K160" s="36"/>
      <c r="L160" s="36"/>
      <c r="M160" s="36"/>
      <c r="N160" s="36"/>
      <c r="O160" s="36"/>
      <c r="P160" s="36"/>
      <c r="Q160" s="36"/>
      <c r="R160" s="36"/>
    </row>
    <row r="161" spans="1:18" x14ac:dyDescent="0.25">
      <c r="A161" s="36"/>
      <c r="B161" s="36"/>
      <c r="C161" s="36"/>
      <c r="D161" s="36"/>
      <c r="E161" s="36"/>
      <c r="F161" s="36"/>
      <c r="G161" s="36"/>
      <c r="H161" s="36"/>
      <c r="I161" s="36"/>
      <c r="J161" s="36"/>
      <c r="K161" s="36"/>
      <c r="L161" s="36"/>
      <c r="M161" s="36"/>
      <c r="N161" s="36"/>
      <c r="O161" s="36"/>
      <c r="P161" s="36"/>
      <c r="Q161" s="36"/>
      <c r="R161" s="36"/>
    </row>
    <row r="162" spans="1:18" x14ac:dyDescent="0.25">
      <c r="A162" s="36"/>
      <c r="B162" s="36"/>
      <c r="C162" s="36"/>
      <c r="D162" s="36"/>
      <c r="E162" s="36"/>
      <c r="F162" s="36"/>
      <c r="G162" s="36"/>
      <c r="H162" s="36"/>
      <c r="I162" s="36"/>
      <c r="J162" s="36"/>
      <c r="K162" s="36"/>
      <c r="L162" s="36"/>
      <c r="M162" s="36"/>
      <c r="N162" s="36"/>
      <c r="O162" s="36"/>
      <c r="P162" s="36"/>
      <c r="Q162" s="36"/>
      <c r="R162" s="36"/>
    </row>
    <row r="163" spans="1:18" x14ac:dyDescent="0.25">
      <c r="A163" s="36"/>
      <c r="B163" s="36"/>
      <c r="C163" s="36"/>
      <c r="D163" s="36"/>
      <c r="E163" s="36"/>
      <c r="F163" s="36"/>
      <c r="G163" s="36"/>
      <c r="H163" s="36"/>
      <c r="I163" s="36"/>
      <c r="J163" s="36"/>
      <c r="K163" s="36"/>
      <c r="L163" s="36"/>
      <c r="M163" s="36"/>
      <c r="N163" s="36"/>
      <c r="O163" s="36"/>
      <c r="P163" s="36"/>
      <c r="Q163" s="36"/>
      <c r="R163" s="36"/>
    </row>
    <row r="164" spans="1:18" x14ac:dyDescent="0.25">
      <c r="A164" s="36"/>
      <c r="B164" s="36"/>
      <c r="C164" s="36"/>
      <c r="D164" s="36"/>
      <c r="E164" s="36"/>
      <c r="F164" s="36"/>
      <c r="G164" s="36"/>
      <c r="H164" s="36"/>
      <c r="I164" s="36"/>
      <c r="J164" s="36"/>
      <c r="K164" s="36"/>
      <c r="L164" s="36"/>
      <c r="M164" s="36"/>
      <c r="N164" s="36"/>
      <c r="O164" s="36"/>
      <c r="P164" s="36"/>
      <c r="Q164" s="36"/>
      <c r="R164" s="36"/>
    </row>
    <row r="165" spans="1:18" x14ac:dyDescent="0.25">
      <c r="A165" s="36"/>
      <c r="B165" s="36"/>
      <c r="C165" s="36"/>
      <c r="D165" s="36"/>
      <c r="E165" s="36"/>
      <c r="F165" s="36"/>
      <c r="G165" s="36"/>
      <c r="H165" s="36"/>
      <c r="I165" s="36"/>
      <c r="J165" s="36"/>
      <c r="K165" s="36"/>
      <c r="L165" s="36"/>
      <c r="M165" s="36"/>
      <c r="N165" s="36"/>
      <c r="O165" s="36"/>
      <c r="P165" s="36"/>
      <c r="Q165" s="36"/>
      <c r="R165" s="36"/>
    </row>
    <row r="166" spans="1:18" x14ac:dyDescent="0.25">
      <c r="A166" s="36"/>
      <c r="B166" s="36"/>
      <c r="C166" s="36"/>
      <c r="D166" s="36"/>
      <c r="E166" s="36"/>
      <c r="F166" s="36"/>
      <c r="G166" s="36"/>
      <c r="H166" s="36"/>
      <c r="I166" s="36"/>
      <c r="J166" s="36"/>
      <c r="K166" s="36"/>
      <c r="L166" s="36"/>
      <c r="M166" s="36"/>
      <c r="N166" s="36"/>
      <c r="O166" s="36"/>
      <c r="P166" s="36"/>
      <c r="Q166" s="36"/>
      <c r="R166" s="36"/>
    </row>
    <row r="167" spans="1:18" x14ac:dyDescent="0.25">
      <c r="A167" s="36"/>
      <c r="B167" s="36"/>
      <c r="C167" s="36"/>
      <c r="D167" s="36"/>
      <c r="E167" s="36"/>
      <c r="F167" s="36"/>
      <c r="G167" s="36"/>
      <c r="H167" s="36"/>
      <c r="I167" s="36"/>
      <c r="J167" s="36"/>
      <c r="K167" s="36"/>
      <c r="L167" s="36"/>
      <c r="M167" s="36"/>
      <c r="N167" s="36"/>
      <c r="O167" s="36"/>
      <c r="P167" s="36"/>
      <c r="Q167" s="36"/>
      <c r="R167" s="36"/>
    </row>
    <row r="168" spans="1:18" x14ac:dyDescent="0.25">
      <c r="A168" s="36"/>
      <c r="B168" s="36"/>
      <c r="C168" s="36"/>
      <c r="D168" s="36"/>
      <c r="E168" s="36"/>
      <c r="F168" s="36"/>
      <c r="G168" s="36"/>
      <c r="H168" s="36"/>
      <c r="I168" s="36"/>
      <c r="J168" s="36"/>
      <c r="K168" s="36"/>
      <c r="L168" s="36"/>
      <c r="M168" s="36"/>
      <c r="N168" s="36"/>
      <c r="O168" s="36"/>
      <c r="P168" s="36"/>
      <c r="Q168" s="36"/>
      <c r="R168" s="36"/>
    </row>
    <row r="169" spans="1:18" x14ac:dyDescent="0.25">
      <c r="A169" s="36"/>
      <c r="B169" s="36"/>
      <c r="C169" s="36"/>
      <c r="D169" s="36"/>
      <c r="E169" s="36"/>
      <c r="F169" s="36"/>
      <c r="G169" s="36"/>
      <c r="H169" s="36"/>
      <c r="I169" s="36"/>
      <c r="J169" s="36"/>
      <c r="K169" s="36"/>
      <c r="L169" s="36"/>
      <c r="M169" s="36"/>
      <c r="N169" s="36"/>
      <c r="O169" s="36"/>
      <c r="P169" s="36"/>
      <c r="Q169" s="36"/>
      <c r="R169" s="36"/>
    </row>
    <row r="170" spans="1:18" x14ac:dyDescent="0.25">
      <c r="A170" s="36"/>
      <c r="B170" s="36"/>
      <c r="C170" s="36"/>
      <c r="D170" s="36"/>
      <c r="E170" s="36"/>
      <c r="F170" s="36"/>
      <c r="G170" s="36"/>
      <c r="H170" s="36"/>
      <c r="I170" s="36"/>
      <c r="J170" s="36"/>
      <c r="K170" s="36"/>
      <c r="L170" s="36"/>
      <c r="M170" s="36"/>
      <c r="N170" s="36"/>
      <c r="O170" s="36"/>
      <c r="P170" s="36"/>
      <c r="Q170" s="36"/>
      <c r="R170" s="36"/>
    </row>
    <row r="171" spans="1:18" x14ac:dyDescent="0.25">
      <c r="P171" s="36"/>
      <c r="Q171" s="36"/>
      <c r="R171" s="36"/>
    </row>
    <row r="172" spans="1:18" x14ac:dyDescent="0.25">
      <c r="P172" s="36"/>
      <c r="Q172" s="36"/>
      <c r="R172" s="36"/>
    </row>
    <row r="173" spans="1:18" x14ac:dyDescent="0.25">
      <c r="P173" s="36"/>
      <c r="Q173" s="36"/>
      <c r="R173" s="36"/>
    </row>
    <row r="174" spans="1:18" x14ac:dyDescent="0.25">
      <c r="P174" s="36"/>
      <c r="Q174" s="36"/>
      <c r="R174" s="36"/>
    </row>
    <row r="175" spans="1:18" x14ac:dyDescent="0.25">
      <c r="P175" s="36"/>
      <c r="Q175" s="36"/>
      <c r="R175" s="36"/>
    </row>
    <row r="176" spans="1:18" x14ac:dyDescent="0.25">
      <c r="P176" s="36"/>
      <c r="Q176" s="36"/>
      <c r="R176" s="36"/>
    </row>
    <row r="177" spans="16:18" x14ac:dyDescent="0.25">
      <c r="P177" s="36"/>
      <c r="Q177" s="36"/>
      <c r="R177" s="36"/>
    </row>
    <row r="178" spans="16:18" x14ac:dyDescent="0.25">
      <c r="P178" s="36"/>
      <c r="Q178" s="36"/>
      <c r="R178" s="36"/>
    </row>
    <row r="179" spans="16:18" x14ac:dyDescent="0.25">
      <c r="P179" s="36"/>
      <c r="Q179" s="36"/>
      <c r="R179" s="36"/>
    </row>
    <row r="180" spans="16:18" x14ac:dyDescent="0.25">
      <c r="P180" s="36"/>
      <c r="Q180" s="36"/>
      <c r="R180" s="36"/>
    </row>
    <row r="181" spans="16:18" x14ac:dyDescent="0.25">
      <c r="P181" s="36"/>
      <c r="Q181" s="36"/>
      <c r="R181" s="36"/>
    </row>
    <row r="182" spans="16:18" x14ac:dyDescent="0.25">
      <c r="P182" s="36"/>
      <c r="Q182" s="36"/>
      <c r="R182" s="36"/>
    </row>
    <row r="183" spans="16:18" x14ac:dyDescent="0.25">
      <c r="P183" s="36"/>
      <c r="Q183" s="36"/>
      <c r="R183" s="36"/>
    </row>
    <row r="184" spans="16:18" x14ac:dyDescent="0.25">
      <c r="P184" s="36"/>
      <c r="Q184" s="36"/>
      <c r="R184" s="36"/>
    </row>
    <row r="185" spans="16:18" x14ac:dyDescent="0.25">
      <c r="P185" s="36"/>
      <c r="Q185" s="36"/>
      <c r="R185" s="36"/>
    </row>
    <row r="186" spans="16:18" x14ac:dyDescent="0.25">
      <c r="P186" s="36"/>
      <c r="Q186" s="36"/>
      <c r="R186" s="36"/>
    </row>
    <row r="187" spans="16:18" x14ac:dyDescent="0.25">
      <c r="P187" s="36"/>
      <c r="Q187" s="36"/>
      <c r="R187" s="36"/>
    </row>
    <row r="188" spans="16:18" x14ac:dyDescent="0.25">
      <c r="P188" s="36"/>
      <c r="Q188" s="36"/>
      <c r="R188" s="36"/>
    </row>
    <row r="189" spans="16:18" x14ac:dyDescent="0.25">
      <c r="P189" s="36"/>
      <c r="Q189" s="36"/>
      <c r="R189" s="36"/>
    </row>
    <row r="190" spans="16:18" x14ac:dyDescent="0.25">
      <c r="P190" s="36"/>
      <c r="Q190" s="36"/>
      <c r="R190" s="36"/>
    </row>
    <row r="191" spans="16:18" x14ac:dyDescent="0.25">
      <c r="P191" s="36"/>
      <c r="Q191" s="36"/>
      <c r="R191" s="36"/>
    </row>
    <row r="192" spans="16:18" x14ac:dyDescent="0.25">
      <c r="P192" s="36"/>
      <c r="Q192" s="36"/>
      <c r="R192" s="36"/>
    </row>
    <row r="193" spans="16:18" x14ac:dyDescent="0.25">
      <c r="P193" s="36"/>
      <c r="Q193" s="36"/>
      <c r="R193" s="36"/>
    </row>
    <row r="194" spans="16:18" x14ac:dyDescent="0.25">
      <c r="P194" s="36"/>
      <c r="Q194" s="36"/>
      <c r="R194" s="36"/>
    </row>
    <row r="195" spans="16:18" x14ac:dyDescent="0.25">
      <c r="P195" s="36"/>
      <c r="Q195" s="36"/>
      <c r="R195" s="36"/>
    </row>
    <row r="196" spans="16:18" x14ac:dyDescent="0.25">
      <c r="P196" s="36"/>
      <c r="Q196" s="36"/>
      <c r="R196" s="36"/>
    </row>
    <row r="197" spans="16:18" x14ac:dyDescent="0.25">
      <c r="P197" s="36"/>
      <c r="Q197" s="36"/>
      <c r="R197" s="36"/>
    </row>
    <row r="198" spans="16:18" x14ac:dyDescent="0.25">
      <c r="P198" s="36"/>
      <c r="Q198" s="36"/>
      <c r="R198" s="36"/>
    </row>
    <row r="199" spans="16:18" x14ac:dyDescent="0.25">
      <c r="P199" s="36"/>
      <c r="Q199" s="36"/>
      <c r="R199" s="36"/>
    </row>
  </sheetData>
  <mergeCells count="15">
    <mergeCell ref="A3:A4"/>
    <mergeCell ref="B3:B4"/>
    <mergeCell ref="C3:C4"/>
    <mergeCell ref="A51:A67"/>
    <mergeCell ref="A5:A11"/>
    <mergeCell ref="A13:A29"/>
    <mergeCell ref="A31:A43"/>
    <mergeCell ref="A45:A49"/>
    <mergeCell ref="I1:L1"/>
    <mergeCell ref="M1:P1"/>
    <mergeCell ref="Q3:Q4"/>
    <mergeCell ref="D3:D4"/>
    <mergeCell ref="I3:L3"/>
    <mergeCell ref="M3:P3"/>
    <mergeCell ref="E3:H3"/>
  </mergeCells>
  <phoneticPr fontId="0" type="noConversion"/>
  <pageMargins left="0.75" right="0.75" top="1" bottom="1" header="0.5" footer="0.5"/>
  <pageSetup paperSize="5" scale="50" orientation="landscape" r:id="rId1"/>
  <headerFooter alignWithMargins="0">
    <oddFooter>&amp;L&amp;"Arial,Italic" 7/02/07&amp;C&amp;"Arial,Italic"&amp;A&amp;R&amp;"Arial,Italic"NJAES Report 2007-1 ©2007
New Jersey Agricultural Experiment Station</oddFooter>
  </headerFooter>
  <ignoredErrors>
    <ignoredError sqref="D67" formula="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S202"/>
  <sheetViews>
    <sheetView topLeftCell="A118" zoomScale="70" zoomScaleNormal="70" workbookViewId="0">
      <selection activeCell="C147" sqref="C147"/>
    </sheetView>
  </sheetViews>
  <sheetFormatPr defaultColWidth="9.109375" defaultRowHeight="13.2" x14ac:dyDescent="0.25"/>
  <cols>
    <col min="1" max="1" width="28.6640625" style="5" customWidth="1"/>
    <col min="2" max="2" width="42.6640625" style="5" customWidth="1"/>
    <col min="3" max="3" width="23.6640625" style="5" customWidth="1"/>
    <col min="4" max="4" width="18.6640625" style="5" customWidth="1"/>
    <col min="5" max="16" width="14.6640625" style="5" customWidth="1"/>
    <col min="17" max="17" width="45.6640625" style="5" customWidth="1"/>
    <col min="18" max="18" width="34.44140625" style="5" customWidth="1"/>
    <col min="19" max="19" width="19.33203125" style="5" customWidth="1"/>
    <col min="20" max="20" width="14" style="5" customWidth="1"/>
    <col min="21" max="16384" width="9.109375" style="5"/>
  </cols>
  <sheetData>
    <row r="1" spans="1:17" ht="15.6" x14ac:dyDescent="0.3">
      <c r="A1" s="407" t="s">
        <v>441</v>
      </c>
      <c r="E1" s="412" t="s">
        <v>433</v>
      </c>
      <c r="I1" s="1195" t="str">
        <f>'Bioenergy Calculator'!B3</f>
        <v>None</v>
      </c>
      <c r="J1" s="1195"/>
      <c r="K1" s="1195"/>
      <c r="L1" s="1196"/>
      <c r="M1" s="1195" t="str">
        <f>'Bioenergy Calculator'!B4</f>
        <v>None</v>
      </c>
      <c r="N1" s="1195"/>
      <c r="O1" s="1195"/>
      <c r="P1" s="1196"/>
    </row>
    <row r="3" spans="1:17" s="6" customFormat="1" ht="24.75" customHeight="1" x14ac:dyDescent="0.25">
      <c r="A3" s="1062" t="s">
        <v>567</v>
      </c>
      <c r="B3" s="1062" t="s">
        <v>506</v>
      </c>
      <c r="C3" s="1062" t="s">
        <v>1035</v>
      </c>
      <c r="D3" s="1062" t="s">
        <v>1051</v>
      </c>
      <c r="E3" s="1083" t="s">
        <v>523</v>
      </c>
      <c r="F3" s="1209"/>
      <c r="G3" s="1209"/>
      <c r="H3" s="1198"/>
      <c r="I3" s="1072" t="s">
        <v>275</v>
      </c>
      <c r="J3" s="1073"/>
      <c r="K3" s="1074"/>
      <c r="L3" s="1075"/>
      <c r="M3" s="1083" t="s">
        <v>274</v>
      </c>
      <c r="N3" s="1084"/>
      <c r="O3" s="1197"/>
      <c r="P3" s="1198"/>
      <c r="Q3" s="1060" t="s">
        <v>570</v>
      </c>
    </row>
    <row r="4" spans="1:17" s="6" customFormat="1" x14ac:dyDescent="0.25">
      <c r="A4" s="1063"/>
      <c r="B4" s="1063"/>
      <c r="C4" s="1063"/>
      <c r="D4" s="1071"/>
      <c r="E4" s="22">
        <v>2010</v>
      </c>
      <c r="F4" s="22">
        <v>2015</v>
      </c>
      <c r="G4" s="22">
        <v>2020</v>
      </c>
      <c r="H4" s="22">
        <v>2025</v>
      </c>
      <c r="I4" s="22">
        <v>2010</v>
      </c>
      <c r="J4" s="22">
        <v>2015</v>
      </c>
      <c r="K4" s="22">
        <v>2020</v>
      </c>
      <c r="L4" s="22">
        <v>2025</v>
      </c>
      <c r="M4" s="22">
        <v>2010</v>
      </c>
      <c r="N4" s="22">
        <v>2015</v>
      </c>
      <c r="O4" s="22">
        <v>2020</v>
      </c>
      <c r="P4" s="22">
        <v>2025</v>
      </c>
      <c r="Q4" s="1061"/>
    </row>
    <row r="5" spans="1:17" x14ac:dyDescent="0.25">
      <c r="A5" s="1064" t="s">
        <v>513</v>
      </c>
      <c r="B5" s="1" t="s">
        <v>511</v>
      </c>
      <c r="C5" s="13"/>
      <c r="D5" s="13"/>
      <c r="E5" s="13"/>
      <c r="F5" s="13"/>
      <c r="G5" s="13"/>
      <c r="H5" s="13"/>
      <c r="I5" s="7"/>
      <c r="J5" s="7"/>
      <c r="K5" s="7"/>
      <c r="L5" s="7"/>
      <c r="M5" s="7"/>
      <c r="N5" s="7"/>
      <c r="O5" s="7"/>
      <c r="P5" s="7"/>
      <c r="Q5" s="7"/>
    </row>
    <row r="6" spans="1:17" x14ac:dyDescent="0.25">
      <c r="A6" s="1064"/>
      <c r="B6" s="11" t="str">
        <f>IF('Prac. Rec. Assumptions'!$B$56='Prac. Rec. Assumptions'!$V$3,A74,IF('Prac. Rec. Assumptions'!B57="No",A74,"Sorghum- Converted to Energy Crop"))</f>
        <v>Sorghum</v>
      </c>
      <c r="C6" s="294">
        <f>IF('Prac. Rec. Assumptions'!$B$56='Prac. Rec. Assumptions'!$V$3,D74,IF('Prac. Rec. Assumptions'!B57="No",D74,0))</f>
        <v>133.47319999999999</v>
      </c>
      <c r="D6" s="294" t="s">
        <v>431</v>
      </c>
      <c r="E6" s="294">
        <f>C6*'Prac. Rec. Assumptions'!B4</f>
        <v>0</v>
      </c>
      <c r="F6" s="294">
        <f>$E6</f>
        <v>0</v>
      </c>
      <c r="G6" s="294">
        <f>$E6</f>
        <v>0</v>
      </c>
      <c r="H6" s="294">
        <f>$E6</f>
        <v>0</v>
      </c>
      <c r="I6" s="16" t="str">
        <f>IF('Conversion Tables'!F7="NA","NA",$D6/'Conversion Tables'!F7)</f>
        <v>NA</v>
      </c>
      <c r="J6" s="16" t="str">
        <f>IF('Conversion Tables'!G7="NA","NA",$D6/'Conversion Tables'!G7)</f>
        <v>NA</v>
      </c>
      <c r="K6" s="16" t="str">
        <f>IF('Conversion Tables'!H7="NA","NA",$D6/'Conversion Tables'!H7)</f>
        <v>NA</v>
      </c>
      <c r="L6" s="16" t="str">
        <f>IF('Conversion Tables'!H7="NA","NA",$D6/'Conversion Tables'!H7)</f>
        <v>NA</v>
      </c>
      <c r="M6" s="16" t="str">
        <f>IF('Conversion Tables'!K7="NA","NA",$C74*'Conversion Tables'!K7)</f>
        <v>NA</v>
      </c>
      <c r="N6" s="16" t="str">
        <f>IF('Conversion Tables'!L7="NA","NA",$C74*'Conversion Tables'!L7)</f>
        <v>NA</v>
      </c>
      <c r="O6" s="16" t="str">
        <f>IF('Conversion Tables'!M7="NA","NA",$C74*'Conversion Tables'!M7)</f>
        <v>NA</v>
      </c>
      <c r="P6" s="16" t="str">
        <f>IF('Conversion Tables'!N7="NA","NA",$C74*'Conversion Tables'!N7)</f>
        <v>NA</v>
      </c>
      <c r="Q6" s="15"/>
    </row>
    <row r="7" spans="1:17" x14ac:dyDescent="0.25">
      <c r="A7" s="1064"/>
      <c r="B7" s="11" t="str">
        <f>IF('Prac. Rec. Assumptions'!$B$56='Prac. Rec. Assumptions'!$V$3,A75,IF('Prac. Rec. Assumptions'!B59="No",A75,"Rye- Converted to Energy Crop"))</f>
        <v>Rye</v>
      </c>
      <c r="C7" s="294">
        <f>IF('Prac. Rec. Assumptions'!$B$56='Prac. Rec. Assumptions'!$V$3,D75,IF('Prac. Rec. Assumptions'!B59="No",D75,0))</f>
        <v>343.21560000000005</v>
      </c>
      <c r="D7" s="294" t="s">
        <v>431</v>
      </c>
      <c r="E7" s="294">
        <f>C7*'Prac. Rec. Assumptions'!B5</f>
        <v>0</v>
      </c>
      <c r="F7" s="294">
        <f t="shared" ref="F7:H10" si="0">$E7</f>
        <v>0</v>
      </c>
      <c r="G7" s="294">
        <f t="shared" si="0"/>
        <v>0</v>
      </c>
      <c r="H7" s="294">
        <f t="shared" si="0"/>
        <v>0</v>
      </c>
      <c r="I7" s="16" t="str">
        <f>IF('Conversion Tables'!F8="NA","NA",$D7/'Conversion Tables'!F8)</f>
        <v>NA</v>
      </c>
      <c r="J7" s="16" t="str">
        <f>IF('Conversion Tables'!G8="NA","NA",$D7/'Conversion Tables'!G8)</f>
        <v>NA</v>
      </c>
      <c r="K7" s="16" t="str">
        <f>IF('Conversion Tables'!H8="NA","NA",$D7/'Conversion Tables'!H8)</f>
        <v>NA</v>
      </c>
      <c r="L7" s="16" t="str">
        <f>IF('Conversion Tables'!H8="NA","NA",$D7/'Conversion Tables'!H8)</f>
        <v>NA</v>
      </c>
      <c r="M7" s="16" t="str">
        <f>IF('Conversion Tables'!K8="NA","NA",$C75*'Conversion Tables'!K8)</f>
        <v>NA</v>
      </c>
      <c r="N7" s="16" t="str">
        <f>IF('Conversion Tables'!L8="NA","NA",$C75*'Conversion Tables'!L8)</f>
        <v>NA</v>
      </c>
      <c r="O7" s="16" t="str">
        <f>IF('Conversion Tables'!M8="NA","NA",$C75*'Conversion Tables'!M8)</f>
        <v>NA</v>
      </c>
      <c r="P7" s="16" t="str">
        <f>IF('Conversion Tables'!N8="NA","NA",$C75*'Conversion Tables'!N8)</f>
        <v>NA</v>
      </c>
      <c r="Q7" s="15"/>
    </row>
    <row r="8" spans="1:17" x14ac:dyDescent="0.25">
      <c r="A8" s="1064"/>
      <c r="B8" s="11" t="str">
        <f>IF('Prac. Rec. Assumptions'!$B$56='Prac. Rec. Assumptions'!$V$3,A76,IF('Prac. Rec. Assumptions'!B60="No",A76,"Corn for Grain- Converted to Energy Crop"))</f>
        <v>Corn for Grain</v>
      </c>
      <c r="C8" s="294">
        <f>IF('Prac. Rec. Assumptions'!$B$56='Prac. Rec. Assumptions'!$V$3,D76,IF('Prac. Rec. Assumptions'!B60="No",D76,0))</f>
        <v>7318.5</v>
      </c>
      <c r="D8" s="294" t="s">
        <v>431</v>
      </c>
      <c r="E8" s="294">
        <f>C8*'Prac. Rec. Assumptions'!B6</f>
        <v>0</v>
      </c>
      <c r="F8" s="294">
        <f t="shared" si="0"/>
        <v>0</v>
      </c>
      <c r="G8" s="294">
        <f t="shared" si="0"/>
        <v>0</v>
      </c>
      <c r="H8" s="294">
        <f t="shared" si="0"/>
        <v>0</v>
      </c>
      <c r="I8" s="16" t="str">
        <f>IF('Conversion Tables'!F9="NA","NA",$D8/'Conversion Tables'!F9)</f>
        <v>NA</v>
      </c>
      <c r="J8" s="16" t="str">
        <f>IF('Conversion Tables'!G9="NA","NA",$D8/'Conversion Tables'!G9)</f>
        <v>NA</v>
      </c>
      <c r="K8" s="16" t="str">
        <f>IF('Conversion Tables'!H9="NA","NA",$D8/'Conversion Tables'!H9)</f>
        <v>NA</v>
      </c>
      <c r="L8" s="16" t="str">
        <f>IF('Conversion Tables'!H9="NA","NA",$D8/'Conversion Tables'!H9)</f>
        <v>NA</v>
      </c>
      <c r="M8" s="16" t="str">
        <f>IF('Conversion Tables'!K9="NA","NA",$C76*'Conversion Tables'!K9)</f>
        <v>NA</v>
      </c>
      <c r="N8" s="16" t="str">
        <f>IF('Conversion Tables'!L9="NA","NA",$C76*'Conversion Tables'!L9)</f>
        <v>NA</v>
      </c>
      <c r="O8" s="16" t="str">
        <f>IF('Conversion Tables'!M9="NA","NA",$C76*'Conversion Tables'!M9)</f>
        <v>NA</v>
      </c>
      <c r="P8" s="16" t="str">
        <f>IF('Conversion Tables'!N9="NA","NA",$C76*'Conversion Tables'!N9)</f>
        <v>NA</v>
      </c>
      <c r="Q8" s="15"/>
    </row>
    <row r="9" spans="1:17" x14ac:dyDescent="0.25">
      <c r="A9" s="1064"/>
      <c r="B9" s="11" t="str">
        <f>IF('Prac. Rec. Assumptions'!$B$56='Prac. Rec. Assumptions'!$V$3,A78,IF('Prac. Rec. Assumptions'!B64="No",A78,"Wheat- Converted to Energy Crop"))</f>
        <v>Wheat</v>
      </c>
      <c r="C9" s="294">
        <f>IF('Prac. Rec. Assumptions'!$B$56='Prac. Rec. Assumptions'!$V$3,D78,IF('Prac. Rec. Assumptions'!B64="No",D78,0))</f>
        <v>716.04</v>
      </c>
      <c r="D9" s="294" t="s">
        <v>431</v>
      </c>
      <c r="E9" s="294">
        <f>C9*'Prac. Rec. Assumptions'!B7</f>
        <v>0</v>
      </c>
      <c r="F9" s="294">
        <f t="shared" si="0"/>
        <v>0</v>
      </c>
      <c r="G9" s="294">
        <f t="shared" si="0"/>
        <v>0</v>
      </c>
      <c r="H9" s="294">
        <f t="shared" si="0"/>
        <v>0</v>
      </c>
      <c r="I9" s="16" t="str">
        <f>IF('Conversion Tables'!F10="NA","NA",$D9/'Conversion Tables'!F10)</f>
        <v>NA</v>
      </c>
      <c r="J9" s="16" t="str">
        <f>IF('Conversion Tables'!G10="NA","NA",$D9/'Conversion Tables'!G10)</f>
        <v>NA</v>
      </c>
      <c r="K9" s="16" t="str">
        <f>IF('Conversion Tables'!H10="NA","NA",$D9/'Conversion Tables'!H10)</f>
        <v>NA</v>
      </c>
      <c r="L9" s="16" t="str">
        <f>IF('Conversion Tables'!H10="NA","NA",$D9/'Conversion Tables'!H10)</f>
        <v>NA</v>
      </c>
      <c r="M9" s="16" t="str">
        <f>IF('Conversion Tables'!K10="NA","NA",$C78*'Conversion Tables'!K10)</f>
        <v>NA</v>
      </c>
      <c r="N9" s="16" t="str">
        <f>IF('Conversion Tables'!L10="NA","NA",$C78*'Conversion Tables'!L10)</f>
        <v>NA</v>
      </c>
      <c r="O9" s="16" t="str">
        <f>IF('Conversion Tables'!M10="NA","NA",$C78*'Conversion Tables'!M10)</f>
        <v>NA</v>
      </c>
      <c r="P9" s="16" t="str">
        <f>IF('Conversion Tables'!N10="NA","NA",$C78*'Conversion Tables'!N10)</f>
        <v>NA</v>
      </c>
      <c r="Q9" s="15"/>
    </row>
    <row r="10" spans="1:17" x14ac:dyDescent="0.25">
      <c r="A10" s="1064"/>
      <c r="B10" s="129" t="s">
        <v>301</v>
      </c>
      <c r="C10" s="294"/>
      <c r="D10" s="294" t="s">
        <v>431</v>
      </c>
      <c r="E10" s="294">
        <f>C10*'Prac. Rec. Assumptions'!B8</f>
        <v>0</v>
      </c>
      <c r="F10" s="294">
        <f t="shared" si="0"/>
        <v>0</v>
      </c>
      <c r="G10" s="294">
        <f t="shared" si="0"/>
        <v>0</v>
      </c>
      <c r="H10" s="294">
        <f t="shared" si="0"/>
        <v>0</v>
      </c>
      <c r="I10" s="16" t="str">
        <f>IF('Conversion Tables'!F11="NA","NA",$D10/'Conversion Tables'!F11)</f>
        <v>NA</v>
      </c>
      <c r="J10" s="16" t="str">
        <f>IF('Conversion Tables'!G11="NA","NA",$D10/'Conversion Tables'!G11)</f>
        <v>NA</v>
      </c>
      <c r="K10" s="16" t="str">
        <f>IF('Conversion Tables'!H11="NA","NA",$D10/'Conversion Tables'!H11)</f>
        <v>NA</v>
      </c>
      <c r="L10" s="16" t="str">
        <f>IF('Conversion Tables'!H11="NA","NA",$D10/'Conversion Tables'!H11)</f>
        <v>NA</v>
      </c>
      <c r="M10" s="16" t="str">
        <f>IF('Conversion Tables'!K11="NA","NA",E10*'Conversion Tables'!K11)</f>
        <v>NA</v>
      </c>
      <c r="N10" s="16" t="str">
        <f>IF('Conversion Tables'!L11="NA","NA",F10*'Conversion Tables'!L11)</f>
        <v>NA</v>
      </c>
      <c r="O10" s="16" t="str">
        <f>IF('Conversion Tables'!M11="NA","NA",G10*'Conversion Tables'!M11)</f>
        <v>NA</v>
      </c>
      <c r="P10" s="16" t="str">
        <f>IF('Conversion Tables'!N11="NA","NA",H10*'Conversion Tables'!N11)</f>
        <v>NA</v>
      </c>
      <c r="Q10" s="7"/>
    </row>
    <row r="11" spans="1:17" x14ac:dyDescent="0.25">
      <c r="A11" s="1065"/>
      <c r="B11" s="9" t="s">
        <v>524</v>
      </c>
      <c r="C11" s="295">
        <f t="shared" ref="C11:P11" si="1">SUM(C5:C10)</f>
        <v>8511.2288000000008</v>
      </c>
      <c r="D11" s="295">
        <f t="shared" si="1"/>
        <v>0</v>
      </c>
      <c r="E11" s="295">
        <f t="shared" si="1"/>
        <v>0</v>
      </c>
      <c r="F11" s="295">
        <f t="shared" si="1"/>
        <v>0</v>
      </c>
      <c r="G11" s="295">
        <f t="shared" si="1"/>
        <v>0</v>
      </c>
      <c r="H11" s="295">
        <f t="shared" si="1"/>
        <v>0</v>
      </c>
      <c r="I11" s="19">
        <f t="shared" si="1"/>
        <v>0</v>
      </c>
      <c r="J11" s="19">
        <f t="shared" si="1"/>
        <v>0</v>
      </c>
      <c r="K11" s="19">
        <f t="shared" si="1"/>
        <v>0</v>
      </c>
      <c r="L11" s="19">
        <f t="shared" si="1"/>
        <v>0</v>
      </c>
      <c r="M11" s="19">
        <f t="shared" si="1"/>
        <v>0</v>
      </c>
      <c r="N11" s="19">
        <f t="shared" si="1"/>
        <v>0</v>
      </c>
      <c r="O11" s="19">
        <f t="shared" si="1"/>
        <v>0</v>
      </c>
      <c r="P11" s="19">
        <f t="shared" si="1"/>
        <v>0</v>
      </c>
      <c r="Q11" s="19"/>
    </row>
    <row r="12" spans="1:17" x14ac:dyDescent="0.25">
      <c r="A12" s="8"/>
      <c r="C12" s="296"/>
      <c r="D12" s="296"/>
      <c r="E12" s="296"/>
      <c r="F12" s="296"/>
      <c r="G12" s="296"/>
      <c r="H12" s="296"/>
      <c r="I12" s="28"/>
      <c r="J12" s="28"/>
      <c r="K12" s="28"/>
      <c r="L12" s="28"/>
      <c r="M12" s="28"/>
      <c r="N12" s="28"/>
      <c r="O12" s="28"/>
      <c r="P12" s="28"/>
    </row>
    <row r="13" spans="1:17" x14ac:dyDescent="0.25">
      <c r="A13" s="1206" t="s">
        <v>514</v>
      </c>
      <c r="B13" s="1" t="s">
        <v>507</v>
      </c>
      <c r="C13" s="294">
        <f>D90</f>
        <v>0</v>
      </c>
      <c r="D13" s="294">
        <f>E13*'Conversion Tables'!C12</f>
        <v>0</v>
      </c>
      <c r="E13" s="294">
        <f>C13*'Prac. Rec. Assumptions'!B9</f>
        <v>0</v>
      </c>
      <c r="F13" s="294">
        <f>$E13</f>
        <v>0</v>
      </c>
      <c r="G13" s="294">
        <f>$E13</f>
        <v>0</v>
      </c>
      <c r="H13" s="294">
        <f>$E13</f>
        <v>0</v>
      </c>
      <c r="I13" s="16" t="str">
        <f>IF('Conversion Tables'!F12="NA","NA",(E13*'Conversion Tables'!$C12)/'Conversion Tables'!F12)</f>
        <v>NA</v>
      </c>
      <c r="J13" s="16" t="str">
        <f>IF('Conversion Tables'!G12="NA","NA",(F13*'Conversion Tables'!$C12)/'Conversion Tables'!G12)</f>
        <v>NA</v>
      </c>
      <c r="K13" s="16" t="str">
        <f>IF('Conversion Tables'!H12="NA","NA",(G13*'Conversion Tables'!$C12)/'Conversion Tables'!H12)</f>
        <v>NA</v>
      </c>
      <c r="L13" s="16" t="str">
        <f>IF('Conversion Tables'!I12="NA","NA",(H13*'Conversion Tables'!$C12)/'Conversion Tables'!I12)</f>
        <v>NA</v>
      </c>
      <c r="M13" s="16" t="str">
        <f>IF('Conversion Tables'!K12="NA","NA",E13*'Conversion Tables'!K12)</f>
        <v>NA</v>
      </c>
      <c r="N13" s="16" t="str">
        <f>IF('Conversion Tables'!L12="NA","NA",F13*'Conversion Tables'!L12)</f>
        <v>NA</v>
      </c>
      <c r="O13" s="16" t="str">
        <f>IF('Conversion Tables'!M12="NA","NA",G13*'Conversion Tables'!M12)</f>
        <v>NA</v>
      </c>
      <c r="P13" s="16" t="str">
        <f>IF('Conversion Tables'!N12="NA","NA",H13*'Conversion Tables'!N12)</f>
        <v>NA</v>
      </c>
      <c r="Q13" s="7"/>
    </row>
    <row r="14" spans="1:17" x14ac:dyDescent="0.25">
      <c r="A14" s="1207"/>
      <c r="B14" s="1" t="s">
        <v>504</v>
      </c>
      <c r="C14" s="294"/>
      <c r="D14" s="294"/>
      <c r="E14" s="294"/>
      <c r="F14" s="294"/>
      <c r="G14" s="294"/>
      <c r="H14" s="294"/>
      <c r="I14" s="16"/>
      <c r="J14" s="16"/>
      <c r="K14" s="16"/>
      <c r="L14" s="16"/>
      <c r="M14" s="16"/>
      <c r="N14" s="16"/>
      <c r="O14" s="16"/>
      <c r="P14" s="16"/>
      <c r="Q14" s="7"/>
    </row>
    <row r="15" spans="1:17" x14ac:dyDescent="0.25">
      <c r="A15" s="1207"/>
      <c r="B15" s="11" t="str">
        <f>IF('Prac. Rec. Assumptions'!$B$56='Prac. Rec. Assumptions'!$V$3,A81,IF('Prac. Rec. Assumptions'!B57="No",A81,"Sweet Corn- Converted to Energy Crop"))</f>
        <v>Sweet Corn</v>
      </c>
      <c r="C15" s="294">
        <f>IF('Prac. Rec. Assumptions'!$B$56='Prac. Rec. Assumptions'!$V$3,D81,IF('Prac. Rec. Assumptions'!B58="No",D81,0))</f>
        <v>247.35</v>
      </c>
      <c r="D15" s="294">
        <f>E15*'Conversion Tables'!C14</f>
        <v>3113.0481599999998</v>
      </c>
      <c r="E15" s="294">
        <f>C15*'Prac. Rec. Assumptions'!B11</f>
        <v>197.88</v>
      </c>
      <c r="F15" s="294">
        <f>$E15</f>
        <v>197.88</v>
      </c>
      <c r="G15" s="294">
        <f>$E15</f>
        <v>197.88</v>
      </c>
      <c r="H15" s="294">
        <f>$E15</f>
        <v>197.88</v>
      </c>
      <c r="I15" s="16" t="str">
        <f>IF('Conversion Tables'!F14="NA","NA",(E15*'Conversion Tables'!$C14)/'Conversion Tables'!F14)</f>
        <v>NA</v>
      </c>
      <c r="J15" s="16" t="str">
        <f>IF('Conversion Tables'!G14="NA","NA",(F15*'Conversion Tables'!$C14)/'Conversion Tables'!G14)</f>
        <v>NA</v>
      </c>
      <c r="K15" s="16" t="str">
        <f>IF('Conversion Tables'!H14="NA","NA",(G15*'Conversion Tables'!$C14)/'Conversion Tables'!H14)</f>
        <v>NA</v>
      </c>
      <c r="L15" s="16" t="str">
        <f>IF('Conversion Tables'!I14="NA","NA",(H15*'Conversion Tables'!$C14)/'Conversion Tables'!I14)</f>
        <v>NA</v>
      </c>
      <c r="M15" s="16" t="str">
        <f>IF('Conversion Tables'!K14="NA","NA",E15*'Conversion Tables'!K14)</f>
        <v>NA</v>
      </c>
      <c r="N15" s="16" t="str">
        <f>IF('Conversion Tables'!L14="NA","NA",F15*'Conversion Tables'!L14)</f>
        <v>NA</v>
      </c>
      <c r="O15" s="16" t="str">
        <f>IF('Conversion Tables'!M14="NA","NA",G15*'Conversion Tables'!M14)</f>
        <v>NA</v>
      </c>
      <c r="P15" s="16" t="str">
        <f>IF('Conversion Tables'!N14="NA","NA",H15*'Conversion Tables'!N14)</f>
        <v>NA</v>
      </c>
      <c r="Q15" s="15"/>
    </row>
    <row r="16" spans="1:17" x14ac:dyDescent="0.25">
      <c r="A16" s="1207"/>
      <c r="B16" s="11" t="str">
        <f>IF('Prac. Rec. Assumptions'!$B$56='Prac. Rec. Assumptions'!$V$3,A82,IF('Prac. Rec. Assumptions'!B58="No",A82,"Rye- Converted to Energy Crop"))</f>
        <v>Rye</v>
      </c>
      <c r="C16" s="294">
        <f>IF('Prac. Rec. Assumptions'!$B$56='Prac. Rec. Assumptions'!$V$3,D82,IF('Prac. Rec. Assumptions'!B59="No",D82,0))</f>
        <v>1487.925</v>
      </c>
      <c r="D16" s="294">
        <f>E16*'Conversion Tables'!C15</f>
        <v>0</v>
      </c>
      <c r="E16" s="294">
        <f>C16*'Prac. Rec. Assumptions'!B12</f>
        <v>0</v>
      </c>
      <c r="F16" s="294">
        <f t="shared" ref="F16:H23" si="2">$E16</f>
        <v>0</v>
      </c>
      <c r="G16" s="294">
        <f t="shared" si="2"/>
        <v>0</v>
      </c>
      <c r="H16" s="294">
        <f t="shared" si="2"/>
        <v>0</v>
      </c>
      <c r="I16" s="16" t="str">
        <f>IF('Conversion Tables'!F15="NA","NA",(E16*'Conversion Tables'!$C15)/'Conversion Tables'!F15)</f>
        <v>NA</v>
      </c>
      <c r="J16" s="16" t="str">
        <f>IF('Conversion Tables'!G15="NA","NA",(F16*'Conversion Tables'!$C15)/'Conversion Tables'!G15)</f>
        <v>NA</v>
      </c>
      <c r="K16" s="16" t="str">
        <f>IF('Conversion Tables'!H15="NA","NA",(G16*'Conversion Tables'!$C15)/'Conversion Tables'!H15)</f>
        <v>NA</v>
      </c>
      <c r="L16" s="16" t="str">
        <f>IF('Conversion Tables'!I15="NA","NA",(H16*'Conversion Tables'!$C15)/'Conversion Tables'!I15)</f>
        <v>NA</v>
      </c>
      <c r="M16" s="16" t="str">
        <f>IF('Conversion Tables'!K15="NA","NA",E16*'Conversion Tables'!K15)</f>
        <v>NA</v>
      </c>
      <c r="N16" s="16" t="str">
        <f>IF('Conversion Tables'!L15="NA","NA",F16*'Conversion Tables'!L15)</f>
        <v>NA</v>
      </c>
      <c r="O16" s="16" t="str">
        <f>IF('Conversion Tables'!M15="NA","NA",G16*'Conversion Tables'!M15)</f>
        <v>NA</v>
      </c>
      <c r="P16" s="16" t="str">
        <f>IF('Conversion Tables'!N15="NA","NA",H16*'Conversion Tables'!N15)</f>
        <v>NA</v>
      </c>
      <c r="Q16" s="15"/>
    </row>
    <row r="17" spans="1:17" x14ac:dyDescent="0.25">
      <c r="A17" s="1207"/>
      <c r="B17" s="11" t="str">
        <f>IF('Prac. Rec. Assumptions'!$B$56='Prac. Rec. Assumptions'!$V$3,A83,IF('Prac. Rec. Assumptions'!B59="No",A83,"Corn for Grain- Converted to Energy Crop"))</f>
        <v>Corn for Grain</v>
      </c>
      <c r="C17" s="294">
        <f>IF('Prac. Rec. Assumptions'!$B$56='Prac. Rec. Assumptions'!$V$3,D83,IF('Prac. Rec. Assumptions'!B60="No",D83,0))</f>
        <v>4443.375</v>
      </c>
      <c r="D17" s="294">
        <f>E17*'Conversion Tables'!C16</f>
        <v>59417.699175000002</v>
      </c>
      <c r="E17" s="294">
        <f>C17*'Prac. Rec. Assumptions'!B13</f>
        <v>3776.8687500000001</v>
      </c>
      <c r="F17" s="294">
        <f t="shared" si="2"/>
        <v>3776.8687500000001</v>
      </c>
      <c r="G17" s="294">
        <f t="shared" si="2"/>
        <v>3776.8687500000001</v>
      </c>
      <c r="H17" s="294">
        <f t="shared" si="2"/>
        <v>3776.8687500000001</v>
      </c>
      <c r="I17" s="16" t="str">
        <f>IF('Conversion Tables'!F16="NA","NA",(E17*'Conversion Tables'!$C16)/'Conversion Tables'!F16)</f>
        <v>NA</v>
      </c>
      <c r="J17" s="16" t="str">
        <f>IF('Conversion Tables'!G16="NA","NA",(F17*'Conversion Tables'!$C16)/'Conversion Tables'!G16)</f>
        <v>NA</v>
      </c>
      <c r="K17" s="16" t="str">
        <f>IF('Conversion Tables'!H16="NA","NA",(G17*'Conversion Tables'!$C16)/'Conversion Tables'!H16)</f>
        <v>NA</v>
      </c>
      <c r="L17" s="16" t="str">
        <f>IF('Conversion Tables'!I16="NA","NA",(H17*'Conversion Tables'!$C16)/'Conversion Tables'!I16)</f>
        <v>NA</v>
      </c>
      <c r="M17" s="16" t="str">
        <f>IF('Conversion Tables'!K16="NA","NA",E17*'Conversion Tables'!K16)</f>
        <v>NA</v>
      </c>
      <c r="N17" s="16" t="str">
        <f>IF('Conversion Tables'!L16="NA","NA",F17*'Conversion Tables'!L16)</f>
        <v>NA</v>
      </c>
      <c r="O17" s="16" t="str">
        <f>IF('Conversion Tables'!M16="NA","NA",G17*'Conversion Tables'!M16)</f>
        <v>NA</v>
      </c>
      <c r="P17" s="16" t="str">
        <f>IF('Conversion Tables'!N16="NA","NA",H17*'Conversion Tables'!N16)</f>
        <v>NA</v>
      </c>
      <c r="Q17" s="15"/>
    </row>
    <row r="18" spans="1:17" x14ac:dyDescent="0.25">
      <c r="A18" s="1207"/>
      <c r="B18" s="11" t="str">
        <f>IF('Prac. Rec. Assumptions'!$B$56='Prac. Rec. Assumptions'!$V$3,A84,IF('Prac. Rec. Assumptions'!B60="No",A84,"Corn for Silage- Converted to Energy Crop"))</f>
        <v>Corn for Silage</v>
      </c>
      <c r="C18" s="294">
        <f>IF('Prac. Rec. Assumptions'!$B$56='Prac. Rec. Assumptions'!$V$3,D84,IF('Prac. Rec. Assumptions'!B61="No",D84,0))</f>
        <v>0</v>
      </c>
      <c r="D18" s="294">
        <f>E18*'Conversion Tables'!C17</f>
        <v>0</v>
      </c>
      <c r="E18" s="294">
        <f>C18*'Prac. Rec. Assumptions'!B14</f>
        <v>0</v>
      </c>
      <c r="F18" s="294">
        <f t="shared" si="2"/>
        <v>0</v>
      </c>
      <c r="G18" s="294">
        <f t="shared" si="2"/>
        <v>0</v>
      </c>
      <c r="H18" s="294">
        <f t="shared" si="2"/>
        <v>0</v>
      </c>
      <c r="I18" s="16" t="str">
        <f>IF('Conversion Tables'!F17="NA","NA",(E18*'Conversion Tables'!$C17)/'Conversion Tables'!F17)</f>
        <v>NA</v>
      </c>
      <c r="J18" s="16" t="str">
        <f>IF('Conversion Tables'!G17="NA","NA",(F18*'Conversion Tables'!$C17)/'Conversion Tables'!G17)</f>
        <v>NA</v>
      </c>
      <c r="K18" s="16" t="str">
        <f>IF('Conversion Tables'!H17="NA","NA",(G18*'Conversion Tables'!$C17)/'Conversion Tables'!H17)</f>
        <v>NA</v>
      </c>
      <c r="L18" s="16" t="str">
        <f>IF('Conversion Tables'!I17="NA","NA",(H18*'Conversion Tables'!$C17)/'Conversion Tables'!I17)</f>
        <v>NA</v>
      </c>
      <c r="M18" s="16" t="str">
        <f>IF('Conversion Tables'!K17="NA","NA",E18*'Conversion Tables'!K17)</f>
        <v>NA</v>
      </c>
      <c r="N18" s="16" t="str">
        <f>IF('Conversion Tables'!L17="NA","NA",F18*'Conversion Tables'!L17)</f>
        <v>NA</v>
      </c>
      <c r="O18" s="16" t="str">
        <f>IF('Conversion Tables'!M17="NA","NA",G18*'Conversion Tables'!M17)</f>
        <v>NA</v>
      </c>
      <c r="P18" s="16" t="str">
        <f>IF('Conversion Tables'!N17="NA","NA",H18*'Conversion Tables'!N17)</f>
        <v>NA</v>
      </c>
      <c r="Q18" s="15"/>
    </row>
    <row r="19" spans="1:17" x14ac:dyDescent="0.25">
      <c r="A19" s="1207"/>
      <c r="B19" s="11" t="str">
        <f>IF('Prac. Rec. Assumptions'!$B$56='Prac. Rec. Assumptions'!$V$3,A85,IF('Prac. Rec. Assumptions'!B61="No",A85,"Alfalfa Hay- Converted to Energy Crop"))</f>
        <v>Alfalfa Hay</v>
      </c>
      <c r="C19" s="294">
        <f>IF('Prac. Rec. Assumptions'!$B$56='Prac. Rec. Assumptions'!$V$3,D85,IF('Prac. Rec. Assumptions'!B62="No",D85,0))</f>
        <v>1936.64</v>
      </c>
      <c r="D19" s="294">
        <f>E19*'Conversion Tables'!C18</f>
        <v>0</v>
      </c>
      <c r="E19" s="294">
        <f>C19*'Prac. Rec. Assumptions'!B15</f>
        <v>0</v>
      </c>
      <c r="F19" s="294">
        <f t="shared" si="2"/>
        <v>0</v>
      </c>
      <c r="G19" s="294">
        <f t="shared" si="2"/>
        <v>0</v>
      </c>
      <c r="H19" s="294">
        <f t="shared" si="2"/>
        <v>0</v>
      </c>
      <c r="I19" s="16" t="str">
        <f>IF('Conversion Tables'!F18="NA","NA",(E19*'Conversion Tables'!$C18)/'Conversion Tables'!F18)</f>
        <v>NA</v>
      </c>
      <c r="J19" s="16" t="str">
        <f>IF('Conversion Tables'!G18="NA","NA",(F19*'Conversion Tables'!$C18)/'Conversion Tables'!G18)</f>
        <v>NA</v>
      </c>
      <c r="K19" s="16" t="str">
        <f>IF('Conversion Tables'!H18="NA","NA",(G19*'Conversion Tables'!$C18)/'Conversion Tables'!H18)</f>
        <v>NA</v>
      </c>
      <c r="L19" s="16" t="str">
        <f>IF('Conversion Tables'!I18="NA","NA",(H19*'Conversion Tables'!$C18)/'Conversion Tables'!I18)</f>
        <v>NA</v>
      </c>
      <c r="M19" s="16" t="str">
        <f>IF('Conversion Tables'!K18="NA","NA",E19*'Conversion Tables'!K18)</f>
        <v>NA</v>
      </c>
      <c r="N19" s="16" t="str">
        <f>IF('Conversion Tables'!L18="NA","NA",F19*'Conversion Tables'!L18)</f>
        <v>NA</v>
      </c>
      <c r="O19" s="16" t="str">
        <f>IF('Conversion Tables'!M18="NA","NA",G19*'Conversion Tables'!M18)</f>
        <v>NA</v>
      </c>
      <c r="P19" s="16" t="str">
        <f>IF('Conversion Tables'!N18="NA","NA",H19*'Conversion Tables'!N18)</f>
        <v>NA</v>
      </c>
      <c r="Q19" s="15"/>
    </row>
    <row r="20" spans="1:17" x14ac:dyDescent="0.25">
      <c r="A20" s="1207"/>
      <c r="B20" s="11" t="str">
        <f>IF('Prac. Rec. Assumptions'!$B$56='Prac. Rec. Assumptions'!$V$3,A86,IF('Prac. Rec. Assumptions'!B62="No",A86,"Other Hay- Converted to Energy Crop"))</f>
        <v>Other Hay</v>
      </c>
      <c r="C20" s="294">
        <f>IF('Prac. Rec. Assumptions'!$B$56='Prac. Rec. Assumptions'!$V$3,D86,IF('Prac. Rec. Assumptions'!B63="No",D86,0))</f>
        <v>3674.6349999999993</v>
      </c>
      <c r="D20" s="294">
        <f>E20*'Conversion Tables'!C19</f>
        <v>28662.152999999995</v>
      </c>
      <c r="E20" s="294">
        <f>C20*'Prac. Rec. Assumptions'!B16</f>
        <v>1837.3174999999997</v>
      </c>
      <c r="F20" s="294">
        <f t="shared" si="2"/>
        <v>1837.3174999999997</v>
      </c>
      <c r="G20" s="294">
        <f t="shared" si="2"/>
        <v>1837.3174999999997</v>
      </c>
      <c r="H20" s="294">
        <f t="shared" si="2"/>
        <v>1837.3174999999997</v>
      </c>
      <c r="I20" s="16" t="str">
        <f>IF('Conversion Tables'!F19="NA","NA",(E20*'Conversion Tables'!$C19)/'Conversion Tables'!F19)</f>
        <v>NA</v>
      </c>
      <c r="J20" s="16" t="str">
        <f>IF('Conversion Tables'!G19="NA","NA",(F20*'Conversion Tables'!$C19)/'Conversion Tables'!G19)</f>
        <v>NA</v>
      </c>
      <c r="K20" s="16" t="str">
        <f>IF('Conversion Tables'!H19="NA","NA",(G20*'Conversion Tables'!$C19)/'Conversion Tables'!H19)</f>
        <v>NA</v>
      </c>
      <c r="L20" s="16" t="str">
        <f>IF('Conversion Tables'!I19="NA","NA",(H20*'Conversion Tables'!$C19)/'Conversion Tables'!I19)</f>
        <v>NA</v>
      </c>
      <c r="M20" s="16" t="str">
        <f>IF('Conversion Tables'!K19="NA","NA",E20*'Conversion Tables'!K19)</f>
        <v>NA</v>
      </c>
      <c r="N20" s="16" t="str">
        <f>IF('Conversion Tables'!L19="NA","NA",F20*'Conversion Tables'!L19)</f>
        <v>NA</v>
      </c>
      <c r="O20" s="16" t="str">
        <f>IF('Conversion Tables'!M19="NA","NA",G20*'Conversion Tables'!M19)</f>
        <v>NA</v>
      </c>
      <c r="P20" s="16" t="str">
        <f>IF('Conversion Tables'!N19="NA","NA",H20*'Conversion Tables'!N19)</f>
        <v>NA</v>
      </c>
      <c r="Q20" s="15"/>
    </row>
    <row r="21" spans="1:17" x14ac:dyDescent="0.25">
      <c r="A21" s="1207"/>
      <c r="B21" s="11" t="str">
        <f>IF('Prac. Rec. Assumptions'!$B$56='Prac. Rec. Assumptions'!$V$3,A87,IF('Prac. Rec. Assumptions'!B63="No",A87,"Wheat- Converted to Energy Crop"))</f>
        <v>Wheat</v>
      </c>
      <c r="C21" s="294">
        <f>IF('Prac. Rec. Assumptions'!$B$56='Prac. Rec. Assumptions'!$V$3,D87,IF('Prac. Rec. Assumptions'!B64="No",D87,0))</f>
        <v>657.47500000000002</v>
      </c>
      <c r="D21" s="294">
        <f>E21*'Conversion Tables'!C20</f>
        <v>0</v>
      </c>
      <c r="E21" s="294">
        <f>C21*'Prac. Rec. Assumptions'!B17</f>
        <v>0</v>
      </c>
      <c r="F21" s="294">
        <f t="shared" si="2"/>
        <v>0</v>
      </c>
      <c r="G21" s="294">
        <f t="shared" si="2"/>
        <v>0</v>
      </c>
      <c r="H21" s="294">
        <f t="shared" si="2"/>
        <v>0</v>
      </c>
      <c r="I21" s="16" t="str">
        <f>IF('Conversion Tables'!F20="NA","NA",(E21*'Conversion Tables'!$C20)/'Conversion Tables'!F20)</f>
        <v>NA</v>
      </c>
      <c r="J21" s="16" t="str">
        <f>IF('Conversion Tables'!G20="NA","NA",(F21*'Conversion Tables'!$C20)/'Conversion Tables'!G20)</f>
        <v>NA</v>
      </c>
      <c r="K21" s="16" t="str">
        <f>IF('Conversion Tables'!H20="NA","NA",(G21*'Conversion Tables'!$C20)/'Conversion Tables'!H20)</f>
        <v>NA</v>
      </c>
      <c r="L21" s="16" t="str">
        <f>IF('Conversion Tables'!I20="NA","NA",(H21*'Conversion Tables'!$C20)/'Conversion Tables'!I20)</f>
        <v>NA</v>
      </c>
      <c r="M21" s="16" t="str">
        <f>IF('Conversion Tables'!K20="NA","NA",E21*'Conversion Tables'!K20)</f>
        <v>NA</v>
      </c>
      <c r="N21" s="16" t="str">
        <f>IF('Conversion Tables'!L20="NA","NA",F21*'Conversion Tables'!L20)</f>
        <v>NA</v>
      </c>
      <c r="O21" s="16" t="str">
        <f>IF('Conversion Tables'!M20="NA","NA",G21*'Conversion Tables'!M20)</f>
        <v>NA</v>
      </c>
      <c r="P21" s="16" t="str">
        <f>IF('Conversion Tables'!N20="NA","NA",H21*'Conversion Tables'!N20)</f>
        <v>NA</v>
      </c>
      <c r="Q21" s="15"/>
    </row>
    <row r="22" spans="1:17" x14ac:dyDescent="0.25">
      <c r="A22" s="1207"/>
      <c r="B22" s="148" t="s">
        <v>205</v>
      </c>
      <c r="C22" s="294">
        <f>'Biomass Data Assumptions'!P17*1000*'Energy Content Assumptions'!C18</f>
        <v>21617</v>
      </c>
      <c r="D22" s="294">
        <f>E22*'Conversion Tables'!C21</f>
        <v>168612.6</v>
      </c>
      <c r="E22" s="294">
        <f>C22*'Prac. Rec. Assumptions'!B18</f>
        <v>10808.5</v>
      </c>
      <c r="F22" s="294">
        <f t="shared" si="2"/>
        <v>10808.5</v>
      </c>
      <c r="G22" s="294">
        <f t="shared" si="2"/>
        <v>10808.5</v>
      </c>
      <c r="H22" s="294">
        <f t="shared" si="2"/>
        <v>10808.5</v>
      </c>
      <c r="I22" s="16" t="str">
        <f>IF('Conversion Tables'!F21="NA","NA",(E22*'Conversion Tables'!$C21)/'Conversion Tables'!F21)</f>
        <v>NA</v>
      </c>
      <c r="J22" s="16" t="str">
        <f>IF('Conversion Tables'!G21="NA","NA",(F22*'Conversion Tables'!$C21)/'Conversion Tables'!G21)</f>
        <v>NA</v>
      </c>
      <c r="K22" s="16" t="str">
        <f>IF('Conversion Tables'!H21="NA","NA",(G22*'Conversion Tables'!$C21)/'Conversion Tables'!H21)</f>
        <v>NA</v>
      </c>
      <c r="L22" s="16" t="str">
        <f>IF('Conversion Tables'!I21="NA","NA",(H22*'Conversion Tables'!$C21)/'Conversion Tables'!I21)</f>
        <v>NA</v>
      </c>
      <c r="M22" s="16" t="str">
        <f>IF('Conversion Tables'!K21="NA","NA",E22*'Conversion Tables'!K21)</f>
        <v>NA</v>
      </c>
      <c r="N22" s="16" t="str">
        <f>IF('Conversion Tables'!L21="NA","NA",F22*'Conversion Tables'!L21)</f>
        <v>NA</v>
      </c>
      <c r="O22" s="16" t="str">
        <f>IF('Conversion Tables'!M21="NA","NA",G22*'Conversion Tables'!M21)</f>
        <v>NA</v>
      </c>
      <c r="P22" s="16" t="str">
        <f>IF('Conversion Tables'!N21="NA","NA",H22*'Conversion Tables'!N21)</f>
        <v>NA</v>
      </c>
      <c r="Q22" s="15"/>
    </row>
    <row r="23" spans="1:17" x14ac:dyDescent="0.25">
      <c r="A23" s="1207"/>
      <c r="B23" s="2" t="s">
        <v>302</v>
      </c>
      <c r="C23" s="294">
        <f>B133</f>
        <v>52680.83</v>
      </c>
      <c r="D23" s="294">
        <f>E23*'Conversion Tables'!C22</f>
        <v>860594.03888000001</v>
      </c>
      <c r="E23" s="294">
        <f>C23*'Prac. Rec. Assumptions'!B19</f>
        <v>52680.83</v>
      </c>
      <c r="F23" s="297">
        <f t="shared" si="2"/>
        <v>52680.83</v>
      </c>
      <c r="G23" s="297">
        <f t="shared" si="2"/>
        <v>52680.83</v>
      </c>
      <c r="H23" s="297">
        <f t="shared" si="2"/>
        <v>52680.83</v>
      </c>
      <c r="I23" s="16" t="str">
        <f>IF('Conversion Tables'!F22="NA","NA",(E23*'Conversion Tables'!$C22)/'Conversion Tables'!F22)</f>
        <v>NA</v>
      </c>
      <c r="J23" s="16" t="str">
        <f>IF('Conversion Tables'!G22="NA","NA",(F23*'Conversion Tables'!$C22)/'Conversion Tables'!G22)</f>
        <v>NA</v>
      </c>
      <c r="K23" s="16" t="str">
        <f>IF('Conversion Tables'!H22="NA","NA",(G23*'Conversion Tables'!$C22)/'Conversion Tables'!H22)</f>
        <v>NA</v>
      </c>
      <c r="L23" s="16" t="str">
        <f>IF('Conversion Tables'!I22="NA","NA",(H23*'Conversion Tables'!$C22)/'Conversion Tables'!I22)</f>
        <v>NA</v>
      </c>
      <c r="M23" s="16" t="str">
        <f>IF('Conversion Tables'!K22="NA","NA",E23*'Conversion Tables'!K22)</f>
        <v>NA</v>
      </c>
      <c r="N23" s="16" t="str">
        <f>IF('Conversion Tables'!L22="NA","NA",F23*'Conversion Tables'!L22)</f>
        <v>NA</v>
      </c>
      <c r="O23" s="16" t="str">
        <f>IF('Conversion Tables'!M22="NA","NA",G23*'Conversion Tables'!M22)</f>
        <v>NA</v>
      </c>
      <c r="P23" s="16" t="str">
        <f>IF('Conversion Tables'!N22="NA","NA",H23*'Conversion Tables'!N22)</f>
        <v>NA</v>
      </c>
      <c r="Q23" s="7"/>
    </row>
    <row r="24" spans="1:17" x14ac:dyDescent="0.25">
      <c r="A24" s="1207"/>
      <c r="B24" s="1" t="s">
        <v>518</v>
      </c>
      <c r="C24" s="294"/>
      <c r="D24" s="294"/>
      <c r="E24" s="294"/>
      <c r="F24" s="294"/>
      <c r="G24" s="294"/>
      <c r="H24" s="294"/>
      <c r="I24" s="16"/>
      <c r="J24" s="16"/>
      <c r="K24" s="16"/>
      <c r="L24" s="16"/>
      <c r="M24" s="16"/>
      <c r="N24" s="16"/>
      <c r="O24" s="16"/>
      <c r="P24" s="16"/>
      <c r="Q24" s="7"/>
    </row>
    <row r="25" spans="1:17" x14ac:dyDescent="0.25">
      <c r="A25" s="1207"/>
      <c r="B25" s="11" t="s">
        <v>559</v>
      </c>
      <c r="C25" s="294">
        <f>C128</f>
        <v>20448.235000000001</v>
      </c>
      <c r="D25" s="294">
        <f>E25*'Conversion Tables'!C24</f>
        <v>361933.75949999999</v>
      </c>
      <c r="E25" s="294">
        <f>C25*'Prac. Rec. Assumptions'!B21</f>
        <v>20448.235000000001</v>
      </c>
      <c r="F25" s="294">
        <f>($C25*(1+'Biomass Data Assumptions'!G$102))*'Prac. Rec. Assumptions'!$B21</f>
        <v>20913.732395776195</v>
      </c>
      <c r="G25" s="294">
        <f>($C25*(1+'Biomass Data Assumptions'!H$102))*'Prac. Rec. Assumptions'!$B21</f>
        <v>21412.880205704882</v>
      </c>
      <c r="H25" s="294">
        <f>($C25*(1+'Biomass Data Assumptions'!I$102))*'Prac. Rec. Assumptions'!$B21</f>
        <v>22007.370855732308</v>
      </c>
      <c r="I25" s="16" t="str">
        <f>IF('Conversion Tables'!F24="NA","NA",(E25*'Conversion Tables'!$C24)/'Conversion Tables'!F24)</f>
        <v>NA</v>
      </c>
      <c r="J25" s="16" t="str">
        <f>IF('Conversion Tables'!G24="NA","NA",(F25*'Conversion Tables'!$C24)/'Conversion Tables'!G24)</f>
        <v>NA</v>
      </c>
      <c r="K25" s="16" t="str">
        <f>IF('Conversion Tables'!H24="NA","NA",(G25*'Conversion Tables'!$C24)/'Conversion Tables'!H24)</f>
        <v>NA</v>
      </c>
      <c r="L25" s="16" t="str">
        <f>IF('Conversion Tables'!I24="NA","NA",(H25*'Conversion Tables'!$C24)/'Conversion Tables'!I24)</f>
        <v>NA</v>
      </c>
      <c r="M25" s="16" t="str">
        <f>IF('Conversion Tables'!K24="NA","NA",E25*'Conversion Tables'!K24)</f>
        <v>NA</v>
      </c>
      <c r="N25" s="16" t="str">
        <f>IF('Conversion Tables'!L24="NA","NA",F25*'Conversion Tables'!L24)</f>
        <v>NA</v>
      </c>
      <c r="O25" s="16" t="str">
        <f>IF('Conversion Tables'!M24="NA","NA",G25*'Conversion Tables'!M24)</f>
        <v>NA</v>
      </c>
      <c r="P25" s="16" t="str">
        <f>IF('Conversion Tables'!N24="NA","NA",H25*'Conversion Tables'!N24)</f>
        <v>NA</v>
      </c>
      <c r="Q25" s="13"/>
    </row>
    <row r="26" spans="1:17" x14ac:dyDescent="0.25">
      <c r="A26" s="1207"/>
      <c r="B26" s="11" t="s">
        <v>560</v>
      </c>
      <c r="C26" s="294">
        <f>C129</f>
        <v>508.18999999999994</v>
      </c>
      <c r="D26" s="294">
        <f>E26*'Conversion Tables'!C25</f>
        <v>7927.7639999999992</v>
      </c>
      <c r="E26" s="294">
        <f>C26*'Prac. Rec. Assumptions'!B22</f>
        <v>508.18999999999994</v>
      </c>
      <c r="F26" s="294">
        <f>($C26*(1+'Biomass Data Assumptions'!G$102))*'Prac. Rec. Assumptions'!$B22</f>
        <v>519.75877948436641</v>
      </c>
      <c r="G26" s="294">
        <f>($C26*(1+'Biomass Data Assumptions'!H$102))*'Prac. Rec. Assumptions'!$B22</f>
        <v>532.16385628085561</v>
      </c>
      <c r="H26" s="294">
        <f>($C26*(1+'Biomass Data Assumptions'!I$102))*'Prac. Rec. Assumptions'!$B22</f>
        <v>546.93844212835972</v>
      </c>
      <c r="I26" s="16" t="str">
        <f>IF('Conversion Tables'!F25="NA","NA",(E26*'Conversion Tables'!$C25)/'Conversion Tables'!F25)</f>
        <v>NA</v>
      </c>
      <c r="J26" s="16" t="str">
        <f>IF('Conversion Tables'!G25="NA","NA",(F26*'Conversion Tables'!$C25)/'Conversion Tables'!G25)</f>
        <v>NA</v>
      </c>
      <c r="K26" s="16" t="str">
        <f>IF('Conversion Tables'!H25="NA","NA",(G26*'Conversion Tables'!$C25)/'Conversion Tables'!H25)</f>
        <v>NA</v>
      </c>
      <c r="L26" s="16" t="str">
        <f>IF('Conversion Tables'!I25="NA","NA",(H26*'Conversion Tables'!$C25)/'Conversion Tables'!I25)</f>
        <v>NA</v>
      </c>
      <c r="M26" s="16" t="str">
        <f>IF('Conversion Tables'!K25="NA","NA",E26*'Conversion Tables'!K25)</f>
        <v>NA</v>
      </c>
      <c r="N26" s="16" t="str">
        <f>IF('Conversion Tables'!L25="NA","NA",F26*'Conversion Tables'!L25)</f>
        <v>NA</v>
      </c>
      <c r="O26" s="16" t="str">
        <f>IF('Conversion Tables'!M25="NA","NA",G26*'Conversion Tables'!M25)</f>
        <v>NA</v>
      </c>
      <c r="P26" s="16" t="str">
        <f>IF('Conversion Tables'!N25="NA","NA",H26*'Conversion Tables'!N25)</f>
        <v>NA</v>
      </c>
      <c r="Q26" s="13"/>
    </row>
    <row r="27" spans="1:17" x14ac:dyDescent="0.25">
      <c r="A27" s="1207"/>
      <c r="B27" s="11" t="s">
        <v>561</v>
      </c>
      <c r="C27" s="294">
        <f>C130</f>
        <v>10535.286666666667</v>
      </c>
      <c r="D27" s="294">
        <f>E27*'Conversion Tables'!C26</f>
        <v>164350.47200000001</v>
      </c>
      <c r="E27" s="294">
        <f>C27*'Prac. Rec. Assumptions'!B23</f>
        <v>10535.286666666667</v>
      </c>
      <c r="F27" s="294">
        <f>($C27*(1+'Biomass Data Assumptions'!G$102))*'Prac. Rec. Assumptions'!$B23</f>
        <v>10775.119029072957</v>
      </c>
      <c r="G27" s="294">
        <f>($C27*(1+'Biomass Data Assumptions'!H$102))*'Prac. Rec. Assumptions'!$B23</f>
        <v>11032.288670689339</v>
      </c>
      <c r="H27" s="294">
        <f>($C27*(1+'Biomass Data Assumptions'!I$102))*'Prac. Rec. Assumptions'!$B23</f>
        <v>11338.580603400987</v>
      </c>
      <c r="I27" s="16" t="str">
        <f>IF('Conversion Tables'!F26="NA","NA",(E27*'Conversion Tables'!$C26)/'Conversion Tables'!F26)</f>
        <v>NA</v>
      </c>
      <c r="J27" s="16" t="str">
        <f>IF('Conversion Tables'!G26="NA","NA",(F27*'Conversion Tables'!$C26)/'Conversion Tables'!G26)</f>
        <v>NA</v>
      </c>
      <c r="K27" s="16" t="str">
        <f>IF('Conversion Tables'!H26="NA","NA",(G27*'Conversion Tables'!$C26)/'Conversion Tables'!H26)</f>
        <v>NA</v>
      </c>
      <c r="L27" s="16" t="str">
        <f>IF('Conversion Tables'!I26="NA","NA",(H27*'Conversion Tables'!$C26)/'Conversion Tables'!I26)</f>
        <v>NA</v>
      </c>
      <c r="M27" s="16" t="str">
        <f>IF('Conversion Tables'!K26="NA","NA",E27*'Conversion Tables'!K26)</f>
        <v>NA</v>
      </c>
      <c r="N27" s="16" t="str">
        <f>IF('Conversion Tables'!L26="NA","NA",F27*'Conversion Tables'!L26)</f>
        <v>NA</v>
      </c>
      <c r="O27" s="16" t="str">
        <f>IF('Conversion Tables'!M26="NA","NA",G27*'Conversion Tables'!M26)</f>
        <v>NA</v>
      </c>
      <c r="P27" s="16" t="str">
        <f>IF('Conversion Tables'!N26="NA","NA",H27*'Conversion Tables'!N26)</f>
        <v>NA</v>
      </c>
      <c r="Q27" s="13"/>
    </row>
    <row r="28" spans="1:17" x14ac:dyDescent="0.25">
      <c r="A28" s="1207"/>
      <c r="B28" s="11" t="s">
        <v>562</v>
      </c>
      <c r="C28" s="294">
        <f>C131</f>
        <v>1471.69</v>
      </c>
      <c r="D28" s="294">
        <f>E28*'Conversion Tables'!C27</f>
        <v>26048.913</v>
      </c>
      <c r="E28" s="294">
        <f>C28*'Prac. Rec. Assumptions'!B24</f>
        <v>1471.69</v>
      </c>
      <c r="F28" s="294">
        <f>($C28*(1+'Biomass Data Assumptions'!G$102))*'Prac. Rec. Assumptions'!$B24</f>
        <v>1505.1925425123425</v>
      </c>
      <c r="G28" s="294">
        <f>($C28*(1+'Biomass Data Assumptions'!H$102))*'Prac. Rec. Assumptions'!$B24</f>
        <v>1541.1169555677454</v>
      </c>
      <c r="H28" s="294">
        <f>($C28*(1+'Biomass Data Assumptions'!I$102))*'Prac. Rec. Assumptions'!$B24</f>
        <v>1583.9033351618211</v>
      </c>
      <c r="I28" s="16" t="str">
        <f>IF('Conversion Tables'!F27="NA","NA",(E28*'Conversion Tables'!$C27)/'Conversion Tables'!F27)</f>
        <v>NA</v>
      </c>
      <c r="J28" s="16" t="str">
        <f>IF('Conversion Tables'!G27="NA","NA",(F28*'Conversion Tables'!$C27)/'Conversion Tables'!G27)</f>
        <v>NA</v>
      </c>
      <c r="K28" s="16" t="str">
        <f>IF('Conversion Tables'!H27="NA","NA",(G28*'Conversion Tables'!$C27)/'Conversion Tables'!H27)</f>
        <v>NA</v>
      </c>
      <c r="L28" s="16" t="str">
        <f>IF('Conversion Tables'!I27="NA","NA",(H28*'Conversion Tables'!$C27)/'Conversion Tables'!I27)</f>
        <v>NA</v>
      </c>
      <c r="M28" s="16" t="str">
        <f>IF('Conversion Tables'!K27="NA","NA",E28*'Conversion Tables'!K27)</f>
        <v>NA</v>
      </c>
      <c r="N28" s="16" t="str">
        <f>IF('Conversion Tables'!L27="NA","NA",F28*'Conversion Tables'!L27)</f>
        <v>NA</v>
      </c>
      <c r="O28" s="16" t="str">
        <f>IF('Conversion Tables'!M27="NA","NA",G28*'Conversion Tables'!M27)</f>
        <v>NA</v>
      </c>
      <c r="P28" s="16" t="str">
        <f>IF('Conversion Tables'!N27="NA","NA",H28*'Conversion Tables'!N27)</f>
        <v>NA</v>
      </c>
      <c r="Q28" s="13"/>
    </row>
    <row r="29" spans="1:17" x14ac:dyDescent="0.25">
      <c r="A29" s="1208"/>
      <c r="B29" s="9" t="s">
        <v>524</v>
      </c>
      <c r="C29" s="295">
        <f t="shared" ref="C29:P29" si="3">SUM(C13:C28)</f>
        <v>119708.63166666668</v>
      </c>
      <c r="D29" s="295">
        <f>SUM(D13:D28)</f>
        <v>1680660.4477149998</v>
      </c>
      <c r="E29" s="295">
        <f t="shared" si="3"/>
        <v>102264.79791666668</v>
      </c>
      <c r="F29" s="295">
        <f>SUM(F13:F28)</f>
        <v>103015.19899684588</v>
      </c>
      <c r="G29" s="295">
        <f>SUM(G13:G28)</f>
        <v>103819.84593824281</v>
      </c>
      <c r="H29" s="295">
        <f>SUM(H13:H28)</f>
        <v>104778.18948642349</v>
      </c>
      <c r="I29" s="19">
        <f t="shared" si="3"/>
        <v>0</v>
      </c>
      <c r="J29" s="19">
        <f t="shared" si="3"/>
        <v>0</v>
      </c>
      <c r="K29" s="19">
        <f t="shared" si="3"/>
        <v>0</v>
      </c>
      <c r="L29" s="19">
        <f t="shared" si="3"/>
        <v>0</v>
      </c>
      <c r="M29" s="19">
        <f t="shared" si="3"/>
        <v>0</v>
      </c>
      <c r="N29" s="19">
        <f t="shared" si="3"/>
        <v>0</v>
      </c>
      <c r="O29" s="19">
        <f t="shared" si="3"/>
        <v>0</v>
      </c>
      <c r="P29" s="19">
        <f t="shared" si="3"/>
        <v>0</v>
      </c>
      <c r="Q29" s="19"/>
    </row>
    <row r="30" spans="1:17" x14ac:dyDescent="0.25">
      <c r="A30" s="8"/>
      <c r="C30" s="296"/>
      <c r="D30" s="296"/>
      <c r="E30" s="296"/>
      <c r="F30" s="296"/>
      <c r="G30" s="296"/>
      <c r="H30" s="296"/>
      <c r="I30" s="28"/>
      <c r="J30" s="28"/>
      <c r="K30" s="28"/>
      <c r="L30" s="28"/>
      <c r="M30" s="28"/>
      <c r="N30" s="28"/>
      <c r="O30" s="28"/>
      <c r="P30" s="28"/>
    </row>
    <row r="31" spans="1:17" x14ac:dyDescent="0.25">
      <c r="A31" s="1064" t="s">
        <v>516</v>
      </c>
      <c r="B31" s="130" t="str">
        <f>'Bioenergy Calculator'!B34</f>
        <v>Solid wastes - Landfilled</v>
      </c>
      <c r="C31" s="294"/>
      <c r="D31" s="294"/>
      <c r="E31" s="294"/>
      <c r="F31" s="294"/>
      <c r="G31" s="294"/>
      <c r="H31" s="294"/>
      <c r="I31" s="16"/>
      <c r="J31" s="16"/>
      <c r="K31" s="16"/>
      <c r="L31" s="16"/>
      <c r="M31" s="16"/>
      <c r="N31" s="16"/>
      <c r="O31" s="16"/>
      <c r="P31" s="16"/>
      <c r="Q31" s="7"/>
    </row>
    <row r="32" spans="1:17" x14ac:dyDescent="0.25">
      <c r="A32" s="1064"/>
      <c r="B32" s="11" t="str">
        <f>'Bioenergy Calculator'!B35</f>
        <v>Food waste, Landfilled</v>
      </c>
      <c r="C32" s="294">
        <f>C141</f>
        <v>11189.588671799998</v>
      </c>
      <c r="D32" s="294">
        <f>E32*'Conversion Tables'!C29</f>
        <v>107420.05124928</v>
      </c>
      <c r="E32" s="294">
        <f>C32*'Prac. Rec. Assumptions'!B26</f>
        <v>6713.7532030800003</v>
      </c>
      <c r="F32" s="294">
        <f>($C32*(1+'Biomass Data Assumptions'!G$102)*(1+'Biomass Data Assumptions'!C$82))*'Prac. Rec. Assumptions'!$B26</f>
        <v>6861.9273298599765</v>
      </c>
      <c r="G32" s="294">
        <f>($C32*(1+'Biomass Data Assumptions'!H$102)*(1+'Biomass Data Assumptions'!D$82))*'Prac. Rec. Assumptions'!$B26</f>
        <v>7020.9305634065258</v>
      </c>
      <c r="H32" s="294">
        <f>($C32*(1+'Biomass Data Assumptions'!I$102)*(1+'Biomass Data Assumptions'!E$82))*'Prac. Rec. Assumptions'!$B26</f>
        <v>7210.9548339708208</v>
      </c>
      <c r="I32" s="16" t="str">
        <f>IF('Conversion Tables'!F29="NA","NA",(E32*'Conversion Tables'!$C29)/'Conversion Tables'!F29)</f>
        <v>NA</v>
      </c>
      <c r="J32" s="16" t="str">
        <f>IF('Conversion Tables'!G29="NA","NA",(F32*'Conversion Tables'!$C29)/'Conversion Tables'!G29)</f>
        <v>NA</v>
      </c>
      <c r="K32" s="16" t="str">
        <f>IF('Conversion Tables'!H29="NA","NA",(G32*'Conversion Tables'!$C29)/'Conversion Tables'!H29)</f>
        <v>NA</v>
      </c>
      <c r="L32" s="16" t="str">
        <f>IF('Conversion Tables'!I29="NA","NA",(H32*'Conversion Tables'!$C29)/'Conversion Tables'!I29)</f>
        <v>NA</v>
      </c>
      <c r="M32" s="16" t="str">
        <f>IF('Conversion Tables'!K29="NA","NA",E32*'Conversion Tables'!K29)</f>
        <v>NA</v>
      </c>
      <c r="N32" s="16" t="str">
        <f>IF('Conversion Tables'!L29="NA","NA",F32*'Conversion Tables'!L29)</f>
        <v>NA</v>
      </c>
      <c r="O32" s="16" t="str">
        <f>IF('Conversion Tables'!M29="NA","NA",G32*'Conversion Tables'!M29)</f>
        <v>NA</v>
      </c>
      <c r="P32" s="16" t="str">
        <f>IF('Conversion Tables'!N29="NA","NA",H32*'Conversion Tables'!N29)</f>
        <v>NA</v>
      </c>
      <c r="Q32" s="7"/>
    </row>
    <row r="33" spans="1:17" x14ac:dyDescent="0.25">
      <c r="A33" s="1064"/>
      <c r="B33" s="11" t="str">
        <f>'Bioenergy Calculator'!B36</f>
        <v>Waste paper, Landfilled</v>
      </c>
      <c r="C33" s="294">
        <f>C142</f>
        <v>41271.333691499996</v>
      </c>
      <c r="D33" s="294">
        <f>E33*'Conversion Tables'!C30</f>
        <v>479473.84629437036</v>
      </c>
      <c r="E33" s="294">
        <f>C33*'Prac. Rec. Assumptions'!B27</f>
        <v>33017.066953199996</v>
      </c>
      <c r="F33" s="294">
        <f>($C33*(1+'Biomass Data Assumptions'!G$102)*(1+'Biomass Data Assumptions'!C$82))*'Prac. Rec. Assumptions'!$B27</f>
        <v>33745.761457844892</v>
      </c>
      <c r="G33" s="294">
        <f>($C33*(1+'Biomass Data Assumptions'!H$102)*(1+'Biomass Data Assumptions'!D$82))*'Prac. Rec. Assumptions'!$B27</f>
        <v>34527.711620292517</v>
      </c>
      <c r="H33" s="294">
        <f>($C33*(1+'Biomass Data Assumptions'!I$102)*(1+'Biomass Data Assumptions'!E$82))*'Prac. Rec. Assumptions'!$B27</f>
        <v>35462.21783077938</v>
      </c>
      <c r="I33" s="16" t="str">
        <f>IF('Conversion Tables'!F30="NA","NA",(E33*'Conversion Tables'!$C30)/'Conversion Tables'!F30)</f>
        <v>NA</v>
      </c>
      <c r="J33" s="16" t="str">
        <f>IF('Conversion Tables'!G30="NA","NA",(F33*'Conversion Tables'!$C30)/'Conversion Tables'!G30)</f>
        <v>NA</v>
      </c>
      <c r="K33" s="16" t="str">
        <f>IF('Conversion Tables'!H30="NA","NA",(G33*'Conversion Tables'!$C30)/'Conversion Tables'!H30)</f>
        <v>NA</v>
      </c>
      <c r="L33" s="16" t="str">
        <f>IF('Conversion Tables'!I30="NA","NA",(H33*'Conversion Tables'!$C30)/'Conversion Tables'!I30)</f>
        <v>NA</v>
      </c>
      <c r="M33" s="16" t="str">
        <f>IF('Conversion Tables'!K30="NA","NA",E33*'Conversion Tables'!K30)</f>
        <v>NA</v>
      </c>
      <c r="N33" s="16" t="str">
        <f>IF('Conversion Tables'!L30="NA","NA",F33*'Conversion Tables'!L30)</f>
        <v>NA</v>
      </c>
      <c r="O33" s="16" t="str">
        <f>IF('Conversion Tables'!M30="NA","NA",G33*'Conversion Tables'!M30)</f>
        <v>NA</v>
      </c>
      <c r="P33" s="16" t="str">
        <f>IF('Conversion Tables'!N30="NA","NA",H33*'Conversion Tables'!N30)</f>
        <v>NA</v>
      </c>
      <c r="Q33" s="7"/>
    </row>
    <row r="34" spans="1:17" x14ac:dyDescent="0.25">
      <c r="A34" s="1064"/>
      <c r="B34" s="11" t="str">
        <f>'Bioenergy Calculator'!B37</f>
        <v>Other Biomass, Landfilled</v>
      </c>
      <c r="C34" s="294">
        <f>C143</f>
        <v>31746.272959499995</v>
      </c>
      <c r="D34" s="294">
        <f>E34*'Conversion Tables'!C31</f>
        <v>331933.95066085848</v>
      </c>
      <c r="E34" s="294">
        <f>C34*'Prac. Rec. Assumptions'!B28</f>
        <v>22857.316530839998</v>
      </c>
      <c r="F34" s="294">
        <f>($C34*(1+'Biomass Data Assumptions'!G$102)*(1+'Biomass Data Assumptions'!C$82))*'Prac. Rec. Assumptions'!$B28</f>
        <v>23361.782932127582</v>
      </c>
      <c r="G34" s="294">
        <f>($C34*(1+'Biomass Data Assumptions'!H$102)*(1+'Biomass Data Assumptions'!D$82))*'Prac. Rec. Assumptions'!$B28</f>
        <v>23903.117581863175</v>
      </c>
      <c r="H34" s="294">
        <f>($C34*(1+'Biomass Data Assumptions'!I$102)*(1+'Biomass Data Assumptions'!E$82))*'Prac. Rec. Assumptions'!$B28</f>
        <v>24550.064940434153</v>
      </c>
      <c r="I34" s="16" t="str">
        <f>IF('Conversion Tables'!F31="NA","NA",(E34*'Conversion Tables'!$C31)/'Conversion Tables'!F31)</f>
        <v>NA</v>
      </c>
      <c r="J34" s="16" t="str">
        <f>IF('Conversion Tables'!G31="NA","NA",(F34*'Conversion Tables'!$C31)/'Conversion Tables'!G31)</f>
        <v>NA</v>
      </c>
      <c r="K34" s="16" t="str">
        <f>IF('Conversion Tables'!H31="NA","NA",(G34*'Conversion Tables'!$C31)/'Conversion Tables'!H31)</f>
        <v>NA</v>
      </c>
      <c r="L34" s="16" t="str">
        <f>IF('Conversion Tables'!I31="NA","NA",(H34*'Conversion Tables'!$C31)/'Conversion Tables'!I31)</f>
        <v>NA</v>
      </c>
      <c r="M34" s="16" t="str">
        <f>IF('Conversion Tables'!K31="NA","NA",E34*'Conversion Tables'!K31)</f>
        <v>NA</v>
      </c>
      <c r="N34" s="16" t="str">
        <f>IF('Conversion Tables'!L31="NA","NA",F34*'Conversion Tables'!L31)</f>
        <v>NA</v>
      </c>
      <c r="O34" s="16" t="str">
        <f>IF('Conversion Tables'!M31="NA","NA",G34*'Conversion Tables'!M31)</f>
        <v>NA</v>
      </c>
      <c r="P34" s="16" t="str">
        <f>IF('Conversion Tables'!N31="NA","NA",H34*'Conversion Tables'!N31)</f>
        <v>NA</v>
      </c>
      <c r="Q34" s="7"/>
    </row>
    <row r="35" spans="1:17" x14ac:dyDescent="0.25">
      <c r="A35" s="1065"/>
      <c r="B35" s="11" t="str">
        <f>'Bioenergy Calculator'!B38</f>
        <v>C&amp;D (Non-recycled wood)</v>
      </c>
      <c r="C35" s="294">
        <f>C145</f>
        <v>20757.116800000003</v>
      </c>
      <c r="D35" s="294">
        <f>E35*'Conversion Tables'!C32</f>
        <v>235136.61911040009</v>
      </c>
      <c r="E35" s="294">
        <f>C35*'Prac. Rec. Assumptions'!B29</f>
        <v>13284.554752000005</v>
      </c>
      <c r="F35" s="294">
        <f>($C35*(1+'Biomass Data Assumptions'!G$102)*(1+'Biomass Data Assumptions'!C$83))*'Prac. Rec. Assumptions'!$B29</f>
        <v>14269.190088014142</v>
      </c>
      <c r="G35" s="294">
        <f>($C35*(1+'Biomass Data Assumptions'!H$102)*(1+'Biomass Data Assumptions'!D$83))*'Prac. Rec. Assumptions'!$B29</f>
        <v>15343.324336956164</v>
      </c>
      <c r="H35" s="294">
        <f>($C35*(1+'Biomass Data Assumptions'!I$102)*(1+'Biomass Data Assumptions'!E$83))*'Prac. Rec. Assumptions'!$B29</f>
        <v>16561.098550237049</v>
      </c>
      <c r="I35" s="16" t="str">
        <f>IF('Conversion Tables'!F32="NA","NA",(E35*'Conversion Tables'!$C32)/'Conversion Tables'!F32)</f>
        <v>NA</v>
      </c>
      <c r="J35" s="16" t="str">
        <f>IF('Conversion Tables'!G32="NA","NA",(F35*'Conversion Tables'!$C32)/'Conversion Tables'!G32)</f>
        <v>NA</v>
      </c>
      <c r="K35" s="16" t="str">
        <f>IF('Conversion Tables'!H32="NA","NA",(G35*'Conversion Tables'!$C32)/'Conversion Tables'!H32)</f>
        <v>NA</v>
      </c>
      <c r="L35" s="16" t="str">
        <f>IF('Conversion Tables'!I32="NA","NA",(H35*'Conversion Tables'!$C32)/'Conversion Tables'!I32)</f>
        <v>NA</v>
      </c>
      <c r="M35" s="16" t="str">
        <f>IF('Conversion Tables'!K32="NA","NA",E35*'Conversion Tables'!K32)</f>
        <v>NA</v>
      </c>
      <c r="N35" s="16" t="str">
        <f>IF('Conversion Tables'!L32="NA","NA",F35*'Conversion Tables'!L32)</f>
        <v>NA</v>
      </c>
      <c r="O35" s="16" t="str">
        <f>IF('Conversion Tables'!M32="NA","NA",G35*'Conversion Tables'!M32)</f>
        <v>NA</v>
      </c>
      <c r="P35" s="16" t="str">
        <f>IF('Conversion Tables'!N32="NA","NA",H35*'Conversion Tables'!N32)</f>
        <v>NA</v>
      </c>
      <c r="Q35" s="7"/>
    </row>
    <row r="36" spans="1:17" x14ac:dyDescent="0.25">
      <c r="A36" s="1065"/>
      <c r="B36" s="4" t="s">
        <v>280</v>
      </c>
      <c r="C36" s="294"/>
      <c r="D36" s="294"/>
      <c r="E36" s="294"/>
      <c r="F36" s="294"/>
      <c r="G36" s="294"/>
      <c r="H36" s="294"/>
      <c r="I36" s="16"/>
      <c r="J36" s="16"/>
      <c r="K36" s="16"/>
      <c r="L36" s="16"/>
      <c r="M36" s="16"/>
      <c r="N36" s="16"/>
      <c r="O36" s="16"/>
      <c r="P36" s="16"/>
      <c r="Q36" s="7"/>
    </row>
    <row r="37" spans="1:17" x14ac:dyDescent="0.25">
      <c r="A37" s="1065"/>
      <c r="B37" s="677" t="s">
        <v>563</v>
      </c>
      <c r="C37" s="299">
        <f>C132</f>
        <v>1303.73</v>
      </c>
      <c r="D37" s="294">
        <f>E37*'Conversion Tables'!C34</f>
        <v>20859.68</v>
      </c>
      <c r="E37" s="294">
        <f>C37*'Prac. Rec. Assumptions'!B31</f>
        <v>1303.73</v>
      </c>
      <c r="F37" s="294">
        <f>($C37*(1+'Biomass Data Assumptions'!G$102)*(1+'Biomass Data Assumptions'!C$84))*'Prac. Rec. Assumptions'!$B31</f>
        <v>1458.0509734168547</v>
      </c>
      <c r="G37" s="294">
        <f>($C37*(1+'Biomass Data Assumptions'!H$102)*(1+'Biomass Data Assumptions'!D$84))*'Prac. Rec. Assumptions'!$B31</f>
        <v>1632.3962064692187</v>
      </c>
      <c r="H37" s="294">
        <f>($C37*(1+'Biomass Data Assumptions'!I$102)*(1+'Biomass Data Assumptions'!E$84))*'Prac. Rec. Assumptions'!$B31</f>
        <v>1834.5433582060778</v>
      </c>
      <c r="I37" s="16" t="str">
        <f>IF('Conversion Tables'!F34="NA","NA",(E37*'Conversion Tables'!$C34)/'Conversion Tables'!F34)</f>
        <v>NA</v>
      </c>
      <c r="J37" s="16" t="str">
        <f>IF('Conversion Tables'!G34="NA","NA",(F37*'Conversion Tables'!$C34)/'Conversion Tables'!G34)</f>
        <v>NA</v>
      </c>
      <c r="K37" s="16" t="str">
        <f>IF('Conversion Tables'!H34="NA","NA",(G37*'Conversion Tables'!$C34)/'Conversion Tables'!H34)</f>
        <v>NA</v>
      </c>
      <c r="L37" s="16" t="str">
        <f>IF('Conversion Tables'!I34="NA","NA",(H37*'Conversion Tables'!$C34)/'Conversion Tables'!I34)</f>
        <v>NA</v>
      </c>
      <c r="M37" s="16" t="str">
        <f>IF('Conversion Tables'!K34="NA","NA",E37*'Conversion Tables'!K34)</f>
        <v>NA</v>
      </c>
      <c r="N37" s="16" t="str">
        <f>IF('Conversion Tables'!L34="NA","NA",F37*'Conversion Tables'!L34)</f>
        <v>NA</v>
      </c>
      <c r="O37" s="16" t="str">
        <f>IF('Conversion Tables'!M34="NA","NA",G37*'Conversion Tables'!M34)</f>
        <v>NA</v>
      </c>
      <c r="P37" s="16" t="str">
        <f>IF('Conversion Tables'!N34="NA","NA",H37*'Conversion Tables'!N34)</f>
        <v>NA</v>
      </c>
      <c r="Q37" s="18"/>
    </row>
    <row r="38" spans="1:17" x14ac:dyDescent="0.25">
      <c r="A38" s="1065"/>
      <c r="B38" s="11" t="s">
        <v>565</v>
      </c>
      <c r="C38" s="294">
        <f>C134</f>
        <v>18524.912</v>
      </c>
      <c r="D38" s="294">
        <f>E38*'Conversion Tables'!C35</f>
        <v>163945.4712</v>
      </c>
      <c r="E38" s="294">
        <f>C38*'Prac. Rec. Assumptions'!B32</f>
        <v>9262.4560000000001</v>
      </c>
      <c r="F38" s="294">
        <f>($C38*(1+'Biomass Data Assumptions'!G$102)*(1+'Biomass Data Assumptions'!C$84))*'Prac. Rec. Assumptions'!$B32</f>
        <v>10358.841928183585</v>
      </c>
      <c r="G38" s="294">
        <f>($C38*(1+'Biomass Data Assumptions'!H$102)*(1+'Biomass Data Assumptions'!D$84))*'Prac. Rec. Assumptions'!$B32</f>
        <v>11597.491840325874</v>
      </c>
      <c r="H38" s="294">
        <f>($C38*(1+'Biomass Data Assumptions'!I$102)*(1+'Biomass Data Assumptions'!E$84))*'Prac. Rec. Assumptions'!$B32</f>
        <v>13033.662748786968</v>
      </c>
      <c r="I38" s="16" t="str">
        <f>IF('Conversion Tables'!F35="NA","NA",(E38*'Conversion Tables'!$C35)/'Conversion Tables'!F35)</f>
        <v>NA</v>
      </c>
      <c r="J38" s="16" t="str">
        <f>IF('Conversion Tables'!G35="NA","NA",(F38*'Conversion Tables'!$C35)/'Conversion Tables'!G35)</f>
        <v>NA</v>
      </c>
      <c r="K38" s="16" t="str">
        <f>IF('Conversion Tables'!H35="NA","NA",(G38*'Conversion Tables'!$C35)/'Conversion Tables'!H35)</f>
        <v>NA</v>
      </c>
      <c r="L38" s="16" t="str">
        <f>IF('Conversion Tables'!I35="NA","NA",(H38*'Conversion Tables'!$C35)/'Conversion Tables'!I35)</f>
        <v>NA</v>
      </c>
      <c r="M38" s="16" t="str">
        <f>IF('Conversion Tables'!K35="NA","NA",E38*'Conversion Tables'!K35)</f>
        <v>NA</v>
      </c>
      <c r="N38" s="16" t="str">
        <f>IF('Conversion Tables'!L35="NA","NA",F38*'Conversion Tables'!L35)</f>
        <v>NA</v>
      </c>
      <c r="O38" s="16" t="str">
        <f>IF('Conversion Tables'!M35="NA","NA",G38*'Conversion Tables'!M35)</f>
        <v>NA</v>
      </c>
      <c r="P38" s="16" t="str">
        <f>IF('Conversion Tables'!N35="NA","NA",H38*'Conversion Tables'!N35)</f>
        <v>NA</v>
      </c>
      <c r="Q38" s="13"/>
    </row>
    <row r="39" spans="1:17" x14ac:dyDescent="0.25">
      <c r="A39" s="1065"/>
      <c r="B39" s="17" t="s">
        <v>555</v>
      </c>
      <c r="C39" s="294">
        <f>C124</f>
        <v>28732.239000000001</v>
      </c>
      <c r="D39" s="299">
        <f>E39*'Conversion Tables'!C36</f>
        <v>0</v>
      </c>
      <c r="E39" s="299">
        <f>C39*'Prac. Rec. Assumptions'!B33</f>
        <v>0</v>
      </c>
      <c r="F39" s="294">
        <f>($C39*(1+'Biomass Data Assumptions'!G$102)*(1+'Biomass Data Assumptions'!C$84))*'Prac. Rec. Assumptions'!$B33</f>
        <v>0</v>
      </c>
      <c r="G39" s="294">
        <f>($C39*(1+'Biomass Data Assumptions'!H$102)*(1+'Biomass Data Assumptions'!D$84))*'Prac. Rec. Assumptions'!$B33</f>
        <v>0</v>
      </c>
      <c r="H39" s="294">
        <f>($C39*(1+'Biomass Data Assumptions'!I$102)*(1+'Biomass Data Assumptions'!E$84))*'Prac. Rec. Assumptions'!$B33</f>
        <v>0</v>
      </c>
      <c r="I39" s="16" t="str">
        <f>IF('Conversion Tables'!F36="NA","NA",(E39*'Conversion Tables'!$C36)/'Conversion Tables'!F36)</f>
        <v>NA</v>
      </c>
      <c r="J39" s="16" t="str">
        <f>IF('Conversion Tables'!G36="NA","NA",(F39*'Conversion Tables'!$C36)/'Conversion Tables'!G36)</f>
        <v>NA</v>
      </c>
      <c r="K39" s="16" t="str">
        <f>IF('Conversion Tables'!H36="NA","NA",(G39*'Conversion Tables'!$C36)/'Conversion Tables'!H36)</f>
        <v>NA</v>
      </c>
      <c r="L39" s="16" t="str">
        <f>IF('Conversion Tables'!I36="NA","NA",(H39*'Conversion Tables'!$C36)/'Conversion Tables'!I36)</f>
        <v>NA</v>
      </c>
      <c r="M39" s="16" t="str">
        <f>IF('Conversion Tables'!K36="NA","NA",E39*'Conversion Tables'!K36)</f>
        <v>NA</v>
      </c>
      <c r="N39" s="16" t="str">
        <f>IF('Conversion Tables'!L36="NA","NA",F39*'Conversion Tables'!L36)</f>
        <v>NA</v>
      </c>
      <c r="O39" s="16" t="str">
        <f>IF('Conversion Tables'!M36="NA","NA",G39*'Conversion Tables'!M36)</f>
        <v>NA</v>
      </c>
      <c r="P39" s="16" t="str">
        <f>IF('Conversion Tables'!N36="NA","NA",H39*'Conversion Tables'!N36)</f>
        <v>NA</v>
      </c>
      <c r="Q39" s="27"/>
    </row>
    <row r="40" spans="1:17" x14ac:dyDescent="0.25">
      <c r="A40" s="1065"/>
      <c r="B40" s="17" t="s">
        <v>556</v>
      </c>
      <c r="C40" s="294">
        <f>C125</f>
        <v>6688.9080000000004</v>
      </c>
      <c r="D40" s="299">
        <f>E40*'Conversion Tables'!C37</f>
        <v>0</v>
      </c>
      <c r="E40" s="299">
        <f>C40*'Prac. Rec. Assumptions'!B34</f>
        <v>0</v>
      </c>
      <c r="F40" s="294">
        <f>($C40*(1+'Biomass Data Assumptions'!G$102)*(1+'Biomass Data Assumptions'!C$84))*'Prac. Rec. Assumptions'!$B34</f>
        <v>0</v>
      </c>
      <c r="G40" s="294">
        <f>($C40*(1+'Biomass Data Assumptions'!H$102)*(1+'Biomass Data Assumptions'!D$84))*'Prac. Rec. Assumptions'!$B34</f>
        <v>0</v>
      </c>
      <c r="H40" s="294">
        <f>($C40*(1+'Biomass Data Assumptions'!I$102)*(1+'Biomass Data Assumptions'!E$84))*'Prac. Rec. Assumptions'!$B34</f>
        <v>0</v>
      </c>
      <c r="I40" s="16" t="str">
        <f>IF('Conversion Tables'!F37="NA","NA",(E40*'Conversion Tables'!$C37)/'Conversion Tables'!F37)</f>
        <v>NA</v>
      </c>
      <c r="J40" s="16" t="str">
        <f>IF('Conversion Tables'!G37="NA","NA",(F40*'Conversion Tables'!$C37)/'Conversion Tables'!G37)</f>
        <v>NA</v>
      </c>
      <c r="K40" s="16" t="str">
        <f>IF('Conversion Tables'!H37="NA","NA",(G40*'Conversion Tables'!$C37)/'Conversion Tables'!H37)</f>
        <v>NA</v>
      </c>
      <c r="L40" s="16" t="str">
        <f>IF('Conversion Tables'!I37="NA","NA",(H40*'Conversion Tables'!$C37)/'Conversion Tables'!I37)</f>
        <v>NA</v>
      </c>
      <c r="M40" s="16" t="str">
        <f>IF('Conversion Tables'!K37="NA","NA",E40*'Conversion Tables'!K37)</f>
        <v>NA</v>
      </c>
      <c r="N40" s="16" t="str">
        <f>IF('Conversion Tables'!L37="NA","NA",F40*'Conversion Tables'!L37)</f>
        <v>NA</v>
      </c>
      <c r="O40" s="16" t="str">
        <f>IF('Conversion Tables'!M37="NA","NA",G40*'Conversion Tables'!M37)</f>
        <v>NA</v>
      </c>
      <c r="P40" s="16" t="str">
        <f>IF('Conversion Tables'!N37="NA","NA",H40*'Conversion Tables'!N37)</f>
        <v>NA</v>
      </c>
      <c r="Q40" s="27"/>
    </row>
    <row r="41" spans="1:17" x14ac:dyDescent="0.25">
      <c r="A41" s="1065"/>
      <c r="B41" s="17" t="s">
        <v>557</v>
      </c>
      <c r="C41" s="294">
        <f>C126</f>
        <v>10189.665000000001</v>
      </c>
      <c r="D41" s="299">
        <f>E41*'Conversion Tables'!C38</f>
        <v>0</v>
      </c>
      <c r="E41" s="299">
        <f>C41*'Prac. Rec. Assumptions'!B35</f>
        <v>0</v>
      </c>
      <c r="F41" s="294">
        <f>($C41*(1+'Biomass Data Assumptions'!G$102)*(1+'Biomass Data Assumptions'!C$84))*'Prac. Rec. Assumptions'!$B35</f>
        <v>0</v>
      </c>
      <c r="G41" s="294">
        <f>($C41*(1+'Biomass Data Assumptions'!H$102)*(1+'Biomass Data Assumptions'!D$84))*'Prac. Rec. Assumptions'!$B35</f>
        <v>0</v>
      </c>
      <c r="H41" s="294">
        <f>($C41*(1+'Biomass Data Assumptions'!I$102)*(1+'Biomass Data Assumptions'!E$84))*'Prac. Rec. Assumptions'!$B35</f>
        <v>0</v>
      </c>
      <c r="I41" s="16" t="str">
        <f>IF('Conversion Tables'!F38="NA","NA",(E41*'Conversion Tables'!$C38)/'Conversion Tables'!F38)</f>
        <v>NA</v>
      </c>
      <c r="J41" s="16" t="str">
        <f>IF('Conversion Tables'!G38="NA","NA",(F41*'Conversion Tables'!$C38)/'Conversion Tables'!G38)</f>
        <v>NA</v>
      </c>
      <c r="K41" s="16" t="str">
        <f>IF('Conversion Tables'!H38="NA","NA",(G41*'Conversion Tables'!$C38)/'Conversion Tables'!H38)</f>
        <v>NA</v>
      </c>
      <c r="L41" s="16" t="str">
        <f>IF('Conversion Tables'!I38="NA","NA",(H41*'Conversion Tables'!$C38)/'Conversion Tables'!I38)</f>
        <v>NA</v>
      </c>
      <c r="M41" s="16" t="str">
        <f>IF('Conversion Tables'!K38="NA","NA",E41*'Conversion Tables'!K38)</f>
        <v>NA</v>
      </c>
      <c r="N41" s="16" t="str">
        <f>IF('Conversion Tables'!L38="NA","NA",F41*'Conversion Tables'!L38)</f>
        <v>NA</v>
      </c>
      <c r="O41" s="16" t="str">
        <f>IF('Conversion Tables'!M38="NA","NA",G41*'Conversion Tables'!M38)</f>
        <v>NA</v>
      </c>
      <c r="P41" s="16" t="str">
        <f>IF('Conversion Tables'!N38="NA","NA",H41*'Conversion Tables'!N38)</f>
        <v>NA</v>
      </c>
      <c r="Q41" s="27"/>
    </row>
    <row r="42" spans="1:17" x14ac:dyDescent="0.25">
      <c r="A42" s="1065"/>
      <c r="B42" s="17" t="s">
        <v>558</v>
      </c>
      <c r="C42" s="294">
        <f>C127</f>
        <v>4641.4170000000004</v>
      </c>
      <c r="D42" s="299">
        <f>E42*'Conversion Tables'!C39</f>
        <v>67402.657674000002</v>
      </c>
      <c r="E42" s="299">
        <f>C42*'Prac. Rec. Assumptions'!B36</f>
        <v>4641.4170000000004</v>
      </c>
      <c r="F42" s="294">
        <f>($C42*(1+'Biomass Data Assumptions'!G$102)*(1+'Biomass Data Assumptions'!C$84))*'Prac. Rec. Assumptions'!$B36</f>
        <v>5190.8160239340486</v>
      </c>
      <c r="G42" s="294">
        <f>($C42*(1+'Biomass Data Assumptions'!H$102)*(1+'Biomass Data Assumptions'!D$84))*'Prac. Rec. Assumptions'!$B36</f>
        <v>5811.5035348129913</v>
      </c>
      <c r="H42" s="294">
        <f>($C42*(1+'Biomass Data Assumptions'!I$102)*(1+'Biomass Data Assumptions'!E$84))*'Prac. Rec. Assumptions'!$B36</f>
        <v>6531.1688233106397</v>
      </c>
      <c r="I42" s="16" t="str">
        <f>IF('Conversion Tables'!F39="NA","NA",(E42*'Conversion Tables'!$C39)/'Conversion Tables'!F39)</f>
        <v>NA</v>
      </c>
      <c r="J42" s="16" t="str">
        <f>IF('Conversion Tables'!G39="NA","NA",(F42*'Conversion Tables'!$C39)/'Conversion Tables'!G39)</f>
        <v>NA</v>
      </c>
      <c r="K42" s="16" t="str">
        <f>IF('Conversion Tables'!H39="NA","NA",(G42*'Conversion Tables'!$C39)/'Conversion Tables'!H39)</f>
        <v>NA</v>
      </c>
      <c r="L42" s="16" t="str">
        <f>IF('Conversion Tables'!I39="NA","NA",(H42*'Conversion Tables'!$C39)/'Conversion Tables'!I39)</f>
        <v>NA</v>
      </c>
      <c r="M42" s="16" t="str">
        <f>IF('Conversion Tables'!K39="NA","NA",E42*'Conversion Tables'!K39)</f>
        <v>NA</v>
      </c>
      <c r="N42" s="16" t="str">
        <f>IF('Conversion Tables'!L39="NA","NA",F42*'Conversion Tables'!L39)</f>
        <v>NA</v>
      </c>
      <c r="O42" s="16" t="str">
        <f>IF('Conversion Tables'!M39="NA","NA",G42*'Conversion Tables'!M39)</f>
        <v>NA</v>
      </c>
      <c r="P42" s="16" t="str">
        <f>IF('Conversion Tables'!N39="NA","NA",H42*'Conversion Tables'!N39)</f>
        <v>NA</v>
      </c>
      <c r="Q42" s="27"/>
    </row>
    <row r="43" spans="1:17" x14ac:dyDescent="0.25">
      <c r="A43" s="1065"/>
      <c r="B43" s="9" t="s">
        <v>524</v>
      </c>
      <c r="C43" s="295">
        <f t="shared" ref="C43:P43" si="4">SUM(C31:C42)</f>
        <v>175045.18312279996</v>
      </c>
      <c r="D43" s="295">
        <f t="shared" si="4"/>
        <v>1406172.2761889088</v>
      </c>
      <c r="E43" s="295">
        <f t="shared" si="4"/>
        <v>91080.29443912</v>
      </c>
      <c r="F43" s="295">
        <f t="shared" si="4"/>
        <v>95246.370733381089</v>
      </c>
      <c r="G43" s="295">
        <f t="shared" si="4"/>
        <v>99836.475684126461</v>
      </c>
      <c r="H43" s="295">
        <f t="shared" si="4"/>
        <v>105183.71108572508</v>
      </c>
      <c r="I43" s="19">
        <f t="shared" si="4"/>
        <v>0</v>
      </c>
      <c r="J43" s="19">
        <f t="shared" si="4"/>
        <v>0</v>
      </c>
      <c r="K43" s="19">
        <f t="shared" si="4"/>
        <v>0</v>
      </c>
      <c r="L43" s="19">
        <f t="shared" si="4"/>
        <v>0</v>
      </c>
      <c r="M43" s="19">
        <f t="shared" si="4"/>
        <v>0</v>
      </c>
      <c r="N43" s="19">
        <f t="shared" si="4"/>
        <v>0</v>
      </c>
      <c r="O43" s="19">
        <f t="shared" si="4"/>
        <v>0</v>
      </c>
      <c r="P43" s="19">
        <f t="shared" si="4"/>
        <v>0</v>
      </c>
      <c r="Q43" s="19"/>
    </row>
    <row r="44" spans="1:17" x14ac:dyDescent="0.25">
      <c r="A44" s="8"/>
      <c r="C44" s="296"/>
      <c r="D44" s="296"/>
      <c r="E44" s="296"/>
      <c r="F44" s="296"/>
      <c r="G44" s="296"/>
      <c r="H44" s="296"/>
      <c r="I44" s="28"/>
      <c r="J44" s="28"/>
      <c r="K44" s="28"/>
      <c r="L44" s="28"/>
      <c r="M44" s="28"/>
      <c r="N44" s="28"/>
      <c r="O44" s="28"/>
      <c r="P44" s="28"/>
    </row>
    <row r="45" spans="1:17" x14ac:dyDescent="0.25">
      <c r="A45" s="1064" t="s">
        <v>515</v>
      </c>
      <c r="B45" s="2" t="s">
        <v>510</v>
      </c>
      <c r="C45" s="294"/>
      <c r="D45" s="294"/>
      <c r="E45" s="294"/>
      <c r="F45" s="294"/>
      <c r="G45" s="294"/>
      <c r="H45" s="294"/>
      <c r="I45" s="16"/>
      <c r="J45" s="16"/>
      <c r="K45" s="16"/>
      <c r="L45" s="16"/>
      <c r="M45" s="16"/>
      <c r="N45" s="16"/>
      <c r="O45" s="16"/>
      <c r="P45" s="16"/>
      <c r="Q45" s="7"/>
    </row>
    <row r="46" spans="1:17" x14ac:dyDescent="0.25">
      <c r="A46" s="1064"/>
      <c r="B46" s="12" t="s">
        <v>525</v>
      </c>
      <c r="C46" s="294">
        <f>D77</f>
        <v>3841.92</v>
      </c>
      <c r="D46" s="294">
        <f>E46*'Conversion Tables'!C41</f>
        <v>0</v>
      </c>
      <c r="E46" s="294">
        <f>C46*'Prac. Rec. Assumptions'!B38</f>
        <v>3841.92</v>
      </c>
      <c r="F46" s="294">
        <f>$E46</f>
        <v>3841.92</v>
      </c>
      <c r="G46" s="294">
        <f>$E46</f>
        <v>3841.92</v>
      </c>
      <c r="H46" s="294">
        <f>$E46</f>
        <v>3841.92</v>
      </c>
      <c r="I46" s="16" t="str">
        <f>IF('Conversion Tables'!F41="NA","NA",(E46*'Conversion Tables'!$C41)/'Conversion Tables'!F41)</f>
        <v>NA</v>
      </c>
      <c r="J46" s="16" t="str">
        <f>IF('Conversion Tables'!G41="NA","NA",(F46*'Conversion Tables'!$C41)/'Conversion Tables'!G41)</f>
        <v>NA</v>
      </c>
      <c r="K46" s="16" t="str">
        <f>IF('Conversion Tables'!H41="NA","NA",(G46*'Conversion Tables'!$C41)/'Conversion Tables'!H41)</f>
        <v>NA</v>
      </c>
      <c r="L46" s="16" t="str">
        <f>IF('Conversion Tables'!I41="NA","NA",(H46*'Conversion Tables'!$C41)/'Conversion Tables'!I41)</f>
        <v>NA</v>
      </c>
      <c r="M46" s="16" t="str">
        <f>IF('Conversion Tables'!K41="NA","NA",E46*'Conversion Tables'!K41)</f>
        <v>NA</v>
      </c>
      <c r="N46" s="16" t="str">
        <f>IF('Conversion Tables'!L41="NA","NA",F46*'Conversion Tables'!L41)</f>
        <v>NA</v>
      </c>
      <c r="O46" s="16" t="str">
        <f>IF('Conversion Tables'!M41="NA","NA",G46*'Conversion Tables'!M41)</f>
        <v>NA</v>
      </c>
      <c r="P46" s="16" t="str">
        <f>IF('Conversion Tables'!N41="NA","NA",H46*'Conversion Tables'!N41)</f>
        <v>NA</v>
      </c>
      <c r="Q46" s="15"/>
    </row>
    <row r="47" spans="1:17" x14ac:dyDescent="0.25">
      <c r="A47" s="1065"/>
      <c r="B47" s="2" t="s">
        <v>508</v>
      </c>
      <c r="C47" s="294">
        <f t="shared" ref="C47:C48" si="5">C148</f>
        <v>1370.7586200000001</v>
      </c>
      <c r="D47" s="294"/>
      <c r="E47" s="294">
        <f>C47*'Prac. Rec. Assumptions'!B39</f>
        <v>685.37931000000003</v>
      </c>
      <c r="F47" s="294">
        <f>($C47*(1+'Biomass Data Assumptions'!G$102))*'Prac. Rec. Assumptions'!$B39</f>
        <v>700.98174629456946</v>
      </c>
      <c r="G47" s="294">
        <f>($C47*(1+'Biomass Data Assumptions'!H$102))*'Prac. Rec. Assumptions'!$B39</f>
        <v>717.71206955019193</v>
      </c>
      <c r="H47" s="294">
        <f>($C47*(1+'Biomass Data Assumptions'!I$102))*'Prac. Rec. Assumptions'!$B39</f>
        <v>737.63807252879872</v>
      </c>
      <c r="I47" s="16" t="str">
        <f>IF('Conversion Tables'!F42="NA","NA",(E47*'Conversion Tables'!$C42)/'Conversion Tables'!F42)</f>
        <v>NA</v>
      </c>
      <c r="J47" s="16" t="str">
        <f>IF('Conversion Tables'!G42="NA","NA",(F47*'Conversion Tables'!$C42)/'Conversion Tables'!G42)</f>
        <v>NA</v>
      </c>
      <c r="K47" s="16" t="str">
        <f>IF('Conversion Tables'!H42="NA","NA",(G47*'Conversion Tables'!$C42)/'Conversion Tables'!H42)</f>
        <v>NA</v>
      </c>
      <c r="L47" s="16" t="str">
        <f>IF('Conversion Tables'!I42="NA","NA",(H47*'Conversion Tables'!$C42)/'Conversion Tables'!I42)</f>
        <v>NA</v>
      </c>
      <c r="M47" s="16" t="str">
        <f>IF('Conversion Tables'!K42="NA","NA",E47*'Conversion Tables'!K42)</f>
        <v>NA</v>
      </c>
      <c r="N47" s="16" t="str">
        <f>IF('Conversion Tables'!L42="NA","NA",F47*'Conversion Tables'!L42)</f>
        <v>NA</v>
      </c>
      <c r="O47" s="16" t="str">
        <f>IF('Conversion Tables'!M42="NA","NA",G47*'Conversion Tables'!M42)</f>
        <v>NA</v>
      </c>
      <c r="P47" s="16" t="str">
        <f>IF('Conversion Tables'!N42="NA","NA",H47*'Conversion Tables'!N42)</f>
        <v>NA</v>
      </c>
      <c r="Q47" s="7"/>
    </row>
    <row r="48" spans="1:17" x14ac:dyDescent="0.25">
      <c r="A48" s="1065"/>
      <c r="B48" s="1" t="s">
        <v>509</v>
      </c>
      <c r="C48" s="294">
        <f t="shared" si="5"/>
        <v>122.50697024999999</v>
      </c>
      <c r="D48" s="294"/>
      <c r="E48" s="294">
        <f>C48*'Prac. Rec. Assumptions'!B40</f>
        <v>122.50697024999999</v>
      </c>
      <c r="F48" s="294">
        <f>($C48*(1+'Biomass Data Assumptions'!G$102))*'Prac. Rec. Assumptions'!$B40</f>
        <v>125.29580144329402</v>
      </c>
      <c r="G48" s="294">
        <f>($C48*(1+'Biomass Data Assumptions'!H$102))*'Prac. Rec. Assumptions'!$B40</f>
        <v>128.28623489152494</v>
      </c>
      <c r="H48" s="294">
        <f>($C48*(1+'Biomass Data Assumptions'!I$102))*'Prac. Rec. Assumptions'!$B40</f>
        <v>131.84787472874382</v>
      </c>
      <c r="I48" s="16" t="str">
        <f>IF('Conversion Tables'!F43="NA","NA",(E48*'Conversion Tables'!$C43)/'Conversion Tables'!F43)</f>
        <v>NA</v>
      </c>
      <c r="J48" s="16" t="str">
        <f>IF('Conversion Tables'!G43="NA","NA",(F48*'Conversion Tables'!$C43)/'Conversion Tables'!G43)</f>
        <v>NA</v>
      </c>
      <c r="K48" s="16" t="str">
        <f>IF('Conversion Tables'!H43="NA","NA",(G48*'Conversion Tables'!$C43)/'Conversion Tables'!H43)</f>
        <v>NA</v>
      </c>
      <c r="L48" s="16" t="str">
        <f>IF('Conversion Tables'!I43="NA","NA",(H48*'Conversion Tables'!$C43)/'Conversion Tables'!I43)</f>
        <v>NA</v>
      </c>
      <c r="M48" s="16" t="str">
        <f>IF('Conversion Tables'!K43="NA","NA",E48*'Conversion Tables'!K43)</f>
        <v>NA</v>
      </c>
      <c r="N48" s="16" t="str">
        <f>IF('Conversion Tables'!L43="NA","NA",F48*'Conversion Tables'!L43)</f>
        <v>NA</v>
      </c>
      <c r="O48" s="16" t="str">
        <f>IF('Conversion Tables'!M43="NA","NA",G48*'Conversion Tables'!M43)</f>
        <v>NA</v>
      </c>
      <c r="P48" s="16" t="str">
        <f>IF('Conversion Tables'!N43="NA","NA",H48*'Conversion Tables'!N43)</f>
        <v>NA</v>
      </c>
      <c r="Q48" s="7"/>
    </row>
    <row r="49" spans="1:17" x14ac:dyDescent="0.25">
      <c r="A49" s="1065"/>
      <c r="B49" s="9" t="s">
        <v>524</v>
      </c>
      <c r="C49" s="295">
        <f t="shared" ref="C49:P49" si="6">SUM(C45:C48)</f>
        <v>5335.185590250001</v>
      </c>
      <c r="D49" s="295">
        <f>SUM(D45:D48)</f>
        <v>0</v>
      </c>
      <c r="E49" s="295">
        <f t="shared" si="6"/>
        <v>4649.8062802500008</v>
      </c>
      <c r="F49" s="295">
        <f>SUM(F45:F48)</f>
        <v>4668.1975477378637</v>
      </c>
      <c r="G49" s="295">
        <f>SUM(G45:G48)</f>
        <v>4687.9183044417168</v>
      </c>
      <c r="H49" s="295">
        <f>SUM(H45:H48)</f>
        <v>4711.4059472575427</v>
      </c>
      <c r="I49" s="19">
        <f t="shared" si="6"/>
        <v>0</v>
      </c>
      <c r="J49" s="19">
        <f t="shared" si="6"/>
        <v>0</v>
      </c>
      <c r="K49" s="19">
        <f t="shared" si="6"/>
        <v>0</v>
      </c>
      <c r="L49" s="19">
        <f t="shared" si="6"/>
        <v>0</v>
      </c>
      <c r="M49" s="19">
        <f t="shared" si="6"/>
        <v>0</v>
      </c>
      <c r="N49" s="19">
        <f t="shared" si="6"/>
        <v>0</v>
      </c>
      <c r="O49" s="19">
        <f t="shared" si="6"/>
        <v>0</v>
      </c>
      <c r="P49" s="19">
        <f t="shared" si="6"/>
        <v>0</v>
      </c>
      <c r="Q49" s="19"/>
    </row>
    <row r="50" spans="1:17" x14ac:dyDescent="0.25">
      <c r="A50" s="8"/>
      <c r="C50" s="296"/>
      <c r="D50" s="296"/>
      <c r="E50" s="296"/>
      <c r="F50" s="296"/>
      <c r="G50" s="296"/>
      <c r="H50" s="296"/>
      <c r="I50" s="28"/>
      <c r="J50" s="28"/>
      <c r="K50" s="28"/>
      <c r="L50" s="28"/>
      <c r="M50" s="28"/>
      <c r="N50" s="28"/>
      <c r="O50" s="28"/>
      <c r="P50" s="28"/>
    </row>
    <row r="51" spans="1:17" x14ac:dyDescent="0.25">
      <c r="A51" s="1200" t="s">
        <v>517</v>
      </c>
      <c r="B51" s="2" t="s">
        <v>505</v>
      </c>
      <c r="C51" s="294"/>
      <c r="D51" s="294"/>
      <c r="E51" s="294"/>
      <c r="F51" s="294"/>
      <c r="G51" s="294"/>
      <c r="H51" s="294"/>
      <c r="I51" s="16"/>
      <c r="J51" s="16"/>
      <c r="K51" s="16"/>
      <c r="L51" s="16"/>
      <c r="M51" s="16"/>
      <c r="N51" s="16"/>
      <c r="O51" s="16"/>
      <c r="P51" s="16"/>
      <c r="Q51" s="7"/>
    </row>
    <row r="52" spans="1:17" x14ac:dyDescent="0.25">
      <c r="A52" s="1201"/>
      <c r="B52" s="12" t="s">
        <v>535</v>
      </c>
      <c r="C52" s="294">
        <f>G97</f>
        <v>428.25887999999998</v>
      </c>
      <c r="D52" s="299">
        <f>E52*'Conversion Tables'!C45</f>
        <v>1264.5628208639998</v>
      </c>
      <c r="E52" s="299">
        <f>C52*'Prac. Rec. Assumptions'!B42</f>
        <v>85.651775999999998</v>
      </c>
      <c r="F52" s="294">
        <f t="shared" ref="F52:H59" si="7">$E52</f>
        <v>85.651775999999998</v>
      </c>
      <c r="G52" s="294">
        <f t="shared" si="7"/>
        <v>85.651775999999998</v>
      </c>
      <c r="H52" s="294">
        <f t="shared" si="7"/>
        <v>85.651775999999998</v>
      </c>
      <c r="I52" s="16" t="str">
        <f>IF('Conversion Tables'!F45="NA","NA",(E52*'Conversion Tables'!$C45)/'Conversion Tables'!F45)</f>
        <v>NA</v>
      </c>
      <c r="J52" s="16" t="str">
        <f>IF('Conversion Tables'!G45="NA","NA",(F52*'Conversion Tables'!$C45)/'Conversion Tables'!G45)</f>
        <v>NA</v>
      </c>
      <c r="K52" s="16" t="str">
        <f>IF('Conversion Tables'!H45="NA","NA",(G52*'Conversion Tables'!$C45)/'Conversion Tables'!H45)</f>
        <v>NA</v>
      </c>
      <c r="L52" s="16" t="str">
        <f>IF('Conversion Tables'!I45="NA","NA",(H52*'Conversion Tables'!$C45)/'Conversion Tables'!I45)</f>
        <v>NA</v>
      </c>
      <c r="M52" s="16" t="str">
        <f>IF('Conversion Tables'!K45="NA","NA",E52*'Conversion Tables'!K45)</f>
        <v>NA</v>
      </c>
      <c r="N52" s="16" t="str">
        <f>IF('Conversion Tables'!L45="NA","NA",F52*'Conversion Tables'!L45)</f>
        <v>NA</v>
      </c>
      <c r="O52" s="16" t="str">
        <f>IF('Conversion Tables'!M45="NA","NA",G52*'Conversion Tables'!M45)</f>
        <v>NA</v>
      </c>
      <c r="P52" s="16" t="str">
        <f>IF('Conversion Tables'!N45="NA","NA",H52*'Conversion Tables'!N45)</f>
        <v>NA</v>
      </c>
      <c r="Q52" s="27"/>
    </row>
    <row r="53" spans="1:17" x14ac:dyDescent="0.25">
      <c r="A53" s="1201"/>
      <c r="B53" s="12" t="s">
        <v>539</v>
      </c>
      <c r="C53" s="294">
        <f>G104</f>
        <v>111.04942499999999</v>
      </c>
      <c r="D53" s="299">
        <f>E53*'Conversion Tables'!C46</f>
        <v>983.72022641999979</v>
      </c>
      <c r="E53" s="299">
        <f>C53*'Prac. Rec. Assumptions'!B43</f>
        <v>66.629654999999985</v>
      </c>
      <c r="F53" s="294">
        <f t="shared" si="7"/>
        <v>66.629654999999985</v>
      </c>
      <c r="G53" s="294">
        <f t="shared" si="7"/>
        <v>66.629654999999985</v>
      </c>
      <c r="H53" s="294">
        <f t="shared" si="7"/>
        <v>66.629654999999985</v>
      </c>
      <c r="I53" s="16" t="str">
        <f>IF('Conversion Tables'!F46="NA","NA",(E53*'Conversion Tables'!$C46)/'Conversion Tables'!F46)</f>
        <v>NA</v>
      </c>
      <c r="J53" s="16" t="str">
        <f>IF('Conversion Tables'!G46="NA","NA",(F53*'Conversion Tables'!$C46)/'Conversion Tables'!G46)</f>
        <v>NA</v>
      </c>
      <c r="K53" s="16" t="str">
        <f>IF('Conversion Tables'!H46="NA","NA",(G53*'Conversion Tables'!$C46)/'Conversion Tables'!H46)</f>
        <v>NA</v>
      </c>
      <c r="L53" s="16" t="str">
        <f>IF('Conversion Tables'!I46="NA","NA",(H53*'Conversion Tables'!$C46)/'Conversion Tables'!I46)</f>
        <v>NA</v>
      </c>
      <c r="M53" s="16" t="str">
        <f>IF('Conversion Tables'!K46="NA","NA",E53*'Conversion Tables'!K46)</f>
        <v>NA</v>
      </c>
      <c r="N53" s="16" t="str">
        <f>IF('Conversion Tables'!L46="NA","NA",F53*'Conversion Tables'!L46)</f>
        <v>NA</v>
      </c>
      <c r="O53" s="16" t="str">
        <f>IF('Conversion Tables'!M46="NA","NA",G53*'Conversion Tables'!M46)</f>
        <v>NA</v>
      </c>
      <c r="P53" s="16" t="str">
        <f>IF('Conversion Tables'!N46="NA","NA",H53*'Conversion Tables'!N46)</f>
        <v>NA</v>
      </c>
      <c r="Q53" s="27"/>
    </row>
    <row r="54" spans="1:17" x14ac:dyDescent="0.25">
      <c r="A54" s="1201"/>
      <c r="B54" s="12" t="s">
        <v>545</v>
      </c>
      <c r="C54" s="294">
        <f>G106</f>
        <v>3153.5589375</v>
      </c>
      <c r="D54" s="299">
        <f>E54*'Conversion Tables'!C47</f>
        <v>27935.486491949996</v>
      </c>
      <c r="E54" s="299">
        <f>C54*'Prac. Rec. Assumptions'!B44</f>
        <v>1892.1353624999999</v>
      </c>
      <c r="F54" s="294">
        <f t="shared" si="7"/>
        <v>1892.1353624999999</v>
      </c>
      <c r="G54" s="294">
        <f t="shared" si="7"/>
        <v>1892.1353624999999</v>
      </c>
      <c r="H54" s="294">
        <f t="shared" si="7"/>
        <v>1892.1353624999999</v>
      </c>
      <c r="I54" s="16" t="str">
        <f>IF('Conversion Tables'!F47="NA","NA",(E54*'Conversion Tables'!$C47)/'Conversion Tables'!F47)</f>
        <v>NA</v>
      </c>
      <c r="J54" s="16" t="str">
        <f>IF('Conversion Tables'!G47="NA","NA",(F54*'Conversion Tables'!$C47)/'Conversion Tables'!G47)</f>
        <v>NA</v>
      </c>
      <c r="K54" s="16" t="str">
        <f>IF('Conversion Tables'!H47="NA","NA",(G54*'Conversion Tables'!$C47)/'Conversion Tables'!H47)</f>
        <v>NA</v>
      </c>
      <c r="L54" s="16" t="str">
        <f>IF('Conversion Tables'!I47="NA","NA",(H54*'Conversion Tables'!$C47)/'Conversion Tables'!I47)</f>
        <v>NA</v>
      </c>
      <c r="M54" s="16" t="str">
        <f>IF('Conversion Tables'!K47="NA","NA",E54*'Conversion Tables'!K47)</f>
        <v>NA</v>
      </c>
      <c r="N54" s="16" t="str">
        <f>IF('Conversion Tables'!L47="NA","NA",F54*'Conversion Tables'!L47)</f>
        <v>NA</v>
      </c>
      <c r="O54" s="16" t="str">
        <f>IF('Conversion Tables'!M47="NA","NA",G54*'Conversion Tables'!M47)</f>
        <v>NA</v>
      </c>
      <c r="P54" s="16" t="str">
        <f>IF('Conversion Tables'!N47="NA","NA",H54*'Conversion Tables'!N47)</f>
        <v>NA</v>
      </c>
      <c r="Q54" s="27"/>
    </row>
    <row r="55" spans="1:17" x14ac:dyDescent="0.25">
      <c r="A55" s="1201"/>
      <c r="B55" s="12" t="s">
        <v>546</v>
      </c>
      <c r="C55" s="294">
        <f>G108</f>
        <v>228.34399999999999</v>
      </c>
      <c r="D55" s="299">
        <f>E55*'Conversion Tables'!C48</f>
        <v>674.25416319999999</v>
      </c>
      <c r="E55" s="299">
        <f>C55*'Prac. Rec. Assumptions'!B45</f>
        <v>45.668800000000005</v>
      </c>
      <c r="F55" s="294">
        <f t="shared" si="7"/>
        <v>45.668800000000005</v>
      </c>
      <c r="G55" s="294">
        <f t="shared" si="7"/>
        <v>45.668800000000005</v>
      </c>
      <c r="H55" s="294">
        <f t="shared" si="7"/>
        <v>45.668800000000005</v>
      </c>
      <c r="I55" s="16" t="str">
        <f>IF('Conversion Tables'!F48="NA","NA",(E55*'Conversion Tables'!$C48)/'Conversion Tables'!F48)</f>
        <v>NA</v>
      </c>
      <c r="J55" s="16" t="str">
        <f>IF('Conversion Tables'!G48="NA","NA",(F55*'Conversion Tables'!$C48)/'Conversion Tables'!G48)</f>
        <v>NA</v>
      </c>
      <c r="K55" s="16" t="str">
        <f>IF('Conversion Tables'!H48="NA","NA",(G55*'Conversion Tables'!$C48)/'Conversion Tables'!H48)</f>
        <v>NA</v>
      </c>
      <c r="L55" s="16" t="str">
        <f>IF('Conversion Tables'!I48="NA","NA",(H55*'Conversion Tables'!$C48)/'Conversion Tables'!I48)</f>
        <v>NA</v>
      </c>
      <c r="M55" s="16" t="str">
        <f>IF('Conversion Tables'!K48="NA","NA",E55*'Conversion Tables'!K48)</f>
        <v>NA</v>
      </c>
      <c r="N55" s="16" t="str">
        <f>IF('Conversion Tables'!L48="NA","NA",F55*'Conversion Tables'!L48)</f>
        <v>NA</v>
      </c>
      <c r="O55" s="16" t="str">
        <f>IF('Conversion Tables'!M48="NA","NA",G55*'Conversion Tables'!M48)</f>
        <v>NA</v>
      </c>
      <c r="P55" s="16" t="str">
        <f>IF('Conversion Tables'!N48="NA","NA",H55*'Conversion Tables'!N48)</f>
        <v>NA</v>
      </c>
      <c r="Q55" s="27"/>
    </row>
    <row r="56" spans="1:17" x14ac:dyDescent="0.25">
      <c r="A56" s="1201"/>
      <c r="B56" s="12" t="s">
        <v>547</v>
      </c>
      <c r="C56" s="294">
        <f>G110</f>
        <v>22.173750000000002</v>
      </c>
      <c r="D56" s="299">
        <f>E56*'Conversion Tables'!C49</f>
        <v>65.474648999999999</v>
      </c>
      <c r="E56" s="299">
        <f>C56*'Prac. Rec. Assumptions'!B46</f>
        <v>4.4347500000000002</v>
      </c>
      <c r="F56" s="294">
        <f t="shared" si="7"/>
        <v>4.4347500000000002</v>
      </c>
      <c r="G56" s="294">
        <f t="shared" si="7"/>
        <v>4.4347500000000002</v>
      </c>
      <c r="H56" s="294">
        <f t="shared" si="7"/>
        <v>4.4347500000000002</v>
      </c>
      <c r="I56" s="16" t="str">
        <f>IF('Conversion Tables'!F49="NA","NA",(E56*'Conversion Tables'!$C49)/'Conversion Tables'!F49)</f>
        <v>NA</v>
      </c>
      <c r="J56" s="16" t="str">
        <f>IF('Conversion Tables'!G49="NA","NA",(F56*'Conversion Tables'!$C49)/'Conversion Tables'!G49)</f>
        <v>NA</v>
      </c>
      <c r="K56" s="16" t="str">
        <f>IF('Conversion Tables'!H49="NA","NA",(G56*'Conversion Tables'!$C49)/'Conversion Tables'!H49)</f>
        <v>NA</v>
      </c>
      <c r="L56" s="16" t="str">
        <f>IF('Conversion Tables'!I49="NA","NA",(H56*'Conversion Tables'!$C49)/'Conversion Tables'!I49)</f>
        <v>NA</v>
      </c>
      <c r="M56" s="16" t="str">
        <f>IF('Conversion Tables'!K49="NA","NA",E56*'Conversion Tables'!K49)</f>
        <v>NA</v>
      </c>
      <c r="N56" s="16" t="str">
        <f>IF('Conversion Tables'!L49="NA","NA",F56*'Conversion Tables'!L49)</f>
        <v>NA</v>
      </c>
      <c r="O56" s="16" t="str">
        <f>IF('Conversion Tables'!M49="NA","NA",G56*'Conversion Tables'!M49)</f>
        <v>NA</v>
      </c>
      <c r="P56" s="16" t="str">
        <f>IF('Conversion Tables'!N49="NA","NA",H56*'Conversion Tables'!N49)</f>
        <v>NA</v>
      </c>
      <c r="Q56" s="27"/>
    </row>
    <row r="57" spans="1:17" x14ac:dyDescent="0.25">
      <c r="A57" s="1201"/>
      <c r="B57" s="133" t="s">
        <v>605</v>
      </c>
      <c r="C57" s="294">
        <f>G115</f>
        <v>0.85775000000000001</v>
      </c>
      <c r="D57" s="299">
        <f>E57*'Conversion Tables'!C50</f>
        <v>6.3319105000000002</v>
      </c>
      <c r="E57" s="299">
        <f>C57*'Prac. Rec. Assumptions'!B47</f>
        <v>0.42887500000000001</v>
      </c>
      <c r="F57" s="294">
        <f t="shared" si="7"/>
        <v>0.42887500000000001</v>
      </c>
      <c r="G57" s="294">
        <f t="shared" si="7"/>
        <v>0.42887500000000001</v>
      </c>
      <c r="H57" s="294">
        <f t="shared" si="7"/>
        <v>0.42887500000000001</v>
      </c>
      <c r="I57" s="16" t="str">
        <f>IF('Conversion Tables'!F50="NA","NA",(E57*'Conversion Tables'!$C50)/'Conversion Tables'!F50)</f>
        <v>NA</v>
      </c>
      <c r="J57" s="16" t="str">
        <f>IF('Conversion Tables'!G50="NA","NA",(F57*'Conversion Tables'!$C50)/'Conversion Tables'!G50)</f>
        <v>NA</v>
      </c>
      <c r="K57" s="16" t="str">
        <f>IF('Conversion Tables'!H50="NA","NA",(G57*'Conversion Tables'!$C50)/'Conversion Tables'!H50)</f>
        <v>NA</v>
      </c>
      <c r="L57" s="16" t="str">
        <f>IF('Conversion Tables'!I50="NA","NA",(H57*'Conversion Tables'!$C50)/'Conversion Tables'!I50)</f>
        <v>NA</v>
      </c>
      <c r="M57" s="16" t="str">
        <f>IF('Conversion Tables'!K50="NA","NA",E57*'Conversion Tables'!K50)</f>
        <v>NA</v>
      </c>
      <c r="N57" s="16" t="str">
        <f>IF('Conversion Tables'!L50="NA","NA",F57*'Conversion Tables'!L50)</f>
        <v>NA</v>
      </c>
      <c r="O57" s="16" t="str">
        <f>IF('Conversion Tables'!M50="NA","NA",G57*'Conversion Tables'!M50)</f>
        <v>NA</v>
      </c>
      <c r="P57" s="16" t="str">
        <f>IF('Conversion Tables'!N50="NA","NA",H57*'Conversion Tables'!N50)</f>
        <v>NA</v>
      </c>
      <c r="Q57" s="27"/>
    </row>
    <row r="58" spans="1:17" x14ac:dyDescent="0.25">
      <c r="A58" s="1201"/>
      <c r="B58" s="12" t="s">
        <v>551</v>
      </c>
      <c r="C58" s="294">
        <f>G117</f>
        <v>30.249375000000001</v>
      </c>
      <c r="D58" s="299">
        <f>E58*'Conversion Tables'!C51</f>
        <v>362.99250000000001</v>
      </c>
      <c r="E58" s="299">
        <f>C58*'Prac. Rec. Assumptions'!B48</f>
        <v>30.249375000000001</v>
      </c>
      <c r="F58" s="294">
        <f t="shared" si="7"/>
        <v>30.249375000000001</v>
      </c>
      <c r="G58" s="294">
        <f t="shared" si="7"/>
        <v>30.249375000000001</v>
      </c>
      <c r="H58" s="294">
        <f t="shared" si="7"/>
        <v>30.249375000000001</v>
      </c>
      <c r="I58" s="16" t="str">
        <f>IF('Conversion Tables'!F51="NA","NA",(E58*'Conversion Tables'!$C51)/'Conversion Tables'!F51)</f>
        <v>NA</v>
      </c>
      <c r="J58" s="16" t="str">
        <f>IF('Conversion Tables'!G51="NA","NA",(F58*'Conversion Tables'!$C51)/'Conversion Tables'!G51)</f>
        <v>NA</v>
      </c>
      <c r="K58" s="16" t="str">
        <f>IF('Conversion Tables'!H51="NA","NA",(G58*'Conversion Tables'!$C51)/'Conversion Tables'!H51)</f>
        <v>NA</v>
      </c>
      <c r="L58" s="16" t="str">
        <f>IF('Conversion Tables'!I51="NA","NA",(H58*'Conversion Tables'!$C51)/'Conversion Tables'!I51)</f>
        <v>NA</v>
      </c>
      <c r="M58" s="16" t="str">
        <f>IF('Conversion Tables'!K51="NA","NA",E58*'Conversion Tables'!K51)</f>
        <v>NA</v>
      </c>
      <c r="N58" s="16" t="str">
        <f>IF('Conversion Tables'!L51="NA","NA",F58*'Conversion Tables'!L51)</f>
        <v>NA</v>
      </c>
      <c r="O58" s="16" t="str">
        <f>IF('Conversion Tables'!M51="NA","NA",G58*'Conversion Tables'!M51)</f>
        <v>NA</v>
      </c>
      <c r="P58" s="16" t="str">
        <f>IF('Conversion Tables'!N51="NA","NA",H58*'Conversion Tables'!N51)</f>
        <v>NA</v>
      </c>
      <c r="Q58" s="27"/>
    </row>
    <row r="59" spans="1:17" x14ac:dyDescent="0.25">
      <c r="A59" s="1201"/>
      <c r="B59" s="12" t="s">
        <v>552</v>
      </c>
      <c r="C59" s="294">
        <f>G119</f>
        <v>0.29199999999999998</v>
      </c>
      <c r="D59" s="299">
        <f>E59*'Conversion Tables'!C52</f>
        <v>4.3110879999999998</v>
      </c>
      <c r="E59" s="299">
        <f>C59*'Prac. Rec. Assumptions'!B49</f>
        <v>0.29199999999999998</v>
      </c>
      <c r="F59" s="294">
        <f t="shared" si="7"/>
        <v>0.29199999999999998</v>
      </c>
      <c r="G59" s="294">
        <f t="shared" si="7"/>
        <v>0.29199999999999998</v>
      </c>
      <c r="H59" s="294">
        <f t="shared" si="7"/>
        <v>0.29199999999999998</v>
      </c>
      <c r="I59" s="16" t="str">
        <f>IF('Conversion Tables'!F52="NA","NA",(E59*'Conversion Tables'!$C52)/'Conversion Tables'!F52)</f>
        <v>NA</v>
      </c>
      <c r="J59" s="16" t="str">
        <f>IF('Conversion Tables'!G52="NA","NA",(F59*'Conversion Tables'!$C52)/'Conversion Tables'!G52)</f>
        <v>NA</v>
      </c>
      <c r="K59" s="16" t="str">
        <f>IF('Conversion Tables'!H52="NA","NA",(G59*'Conversion Tables'!$C52)/'Conversion Tables'!H52)</f>
        <v>NA</v>
      </c>
      <c r="L59" s="16" t="str">
        <f>IF('Conversion Tables'!I52="NA","NA",(H59*'Conversion Tables'!$C52)/'Conversion Tables'!I52)</f>
        <v>NA</v>
      </c>
      <c r="M59" s="16" t="str">
        <f>IF('Conversion Tables'!K52="NA","NA",E59*'Conversion Tables'!K52)</f>
        <v>NA</v>
      </c>
      <c r="N59" s="16" t="str">
        <f>IF('Conversion Tables'!L52="NA","NA",F59*'Conversion Tables'!L52)</f>
        <v>NA</v>
      </c>
      <c r="O59" s="16" t="str">
        <f>IF('Conversion Tables'!M52="NA","NA",G59*'Conversion Tables'!M52)</f>
        <v>NA</v>
      </c>
      <c r="P59" s="16" t="str">
        <f>IF('Conversion Tables'!N52="NA","NA",H59*'Conversion Tables'!N52)</f>
        <v>NA</v>
      </c>
      <c r="Q59" s="27"/>
    </row>
    <row r="60" spans="1:17" x14ac:dyDescent="0.25">
      <c r="A60" s="1202"/>
      <c r="B60" s="129" t="s">
        <v>305</v>
      </c>
      <c r="C60" s="294">
        <f>'Biomass Data Assumptions'!AE17</f>
        <v>13427.348341000001</v>
      </c>
      <c r="D60" s="299">
        <f>E60*'Conversion Tables'!C53</f>
        <v>161128.180092</v>
      </c>
      <c r="E60" s="299">
        <f>C60*'Prac. Rec. Assumptions'!B50</f>
        <v>13427.348341000001</v>
      </c>
      <c r="F60" s="294">
        <f>($C60*(1+'Biomass Data Assumptions'!G$102*(4/5)))*'Prac. Rec. Assumptions'!$B50</f>
        <v>13671.883702997367</v>
      </c>
      <c r="G60" s="294">
        <f>($C60*(1+'Biomass Data Assumptions'!H$102*(9/10)))*'Prac. Rec. Assumptions'!$B50</f>
        <v>13997.439817463743</v>
      </c>
      <c r="H60" s="294">
        <f>($C60*(1+'Biomass Data Assumptions'!I$102*(14/15)))*'Prac. Rec. Assumptions'!$B50</f>
        <v>14382.902185270836</v>
      </c>
      <c r="I60" s="16" t="str">
        <f>IF('Conversion Tables'!F53="NA","NA",(E60*'Conversion Tables'!$C53)/'Conversion Tables'!F53)</f>
        <v>NA</v>
      </c>
      <c r="J60" s="16" t="str">
        <f>IF('Conversion Tables'!G53="NA","NA",(F60*'Conversion Tables'!$C53)/'Conversion Tables'!G53)</f>
        <v>NA</v>
      </c>
      <c r="K60" s="16" t="str">
        <f>IF('Conversion Tables'!H53="NA","NA",(G60*'Conversion Tables'!$C53)/'Conversion Tables'!H53)</f>
        <v>NA</v>
      </c>
      <c r="L60" s="16" t="str">
        <f>IF('Conversion Tables'!I53="NA","NA",(H60*'Conversion Tables'!$C53)/'Conversion Tables'!I53)</f>
        <v>NA</v>
      </c>
      <c r="M60" s="16" t="str">
        <f>IF('Conversion Tables'!K53="NA","NA",E60*'Conversion Tables'!K53)</f>
        <v>NA</v>
      </c>
      <c r="N60" s="16" t="str">
        <f>IF('Conversion Tables'!L53="NA","NA",F60*'Conversion Tables'!L53)</f>
        <v>NA</v>
      </c>
      <c r="O60" s="16" t="str">
        <f>IF('Conversion Tables'!M53="NA","NA",G60*'Conversion Tables'!M53)</f>
        <v>NA</v>
      </c>
      <c r="P60" s="16" t="str">
        <f>IF('Conversion Tables'!N53="NA","NA",H60*'Conversion Tables'!N53)</f>
        <v>NA</v>
      </c>
      <c r="Q60" s="7"/>
    </row>
    <row r="61" spans="1:17" x14ac:dyDescent="0.25">
      <c r="A61" s="1202"/>
      <c r="B61" s="9" t="s">
        <v>257</v>
      </c>
      <c r="C61" s="295">
        <f>SUM(C52:C60)</f>
        <v>17402.1324585</v>
      </c>
      <c r="D61" s="295">
        <f>SUM(D52:D60)</f>
        <v>192425.313941934</v>
      </c>
      <c r="E61" s="295">
        <f t="shared" ref="E61:P61" si="8">SUM(E52:E60)</f>
        <v>15552.8389345</v>
      </c>
      <c r="F61" s="295">
        <f>SUM(F52:F60)</f>
        <v>15797.374296497368</v>
      </c>
      <c r="G61" s="295">
        <f>SUM(G52:G60)</f>
        <v>16122.930410963741</v>
      </c>
      <c r="H61" s="295">
        <f>SUM(H52:H60)</f>
        <v>16508.392778770834</v>
      </c>
      <c r="I61" s="19">
        <f t="shared" si="8"/>
        <v>0</v>
      </c>
      <c r="J61" s="19">
        <f t="shared" si="8"/>
        <v>0</v>
      </c>
      <c r="K61" s="19">
        <f t="shared" si="8"/>
        <v>0</v>
      </c>
      <c r="L61" s="19">
        <f t="shared" si="8"/>
        <v>0</v>
      </c>
      <c r="M61" s="19">
        <f t="shared" si="8"/>
        <v>0</v>
      </c>
      <c r="N61" s="19">
        <f t="shared" si="8"/>
        <v>0</v>
      </c>
      <c r="O61" s="19">
        <f t="shared" si="8"/>
        <v>0</v>
      </c>
      <c r="P61" s="19">
        <f t="shared" si="8"/>
        <v>0</v>
      </c>
      <c r="Q61" s="7"/>
    </row>
    <row r="62" spans="1:17" x14ac:dyDescent="0.25">
      <c r="A62" s="1202"/>
      <c r="B62" s="7" t="s">
        <v>256</v>
      </c>
      <c r="C62" s="298" t="s">
        <v>251</v>
      </c>
      <c r="D62" s="13"/>
      <c r="E62" s="298" t="s">
        <v>251</v>
      </c>
      <c r="F62" s="298"/>
      <c r="G62" s="298"/>
      <c r="H62" s="298"/>
      <c r="I62" s="7"/>
      <c r="J62" s="7"/>
      <c r="K62" s="7"/>
      <c r="L62" s="7"/>
      <c r="M62" s="7"/>
      <c r="N62" s="7"/>
      <c r="O62" s="7"/>
      <c r="P62" s="7"/>
      <c r="Q62" s="7"/>
    </row>
    <row r="63" spans="1:17" x14ac:dyDescent="0.25">
      <c r="A63" s="1203"/>
      <c r="B63" s="133" t="s">
        <v>304</v>
      </c>
      <c r="C63" s="294">
        <f>'Biomass Data Assumptions'!AB17</f>
        <v>149.43282134999998</v>
      </c>
      <c r="D63" s="300">
        <f>E63*'Conversion Tables'!C55</f>
        <v>92498.91641564999</v>
      </c>
      <c r="E63" s="299">
        <f>C63*'Prac. Rec. Assumptions'!B51</f>
        <v>149.43282134999998</v>
      </c>
      <c r="F63" s="294">
        <f>($C63*(1+'Biomass Data Assumptions'!G$102*(4/5)))*'Prac. Rec. Assumptions'!$B51</f>
        <v>152.15425287431154</v>
      </c>
      <c r="G63" s="294">
        <f>($C63*(1+'Biomass Data Assumptions'!H$102*(9/10)))*'Prac. Rec. Assumptions'!$B51</f>
        <v>155.77736351812396</v>
      </c>
      <c r="H63" s="294">
        <f>($C63*(1+'Biomass Data Assumptions'!I$102*(14/15)))*'Prac. Rec. Assumptions'!$B51</f>
        <v>160.06717023817333</v>
      </c>
      <c r="I63" s="16" t="str">
        <f>IF('Conversion Tables'!F55="NA","NA",(E63*'Conversion Tables'!$C55)/'Conversion Tables'!F55)</f>
        <v>NA</v>
      </c>
      <c r="J63" s="16" t="str">
        <f>IF('Conversion Tables'!G55="NA","NA",(F63*'Conversion Tables'!$C55)/'Conversion Tables'!G55)</f>
        <v>NA</v>
      </c>
      <c r="K63" s="16" t="str">
        <f>IF('Conversion Tables'!H55="NA","NA",(G63*'Conversion Tables'!$C55)/'Conversion Tables'!H55)</f>
        <v>NA</v>
      </c>
      <c r="L63" s="16" t="str">
        <f>IF('Conversion Tables'!I55="NA","NA",(H63*'Conversion Tables'!$C55)/'Conversion Tables'!I55)</f>
        <v>NA</v>
      </c>
      <c r="M63" s="16" t="str">
        <f>IF('Conversion Tables'!K55="NA","NA",E63*'Conversion Tables'!K55)</f>
        <v>NA</v>
      </c>
      <c r="N63" s="16" t="str">
        <f>IF('Conversion Tables'!L55="NA","NA",F63*'Conversion Tables'!L55)</f>
        <v>NA</v>
      </c>
      <c r="O63" s="16" t="str">
        <f>IF('Conversion Tables'!M55="NA","NA",G63*'Conversion Tables'!M55)</f>
        <v>NA</v>
      </c>
      <c r="P63" s="16" t="str">
        <f>IF('Conversion Tables'!N55="NA","NA",H63*'Conversion Tables'!N55)</f>
        <v>NA</v>
      </c>
      <c r="Q63" s="7"/>
    </row>
    <row r="64" spans="1:17" x14ac:dyDescent="0.25">
      <c r="A64" s="1204"/>
      <c r="B64" s="17" t="s">
        <v>512</v>
      </c>
      <c r="C64" s="294">
        <f>'Biomass Data Assumptions'!X17</f>
        <v>0</v>
      </c>
      <c r="D64" s="300">
        <f>E64*'Conversion Tables'!C56</f>
        <v>0</v>
      </c>
      <c r="E64" s="299">
        <f>C64*'Prac. Rec. Assumptions'!B52</f>
        <v>0</v>
      </c>
      <c r="F64" s="545">
        <f>($C64*(1+'Biomass Data Assumptions'!G$102*(3/5))*(1+('Biomass Data Assumptions'!C$82-((1+'Biomass Data Assumptions'!$B$82)^2 - 1))))*'Prac. Rec. Assumptions'!$B52</f>
        <v>0</v>
      </c>
      <c r="G64" s="545">
        <f>($C64*(1+'Biomass Data Assumptions'!H$102*(4/5))*(1+('Biomass Data Assumptions'!D$82-((1+'Biomass Data Assumptions'!$B$82)^2 - 1))))*'Prac. Rec. Assumptions'!$B52</f>
        <v>0</v>
      </c>
      <c r="H64" s="545">
        <f>($C64*(1+'Biomass Data Assumptions'!I$102*(13/15))*(1+('Biomass Data Assumptions'!E$82-((1+'Biomass Data Assumptions'!$B$82)^2 - 1))))*'Prac. Rec. Assumptions'!$B52</f>
        <v>0</v>
      </c>
      <c r="I64" s="16" t="str">
        <f>IF('Conversion Tables'!F56="NA","NA",(E64*'Conversion Tables'!$C56)/'Conversion Tables'!F56)</f>
        <v>NA</v>
      </c>
      <c r="J64" s="16" t="str">
        <f>IF('Conversion Tables'!G56="NA","NA",(F64*'Conversion Tables'!$C56)/'Conversion Tables'!G56)</f>
        <v>NA</v>
      </c>
      <c r="K64" s="16" t="str">
        <f>IF('Conversion Tables'!H56="NA","NA",(G64*'Conversion Tables'!$C56)/'Conversion Tables'!H56)</f>
        <v>NA</v>
      </c>
      <c r="L64" s="16" t="str">
        <f>IF('Conversion Tables'!I56="NA","NA",(H64*'Conversion Tables'!$C56)/'Conversion Tables'!I56)</f>
        <v>NA</v>
      </c>
      <c r="M64" s="16" t="str">
        <f>IF('Conversion Tables'!K56="NA","NA",E64*'Conversion Tables'!K56)</f>
        <v>NA</v>
      </c>
      <c r="N64" s="16" t="str">
        <f>IF('Conversion Tables'!L56="NA","NA",F64*'Conversion Tables'!L56)</f>
        <v>NA</v>
      </c>
      <c r="O64" s="16" t="str">
        <f>IF('Conversion Tables'!M56="NA","NA",G64*'Conversion Tables'!M56)</f>
        <v>NA</v>
      </c>
      <c r="P64" s="16" t="str">
        <f>IF('Conversion Tables'!N56="NA","NA",H64*'Conversion Tables'!N56)</f>
        <v>NA</v>
      </c>
      <c r="Q64" s="7"/>
    </row>
    <row r="65" spans="1:19" x14ac:dyDescent="0.25">
      <c r="A65" s="1204"/>
      <c r="B65" s="9" t="s">
        <v>248</v>
      </c>
      <c r="C65" s="295">
        <f>SUM(C63:C64)</f>
        <v>149.43282134999998</v>
      </c>
      <c r="D65" s="295">
        <f>SUM(D63:D64)</f>
        <v>92498.91641564999</v>
      </c>
      <c r="E65" s="295">
        <f t="shared" ref="E65:P65" si="9">SUM(E63:E64)</f>
        <v>149.43282134999998</v>
      </c>
      <c r="F65" s="295">
        <f>SUM(F63:F64)</f>
        <v>152.15425287431154</v>
      </c>
      <c r="G65" s="295">
        <f>SUM(G63:G64)</f>
        <v>155.77736351812396</v>
      </c>
      <c r="H65" s="295">
        <f>SUM(H63:H64)</f>
        <v>160.06717023817333</v>
      </c>
      <c r="I65" s="19">
        <f t="shared" si="9"/>
        <v>0</v>
      </c>
      <c r="J65" s="19">
        <f t="shared" si="9"/>
        <v>0</v>
      </c>
      <c r="K65" s="19">
        <f t="shared" si="9"/>
        <v>0</v>
      </c>
      <c r="L65" s="19">
        <f t="shared" si="9"/>
        <v>0</v>
      </c>
      <c r="M65" s="19">
        <f t="shared" si="9"/>
        <v>0</v>
      </c>
      <c r="N65" s="19">
        <f t="shared" si="9"/>
        <v>0</v>
      </c>
      <c r="O65" s="19">
        <f t="shared" si="9"/>
        <v>0</v>
      </c>
      <c r="P65" s="19">
        <f t="shared" si="9"/>
        <v>0</v>
      </c>
      <c r="Q65" s="19">
        <f>SUM(Q51:Q64)</f>
        <v>0</v>
      </c>
    </row>
    <row r="66" spans="1:19" x14ac:dyDescent="0.25">
      <c r="A66" s="1204"/>
      <c r="B66" s="9"/>
      <c r="C66" s="295"/>
      <c r="D66" s="295"/>
      <c r="E66" s="295"/>
      <c r="F66" s="295"/>
      <c r="G66" s="295"/>
      <c r="H66" s="295"/>
      <c r="I66" s="19"/>
      <c r="J66" s="19"/>
      <c r="K66" s="19"/>
      <c r="L66" s="19"/>
      <c r="M66" s="19"/>
      <c r="N66" s="19"/>
      <c r="O66" s="19"/>
      <c r="P66" s="19"/>
      <c r="Q66" s="19"/>
    </row>
    <row r="67" spans="1:19" x14ac:dyDescent="0.25">
      <c r="A67" s="1205"/>
      <c r="B67" s="9" t="s">
        <v>258</v>
      </c>
      <c r="C67" s="295">
        <f>C61+(C63*1000000/29487.1582406855)+(C64*1000000/25364.5039539246)</f>
        <v>22469.857877486527</v>
      </c>
      <c r="D67" s="295">
        <f t="shared" ref="D67" si="10">D61+D65</f>
        <v>284924.23035758396</v>
      </c>
      <c r="E67" s="295">
        <f>E61+(E63*1000000/29487.1582406855)+(E64*1000000/25364.5039539246)</f>
        <v>20620.564353486527</v>
      </c>
      <c r="F67" s="295">
        <f t="shared" ref="F67:H67" si="11">F61+(F63*1000000/29487.1582406855)+(F64*1000000/25364.5039539246)</f>
        <v>20957.391807590506</v>
      </c>
      <c r="G67" s="295">
        <f t="shared" si="11"/>
        <v>21405.818719379538</v>
      </c>
      <c r="H67" s="295">
        <f t="shared" si="11"/>
        <v>21936.761593820549</v>
      </c>
      <c r="I67" s="19">
        <f t="shared" ref="I67:P67" si="12">I61+I65</f>
        <v>0</v>
      </c>
      <c r="J67" s="19">
        <f t="shared" si="12"/>
        <v>0</v>
      </c>
      <c r="K67" s="19">
        <f t="shared" si="12"/>
        <v>0</v>
      </c>
      <c r="L67" s="19">
        <f t="shared" si="12"/>
        <v>0</v>
      </c>
      <c r="M67" s="19">
        <f t="shared" si="12"/>
        <v>0</v>
      </c>
      <c r="N67" s="19">
        <f t="shared" si="12"/>
        <v>0</v>
      </c>
      <c r="O67" s="19">
        <f t="shared" si="12"/>
        <v>0</v>
      </c>
      <c r="P67" s="19">
        <f t="shared" si="12"/>
        <v>0</v>
      </c>
      <c r="Q67" s="19"/>
    </row>
    <row r="68" spans="1:19" customFormat="1" x14ac:dyDescent="0.25">
      <c r="B68" s="270" t="s">
        <v>162</v>
      </c>
      <c r="C68" s="132">
        <f>C11+C29+C43+C49+C67</f>
        <v>331070.08705720317</v>
      </c>
      <c r="D68" s="132"/>
      <c r="E68" s="132">
        <f>E11+E29+E43+E49+E67</f>
        <v>218615.46298952319</v>
      </c>
      <c r="F68" s="132">
        <f>F11+F29+F43+F49+F67</f>
        <v>223887.15908555532</v>
      </c>
      <c r="G68" s="132">
        <f>G11+G29+G43+G49+G67</f>
        <v>229750.05864619056</v>
      </c>
      <c r="H68" s="132">
        <f>H11+H29+H43+H49+H67</f>
        <v>236610.06811322665</v>
      </c>
      <c r="I68" s="264"/>
    </row>
    <row r="69" spans="1:19" ht="13.8" thickBot="1" x14ac:dyDescent="0.3">
      <c r="A69" s="10"/>
      <c r="B69" s="10"/>
      <c r="C69" s="10"/>
      <c r="D69" s="10"/>
      <c r="E69" s="10"/>
      <c r="F69" s="10"/>
      <c r="G69" s="10"/>
      <c r="H69" s="10"/>
      <c r="I69" s="1003">
        <f>SUM(I8:I66)/2</f>
        <v>0</v>
      </c>
      <c r="J69" s="1003">
        <f>SUM(J8:J66)/2</f>
        <v>0</v>
      </c>
      <c r="K69" s="1003">
        <f>SUM(K8:K66)/2</f>
        <v>0</v>
      </c>
      <c r="L69" s="1003">
        <f>SUM(L8:L66)/2</f>
        <v>0</v>
      </c>
      <c r="M69" s="1003">
        <f>SUM(M8:M66)/2</f>
        <v>0</v>
      </c>
      <c r="N69" s="1003">
        <f t="shared" ref="N69:P69" si="13">SUM(N8:N66)/2</f>
        <v>0</v>
      </c>
      <c r="O69" s="1003">
        <f t="shared" si="13"/>
        <v>0</v>
      </c>
      <c r="P69" s="1003">
        <f t="shared" si="13"/>
        <v>0</v>
      </c>
      <c r="Q69" s="10"/>
      <c r="R69" s="10"/>
      <c r="S69" s="10"/>
    </row>
    <row r="70" spans="1:19" x14ac:dyDescent="0.25">
      <c r="A70" s="35" t="s">
        <v>23</v>
      </c>
      <c r="B70" s="36"/>
      <c r="C70" s="36"/>
      <c r="D70" s="36"/>
      <c r="E70" s="36"/>
      <c r="F70" s="36"/>
      <c r="G70" s="36"/>
      <c r="H70" s="36"/>
      <c r="I70" s="36"/>
      <c r="J70" s="36"/>
      <c r="K70" s="36"/>
      <c r="L70" s="36"/>
      <c r="M70" s="36"/>
      <c r="N70" s="36"/>
      <c r="O70" s="36"/>
      <c r="P70" s="36"/>
      <c r="Q70" s="36"/>
      <c r="R70" s="36"/>
    </row>
    <row r="71" spans="1:19" x14ac:dyDescent="0.25">
      <c r="A71" s="36"/>
      <c r="B71" s="36"/>
      <c r="C71" s="36"/>
      <c r="D71" s="36"/>
      <c r="E71" s="36"/>
      <c r="F71" s="36"/>
      <c r="G71" s="36"/>
      <c r="H71" s="36"/>
      <c r="I71" s="36"/>
      <c r="J71" s="36"/>
      <c r="K71" s="36"/>
      <c r="L71" s="36"/>
      <c r="M71" s="36"/>
      <c r="N71" s="36"/>
      <c r="O71" s="36"/>
      <c r="P71" s="36"/>
      <c r="Q71" s="36"/>
      <c r="R71" s="36"/>
    </row>
    <row r="72" spans="1:19" x14ac:dyDescent="0.25">
      <c r="A72" s="36"/>
      <c r="B72" s="36"/>
      <c r="C72" s="36"/>
      <c r="D72" s="36"/>
      <c r="E72" s="36"/>
      <c r="F72" s="36"/>
      <c r="G72" s="36"/>
      <c r="H72" s="36"/>
      <c r="I72" s="36"/>
      <c r="J72" s="36"/>
      <c r="K72" s="36"/>
      <c r="L72" s="36"/>
      <c r="M72" s="36"/>
      <c r="N72" s="36"/>
      <c r="O72" s="36"/>
      <c r="P72" s="36"/>
      <c r="Q72" s="36"/>
      <c r="R72" s="36"/>
    </row>
    <row r="73" spans="1:19" ht="26.4" x14ac:dyDescent="0.25">
      <c r="A73" s="37" t="s">
        <v>1037</v>
      </c>
      <c r="B73" s="454" t="s">
        <v>297</v>
      </c>
      <c r="C73" s="37" t="s">
        <v>1042</v>
      </c>
      <c r="D73" s="37" t="s">
        <v>1041</v>
      </c>
      <c r="E73" s="36" t="s">
        <v>598</v>
      </c>
      <c r="F73" s="38"/>
      <c r="G73" s="38"/>
      <c r="H73" s="36"/>
      <c r="I73" s="36"/>
      <c r="J73" s="36"/>
      <c r="K73" s="36"/>
      <c r="L73" s="36"/>
      <c r="M73" s="36"/>
      <c r="N73" s="36"/>
      <c r="O73" s="36"/>
      <c r="P73" s="36"/>
      <c r="Q73" s="36"/>
      <c r="R73" s="36"/>
    </row>
    <row r="74" spans="1:19" x14ac:dyDescent="0.25">
      <c r="A74" s="39" t="s">
        <v>519</v>
      </c>
      <c r="B74" s="21">
        <v>73</v>
      </c>
      <c r="C74" s="40">
        <f>'Biomass Data Assumptions'!B38*B74</f>
        <v>4766.8999999999996</v>
      </c>
      <c r="D74" s="40">
        <f>(C74*'Biomass Data Assumptions'!C38)/2000</f>
        <v>133.47319999999999</v>
      </c>
      <c r="E74" s="41"/>
      <c r="F74" s="41"/>
      <c r="G74" s="41"/>
      <c r="H74" s="36"/>
      <c r="I74" s="36"/>
      <c r="J74" s="36"/>
      <c r="K74" s="36"/>
      <c r="L74" s="36"/>
      <c r="M74" s="36"/>
      <c r="N74" s="36"/>
      <c r="O74" s="36"/>
      <c r="P74" s="36"/>
      <c r="Q74" s="36"/>
      <c r="R74" s="36"/>
    </row>
    <row r="75" spans="1:19" x14ac:dyDescent="0.25">
      <c r="A75" s="39" t="s">
        <v>520</v>
      </c>
      <c r="B75" s="21">
        <v>449</v>
      </c>
      <c r="C75" s="40">
        <f>'Biomass Data Assumptions'!B39*B75</f>
        <v>12257.7</v>
      </c>
      <c r="D75" s="40">
        <f>(C75*'Biomass Data Assumptions'!C39)/2000</f>
        <v>343.21560000000005</v>
      </c>
      <c r="E75" s="41"/>
      <c r="F75" s="41"/>
      <c r="G75" s="41"/>
      <c r="H75" s="36"/>
      <c r="I75" s="36"/>
      <c r="J75" s="36"/>
      <c r="K75" s="36"/>
      <c r="L75" s="36"/>
      <c r="M75" s="36"/>
      <c r="N75" s="36"/>
      <c r="O75" s="36"/>
      <c r="P75" s="36"/>
      <c r="Q75" s="36"/>
      <c r="R75" s="36"/>
    </row>
    <row r="76" spans="1:19" x14ac:dyDescent="0.25">
      <c r="A76" s="39" t="s">
        <v>521</v>
      </c>
      <c r="B76" s="21">
        <v>2091</v>
      </c>
      <c r="C76" s="40">
        <f>'Biomass Data Assumptions'!B40*B76</f>
        <v>261375</v>
      </c>
      <c r="D76" s="40">
        <f>(C76*'Biomass Data Assumptions'!C40)/2000</f>
        <v>7318.5</v>
      </c>
      <c r="E76" s="41"/>
      <c r="F76" s="41"/>
      <c r="G76" s="41"/>
      <c r="H76" s="36"/>
      <c r="I76" s="36"/>
      <c r="J76" s="36"/>
      <c r="K76" s="36"/>
      <c r="L76" s="36"/>
      <c r="M76" s="36"/>
      <c r="N76" s="36"/>
      <c r="O76" s="36"/>
      <c r="P76" s="36"/>
      <c r="Q76" s="36"/>
      <c r="R76" s="36"/>
    </row>
    <row r="77" spans="1:19" x14ac:dyDescent="0.25">
      <c r="A77" s="39" t="s">
        <v>525</v>
      </c>
      <c r="B77" s="21">
        <v>4002</v>
      </c>
      <c r="C77" s="40">
        <f>'Biomass Data Assumptions'!B41*B77</f>
        <v>128064</v>
      </c>
      <c r="D77" s="40">
        <f>(C77*'Biomass Data Assumptions'!C41)/2000</f>
        <v>3841.92</v>
      </c>
      <c r="E77" s="41"/>
      <c r="F77" s="41"/>
      <c r="G77" s="41"/>
      <c r="H77" s="36"/>
      <c r="I77" s="36"/>
      <c r="J77" s="36"/>
      <c r="K77" s="36"/>
      <c r="L77" s="36"/>
      <c r="M77" s="36"/>
      <c r="N77" s="36"/>
      <c r="O77" s="36"/>
      <c r="P77" s="36"/>
      <c r="Q77" s="36"/>
      <c r="R77" s="36"/>
    </row>
    <row r="78" spans="1:19" x14ac:dyDescent="0.25">
      <c r="A78" s="39" t="s">
        <v>522</v>
      </c>
      <c r="B78" s="21">
        <v>442</v>
      </c>
      <c r="C78" s="40">
        <f>'Biomass Data Assumptions'!B42*B78</f>
        <v>23868</v>
      </c>
      <c r="D78" s="40">
        <f>(C78*'Biomass Data Assumptions'!C42)/2000</f>
        <v>716.04</v>
      </c>
      <c r="E78" s="41"/>
      <c r="F78" s="41"/>
      <c r="G78" s="41"/>
      <c r="H78" s="36"/>
      <c r="I78" s="36"/>
      <c r="J78" s="36"/>
      <c r="K78" s="36"/>
      <c r="L78" s="36"/>
      <c r="M78" s="36"/>
      <c r="N78" s="36"/>
      <c r="O78" s="36"/>
      <c r="P78" s="36"/>
      <c r="Q78" s="36"/>
      <c r="R78" s="36"/>
    </row>
    <row r="79" spans="1:19" x14ac:dyDescent="0.25">
      <c r="A79" s="36"/>
      <c r="B79" s="36"/>
      <c r="C79" s="36"/>
      <c r="D79" s="36"/>
      <c r="E79" s="36"/>
      <c r="F79" s="36"/>
      <c r="G79" s="36"/>
      <c r="H79" s="36"/>
      <c r="I79" s="36"/>
      <c r="J79" s="36"/>
      <c r="K79" s="36"/>
      <c r="L79" s="36"/>
      <c r="M79" s="36"/>
      <c r="N79" s="36"/>
      <c r="O79" s="36"/>
      <c r="P79" s="36"/>
      <c r="Q79" s="36"/>
      <c r="R79" s="36"/>
    </row>
    <row r="80" spans="1:19" ht="39.6" x14ac:dyDescent="0.25">
      <c r="A80" s="37" t="s">
        <v>1038</v>
      </c>
      <c r="B80" s="454" t="s">
        <v>297</v>
      </c>
      <c r="C80" s="37" t="s">
        <v>1041</v>
      </c>
      <c r="D80" s="37" t="s">
        <v>1036</v>
      </c>
      <c r="E80" s="36" t="s">
        <v>598</v>
      </c>
      <c r="F80" s="38"/>
      <c r="G80" s="38"/>
      <c r="H80" s="36"/>
      <c r="I80" s="36"/>
      <c r="J80" s="36"/>
      <c r="K80" s="36"/>
      <c r="L80" s="36"/>
      <c r="M80" s="36"/>
      <c r="N80" s="36"/>
      <c r="O80" s="36"/>
      <c r="P80" s="36"/>
      <c r="Q80" s="36"/>
      <c r="R80" s="36"/>
    </row>
    <row r="81" spans="1:18" x14ac:dyDescent="0.25">
      <c r="A81" s="39" t="s">
        <v>527</v>
      </c>
      <c r="B81" s="21">
        <v>291</v>
      </c>
      <c r="C81" s="40">
        <f>'Biomass Data Assumptions'!B49*B81</f>
        <v>291</v>
      </c>
      <c r="D81" s="40">
        <f>C81*'Energy Content Assumptions'!C11</f>
        <v>247.35</v>
      </c>
      <c r="E81" s="41"/>
      <c r="F81" s="41"/>
      <c r="G81" s="41"/>
      <c r="H81" s="36"/>
      <c r="I81" s="36"/>
      <c r="J81" s="36"/>
      <c r="K81" s="36"/>
      <c r="L81" s="36"/>
      <c r="M81" s="36"/>
      <c r="N81" s="36"/>
      <c r="O81" s="36"/>
      <c r="P81" s="36"/>
      <c r="Q81" s="36"/>
      <c r="R81" s="36"/>
    </row>
    <row r="82" spans="1:18" x14ac:dyDescent="0.25">
      <c r="A82" s="39" t="s">
        <v>520</v>
      </c>
      <c r="B82" s="21">
        <f>449+329</f>
        <v>778</v>
      </c>
      <c r="C82" s="40">
        <f>'Biomass Data Assumptions'!B50*B82</f>
        <v>1750.5</v>
      </c>
      <c r="D82" s="40">
        <f>C82*'Energy Content Assumptions'!C12</f>
        <v>1487.925</v>
      </c>
      <c r="E82" s="41" t="s">
        <v>600</v>
      </c>
      <c r="F82" s="41"/>
      <c r="G82" s="41"/>
      <c r="H82" s="36"/>
      <c r="I82" s="36"/>
      <c r="J82" s="36"/>
      <c r="K82" s="36"/>
      <c r="L82" s="36"/>
      <c r="M82" s="36"/>
      <c r="N82" s="36"/>
      <c r="O82" s="36"/>
      <c r="P82" s="36"/>
      <c r="Q82" s="36"/>
      <c r="R82" s="36"/>
    </row>
    <row r="83" spans="1:18" x14ac:dyDescent="0.25">
      <c r="A83" s="39" t="s">
        <v>521</v>
      </c>
      <c r="B83" s="21">
        <v>2091</v>
      </c>
      <c r="C83" s="40">
        <f>'Biomass Data Assumptions'!B51*B83</f>
        <v>5227.5</v>
      </c>
      <c r="D83" s="40">
        <f>C83*'Energy Content Assumptions'!C13</f>
        <v>4443.375</v>
      </c>
      <c r="E83" s="41"/>
      <c r="F83" s="41"/>
      <c r="G83" s="41"/>
      <c r="H83" s="36"/>
      <c r="I83" s="36"/>
      <c r="J83" s="36"/>
      <c r="K83" s="36"/>
      <c r="L83" s="36"/>
      <c r="M83" s="36"/>
      <c r="N83" s="36"/>
      <c r="O83" s="36"/>
      <c r="P83" s="36"/>
      <c r="Q83" s="36"/>
      <c r="R83" s="36"/>
    </row>
    <row r="84" spans="1:18" x14ac:dyDescent="0.25">
      <c r="A84" s="39" t="s">
        <v>528</v>
      </c>
      <c r="B84" s="21">
        <v>0</v>
      </c>
      <c r="C84" s="40">
        <f>'Biomass Data Assumptions'!B52*B84</f>
        <v>0</v>
      </c>
      <c r="D84" s="40">
        <f>C84*'Energy Content Assumptions'!C14</f>
        <v>0</v>
      </c>
      <c r="E84" s="41"/>
      <c r="F84" s="41"/>
      <c r="G84" s="41"/>
      <c r="H84" s="36"/>
      <c r="I84" s="36"/>
      <c r="J84" s="36"/>
      <c r="K84" s="36"/>
      <c r="L84" s="36"/>
      <c r="M84" s="36"/>
      <c r="N84" s="36"/>
      <c r="O84" s="36"/>
      <c r="P84" s="36"/>
      <c r="Q84" s="36"/>
      <c r="R84" s="36"/>
    </row>
    <row r="85" spans="1:18" x14ac:dyDescent="0.25">
      <c r="A85" s="39" t="s">
        <v>529</v>
      </c>
      <c r="B85" s="21">
        <v>712</v>
      </c>
      <c r="C85" s="40">
        <f>'Biomass Data Assumptions'!B53*B85</f>
        <v>2278.4</v>
      </c>
      <c r="D85" s="40">
        <f>C85*'Energy Content Assumptions'!C15</f>
        <v>1936.64</v>
      </c>
      <c r="E85" s="41"/>
      <c r="F85" s="41"/>
      <c r="G85" s="41"/>
      <c r="H85" s="36"/>
      <c r="I85" s="36"/>
      <c r="J85" s="36"/>
      <c r="K85" s="36"/>
      <c r="L85" s="36"/>
      <c r="M85" s="36"/>
      <c r="N85" s="36"/>
      <c r="O85" s="36"/>
      <c r="P85" s="36"/>
      <c r="Q85" s="36"/>
      <c r="R85" s="36"/>
    </row>
    <row r="86" spans="1:18" x14ac:dyDescent="0.25">
      <c r="A86" s="39" t="s">
        <v>530</v>
      </c>
      <c r="B86" s="21">
        <v>2543</v>
      </c>
      <c r="C86" s="40">
        <f>'Biomass Data Assumptions'!B54*B86</f>
        <v>4323.0999999999995</v>
      </c>
      <c r="D86" s="40">
        <f>C86*'Energy Content Assumptions'!C16</f>
        <v>3674.6349999999993</v>
      </c>
      <c r="E86" s="41"/>
      <c r="F86" s="41"/>
      <c r="G86" s="41"/>
      <c r="H86" s="36"/>
      <c r="I86" s="36"/>
      <c r="J86" s="36"/>
      <c r="K86" s="36"/>
      <c r="L86" s="36"/>
      <c r="M86" s="36"/>
      <c r="N86" s="36"/>
      <c r="O86" s="36"/>
      <c r="P86" s="36"/>
      <c r="Q86" s="36"/>
      <c r="R86" s="36"/>
    </row>
    <row r="87" spans="1:18" x14ac:dyDescent="0.25">
      <c r="A87" s="39" t="s">
        <v>522</v>
      </c>
      <c r="B87" s="21">
        <f>442+0</f>
        <v>442</v>
      </c>
      <c r="C87" s="40">
        <f>'Biomass Data Assumptions'!B55*B87</f>
        <v>773.5</v>
      </c>
      <c r="D87" s="40">
        <f>C87*'Energy Content Assumptions'!C17</f>
        <v>657.47500000000002</v>
      </c>
      <c r="E87" s="41" t="s">
        <v>601</v>
      </c>
      <c r="F87" s="41"/>
      <c r="G87" s="41"/>
      <c r="H87" s="36"/>
      <c r="I87" s="36"/>
      <c r="J87" s="36"/>
      <c r="K87" s="36"/>
      <c r="L87" s="36"/>
      <c r="M87" s="36"/>
      <c r="N87" s="36"/>
      <c r="O87" s="36"/>
      <c r="P87" s="36"/>
      <c r="Q87" s="36"/>
      <c r="R87" s="36"/>
    </row>
    <row r="88" spans="1:18" x14ac:dyDescent="0.25">
      <c r="A88" s="43"/>
      <c r="B88" s="41"/>
      <c r="C88" s="41"/>
      <c r="D88" s="41"/>
      <c r="E88" s="41"/>
      <c r="F88" s="41"/>
      <c r="G88" s="41"/>
      <c r="H88" s="36"/>
      <c r="I88" s="36"/>
      <c r="J88" s="36"/>
      <c r="K88" s="36"/>
      <c r="L88" s="36"/>
      <c r="M88" s="36"/>
      <c r="N88" s="36"/>
      <c r="O88" s="36"/>
      <c r="P88" s="36"/>
      <c r="Q88" s="36"/>
      <c r="R88" s="36"/>
    </row>
    <row r="89" spans="1:18" x14ac:dyDescent="0.25">
      <c r="A89" s="43"/>
      <c r="B89" s="640" t="s">
        <v>297</v>
      </c>
      <c r="C89" s="122" t="s">
        <v>299</v>
      </c>
      <c r="D89" s="122" t="s">
        <v>300</v>
      </c>
      <c r="E89" s="41"/>
      <c r="F89" s="41"/>
      <c r="G89" s="41"/>
      <c r="H89" s="36"/>
      <c r="I89" s="36"/>
      <c r="J89" s="36"/>
      <c r="K89" s="36"/>
      <c r="L89" s="36"/>
      <c r="M89" s="36"/>
      <c r="N89" s="36"/>
      <c r="O89" s="36"/>
      <c r="P89" s="36"/>
      <c r="Q89" s="36"/>
      <c r="R89" s="36"/>
    </row>
    <row r="90" spans="1:18" x14ac:dyDescent="0.25">
      <c r="A90" s="43" t="s">
        <v>296</v>
      </c>
      <c r="B90" s="85">
        <f>IF('Prac. Rec. Assumptions'!B56='Prac. Rec. Assumptions'!V3,0,SUM(IF('Prac. Rec. Assumptions'!B57="Yes",B74,0),IF('Prac. Rec. Assumptions'!B58="Yes",B81,0),IF('Prac. Rec. Assumptions'!B59="Yes",B82,0),IF('Prac. Rec. Assumptions'!B60="Yes",B83,0),IF('Prac. Rec. Assumptions'!B61="Yes",B84,0),IF('Prac. Rec. Assumptions'!B62="Yes",B85,0),IF('Prac. Rec. Assumptions'!B63="Yes",B86,0),IF('Prac. Rec. Assumptions'!B64="Yes",B87,0)))</f>
        <v>0</v>
      </c>
      <c r="C90" s="41">
        <f>IF('Prac. Rec. Assumptions'!B56='Prac. Rec. Assumptions'!V1,'Biomass Data Assumptions'!C46,IF('Prac. Rec. Assumptions'!B56='Prac. Rec. Assumptions'!V2,'Biomass Data Assumptions'!C45,0))</f>
        <v>0</v>
      </c>
      <c r="D90" s="41">
        <f>(C90*'Energy Content Assumptions'!C9)*B90</f>
        <v>0</v>
      </c>
      <c r="E90" s="41"/>
      <c r="F90" s="41"/>
      <c r="G90" s="41"/>
      <c r="H90" s="36"/>
      <c r="I90" s="36"/>
      <c r="J90" s="36"/>
      <c r="K90" s="36"/>
      <c r="L90" s="36"/>
      <c r="M90" s="36"/>
      <c r="N90" s="36"/>
      <c r="O90" s="36"/>
      <c r="P90" s="36"/>
      <c r="Q90" s="36"/>
      <c r="R90" s="36"/>
    </row>
    <row r="91" spans="1:18" x14ac:dyDescent="0.25">
      <c r="A91" s="36"/>
      <c r="B91" s="36"/>
      <c r="C91" s="36"/>
      <c r="D91" s="36"/>
      <c r="E91" s="36"/>
      <c r="F91" s="36"/>
      <c r="G91" s="36"/>
      <c r="H91" s="36"/>
      <c r="I91" s="36"/>
      <c r="J91" s="36"/>
      <c r="K91" s="36"/>
      <c r="L91" s="36"/>
      <c r="M91" s="36"/>
      <c r="N91" s="36"/>
      <c r="O91" s="36"/>
      <c r="P91" s="36"/>
      <c r="Q91" s="36"/>
      <c r="R91" s="36"/>
    </row>
    <row r="92" spans="1:18" ht="39.6" x14ac:dyDescent="0.25">
      <c r="A92" s="42" t="s">
        <v>531</v>
      </c>
      <c r="B92" s="455" t="s">
        <v>298</v>
      </c>
      <c r="C92" s="38" t="s">
        <v>1050</v>
      </c>
      <c r="D92" s="38" t="s">
        <v>1045</v>
      </c>
      <c r="E92" s="38" t="s">
        <v>1048</v>
      </c>
      <c r="F92" s="38" t="s">
        <v>1047</v>
      </c>
      <c r="G92" s="38" t="s">
        <v>1046</v>
      </c>
      <c r="H92" s="36" t="s">
        <v>599</v>
      </c>
      <c r="I92" s="36"/>
      <c r="J92" s="38"/>
      <c r="K92" s="38"/>
      <c r="L92" s="38"/>
      <c r="M92" s="38"/>
      <c r="N92" s="36"/>
      <c r="O92" s="36"/>
      <c r="P92" s="36"/>
      <c r="Q92" s="36"/>
      <c r="R92" s="36"/>
    </row>
    <row r="93" spans="1:18" x14ac:dyDescent="0.25">
      <c r="A93" s="42"/>
      <c r="B93" s="38"/>
      <c r="C93" s="38"/>
      <c r="D93" s="38"/>
      <c r="E93" s="38"/>
      <c r="F93" s="36"/>
      <c r="G93" s="36"/>
      <c r="H93" s="36"/>
      <c r="I93" s="36"/>
      <c r="J93" s="38"/>
      <c r="K93" s="38"/>
      <c r="L93" s="38"/>
      <c r="M93" s="38"/>
      <c r="N93" s="36"/>
      <c r="O93" s="36"/>
      <c r="P93" s="36"/>
      <c r="Q93" s="36"/>
      <c r="R93" s="36"/>
    </row>
    <row r="94" spans="1:18" hidden="1" x14ac:dyDescent="0.25">
      <c r="A94" s="43"/>
      <c r="B94" s="36"/>
      <c r="C94" s="41"/>
      <c r="D94" s="41"/>
      <c r="E94" s="44"/>
      <c r="F94" s="36"/>
      <c r="G94" s="36"/>
      <c r="H94" s="36"/>
      <c r="I94" s="36"/>
      <c r="J94" s="44"/>
      <c r="K94" s="44"/>
      <c r="L94" s="44"/>
      <c r="M94" s="44"/>
      <c r="N94" s="36"/>
      <c r="O94" s="36"/>
      <c r="P94" s="36"/>
      <c r="Q94" s="36"/>
      <c r="R94" s="36"/>
    </row>
    <row r="95" spans="1:18" hidden="1" x14ac:dyDescent="0.25">
      <c r="A95" s="45"/>
      <c r="B95" s="85"/>
      <c r="C95" s="41"/>
      <c r="D95" s="41"/>
      <c r="E95" s="41"/>
      <c r="F95" s="41"/>
      <c r="G95" s="41"/>
      <c r="H95" s="36"/>
      <c r="I95" s="36"/>
      <c r="J95" s="41"/>
      <c r="K95" s="41"/>
      <c r="L95" s="41"/>
      <c r="M95" s="41"/>
      <c r="N95" s="36"/>
      <c r="O95" s="36"/>
      <c r="P95" s="36"/>
      <c r="Q95" s="36"/>
      <c r="R95" s="36"/>
    </row>
    <row r="96" spans="1:18" hidden="1" x14ac:dyDescent="0.25">
      <c r="A96" s="45"/>
      <c r="B96" s="85"/>
      <c r="C96" s="41"/>
      <c r="D96" s="41"/>
      <c r="E96" s="41"/>
      <c r="F96" s="41"/>
      <c r="G96" s="41"/>
      <c r="H96" s="36"/>
      <c r="I96" s="36"/>
      <c r="J96" s="41"/>
      <c r="K96" s="41"/>
      <c r="L96" s="41"/>
      <c r="M96" s="41"/>
      <c r="N96" s="36"/>
      <c r="O96" s="36"/>
      <c r="P96" s="36"/>
      <c r="Q96" s="36"/>
      <c r="R96" s="36"/>
    </row>
    <row r="97" spans="1:18" x14ac:dyDescent="0.25">
      <c r="A97" s="467" t="s">
        <v>535</v>
      </c>
      <c r="B97" s="85">
        <v>378</v>
      </c>
      <c r="C97" s="41">
        <f>ROUND('Biomass Data Assumptions'!$B$60/1000*B97,0)</f>
        <v>378</v>
      </c>
      <c r="D97" s="41">
        <f>'Biomass Data Assumptions'!$C$60*C97</f>
        <v>12693240</v>
      </c>
      <c r="E97" s="41">
        <f>('Biomass Data Assumptions'!$D$60*'Energy Content Assumptions'!$C$44*D97)/2000</f>
        <v>152.31888000000001</v>
      </c>
      <c r="F97" s="41">
        <f>('Biomass Data Assumptions'!$E$60*B97*365)/2000</f>
        <v>275.94</v>
      </c>
      <c r="G97" s="41">
        <f>F97+E97</f>
        <v>428.25887999999998</v>
      </c>
      <c r="H97" s="36"/>
      <c r="I97" s="36"/>
      <c r="J97" s="41"/>
      <c r="K97" s="41"/>
      <c r="L97" s="41"/>
      <c r="M97" s="41"/>
      <c r="N97" s="36"/>
      <c r="O97" s="36"/>
      <c r="P97" s="36"/>
      <c r="Q97" s="36"/>
      <c r="R97" s="36"/>
    </row>
    <row r="98" spans="1:18" x14ac:dyDescent="0.25">
      <c r="A98" s="46"/>
      <c r="B98" s="41"/>
      <c r="C98" s="41"/>
      <c r="D98" s="41"/>
      <c r="E98" s="41"/>
      <c r="F98" s="41"/>
      <c r="G98" s="41"/>
      <c r="H98" s="36"/>
      <c r="I98" s="36"/>
      <c r="J98" s="41"/>
      <c r="K98" s="41"/>
      <c r="L98" s="41"/>
      <c r="M98" s="41"/>
      <c r="N98" s="36"/>
      <c r="O98" s="36"/>
      <c r="P98" s="36"/>
      <c r="Q98" s="36"/>
      <c r="R98" s="36"/>
    </row>
    <row r="99" spans="1:18" x14ac:dyDescent="0.25">
      <c r="A99" s="43" t="s">
        <v>539</v>
      </c>
      <c r="B99" s="47"/>
      <c r="C99" s="41"/>
      <c r="D99" s="41"/>
      <c r="E99" s="41"/>
      <c r="F99" s="41"/>
      <c r="G99" s="41"/>
      <c r="H99" s="36"/>
      <c r="I99" s="36"/>
      <c r="J99" s="41"/>
      <c r="K99" s="41"/>
      <c r="L99" s="41"/>
      <c r="M99" s="41"/>
      <c r="N99" s="36"/>
      <c r="O99" s="36"/>
      <c r="P99" s="36"/>
      <c r="Q99" s="36"/>
      <c r="R99" s="36"/>
    </row>
    <row r="100" spans="1:18" x14ac:dyDescent="0.25">
      <c r="A100" s="460" t="s">
        <v>603</v>
      </c>
      <c r="B100" s="85">
        <v>10</v>
      </c>
      <c r="C100" s="41">
        <f>ROUND('Biomass Data Assumptions'!B62/1000*B100,0)</f>
        <v>4</v>
      </c>
      <c r="D100" s="41">
        <f>'Biomass Data Assumptions'!C62*C100</f>
        <v>116800</v>
      </c>
      <c r="E100" s="41">
        <f>('Biomass Data Assumptions'!D62*'Energy Content Assumptions'!C46*D100)/2000</f>
        <v>5.2560000000000002</v>
      </c>
      <c r="F100" s="41">
        <f>('Biomass Data Assumptions'!E62*B100*365)/2000</f>
        <v>9.125</v>
      </c>
      <c r="G100" s="41">
        <f>F100+E100</f>
        <v>14.381</v>
      </c>
      <c r="H100" s="36"/>
      <c r="I100" s="36"/>
      <c r="J100" s="41"/>
      <c r="K100" s="41"/>
      <c r="L100" s="41"/>
      <c r="M100" s="41"/>
      <c r="N100" s="36"/>
      <c r="O100" s="36"/>
      <c r="P100" s="36"/>
      <c r="Q100" s="36"/>
      <c r="R100" s="36"/>
    </row>
    <row r="101" spans="1:18" hidden="1" x14ac:dyDescent="0.25">
      <c r="A101" s="45"/>
      <c r="B101" s="85"/>
      <c r="C101" s="41"/>
      <c r="D101" s="41"/>
      <c r="E101" s="41"/>
      <c r="F101" s="41"/>
      <c r="G101" s="41"/>
      <c r="H101" s="36"/>
      <c r="I101" s="36"/>
      <c r="J101" s="41"/>
      <c r="K101" s="41"/>
      <c r="L101" s="41"/>
      <c r="M101" s="41"/>
      <c r="N101" s="36"/>
      <c r="O101" s="36"/>
      <c r="P101" s="36"/>
      <c r="Q101" s="36"/>
      <c r="R101" s="36"/>
    </row>
    <row r="102" spans="1:18" x14ac:dyDescent="0.25">
      <c r="A102" s="460" t="s">
        <v>604</v>
      </c>
      <c r="B102" s="85">
        <v>22</v>
      </c>
      <c r="C102" s="41">
        <f>ROUND('Biomass Data Assumptions'!B64/1000*B102,0)</f>
        <v>31</v>
      </c>
      <c r="D102" s="41">
        <f>'Biomass Data Assumptions'!C64*C102</f>
        <v>1255965</v>
      </c>
      <c r="E102" s="41">
        <f>('Biomass Data Assumptions'!D64*'Energy Content Assumptions'!C48*D102)/2000</f>
        <v>56.518424999999993</v>
      </c>
      <c r="F102" s="41">
        <f>'Biomass Data Assumptions'!E64*B102*365/2000</f>
        <v>40.15</v>
      </c>
      <c r="G102" s="41">
        <f>F102+E102</f>
        <v>96.668424999999985</v>
      </c>
      <c r="H102" s="36"/>
      <c r="I102" s="36"/>
      <c r="J102" s="41"/>
      <c r="K102" s="41"/>
      <c r="L102" s="41"/>
      <c r="M102" s="41"/>
      <c r="N102" s="36"/>
      <c r="O102" s="36"/>
      <c r="P102" s="36"/>
      <c r="Q102" s="36"/>
      <c r="R102" s="36"/>
    </row>
    <row r="103" spans="1:18" hidden="1" x14ac:dyDescent="0.25">
      <c r="A103" s="45"/>
      <c r="B103" s="85"/>
      <c r="C103" s="41"/>
      <c r="D103" s="41"/>
      <c r="E103" s="41"/>
      <c r="F103" s="41"/>
      <c r="G103" s="41"/>
      <c r="H103" s="36"/>
      <c r="I103" s="36"/>
      <c r="J103" s="41"/>
      <c r="K103" s="41"/>
      <c r="L103" s="41"/>
      <c r="M103" s="41"/>
      <c r="N103" s="36"/>
      <c r="O103" s="36"/>
      <c r="P103" s="36"/>
      <c r="Q103" s="36"/>
      <c r="R103" s="36"/>
    </row>
    <row r="104" spans="1:18" x14ac:dyDescent="0.25">
      <c r="A104" s="467" t="s">
        <v>544</v>
      </c>
      <c r="B104" s="85">
        <v>32</v>
      </c>
      <c r="C104" s="41">
        <f>SUM(C100:C103)</f>
        <v>35</v>
      </c>
      <c r="D104" s="41">
        <f>SUM(D100:D103)</f>
        <v>1372765</v>
      </c>
      <c r="E104" s="41">
        <f>SUM(E100:E103)</f>
        <v>61.774424999999994</v>
      </c>
      <c r="F104" s="41">
        <f>SUM(F100:F103)</f>
        <v>49.274999999999999</v>
      </c>
      <c r="G104" s="41">
        <f>SUM(G100:G103)</f>
        <v>111.04942499999999</v>
      </c>
      <c r="H104" s="36"/>
      <c r="I104" s="36"/>
      <c r="J104" s="41"/>
      <c r="K104" s="41"/>
      <c r="L104" s="41"/>
      <c r="M104" s="41"/>
      <c r="N104" s="36"/>
      <c r="O104" s="36"/>
      <c r="P104" s="36"/>
      <c r="Q104" s="36"/>
      <c r="R104" s="36"/>
    </row>
    <row r="105" spans="1:18" x14ac:dyDescent="0.25">
      <c r="A105" s="46"/>
      <c r="B105" s="41"/>
      <c r="C105" s="41"/>
      <c r="D105" s="41"/>
      <c r="E105" s="41"/>
      <c r="F105" s="41"/>
      <c r="G105" s="41"/>
      <c r="H105" s="36"/>
      <c r="I105" s="36"/>
      <c r="J105" s="41"/>
      <c r="K105" s="41"/>
      <c r="L105" s="41"/>
      <c r="M105" s="41"/>
      <c r="N105" s="36"/>
      <c r="O105" s="36"/>
      <c r="P105" s="36"/>
      <c r="Q105" s="36"/>
      <c r="R105" s="36"/>
    </row>
    <row r="106" spans="1:18" x14ac:dyDescent="0.25">
      <c r="A106" s="43" t="s">
        <v>545</v>
      </c>
      <c r="B106" s="85">
        <v>915</v>
      </c>
      <c r="C106" s="41">
        <f>ROUND('Biomass Data Assumptions'!B66/1000*B106,0)</f>
        <v>915</v>
      </c>
      <c r="D106" s="41">
        <f>'Biomass Data Assumptions'!C66*C106</f>
        <v>18535612.5</v>
      </c>
      <c r="E106" s="41">
        <f>('Biomass Data Assumptions'!D66*'Energy Content Assumptions'!C50*D106)/2000</f>
        <v>648.74643750000007</v>
      </c>
      <c r="F106" s="41">
        <f>'Biomass Data Assumptions'!E66*B106*365/2000</f>
        <v>2504.8125</v>
      </c>
      <c r="G106" s="41">
        <f>F106+E106</f>
        <v>3153.5589375</v>
      </c>
      <c r="H106" s="36"/>
      <c r="I106" s="36"/>
      <c r="J106" s="41"/>
      <c r="K106" s="41"/>
      <c r="L106" s="41"/>
      <c r="M106" s="41"/>
      <c r="N106" s="36"/>
      <c r="O106" s="36"/>
      <c r="P106" s="36"/>
      <c r="Q106" s="36"/>
      <c r="R106" s="36"/>
    </row>
    <row r="107" spans="1:18" x14ac:dyDescent="0.25">
      <c r="A107" s="43"/>
      <c r="B107" s="41"/>
      <c r="C107" s="41"/>
      <c r="D107" s="41"/>
      <c r="E107" s="41"/>
      <c r="F107" s="41"/>
      <c r="G107" s="41"/>
      <c r="H107" s="36"/>
      <c r="I107" s="36"/>
      <c r="J107" s="41"/>
      <c r="K107" s="41"/>
      <c r="L107" s="41"/>
      <c r="M107" s="41"/>
      <c r="N107" s="36"/>
      <c r="O107" s="36"/>
      <c r="P107" s="36"/>
      <c r="Q107" s="36"/>
      <c r="R107" s="36"/>
    </row>
    <row r="108" spans="1:18" x14ac:dyDescent="0.25">
      <c r="A108" s="43" t="s">
        <v>546</v>
      </c>
      <c r="B108" s="85">
        <v>1038</v>
      </c>
      <c r="C108" s="41">
        <f>ROUND('Biomass Data Assumptions'!B67/1000*B108,0)</f>
        <v>104</v>
      </c>
      <c r="D108" s="41">
        <f>'Biomass Data Assumptions'!C67*C108</f>
        <v>1556360</v>
      </c>
      <c r="E108" s="41">
        <f>('Biomass Data Assumptions'!D67*'Energy Content Assumptions'!C51*D108)/2000</f>
        <v>38.908999999999999</v>
      </c>
      <c r="F108" s="41">
        <f>'Biomass Data Assumptions'!E67*B108*365/2000</f>
        <v>189.435</v>
      </c>
      <c r="G108" s="41">
        <f>F108+E108</f>
        <v>228.34399999999999</v>
      </c>
      <c r="H108" s="36"/>
      <c r="I108" s="36"/>
      <c r="J108" s="41"/>
      <c r="K108" s="41"/>
      <c r="L108" s="41"/>
      <c r="M108" s="41"/>
      <c r="N108" s="36"/>
      <c r="O108" s="36"/>
      <c r="P108" s="36"/>
      <c r="Q108" s="36"/>
      <c r="R108" s="36"/>
    </row>
    <row r="109" spans="1:18" x14ac:dyDescent="0.25">
      <c r="A109" s="43"/>
      <c r="B109" s="41"/>
      <c r="C109" s="41"/>
      <c r="D109" s="41"/>
      <c r="E109" s="41"/>
      <c r="F109" s="41"/>
      <c r="G109" s="41"/>
      <c r="H109" s="36"/>
      <c r="I109" s="36"/>
      <c r="J109" s="41"/>
      <c r="K109" s="41"/>
      <c r="L109" s="41"/>
      <c r="M109" s="41"/>
      <c r="N109" s="36"/>
      <c r="O109" s="36"/>
      <c r="P109" s="36"/>
      <c r="Q109" s="36"/>
      <c r="R109" s="36"/>
    </row>
    <row r="110" spans="1:18" x14ac:dyDescent="0.25">
      <c r="A110" s="43" t="s">
        <v>547</v>
      </c>
      <c r="B110" s="85">
        <v>101</v>
      </c>
      <c r="C110" s="41">
        <f>ROUND('Biomass Data Assumptions'!B68/1000*B110,0)</f>
        <v>10</v>
      </c>
      <c r="D110" s="41">
        <f>'Biomass Data Assumptions'!C68*C110</f>
        <v>149650</v>
      </c>
      <c r="E110" s="41">
        <f>('Biomass Data Assumptions'!D68*'Energy Content Assumptions'!C52*D110)/2000</f>
        <v>3.74125</v>
      </c>
      <c r="F110" s="41">
        <f>'Biomass Data Assumptions'!E68*B110*365/2000</f>
        <v>18.432500000000001</v>
      </c>
      <c r="G110" s="41">
        <f>F110+E110</f>
        <v>22.173750000000002</v>
      </c>
      <c r="H110" s="36"/>
      <c r="I110" s="36"/>
      <c r="J110" s="41"/>
      <c r="K110" s="41"/>
      <c r="L110" s="41"/>
      <c r="M110" s="41"/>
      <c r="N110" s="36"/>
      <c r="O110" s="36"/>
      <c r="P110" s="36"/>
      <c r="Q110" s="36"/>
      <c r="R110" s="36"/>
    </row>
    <row r="111" spans="1:18" x14ac:dyDescent="0.25">
      <c r="A111" s="43"/>
      <c r="B111" s="41"/>
      <c r="C111" s="41"/>
      <c r="D111" s="41"/>
      <c r="E111" s="41"/>
      <c r="F111" s="41"/>
      <c r="G111" s="41"/>
      <c r="H111" s="36"/>
      <c r="I111" s="36"/>
      <c r="J111" s="41"/>
      <c r="K111" s="41"/>
      <c r="L111" s="41"/>
      <c r="M111" s="41"/>
      <c r="N111" s="36"/>
      <c r="O111" s="36"/>
      <c r="P111" s="36"/>
      <c r="Q111" s="36"/>
      <c r="R111" s="36"/>
    </row>
    <row r="112" spans="1:18" ht="2.25" customHeight="1" x14ac:dyDescent="0.25">
      <c r="A112" s="43"/>
      <c r="B112" s="36"/>
      <c r="C112" s="41"/>
      <c r="D112" s="41"/>
      <c r="E112" s="41"/>
      <c r="F112" s="41"/>
      <c r="G112" s="41"/>
      <c r="H112" s="36"/>
      <c r="I112" s="36"/>
      <c r="J112" s="41"/>
      <c r="K112" s="41"/>
      <c r="L112" s="41"/>
      <c r="M112" s="41"/>
      <c r="N112" s="36"/>
      <c r="O112" s="36"/>
      <c r="P112" s="36"/>
      <c r="Q112" s="36"/>
      <c r="R112" s="36"/>
    </row>
    <row r="113" spans="1:18" hidden="1" x14ac:dyDescent="0.25">
      <c r="A113" s="45"/>
      <c r="B113" s="85"/>
      <c r="C113" s="41"/>
      <c r="D113" s="41"/>
      <c r="E113" s="41"/>
      <c r="F113" s="41"/>
      <c r="G113" s="41"/>
      <c r="H113" s="36"/>
      <c r="I113" s="36"/>
      <c r="J113" s="41"/>
      <c r="K113" s="41"/>
      <c r="L113" s="41"/>
      <c r="M113" s="41"/>
      <c r="N113" s="36"/>
      <c r="O113" s="36"/>
      <c r="P113" s="36"/>
      <c r="Q113" s="36"/>
      <c r="R113" s="36"/>
    </row>
    <row r="114" spans="1:18" hidden="1" x14ac:dyDescent="0.25">
      <c r="A114" s="45"/>
      <c r="B114" s="85"/>
      <c r="C114" s="41"/>
      <c r="D114" s="41"/>
      <c r="E114" s="41"/>
      <c r="F114" s="41"/>
      <c r="G114" s="41"/>
      <c r="H114" s="36"/>
      <c r="I114" s="36"/>
      <c r="J114" s="41"/>
      <c r="K114" s="41"/>
      <c r="L114" s="41"/>
      <c r="M114" s="41"/>
      <c r="N114" s="36"/>
      <c r="O114" s="36"/>
      <c r="P114" s="36"/>
      <c r="Q114" s="36"/>
      <c r="R114" s="36"/>
    </row>
    <row r="115" spans="1:18" x14ac:dyDescent="0.25">
      <c r="A115" s="467" t="s">
        <v>605</v>
      </c>
      <c r="B115" s="85">
        <v>5</v>
      </c>
      <c r="C115" s="41">
        <f>ROUND('Biomass Data Assumptions'!$B$71/1000*B115,0)</f>
        <v>2</v>
      </c>
      <c r="D115" s="41">
        <f>'Biomass Data Assumptions'!$C$71*C115</f>
        <v>34310</v>
      </c>
      <c r="E115" s="41">
        <f>('Biomass Data Assumptions'!$D$71*'Energy Content Assumptions'!$C$55*D115)/2000</f>
        <v>0.85775000000000001</v>
      </c>
      <c r="F115" s="41">
        <f>'Biomass Data Assumptions'!$E$71*B115*365/2000</f>
        <v>0</v>
      </c>
      <c r="G115" s="41">
        <f>F115+E115</f>
        <v>0.85775000000000001</v>
      </c>
      <c r="H115" s="36"/>
      <c r="I115" s="36"/>
      <c r="J115" s="41"/>
      <c r="K115" s="41"/>
      <c r="L115" s="41"/>
      <c r="M115" s="41"/>
      <c r="N115" s="36"/>
      <c r="O115" s="36"/>
      <c r="P115" s="36"/>
      <c r="Q115" s="36"/>
      <c r="R115" s="36"/>
    </row>
    <row r="116" spans="1:18" x14ac:dyDescent="0.25">
      <c r="A116" s="46"/>
      <c r="B116" s="41"/>
      <c r="C116" s="41"/>
      <c r="D116" s="41"/>
      <c r="E116" s="41"/>
      <c r="F116" s="41"/>
      <c r="G116" s="41"/>
      <c r="H116" s="36"/>
      <c r="I116" s="36"/>
      <c r="J116" s="41"/>
      <c r="K116" s="41"/>
      <c r="L116" s="41"/>
      <c r="M116" s="41"/>
      <c r="N116" s="36"/>
      <c r="O116" s="36"/>
      <c r="P116" s="36"/>
      <c r="Q116" s="36"/>
      <c r="R116" s="36"/>
    </row>
    <row r="117" spans="1:18" x14ac:dyDescent="0.25">
      <c r="A117" s="43" t="s">
        <v>551</v>
      </c>
      <c r="B117" s="85">
        <f>489+467+2348</f>
        <v>3304</v>
      </c>
      <c r="C117" s="41">
        <f>ROUND('Biomass Data Assumptions'!B72/1000*B117,0)</f>
        <v>17</v>
      </c>
      <c r="D117" s="41">
        <f>'Biomass Data Assumptions'!C72*C117</f>
        <v>310250</v>
      </c>
      <c r="E117" s="41">
        <f>('Biomass Data Assumptions'!D72*'Energy Content Assumptions'!C56*D117)/2000</f>
        <v>30.249375000000001</v>
      </c>
      <c r="F117" s="41">
        <f>'Biomass Data Assumptions'!E72*B117*365/2000</f>
        <v>0</v>
      </c>
      <c r="G117" s="41">
        <f>F117+E117</f>
        <v>30.249375000000001</v>
      </c>
      <c r="H117" s="36" t="s">
        <v>602</v>
      </c>
      <c r="I117" s="36"/>
      <c r="J117" s="41"/>
      <c r="K117" s="41"/>
      <c r="L117" s="41"/>
      <c r="M117" s="41"/>
      <c r="N117" s="36"/>
      <c r="O117" s="36"/>
      <c r="P117" s="36"/>
      <c r="Q117" s="36"/>
      <c r="R117" s="36"/>
    </row>
    <row r="118" spans="1:18" x14ac:dyDescent="0.25">
      <c r="A118" s="43"/>
      <c r="B118" s="41"/>
      <c r="C118" s="41"/>
      <c r="D118" s="41"/>
      <c r="E118" s="41"/>
      <c r="F118" s="41"/>
      <c r="G118" s="41"/>
      <c r="H118" s="36"/>
      <c r="I118" s="36"/>
      <c r="J118" s="41"/>
      <c r="K118" s="41"/>
      <c r="L118" s="41"/>
      <c r="M118" s="41"/>
      <c r="N118" s="36"/>
      <c r="O118" s="36"/>
      <c r="P118" s="36"/>
      <c r="Q118" s="36"/>
      <c r="R118" s="36"/>
    </row>
    <row r="119" spans="1:18" x14ac:dyDescent="0.25">
      <c r="A119" s="43" t="s">
        <v>552</v>
      </c>
      <c r="B119" s="85">
        <v>16</v>
      </c>
      <c r="C119" s="41">
        <f>ROUND('Biomass Data Assumptions'!B73/1000*B119,0)</f>
        <v>0</v>
      </c>
      <c r="D119" s="41">
        <f>'Biomass Data Assumptions'!C73*C119</f>
        <v>0</v>
      </c>
      <c r="E119" s="41">
        <f>('Biomass Data Assumptions'!D73*'Energy Content Assumptions'!C57*D119)/2000</f>
        <v>0</v>
      </c>
      <c r="F119" s="41">
        <f>'Biomass Data Assumptions'!E73*B119*365/2000</f>
        <v>0.29199999999999998</v>
      </c>
      <c r="G119" s="41">
        <f>F119+E119</f>
        <v>0.29199999999999998</v>
      </c>
      <c r="H119" s="36"/>
      <c r="I119" s="36"/>
      <c r="J119" s="41"/>
      <c r="K119" s="41"/>
      <c r="L119" s="41"/>
      <c r="M119" s="41"/>
      <c r="N119" s="36"/>
      <c r="O119" s="36"/>
      <c r="P119" s="36"/>
      <c r="Q119" s="36"/>
      <c r="R119" s="36"/>
    </row>
    <row r="120" spans="1:18" x14ac:dyDescent="0.25">
      <c r="A120" s="43"/>
      <c r="B120" s="41"/>
      <c r="C120" s="41"/>
      <c r="D120" s="41"/>
      <c r="E120" s="41"/>
      <c r="F120" s="41"/>
      <c r="G120" s="41"/>
      <c r="H120" s="36"/>
      <c r="I120" s="36"/>
      <c r="J120" s="41"/>
      <c r="K120" s="41"/>
      <c r="L120" s="41"/>
      <c r="M120" s="41"/>
      <c r="N120" s="36"/>
      <c r="O120" s="36"/>
      <c r="P120" s="36"/>
      <c r="Q120" s="36"/>
      <c r="R120" s="36"/>
    </row>
    <row r="121" spans="1:18" x14ac:dyDescent="0.25">
      <c r="A121" s="43" t="s">
        <v>553</v>
      </c>
      <c r="B121" s="86">
        <f t="shared" ref="B121:G121" si="14">B97+B104+B106+B108+B110+B115+B117+B119</f>
        <v>5789</v>
      </c>
      <c r="C121" s="48">
        <f t="shared" si="14"/>
        <v>1461</v>
      </c>
      <c r="D121" s="48">
        <f t="shared" si="14"/>
        <v>34652187.5</v>
      </c>
      <c r="E121" s="48">
        <f t="shared" si="14"/>
        <v>936.59711750000008</v>
      </c>
      <c r="F121" s="48">
        <f t="shared" si="14"/>
        <v>3038.1869999999999</v>
      </c>
      <c r="G121" s="48">
        <f t="shared" si="14"/>
        <v>3974.7841174999999</v>
      </c>
      <c r="H121" s="36"/>
      <c r="I121" s="36"/>
      <c r="J121" s="48"/>
      <c r="K121" s="48"/>
      <c r="L121" s="48"/>
      <c r="M121" s="48"/>
      <c r="N121" s="36"/>
      <c r="O121" s="36"/>
      <c r="P121" s="36"/>
      <c r="Q121" s="36"/>
      <c r="R121" s="36"/>
    </row>
    <row r="122" spans="1:18" x14ac:dyDescent="0.25">
      <c r="A122" s="36"/>
      <c r="B122" s="36"/>
      <c r="C122" s="36"/>
      <c r="D122" s="36"/>
      <c r="E122" s="36"/>
      <c r="F122" s="36"/>
      <c r="G122" s="36"/>
      <c r="H122" s="36"/>
      <c r="I122" s="36"/>
      <c r="J122" s="36"/>
      <c r="K122" s="36"/>
      <c r="L122" s="36"/>
      <c r="M122" s="36"/>
      <c r="N122" s="36"/>
      <c r="O122" s="36"/>
      <c r="P122" s="36"/>
      <c r="Q122" s="36"/>
      <c r="R122" s="36"/>
    </row>
    <row r="123" spans="1:18" x14ac:dyDescent="0.25">
      <c r="A123" s="49" t="s">
        <v>1014</v>
      </c>
      <c r="B123" s="49" t="s">
        <v>1043</v>
      </c>
      <c r="C123" s="49" t="s">
        <v>1044</v>
      </c>
      <c r="D123" s="547" t="s">
        <v>1013</v>
      </c>
      <c r="E123" s="36"/>
      <c r="F123" s="36"/>
      <c r="G123" s="36"/>
      <c r="H123" s="36"/>
      <c r="I123" s="36"/>
      <c r="J123" s="36"/>
      <c r="K123" s="36"/>
      <c r="L123" s="36"/>
      <c r="M123" s="36"/>
      <c r="N123" s="36"/>
      <c r="O123" s="36"/>
      <c r="P123" s="36"/>
      <c r="Q123" s="36"/>
      <c r="R123" s="36"/>
    </row>
    <row r="124" spans="1:18" x14ac:dyDescent="0.25">
      <c r="A124" s="50" t="s">
        <v>555</v>
      </c>
      <c r="B124" s="87">
        <v>31924.71</v>
      </c>
      <c r="C124" s="543">
        <f>B124*'Energy Content Assumptions'!C33</f>
        <v>28732.239000000001</v>
      </c>
      <c r="D124" s="36"/>
      <c r="E124" s="36"/>
      <c r="F124" s="36"/>
      <c r="G124" s="36"/>
      <c r="H124" s="36"/>
      <c r="I124" s="36"/>
      <c r="J124" s="36"/>
      <c r="K124" s="36"/>
      <c r="L124" s="36"/>
      <c r="M124" s="36"/>
      <c r="N124" s="36"/>
      <c r="O124" s="36"/>
      <c r="P124" s="36"/>
      <c r="Q124" s="36"/>
      <c r="R124" s="36"/>
    </row>
    <row r="125" spans="1:18" x14ac:dyDescent="0.25">
      <c r="A125" s="50" t="s">
        <v>556</v>
      </c>
      <c r="B125" s="87">
        <v>7432.12</v>
      </c>
      <c r="C125" s="543">
        <f>B125*'Energy Content Assumptions'!C34</f>
        <v>6688.9080000000004</v>
      </c>
      <c r="D125" s="36"/>
      <c r="E125" s="36"/>
      <c r="F125" s="36"/>
      <c r="G125" s="36"/>
      <c r="H125" s="36"/>
      <c r="I125" s="36"/>
      <c r="J125" s="36"/>
      <c r="K125" s="36"/>
      <c r="L125" s="36"/>
      <c r="M125" s="36"/>
      <c r="N125" s="36"/>
      <c r="O125" s="36"/>
      <c r="P125" s="36"/>
      <c r="Q125" s="36"/>
      <c r="R125" s="36"/>
    </row>
    <row r="126" spans="1:18" x14ac:dyDescent="0.25">
      <c r="A126" s="50" t="s">
        <v>557</v>
      </c>
      <c r="B126" s="87">
        <v>11321.85</v>
      </c>
      <c r="C126" s="543">
        <f>B126*'Energy Content Assumptions'!C35</f>
        <v>10189.665000000001</v>
      </c>
      <c r="D126" s="36"/>
      <c r="E126" s="36"/>
      <c r="F126" s="36"/>
      <c r="G126" s="36"/>
      <c r="H126" s="36"/>
      <c r="I126" s="36"/>
      <c r="J126" s="36"/>
      <c r="K126" s="36"/>
      <c r="L126" s="36"/>
      <c r="M126" s="36"/>
      <c r="N126" s="36"/>
      <c r="O126" s="36"/>
      <c r="P126" s="36"/>
      <c r="Q126" s="36"/>
      <c r="R126" s="36"/>
    </row>
    <row r="127" spans="1:18" x14ac:dyDescent="0.25">
      <c r="A127" s="50" t="s">
        <v>558</v>
      </c>
      <c r="B127" s="87">
        <v>5157.13</v>
      </c>
      <c r="C127" s="543">
        <f>B127*'Energy Content Assumptions'!C36</f>
        <v>4641.4170000000004</v>
      </c>
      <c r="D127" s="36"/>
      <c r="E127" s="36"/>
      <c r="F127" s="36"/>
      <c r="G127" s="36"/>
      <c r="H127" s="36"/>
      <c r="I127" s="36"/>
      <c r="J127" s="36"/>
      <c r="K127" s="36"/>
      <c r="L127" s="36"/>
      <c r="M127" s="36"/>
      <c r="N127" s="36"/>
      <c r="O127" s="36"/>
      <c r="P127" s="36"/>
      <c r="Q127" s="36"/>
      <c r="R127" s="36"/>
    </row>
    <row r="128" spans="1:18" x14ac:dyDescent="0.25">
      <c r="A128" s="50" t="s">
        <v>559</v>
      </c>
      <c r="B128" s="87">
        <v>40896.47</v>
      </c>
      <c r="C128" s="543">
        <f>B128*'Energy Content Assumptions'!C21</f>
        <v>20448.235000000001</v>
      </c>
      <c r="D128" s="36"/>
      <c r="E128" s="36"/>
      <c r="F128" s="36"/>
      <c r="G128" s="36"/>
      <c r="H128" s="36"/>
      <c r="I128" s="36"/>
      <c r="J128" s="36"/>
      <c r="K128" s="36"/>
      <c r="L128" s="36"/>
      <c r="M128" s="36"/>
      <c r="N128" s="36"/>
      <c r="O128" s="36"/>
      <c r="P128" s="36"/>
      <c r="Q128" s="36"/>
      <c r="R128" s="36"/>
    </row>
    <row r="129" spans="1:18" x14ac:dyDescent="0.25">
      <c r="A129" s="50" t="s">
        <v>560</v>
      </c>
      <c r="B129" s="87">
        <v>1524.57</v>
      </c>
      <c r="C129" s="543">
        <f>B129*'Energy Content Assumptions'!C22</f>
        <v>508.18999999999994</v>
      </c>
      <c r="D129" s="36"/>
      <c r="E129" s="36"/>
      <c r="F129" s="36"/>
      <c r="G129" s="36"/>
      <c r="H129" s="36"/>
      <c r="I129" s="36"/>
      <c r="J129" s="36"/>
      <c r="K129" s="36"/>
      <c r="L129" s="36"/>
      <c r="M129" s="36"/>
      <c r="N129" s="36"/>
      <c r="O129" s="36"/>
      <c r="P129" s="36"/>
      <c r="Q129" s="36"/>
      <c r="R129" s="36"/>
    </row>
    <row r="130" spans="1:18" x14ac:dyDescent="0.25">
      <c r="A130" s="50" t="s">
        <v>561</v>
      </c>
      <c r="B130" s="87">
        <v>31605.86</v>
      </c>
      <c r="C130" s="543">
        <f>B130*'Energy Content Assumptions'!C23</f>
        <v>10535.286666666667</v>
      </c>
      <c r="D130" s="36"/>
      <c r="E130" s="36"/>
      <c r="F130" s="36"/>
      <c r="G130" s="36"/>
      <c r="H130" s="36"/>
      <c r="I130" s="36"/>
      <c r="J130" s="36"/>
      <c r="K130" s="36"/>
      <c r="L130" s="36"/>
      <c r="M130" s="36"/>
      <c r="N130" s="36"/>
      <c r="O130" s="36"/>
      <c r="P130" s="36"/>
      <c r="Q130" s="36"/>
      <c r="R130" s="36"/>
    </row>
    <row r="131" spans="1:18" x14ac:dyDescent="0.25">
      <c r="A131" s="50" t="s">
        <v>562</v>
      </c>
      <c r="B131" s="87">
        <v>2943.38</v>
      </c>
      <c r="C131" s="543">
        <f>B131*'Energy Content Assumptions'!C24</f>
        <v>1471.69</v>
      </c>
      <c r="D131" s="36"/>
      <c r="E131" s="36"/>
      <c r="F131" s="36"/>
      <c r="G131" s="36"/>
      <c r="H131" s="36"/>
      <c r="I131" s="36"/>
      <c r="J131" s="36"/>
      <c r="K131" s="36"/>
      <c r="L131" s="36"/>
      <c r="M131" s="36"/>
      <c r="N131" s="36"/>
      <c r="O131" s="36"/>
      <c r="P131" s="36"/>
      <c r="Q131" s="36"/>
      <c r="R131" s="36"/>
    </row>
    <row r="132" spans="1:18" x14ac:dyDescent="0.25">
      <c r="A132" s="50" t="s">
        <v>563</v>
      </c>
      <c r="B132" s="87">
        <v>5214.92</v>
      </c>
      <c r="C132" s="543">
        <f>B132*'Energy Content Assumptions'!C31</f>
        <v>1303.73</v>
      </c>
      <c r="D132" s="36"/>
      <c r="E132" s="36"/>
      <c r="F132" s="36"/>
      <c r="G132" s="36"/>
      <c r="H132" s="36"/>
      <c r="I132" s="36"/>
      <c r="J132" s="36"/>
      <c r="K132" s="36"/>
      <c r="L132" s="36"/>
      <c r="M132" s="36"/>
      <c r="N132" s="36"/>
      <c r="O132" s="36"/>
      <c r="P132" s="36"/>
      <c r="Q132" s="36"/>
      <c r="R132" s="36"/>
    </row>
    <row r="133" spans="1:18" x14ac:dyDescent="0.25">
      <c r="A133" s="50" t="s">
        <v>564</v>
      </c>
      <c r="B133" s="87">
        <v>52680.83</v>
      </c>
      <c r="C133" s="543">
        <f>B133*'Energy Content Assumptions'!C19</f>
        <v>47412.747000000003</v>
      </c>
      <c r="D133" s="36"/>
      <c r="E133" s="36"/>
      <c r="F133" s="36"/>
      <c r="G133" s="36"/>
      <c r="H133" s="36"/>
      <c r="I133" s="36"/>
      <c r="J133" s="36"/>
      <c r="K133" s="36"/>
      <c r="L133" s="36"/>
      <c r="M133" s="36"/>
      <c r="N133" s="36"/>
      <c r="O133" s="36"/>
      <c r="P133" s="36"/>
      <c r="Q133" s="36"/>
      <c r="R133" s="36"/>
    </row>
    <row r="134" spans="1:18" x14ac:dyDescent="0.25">
      <c r="A134" s="50" t="s">
        <v>565</v>
      </c>
      <c r="B134" s="87">
        <v>23156.14</v>
      </c>
      <c r="C134" s="543">
        <f>B134*'Energy Content Assumptions'!C32</f>
        <v>18524.912</v>
      </c>
      <c r="D134" s="36"/>
      <c r="E134" s="36"/>
      <c r="F134" s="36"/>
      <c r="G134" s="36"/>
      <c r="H134" s="36"/>
      <c r="I134" s="36"/>
      <c r="J134" s="36"/>
      <c r="K134" s="36"/>
      <c r="L134" s="36"/>
      <c r="M134" s="36"/>
      <c r="N134" s="36"/>
      <c r="O134" s="36"/>
      <c r="P134" s="36"/>
      <c r="Q134" s="36"/>
      <c r="R134" s="36"/>
    </row>
    <row r="135" spans="1:18" x14ac:dyDescent="0.25">
      <c r="A135" s="36"/>
      <c r="B135" s="36"/>
      <c r="C135" s="36"/>
      <c r="D135" s="36"/>
      <c r="E135" s="36"/>
      <c r="F135" s="36"/>
      <c r="G135" s="36"/>
      <c r="H135" s="36"/>
      <c r="I135" s="36"/>
      <c r="J135" s="36"/>
      <c r="K135" s="36"/>
      <c r="L135" s="36"/>
      <c r="M135" s="36"/>
      <c r="N135" s="36"/>
      <c r="O135" s="36"/>
      <c r="P135" s="36"/>
      <c r="Q135" s="36"/>
      <c r="R135" s="36"/>
    </row>
    <row r="136" spans="1:18" x14ac:dyDescent="0.25">
      <c r="A136" s="49" t="s">
        <v>462</v>
      </c>
      <c r="B136" s="49" t="s">
        <v>1039</v>
      </c>
      <c r="C136" s="49" t="s">
        <v>1040</v>
      </c>
      <c r="D136" s="36"/>
      <c r="E136" s="36"/>
      <c r="F136" s="36"/>
      <c r="G136" s="36"/>
      <c r="H136" s="36"/>
      <c r="I136" s="36"/>
      <c r="J136" s="36"/>
      <c r="K136" s="36"/>
      <c r="L136" s="36"/>
      <c r="M136" s="36"/>
      <c r="N136" s="36"/>
      <c r="O136" s="36"/>
      <c r="P136" s="36"/>
      <c r="Q136" s="36"/>
      <c r="R136" s="36"/>
    </row>
    <row r="137" spans="1:18" x14ac:dyDescent="0.25">
      <c r="A137" s="50" t="s">
        <v>211</v>
      </c>
      <c r="B137" s="87">
        <f>'Biomass Data Assumptions'!$M$17</f>
        <v>398031.25</v>
      </c>
      <c r="C137" s="544"/>
      <c r="D137" s="546" t="s">
        <v>1016</v>
      </c>
      <c r="E137" s="36"/>
      <c r="F137" s="36"/>
      <c r="G137" s="36"/>
      <c r="H137" s="36"/>
      <c r="I137" s="36"/>
      <c r="J137" s="36"/>
      <c r="K137" s="36"/>
      <c r="L137" s="36"/>
      <c r="M137" s="36"/>
      <c r="N137" s="36"/>
      <c r="O137" s="36"/>
      <c r="P137" s="36"/>
      <c r="Q137" s="36"/>
      <c r="R137" s="36"/>
    </row>
    <row r="138" spans="1:18" x14ac:dyDescent="0.25">
      <c r="A138" s="50" t="s">
        <v>208</v>
      </c>
      <c r="B138" s="87">
        <f>'Biomass Data Assumptions'!$F$17</f>
        <v>235889.53</v>
      </c>
      <c r="C138" s="543">
        <f>B138*'Energy Content Assumptions'!$C$28</f>
        <v>117944.765</v>
      </c>
      <c r="D138" s="546" t="s">
        <v>1016</v>
      </c>
      <c r="E138" s="36"/>
      <c r="F138" s="36"/>
      <c r="G138" s="36"/>
      <c r="H138" s="36"/>
      <c r="I138" s="36"/>
      <c r="J138" s="36"/>
      <c r="K138" s="36"/>
      <c r="L138" s="36"/>
      <c r="M138" s="36"/>
      <c r="N138" s="36"/>
      <c r="O138" s="36"/>
      <c r="P138" s="36"/>
      <c r="Q138" s="36"/>
      <c r="R138" s="36"/>
    </row>
    <row r="139" spans="1:18" x14ac:dyDescent="0.25">
      <c r="A139" s="50" t="s">
        <v>209</v>
      </c>
      <c r="B139" s="87">
        <f>'Biomass Data Assumptions'!$H$17</f>
        <v>120.7</v>
      </c>
      <c r="C139" s="543"/>
      <c r="D139" s="36" t="s">
        <v>1020</v>
      </c>
      <c r="E139" s="36"/>
      <c r="F139" s="36"/>
      <c r="G139" s="36"/>
      <c r="H139" s="36"/>
      <c r="I139" s="36"/>
      <c r="J139" s="36"/>
      <c r="K139" s="36"/>
      <c r="L139" s="36"/>
      <c r="M139" s="36"/>
      <c r="N139" s="36"/>
      <c r="O139" s="36"/>
      <c r="P139" s="36"/>
      <c r="Q139" s="36"/>
      <c r="R139" s="36"/>
    </row>
    <row r="140" spans="1:18" x14ac:dyDescent="0.25">
      <c r="A140" s="50" t="s">
        <v>210</v>
      </c>
      <c r="B140" s="87">
        <f>'Biomass Data Assumptions'!$I$17</f>
        <v>235768.83</v>
      </c>
      <c r="C140" s="543">
        <f>B140*'Energy Content Assumptions'!$C$28</f>
        <v>117884.41499999999</v>
      </c>
      <c r="D140" s="36" t="s">
        <v>1021</v>
      </c>
      <c r="E140" s="36"/>
      <c r="F140" s="36"/>
      <c r="G140" s="36"/>
      <c r="H140" s="36"/>
      <c r="I140" s="36"/>
      <c r="J140" s="36"/>
      <c r="K140" s="36"/>
      <c r="L140" s="36"/>
      <c r="M140" s="36"/>
      <c r="N140" s="36"/>
      <c r="O140" s="36"/>
      <c r="P140" s="36"/>
      <c r="Q140" s="36"/>
      <c r="R140" s="36"/>
    </row>
    <row r="141" spans="1:18" x14ac:dyDescent="0.25">
      <c r="A141" s="50" t="str">
        <f>'Bioenergy Calculator'!B35</f>
        <v>Food waste, Landfilled</v>
      </c>
      <c r="B141" s="87">
        <f>IF('Bioenergy Calculator'!H75="No",'Biomass Data Assumptions'!J17,'Biomass Data Assumptions'!F17*'Biomass Data Assumptions'!I41)</f>
        <v>37298.628905999998</v>
      </c>
      <c r="C141" s="543">
        <f>B141*'Energy Content Assumptions'!C26</f>
        <v>11189.588671799998</v>
      </c>
      <c r="D141" s="150" t="s">
        <v>1063</v>
      </c>
      <c r="E141" s="36"/>
      <c r="F141" s="36"/>
      <c r="G141" s="36"/>
      <c r="H141" s="36"/>
      <c r="I141" s="36"/>
      <c r="J141" s="36"/>
      <c r="K141" s="36"/>
      <c r="L141" s="36"/>
      <c r="M141" s="36"/>
      <c r="N141" s="36"/>
      <c r="O141" s="36"/>
      <c r="P141" s="36"/>
      <c r="Q141" s="36"/>
      <c r="R141" s="36"/>
    </row>
    <row r="142" spans="1:18" x14ac:dyDescent="0.25">
      <c r="A142" s="50" t="str">
        <f>'Bioenergy Calculator'!B36</f>
        <v>Waste paper, Landfilled</v>
      </c>
      <c r="B142" s="87">
        <f>IF('Bioenergy Calculator'!H75="No",'Biomass Data Assumptions'!K17,'Biomass Data Assumptions'!F17*'Biomass Data Assumptions'!I42)</f>
        <v>45857.037434999998</v>
      </c>
      <c r="C142" s="543">
        <f>B142*'Energy Content Assumptions'!C27</f>
        <v>41271.333691499996</v>
      </c>
      <c r="D142" s="150" t="s">
        <v>1063</v>
      </c>
      <c r="E142" s="36"/>
      <c r="F142" s="36"/>
      <c r="G142" s="36"/>
      <c r="H142" s="36"/>
      <c r="I142" s="36"/>
      <c r="J142" s="36"/>
      <c r="K142" s="36"/>
      <c r="L142" s="36"/>
      <c r="M142" s="36"/>
      <c r="N142" s="36"/>
      <c r="O142" s="36"/>
      <c r="P142" s="36"/>
      <c r="Q142" s="36"/>
      <c r="R142" s="36"/>
    </row>
    <row r="143" spans="1:18" x14ac:dyDescent="0.25">
      <c r="A143" s="50" t="str">
        <f>'Bioenergy Calculator'!B37</f>
        <v>Other Biomass, Landfilled</v>
      </c>
      <c r="B143" s="87">
        <f>IF('Bioenergy Calculator'!H75="No",'Biomass Data Assumptions'!L17,'Biomass Data Assumptions'!F17*'Biomass Data Assumptions'!I43)</f>
        <v>63492.545918999989</v>
      </c>
      <c r="C143" s="543">
        <f>B143*'Energy Content Assumptions'!$C$28</f>
        <v>31746.272959499995</v>
      </c>
      <c r="D143" s="547" t="s">
        <v>1064</v>
      </c>
      <c r="E143" s="36"/>
      <c r="F143" s="36"/>
      <c r="G143" s="36"/>
      <c r="H143" s="36"/>
      <c r="I143" s="36"/>
      <c r="J143" s="36"/>
      <c r="K143" s="36"/>
      <c r="L143" s="36"/>
      <c r="M143" s="36"/>
      <c r="N143" s="36"/>
      <c r="O143" s="36"/>
      <c r="P143" s="36"/>
      <c r="Q143" s="36"/>
      <c r="R143" s="36"/>
    </row>
    <row r="144" spans="1:18" x14ac:dyDescent="0.25">
      <c r="A144" s="50" t="s">
        <v>463</v>
      </c>
      <c r="B144" s="87">
        <v>64865.99</v>
      </c>
      <c r="C144" s="543">
        <f>B144*'Energy Content Assumptions'!C29</f>
        <v>51892.792000000001</v>
      </c>
      <c r="D144" s="151" t="s">
        <v>206</v>
      </c>
      <c r="E144" s="36"/>
      <c r="F144" s="36"/>
      <c r="G144" s="36"/>
      <c r="H144" s="36"/>
      <c r="I144" s="36"/>
      <c r="J144" s="36"/>
      <c r="K144" s="36"/>
      <c r="L144" s="36"/>
      <c r="M144" s="36"/>
      <c r="N144" s="36"/>
      <c r="O144" s="36"/>
      <c r="P144" s="36"/>
      <c r="Q144" s="36"/>
      <c r="R144" s="36"/>
    </row>
    <row r="145" spans="1:18" x14ac:dyDescent="0.25">
      <c r="A145" s="709" t="s">
        <v>179</v>
      </c>
      <c r="B145" s="710">
        <v>0.4</v>
      </c>
      <c r="C145" s="543">
        <f>C144*B145</f>
        <v>20757.116800000003</v>
      </c>
      <c r="D145" s="36" t="s">
        <v>1202</v>
      </c>
      <c r="E145" s="36"/>
      <c r="F145" s="36"/>
      <c r="G145" s="36"/>
      <c r="H145" s="36"/>
      <c r="I145" s="36"/>
      <c r="J145" s="36"/>
      <c r="K145" s="36"/>
      <c r="L145" s="36"/>
      <c r="M145" s="36"/>
      <c r="N145" s="36"/>
      <c r="O145" s="36"/>
      <c r="P145" s="36"/>
      <c r="Q145" s="36"/>
      <c r="R145" s="36"/>
    </row>
    <row r="146" spans="1:18" x14ac:dyDescent="0.25">
      <c r="A146" s="712"/>
      <c r="B146" s="713"/>
      <c r="C146" s="543"/>
      <c r="D146" s="150" t="s">
        <v>1553</v>
      </c>
      <c r="E146" s="36"/>
      <c r="F146" s="36"/>
      <c r="G146" s="36"/>
      <c r="H146" s="36"/>
      <c r="I146" s="36"/>
      <c r="J146" s="36"/>
      <c r="K146" s="36"/>
      <c r="L146" s="36"/>
      <c r="M146" s="36"/>
      <c r="N146" s="36"/>
      <c r="O146" s="36"/>
      <c r="P146" s="36"/>
      <c r="Q146" s="36"/>
      <c r="R146" s="36"/>
    </row>
    <row r="147" spans="1:18" x14ac:dyDescent="0.25">
      <c r="A147" s="1238" t="s">
        <v>1568</v>
      </c>
      <c r="B147" s="49" t="s">
        <v>1039</v>
      </c>
      <c r="C147" s="49" t="s">
        <v>1571</v>
      </c>
      <c r="D147" s="150"/>
      <c r="E147" s="36"/>
      <c r="F147" s="36"/>
      <c r="G147" s="36"/>
      <c r="H147" s="36"/>
      <c r="I147" s="36"/>
      <c r="J147" s="36"/>
      <c r="K147" s="36"/>
      <c r="L147" s="36"/>
      <c r="M147" s="36"/>
      <c r="N147" s="36"/>
      <c r="O147" s="36"/>
      <c r="P147" s="36"/>
      <c r="Q147" s="36"/>
      <c r="R147" s="36"/>
    </row>
    <row r="148" spans="1:18" x14ac:dyDescent="0.25">
      <c r="A148" s="1236" t="s">
        <v>508</v>
      </c>
      <c r="B148" s="549">
        <f>'Biomass Data Assumptions'!R17/2000</f>
        <v>1612.6572000000001</v>
      </c>
      <c r="C148" s="1239">
        <f>B148*'Energy Content Assumptions'!C39</f>
        <v>1370.7586200000001</v>
      </c>
      <c r="D148" s="150" t="s">
        <v>1569</v>
      </c>
      <c r="E148" s="36"/>
      <c r="F148" s="36"/>
      <c r="G148" s="36"/>
      <c r="H148" s="36"/>
      <c r="I148" s="36"/>
      <c r="J148" s="36"/>
      <c r="K148" s="36"/>
      <c r="L148" s="36"/>
      <c r="M148" s="36"/>
      <c r="N148" s="36"/>
      <c r="O148" s="36"/>
      <c r="P148" s="36"/>
      <c r="Q148" s="36"/>
      <c r="R148" s="36"/>
    </row>
    <row r="149" spans="1:18" x14ac:dyDescent="0.25">
      <c r="A149" s="1236" t="s">
        <v>509</v>
      </c>
      <c r="B149" s="549">
        <f>'Biomass Data Assumptions'!S17/2000</f>
        <v>2450.1394049999999</v>
      </c>
      <c r="C149" s="1239">
        <f>B149*'Energy Content Assumptions'!C40</f>
        <v>122.50697024999999</v>
      </c>
      <c r="D149" s="150" t="s">
        <v>1570</v>
      </c>
      <c r="E149" s="36"/>
      <c r="F149" s="36"/>
      <c r="G149" s="36"/>
      <c r="H149" s="36"/>
      <c r="I149" s="36"/>
      <c r="J149" s="36"/>
      <c r="K149" s="36"/>
      <c r="L149" s="36"/>
      <c r="M149" s="36"/>
      <c r="N149" s="36"/>
      <c r="O149" s="36"/>
      <c r="P149" s="36"/>
      <c r="Q149" s="36"/>
      <c r="R149" s="36"/>
    </row>
    <row r="150" spans="1:18" x14ac:dyDescent="0.25">
      <c r="A150" s="1240"/>
      <c r="B150" s="1235"/>
      <c r="C150" s="1237"/>
      <c r="D150" s="150"/>
      <c r="E150" s="36"/>
      <c r="F150" s="36"/>
      <c r="G150" s="36"/>
      <c r="H150" s="36"/>
      <c r="I150" s="36"/>
      <c r="J150" s="36"/>
      <c r="K150" s="36"/>
      <c r="L150" s="36"/>
      <c r="M150" s="36"/>
      <c r="N150" s="36"/>
      <c r="O150" s="36"/>
      <c r="P150" s="36"/>
      <c r="Q150" s="36"/>
      <c r="R150" s="36"/>
    </row>
    <row r="151" spans="1:18" x14ac:dyDescent="0.25">
      <c r="A151" s="61" t="s">
        <v>464</v>
      </c>
      <c r="B151" s="61" t="s">
        <v>465</v>
      </c>
      <c r="C151" s="61" t="s">
        <v>466</v>
      </c>
      <c r="D151" s="36" t="s">
        <v>480</v>
      </c>
      <c r="E151" s="36"/>
      <c r="F151" s="36"/>
      <c r="G151" s="36"/>
      <c r="H151" s="36"/>
      <c r="I151" s="36"/>
      <c r="J151" s="36"/>
      <c r="K151" s="36"/>
      <c r="L151" s="36"/>
      <c r="M151" s="36"/>
      <c r="N151" s="36"/>
      <c r="O151" s="36"/>
      <c r="P151" s="36"/>
      <c r="Q151" s="36"/>
      <c r="R151" s="36"/>
    </row>
    <row r="152" spans="1:18" x14ac:dyDescent="0.25">
      <c r="A152" s="61" t="s">
        <v>467</v>
      </c>
      <c r="B152" s="61" t="s">
        <v>468</v>
      </c>
      <c r="C152" s="61">
        <v>840</v>
      </c>
      <c r="D152" s="36"/>
      <c r="E152" s="36"/>
      <c r="F152" s="36"/>
      <c r="G152" s="36"/>
      <c r="H152" s="36"/>
      <c r="I152" s="36"/>
      <c r="J152" s="36"/>
      <c r="K152" s="36"/>
      <c r="L152" s="36"/>
      <c r="M152" s="36"/>
      <c r="N152" s="36"/>
      <c r="O152" s="36"/>
      <c r="P152" s="36"/>
      <c r="Q152" s="36"/>
      <c r="R152" s="36"/>
    </row>
    <row r="153" spans="1:18" x14ac:dyDescent="0.25">
      <c r="A153" s="61" t="s">
        <v>469</v>
      </c>
      <c r="B153" s="61" t="s">
        <v>470</v>
      </c>
      <c r="C153" s="61">
        <v>1260</v>
      </c>
      <c r="D153" s="36"/>
      <c r="E153" s="36"/>
      <c r="F153" s="36"/>
      <c r="G153" s="36"/>
      <c r="H153" s="36"/>
      <c r="I153" s="36"/>
      <c r="J153" s="36"/>
      <c r="K153" s="36"/>
      <c r="L153" s="36"/>
      <c r="M153" s="36"/>
      <c r="N153" s="36"/>
      <c r="O153" s="36"/>
      <c r="P153" s="36"/>
      <c r="Q153" s="36"/>
      <c r="R153" s="36"/>
    </row>
    <row r="154" spans="1:18" x14ac:dyDescent="0.25">
      <c r="A154" s="61" t="s">
        <v>471</v>
      </c>
      <c r="B154" s="61" t="s">
        <v>472</v>
      </c>
      <c r="C154" s="61">
        <v>30480</v>
      </c>
      <c r="D154" s="36"/>
      <c r="E154" s="36"/>
      <c r="F154" s="36"/>
      <c r="G154" s="36"/>
      <c r="H154" s="36"/>
      <c r="I154" s="36"/>
      <c r="J154" s="36"/>
      <c r="K154" s="36"/>
      <c r="L154" s="36"/>
      <c r="M154" s="36"/>
      <c r="N154" s="36"/>
      <c r="O154" s="36"/>
      <c r="P154" s="36"/>
      <c r="Q154" s="36"/>
      <c r="R154" s="36"/>
    </row>
    <row r="155" spans="1:18" x14ac:dyDescent="0.25">
      <c r="A155" s="61" t="s">
        <v>473</v>
      </c>
      <c r="B155" s="61" t="s">
        <v>474</v>
      </c>
      <c r="C155" s="61">
        <v>4680</v>
      </c>
      <c r="D155" s="36"/>
      <c r="E155" s="36"/>
      <c r="F155" s="36"/>
      <c r="G155" s="36"/>
      <c r="H155" s="36"/>
      <c r="I155" s="36"/>
      <c r="J155" s="36"/>
      <c r="K155" s="36"/>
      <c r="L155" s="36"/>
      <c r="M155" s="36"/>
      <c r="N155" s="36"/>
      <c r="O155" s="36"/>
      <c r="P155" s="36"/>
      <c r="Q155" s="36"/>
      <c r="R155" s="36"/>
    </row>
    <row r="156" spans="1:18" x14ac:dyDescent="0.25">
      <c r="A156" s="61" t="s">
        <v>475</v>
      </c>
      <c r="B156" s="61"/>
      <c r="C156" s="61"/>
      <c r="D156" s="36"/>
      <c r="E156" s="36"/>
      <c r="F156" s="36"/>
      <c r="G156" s="36"/>
      <c r="H156" s="36"/>
      <c r="I156" s="36"/>
      <c r="J156" s="36"/>
      <c r="K156" s="36"/>
      <c r="L156" s="36"/>
      <c r="M156" s="36"/>
      <c r="N156" s="36"/>
      <c r="O156" s="36"/>
      <c r="P156" s="36"/>
      <c r="Q156" s="36"/>
      <c r="R156" s="36"/>
    </row>
    <row r="157" spans="1:18" x14ac:dyDescent="0.25">
      <c r="A157" s="61" t="s">
        <v>476</v>
      </c>
      <c r="B157" s="61"/>
      <c r="C157" s="61">
        <v>1253.32</v>
      </c>
      <c r="D157" s="36"/>
      <c r="E157" s="36"/>
      <c r="F157" s="36"/>
      <c r="G157" s="36"/>
      <c r="H157" s="36"/>
      <c r="I157" s="36"/>
      <c r="J157" s="36"/>
      <c r="K157" s="36"/>
      <c r="L157" s="36"/>
      <c r="M157" s="36"/>
      <c r="N157" s="36"/>
      <c r="O157" s="36"/>
      <c r="P157" s="36"/>
      <c r="Q157" s="36"/>
      <c r="R157" s="36"/>
    </row>
    <row r="158" spans="1:18" x14ac:dyDescent="0.25">
      <c r="A158" s="61" t="s">
        <v>477</v>
      </c>
      <c r="B158" s="61"/>
      <c r="C158" s="61">
        <v>1089.32</v>
      </c>
      <c r="D158" s="36"/>
      <c r="E158" s="36"/>
      <c r="F158" s="36"/>
      <c r="G158" s="36"/>
      <c r="H158" s="36"/>
      <c r="I158" s="36"/>
      <c r="J158" s="36"/>
      <c r="K158" s="36"/>
      <c r="L158" s="36"/>
      <c r="M158" s="36"/>
      <c r="N158" s="36"/>
      <c r="O158" s="36"/>
      <c r="P158" s="36"/>
      <c r="Q158" s="36"/>
      <c r="R158" s="36"/>
    </row>
    <row r="159" spans="1:18" x14ac:dyDescent="0.25">
      <c r="A159" s="61" t="s">
        <v>478</v>
      </c>
      <c r="B159" s="61"/>
      <c r="C159" s="61">
        <v>2927</v>
      </c>
      <c r="D159" s="36"/>
      <c r="E159" s="36"/>
      <c r="F159" s="36"/>
      <c r="G159" s="36"/>
      <c r="H159" s="36"/>
      <c r="I159" s="36"/>
      <c r="J159" s="36"/>
      <c r="K159" s="36"/>
      <c r="L159" s="36"/>
      <c r="M159" s="36"/>
      <c r="N159" s="36"/>
      <c r="O159" s="36"/>
      <c r="P159" s="36"/>
      <c r="Q159" s="36"/>
      <c r="R159" s="36"/>
    </row>
    <row r="160" spans="1:18" x14ac:dyDescent="0.25">
      <c r="A160" s="61" t="s">
        <v>479</v>
      </c>
      <c r="B160" s="61"/>
      <c r="C160" s="39">
        <v>42529.64</v>
      </c>
      <c r="D160" s="36"/>
      <c r="E160" s="36"/>
      <c r="F160" s="36"/>
      <c r="G160" s="36"/>
      <c r="H160" s="36"/>
      <c r="I160" s="36"/>
      <c r="J160" s="36"/>
      <c r="K160" s="36"/>
      <c r="L160" s="36"/>
      <c r="M160" s="36"/>
      <c r="N160" s="36"/>
      <c r="O160" s="36"/>
      <c r="P160" s="36"/>
      <c r="Q160" s="36"/>
      <c r="R160" s="36"/>
    </row>
    <row r="161" spans="1:18" x14ac:dyDescent="0.25">
      <c r="A161" s="457"/>
      <c r="B161" s="457"/>
      <c r="C161" s="457"/>
      <c r="D161" s="457"/>
      <c r="E161" s="36"/>
      <c r="F161" s="36"/>
      <c r="G161" s="36"/>
      <c r="H161" s="36"/>
      <c r="I161" s="36"/>
      <c r="J161" s="36"/>
      <c r="K161" s="36"/>
      <c r="L161" s="36"/>
      <c r="M161" s="36"/>
      <c r="N161" s="36"/>
      <c r="O161" s="36"/>
      <c r="P161" s="36"/>
      <c r="Q161" s="36"/>
      <c r="R161" s="36"/>
    </row>
    <row r="162" spans="1:18" x14ac:dyDescent="0.25">
      <c r="A162" s="457"/>
      <c r="B162" s="457"/>
      <c r="C162" s="457"/>
      <c r="D162" s="457"/>
      <c r="E162" s="36"/>
      <c r="F162" s="36"/>
      <c r="G162" s="36"/>
      <c r="H162" s="36"/>
      <c r="I162" s="36"/>
      <c r="J162" s="36"/>
      <c r="K162" s="36"/>
      <c r="L162" s="36"/>
      <c r="M162" s="36"/>
      <c r="N162" s="36"/>
      <c r="O162" s="36"/>
      <c r="P162" s="36"/>
      <c r="Q162" s="36"/>
      <c r="R162" s="36"/>
    </row>
    <row r="163" spans="1:18" x14ac:dyDescent="0.25">
      <c r="A163" s="36"/>
      <c r="B163" s="36"/>
      <c r="C163" s="36"/>
      <c r="D163" s="36"/>
      <c r="E163" s="36"/>
      <c r="F163" s="36"/>
      <c r="G163" s="36"/>
      <c r="H163" s="36"/>
      <c r="I163" s="36"/>
      <c r="J163" s="36"/>
      <c r="K163" s="36"/>
      <c r="L163" s="36"/>
      <c r="M163" s="36"/>
      <c r="N163" s="36"/>
      <c r="O163" s="36"/>
      <c r="P163" s="36"/>
      <c r="Q163" s="36"/>
      <c r="R163" s="36"/>
    </row>
    <row r="164" spans="1:18" x14ac:dyDescent="0.25">
      <c r="A164" s="36"/>
      <c r="B164" s="36"/>
      <c r="C164" s="36"/>
      <c r="D164" s="36"/>
      <c r="E164" s="36"/>
      <c r="F164" s="36"/>
      <c r="G164" s="36"/>
      <c r="H164" s="36"/>
      <c r="I164" s="36"/>
      <c r="J164" s="36"/>
      <c r="K164" s="36"/>
      <c r="L164" s="36"/>
      <c r="M164" s="36"/>
      <c r="N164" s="36"/>
      <c r="O164" s="36"/>
      <c r="P164" s="36"/>
      <c r="Q164" s="36"/>
      <c r="R164" s="36"/>
    </row>
    <row r="165" spans="1:18" x14ac:dyDescent="0.25">
      <c r="A165" s="36"/>
      <c r="B165" s="36"/>
      <c r="C165" s="36"/>
      <c r="D165" s="36"/>
      <c r="E165" s="36"/>
      <c r="F165" s="36"/>
      <c r="G165" s="36"/>
      <c r="H165" s="36"/>
      <c r="I165" s="36"/>
      <c r="J165" s="36"/>
      <c r="K165" s="36"/>
      <c r="L165" s="36"/>
      <c r="M165" s="36"/>
      <c r="N165" s="36"/>
      <c r="O165" s="36"/>
      <c r="P165" s="36"/>
      <c r="Q165" s="36"/>
      <c r="R165" s="36"/>
    </row>
    <row r="166" spans="1:18" x14ac:dyDescent="0.25">
      <c r="A166" s="36"/>
      <c r="B166" s="36"/>
      <c r="C166" s="36"/>
      <c r="D166" s="36"/>
      <c r="E166" s="36"/>
      <c r="F166" s="36"/>
      <c r="G166" s="36"/>
      <c r="H166" s="36"/>
      <c r="I166" s="36"/>
      <c r="J166" s="36"/>
      <c r="K166" s="36"/>
      <c r="L166" s="36"/>
      <c r="M166" s="36"/>
      <c r="N166" s="36"/>
      <c r="O166" s="36"/>
      <c r="P166" s="36"/>
      <c r="Q166" s="36"/>
      <c r="R166" s="36"/>
    </row>
    <row r="167" spans="1:18" x14ac:dyDescent="0.25">
      <c r="A167" s="36"/>
      <c r="B167" s="36"/>
      <c r="C167" s="36"/>
      <c r="D167" s="36"/>
      <c r="E167" s="36"/>
      <c r="F167" s="36"/>
      <c r="G167" s="36"/>
      <c r="H167" s="36"/>
      <c r="I167" s="36"/>
      <c r="J167" s="36"/>
      <c r="K167" s="36"/>
      <c r="L167" s="36"/>
      <c r="M167" s="36"/>
      <c r="N167" s="36"/>
      <c r="O167" s="36"/>
      <c r="P167" s="36"/>
      <c r="Q167" s="36"/>
      <c r="R167" s="36"/>
    </row>
    <row r="168" spans="1:18" x14ac:dyDescent="0.25">
      <c r="A168" s="36"/>
      <c r="B168" s="36"/>
      <c r="C168" s="36"/>
      <c r="D168" s="36"/>
      <c r="E168" s="36"/>
      <c r="F168" s="36"/>
      <c r="G168" s="36"/>
      <c r="H168" s="36"/>
      <c r="I168" s="36"/>
      <c r="J168" s="36"/>
      <c r="K168" s="36"/>
      <c r="L168" s="36"/>
      <c r="M168" s="36"/>
      <c r="N168" s="36"/>
      <c r="O168" s="36"/>
      <c r="P168" s="36"/>
      <c r="Q168" s="36"/>
      <c r="R168" s="36"/>
    </row>
    <row r="169" spans="1:18" x14ac:dyDescent="0.25">
      <c r="A169" s="36"/>
      <c r="B169" s="36"/>
      <c r="C169" s="36"/>
      <c r="D169" s="36"/>
      <c r="E169" s="36"/>
      <c r="F169" s="36"/>
      <c r="G169" s="36"/>
      <c r="H169" s="36"/>
      <c r="I169" s="36"/>
      <c r="J169" s="36"/>
      <c r="K169" s="36"/>
      <c r="L169" s="36"/>
      <c r="M169" s="36"/>
      <c r="N169" s="36"/>
      <c r="O169" s="36"/>
      <c r="P169" s="36"/>
      <c r="Q169" s="36"/>
      <c r="R169" s="36"/>
    </row>
    <row r="170" spans="1:18" x14ac:dyDescent="0.25">
      <c r="A170" s="36"/>
      <c r="B170" s="36"/>
      <c r="C170" s="36"/>
      <c r="D170" s="36"/>
      <c r="E170" s="36"/>
      <c r="F170" s="36"/>
      <c r="G170" s="36"/>
      <c r="H170" s="36"/>
      <c r="I170" s="36"/>
      <c r="J170" s="36"/>
      <c r="K170" s="36"/>
      <c r="L170" s="36"/>
      <c r="M170" s="36"/>
      <c r="N170" s="36"/>
      <c r="O170" s="36"/>
      <c r="P170" s="36"/>
      <c r="Q170" s="36"/>
      <c r="R170" s="36"/>
    </row>
    <row r="171" spans="1:18" x14ac:dyDescent="0.25">
      <c r="A171" s="36"/>
      <c r="B171" s="36"/>
      <c r="C171" s="36"/>
      <c r="D171" s="36"/>
      <c r="E171" s="36"/>
      <c r="F171" s="36"/>
      <c r="G171" s="36"/>
      <c r="H171" s="36"/>
      <c r="I171" s="36"/>
      <c r="J171" s="36"/>
      <c r="K171" s="36"/>
      <c r="L171" s="36"/>
      <c r="M171" s="36"/>
      <c r="N171" s="36"/>
      <c r="O171" s="36"/>
      <c r="P171" s="36"/>
      <c r="Q171" s="36"/>
      <c r="R171" s="36"/>
    </row>
    <row r="172" spans="1:18" x14ac:dyDescent="0.25">
      <c r="A172" s="36"/>
      <c r="B172" s="36"/>
      <c r="C172" s="36"/>
      <c r="D172" s="36"/>
      <c r="E172" s="36"/>
      <c r="F172" s="36"/>
      <c r="G172" s="36"/>
      <c r="H172" s="36"/>
      <c r="I172" s="36"/>
      <c r="J172" s="36"/>
      <c r="K172" s="36"/>
      <c r="L172" s="36"/>
      <c r="M172" s="36"/>
      <c r="N172" s="36"/>
      <c r="O172" s="36"/>
      <c r="P172" s="36"/>
      <c r="Q172" s="36"/>
      <c r="R172" s="36"/>
    </row>
    <row r="173" spans="1:18" x14ac:dyDescent="0.25">
      <c r="A173" s="36"/>
      <c r="B173" s="36"/>
      <c r="C173" s="36"/>
      <c r="D173" s="36"/>
      <c r="E173" s="36"/>
      <c r="F173" s="36"/>
      <c r="G173" s="36"/>
      <c r="H173" s="36"/>
      <c r="I173" s="36"/>
      <c r="J173" s="36"/>
      <c r="K173" s="36"/>
      <c r="L173" s="36"/>
      <c r="M173" s="36"/>
      <c r="N173" s="36"/>
      <c r="O173" s="36"/>
      <c r="P173" s="36"/>
      <c r="Q173" s="36"/>
      <c r="R173" s="36"/>
    </row>
    <row r="174" spans="1:18" x14ac:dyDescent="0.25">
      <c r="P174" s="36"/>
      <c r="Q174" s="36"/>
      <c r="R174" s="36"/>
    </row>
    <row r="175" spans="1:18" x14ac:dyDescent="0.25">
      <c r="P175" s="36"/>
      <c r="Q175" s="36"/>
      <c r="R175" s="36"/>
    </row>
    <row r="176" spans="1:18" x14ac:dyDescent="0.25">
      <c r="P176" s="36"/>
      <c r="Q176" s="36"/>
      <c r="R176" s="36"/>
    </row>
    <row r="177" spans="16:18" x14ac:dyDescent="0.25">
      <c r="P177" s="36"/>
      <c r="Q177" s="36"/>
      <c r="R177" s="36"/>
    </row>
    <row r="178" spans="16:18" x14ac:dyDescent="0.25">
      <c r="P178" s="36"/>
      <c r="Q178" s="36"/>
      <c r="R178" s="36"/>
    </row>
    <row r="179" spans="16:18" x14ac:dyDescent="0.25">
      <c r="P179" s="36"/>
      <c r="Q179" s="36"/>
      <c r="R179" s="36"/>
    </row>
    <row r="180" spans="16:18" x14ac:dyDescent="0.25">
      <c r="P180" s="36"/>
      <c r="Q180" s="36"/>
      <c r="R180" s="36"/>
    </row>
    <row r="181" spans="16:18" x14ac:dyDescent="0.25">
      <c r="P181" s="36"/>
      <c r="Q181" s="36"/>
      <c r="R181" s="36"/>
    </row>
    <row r="182" spans="16:18" x14ac:dyDescent="0.25">
      <c r="P182" s="36"/>
      <c r="Q182" s="36"/>
      <c r="R182" s="36"/>
    </row>
    <row r="183" spans="16:18" x14ac:dyDescent="0.25">
      <c r="P183" s="36"/>
      <c r="Q183" s="36"/>
      <c r="R183" s="36"/>
    </row>
    <row r="184" spans="16:18" x14ac:dyDescent="0.25">
      <c r="P184" s="36"/>
      <c r="Q184" s="36"/>
      <c r="R184" s="36"/>
    </row>
    <row r="185" spans="16:18" x14ac:dyDescent="0.25">
      <c r="P185" s="36"/>
      <c r="Q185" s="36"/>
      <c r="R185" s="36"/>
    </row>
    <row r="186" spans="16:18" x14ac:dyDescent="0.25">
      <c r="P186" s="36"/>
      <c r="Q186" s="36"/>
      <c r="R186" s="36"/>
    </row>
    <row r="187" spans="16:18" x14ac:dyDescent="0.25">
      <c r="P187" s="36"/>
      <c r="Q187" s="36"/>
      <c r="R187" s="36"/>
    </row>
    <row r="188" spans="16:18" x14ac:dyDescent="0.25">
      <c r="P188" s="36"/>
      <c r="Q188" s="36"/>
      <c r="R188" s="36"/>
    </row>
    <row r="189" spans="16:18" x14ac:dyDescent="0.25">
      <c r="P189" s="36"/>
      <c r="Q189" s="36"/>
      <c r="R189" s="36"/>
    </row>
    <row r="190" spans="16:18" x14ac:dyDescent="0.25">
      <c r="P190" s="36"/>
      <c r="Q190" s="36"/>
      <c r="R190" s="36"/>
    </row>
    <row r="191" spans="16:18" x14ac:dyDescent="0.25">
      <c r="P191" s="36"/>
      <c r="Q191" s="36"/>
      <c r="R191" s="36"/>
    </row>
    <row r="192" spans="16:18" x14ac:dyDescent="0.25">
      <c r="P192" s="36"/>
      <c r="Q192" s="36"/>
      <c r="R192" s="36"/>
    </row>
    <row r="193" spans="16:18" x14ac:dyDescent="0.25">
      <c r="P193" s="36"/>
      <c r="Q193" s="36"/>
      <c r="R193" s="36"/>
    </row>
    <row r="194" spans="16:18" x14ac:dyDescent="0.25">
      <c r="P194" s="36"/>
      <c r="Q194" s="36"/>
      <c r="R194" s="36"/>
    </row>
    <row r="195" spans="16:18" x14ac:dyDescent="0.25">
      <c r="P195" s="36"/>
      <c r="Q195" s="36"/>
      <c r="R195" s="36"/>
    </row>
    <row r="196" spans="16:18" x14ac:dyDescent="0.25">
      <c r="P196" s="36"/>
      <c r="Q196" s="36"/>
      <c r="R196" s="36"/>
    </row>
    <row r="197" spans="16:18" x14ac:dyDescent="0.25">
      <c r="P197" s="36"/>
      <c r="Q197" s="36"/>
      <c r="R197" s="36"/>
    </row>
    <row r="198" spans="16:18" x14ac:dyDescent="0.25">
      <c r="P198" s="36"/>
      <c r="Q198" s="36"/>
      <c r="R198" s="36"/>
    </row>
    <row r="199" spans="16:18" x14ac:dyDescent="0.25">
      <c r="P199" s="36"/>
      <c r="Q199" s="36"/>
      <c r="R199" s="36"/>
    </row>
    <row r="200" spans="16:18" x14ac:dyDescent="0.25">
      <c r="P200" s="36"/>
      <c r="Q200" s="36"/>
      <c r="R200" s="36"/>
    </row>
    <row r="201" spans="16:18" x14ac:dyDescent="0.25">
      <c r="P201" s="36"/>
      <c r="Q201" s="36"/>
      <c r="R201" s="36"/>
    </row>
    <row r="202" spans="16:18" x14ac:dyDescent="0.25">
      <c r="P202" s="36"/>
      <c r="Q202" s="36"/>
      <c r="R202" s="36"/>
    </row>
  </sheetData>
  <mergeCells count="15">
    <mergeCell ref="A3:A4"/>
    <mergeCell ref="B3:B4"/>
    <mergeCell ref="C3:C4"/>
    <mergeCell ref="A51:A67"/>
    <mergeCell ref="A5:A11"/>
    <mergeCell ref="A13:A29"/>
    <mergeCell ref="A31:A43"/>
    <mergeCell ref="A45:A49"/>
    <mergeCell ref="I1:L1"/>
    <mergeCell ref="M1:P1"/>
    <mergeCell ref="Q3:Q4"/>
    <mergeCell ref="D3:D4"/>
    <mergeCell ref="I3:L3"/>
    <mergeCell ref="M3:P3"/>
    <mergeCell ref="E3:H3"/>
  </mergeCells>
  <phoneticPr fontId="0" type="noConversion"/>
  <pageMargins left="0.75" right="0.75" top="1" bottom="1" header="0.5" footer="0.5"/>
  <pageSetup paperSize="5" scale="50" orientation="landscape" r:id="rId1"/>
  <headerFooter alignWithMargins="0">
    <oddFooter>&amp;L&amp;"Arial,Italic" 7/02/07&amp;C&amp;"Arial,Italic"&amp;A&amp;R&amp;"Arial,Italic"NJAES Report 2007-1 ©2007
New Jersey Agricultural Experiment Station</oddFooter>
  </headerFooter>
  <ignoredErrors>
    <ignoredError sqref="D67" formula="1"/>
  </ignoredError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S199"/>
  <sheetViews>
    <sheetView topLeftCell="A107" zoomScale="70" zoomScaleNormal="70" workbookViewId="0">
      <selection activeCell="C147" sqref="C147"/>
    </sheetView>
  </sheetViews>
  <sheetFormatPr defaultColWidth="9.109375" defaultRowHeight="13.2" x14ac:dyDescent="0.25"/>
  <cols>
    <col min="1" max="1" width="28.6640625" style="5" customWidth="1"/>
    <col min="2" max="2" width="42.6640625" style="5" customWidth="1"/>
    <col min="3" max="3" width="23.6640625" style="5" customWidth="1"/>
    <col min="4" max="4" width="18.6640625" style="5" customWidth="1"/>
    <col min="5" max="16" width="14.6640625" style="5" customWidth="1"/>
    <col min="17" max="17" width="45.6640625" style="5" customWidth="1"/>
    <col min="18" max="18" width="34.44140625" style="5" customWidth="1"/>
    <col min="19" max="19" width="19.33203125" style="5" customWidth="1"/>
    <col min="20" max="20" width="14" style="5" customWidth="1"/>
    <col min="21" max="16384" width="9.109375" style="5"/>
  </cols>
  <sheetData>
    <row r="1" spans="1:17" ht="15.6" x14ac:dyDescent="0.3">
      <c r="A1" s="407" t="s">
        <v>440</v>
      </c>
      <c r="E1" s="412" t="s">
        <v>433</v>
      </c>
      <c r="I1" s="1195" t="str">
        <f>'Bioenergy Calculator'!B3</f>
        <v>None</v>
      </c>
      <c r="J1" s="1195"/>
      <c r="K1" s="1195"/>
      <c r="L1" s="1196"/>
      <c r="M1" s="1195" t="str">
        <f>'Bioenergy Calculator'!B4</f>
        <v>None</v>
      </c>
      <c r="N1" s="1195"/>
      <c r="O1" s="1195"/>
      <c r="P1" s="1196"/>
    </row>
    <row r="3" spans="1:17" s="6" customFormat="1" ht="24.75" customHeight="1" x14ac:dyDescent="0.25">
      <c r="A3" s="1062" t="s">
        <v>567</v>
      </c>
      <c r="B3" s="1062" t="s">
        <v>506</v>
      </c>
      <c r="C3" s="1062" t="s">
        <v>1035</v>
      </c>
      <c r="D3" s="1062" t="s">
        <v>1051</v>
      </c>
      <c r="E3" s="1083" t="s">
        <v>523</v>
      </c>
      <c r="F3" s="1209"/>
      <c r="G3" s="1209"/>
      <c r="H3" s="1198"/>
      <c r="I3" s="1072" t="s">
        <v>275</v>
      </c>
      <c r="J3" s="1073"/>
      <c r="K3" s="1074"/>
      <c r="L3" s="1075"/>
      <c r="M3" s="1083" t="s">
        <v>274</v>
      </c>
      <c r="N3" s="1084"/>
      <c r="O3" s="1197"/>
      <c r="P3" s="1198"/>
      <c r="Q3" s="1060" t="s">
        <v>570</v>
      </c>
    </row>
    <row r="4" spans="1:17" s="6" customFormat="1" x14ac:dyDescent="0.25">
      <c r="A4" s="1063"/>
      <c r="B4" s="1063"/>
      <c r="C4" s="1063"/>
      <c r="D4" s="1071"/>
      <c r="E4" s="22">
        <v>2010</v>
      </c>
      <c r="F4" s="22">
        <v>2015</v>
      </c>
      <c r="G4" s="22">
        <v>2020</v>
      </c>
      <c r="H4" s="22">
        <v>2025</v>
      </c>
      <c r="I4" s="22">
        <v>2010</v>
      </c>
      <c r="J4" s="22">
        <v>2015</v>
      </c>
      <c r="K4" s="22">
        <v>2020</v>
      </c>
      <c r="L4" s="22">
        <v>2025</v>
      </c>
      <c r="M4" s="22">
        <v>2010</v>
      </c>
      <c r="N4" s="22">
        <v>2015</v>
      </c>
      <c r="O4" s="22">
        <v>2020</v>
      </c>
      <c r="P4" s="22">
        <v>2025</v>
      </c>
      <c r="Q4" s="1061"/>
    </row>
    <row r="5" spans="1:17" x14ac:dyDescent="0.25">
      <c r="A5" s="1064" t="s">
        <v>513</v>
      </c>
      <c r="B5" s="1" t="s">
        <v>511</v>
      </c>
      <c r="C5" s="13"/>
      <c r="D5" s="13"/>
      <c r="E5" s="13"/>
      <c r="F5" s="13"/>
      <c r="G5" s="13"/>
      <c r="H5" s="13"/>
      <c r="I5" s="7"/>
      <c r="J5" s="7"/>
      <c r="K5" s="7"/>
      <c r="L5" s="7"/>
      <c r="M5" s="7"/>
      <c r="N5" s="7"/>
      <c r="O5" s="7"/>
      <c r="P5" s="7"/>
      <c r="Q5" s="7"/>
    </row>
    <row r="6" spans="1:17" x14ac:dyDescent="0.25">
      <c r="A6" s="1064"/>
      <c r="B6" s="11" t="str">
        <f>IF('Prac. Rec. Assumptions'!$B$56='Prac. Rec. Assumptions'!$V$3,A74,IF('Prac. Rec. Assumptions'!B57="No",A74,"Sorghum- Converted to Energy Crop"))</f>
        <v>Sorghum</v>
      </c>
      <c r="C6" s="294">
        <f>IF('Prac. Rec. Assumptions'!$B$56='Prac. Rec. Assumptions'!$V$3,D74,IF('Prac. Rec. Assumptions'!B57="No",D74,0))</f>
        <v>164.55600000000001</v>
      </c>
      <c r="D6" s="294" t="s">
        <v>431</v>
      </c>
      <c r="E6" s="294">
        <f>C6*'Prac. Rec. Assumptions'!B4</f>
        <v>0</v>
      </c>
      <c r="F6" s="294">
        <f>$E6</f>
        <v>0</v>
      </c>
      <c r="G6" s="294">
        <f>$E6</f>
        <v>0</v>
      </c>
      <c r="H6" s="294">
        <f>$E6</f>
        <v>0</v>
      </c>
      <c r="I6" s="16" t="str">
        <f>IF('Conversion Tables'!F7="NA","NA",$D6/'Conversion Tables'!F7)</f>
        <v>NA</v>
      </c>
      <c r="J6" s="16" t="str">
        <f>IF('Conversion Tables'!G7="NA","NA",$D6/'Conversion Tables'!G7)</f>
        <v>NA</v>
      </c>
      <c r="K6" s="16" t="str">
        <f>IF('Conversion Tables'!H7="NA","NA",$D6/'Conversion Tables'!H7)</f>
        <v>NA</v>
      </c>
      <c r="L6" s="16" t="str">
        <f>IF('Conversion Tables'!H7="NA","NA",$D6/'Conversion Tables'!H7)</f>
        <v>NA</v>
      </c>
      <c r="M6" s="16" t="str">
        <f>IF('Conversion Tables'!K7="NA","NA",$C74*'Conversion Tables'!K7)</f>
        <v>NA</v>
      </c>
      <c r="N6" s="16" t="str">
        <f>IF('Conversion Tables'!L7="NA","NA",$C74*'Conversion Tables'!L7)</f>
        <v>NA</v>
      </c>
      <c r="O6" s="16" t="str">
        <f>IF('Conversion Tables'!M7="NA","NA",$C74*'Conversion Tables'!M7)</f>
        <v>NA</v>
      </c>
      <c r="P6" s="16" t="str">
        <f>IF('Conversion Tables'!N7="NA","NA",$C74*'Conversion Tables'!N7)</f>
        <v>NA</v>
      </c>
      <c r="Q6" s="15"/>
    </row>
    <row r="7" spans="1:17" x14ac:dyDescent="0.25">
      <c r="A7" s="1064"/>
      <c r="B7" s="11" t="str">
        <f>IF('Prac. Rec. Assumptions'!$B$56='Prac. Rec. Assumptions'!$V$3,A75,IF('Prac. Rec. Assumptions'!B59="No",A75,"Rye- Converted to Energy Crop"))</f>
        <v>Rye</v>
      </c>
      <c r="C7" s="294">
        <f>IF('Prac. Rec. Assumptions'!$B$56='Prac. Rec. Assumptions'!$V$3,D75,IF('Prac. Rec. Assumptions'!B59="No",D75,0))</f>
        <v>476.22120000000007</v>
      </c>
      <c r="D7" s="294" t="s">
        <v>431</v>
      </c>
      <c r="E7" s="294">
        <f>C7*'Prac. Rec. Assumptions'!B5</f>
        <v>0</v>
      </c>
      <c r="F7" s="294">
        <f t="shared" ref="F7:H10" si="0">$E7</f>
        <v>0</v>
      </c>
      <c r="G7" s="294">
        <f t="shared" si="0"/>
        <v>0</v>
      </c>
      <c r="H7" s="294">
        <f t="shared" si="0"/>
        <v>0</v>
      </c>
      <c r="I7" s="16" t="str">
        <f>IF('Conversion Tables'!F8="NA","NA",$D7/'Conversion Tables'!F8)</f>
        <v>NA</v>
      </c>
      <c r="J7" s="16" t="str">
        <f>IF('Conversion Tables'!G8="NA","NA",$D7/'Conversion Tables'!G8)</f>
        <v>NA</v>
      </c>
      <c r="K7" s="16" t="str">
        <f>IF('Conversion Tables'!H8="NA","NA",$D7/'Conversion Tables'!H8)</f>
        <v>NA</v>
      </c>
      <c r="L7" s="16" t="str">
        <f>IF('Conversion Tables'!H8="NA","NA",$D7/'Conversion Tables'!H8)</f>
        <v>NA</v>
      </c>
      <c r="M7" s="16" t="str">
        <f>IF('Conversion Tables'!K8="NA","NA",$C75*'Conversion Tables'!K8)</f>
        <v>NA</v>
      </c>
      <c r="N7" s="16" t="str">
        <f>IF('Conversion Tables'!L8="NA","NA",$C75*'Conversion Tables'!L8)</f>
        <v>NA</v>
      </c>
      <c r="O7" s="16" t="str">
        <f>IF('Conversion Tables'!M8="NA","NA",$C75*'Conversion Tables'!M8)</f>
        <v>NA</v>
      </c>
      <c r="P7" s="16" t="str">
        <f>IF('Conversion Tables'!N8="NA","NA",$C75*'Conversion Tables'!N8)</f>
        <v>NA</v>
      </c>
      <c r="Q7" s="15"/>
    </row>
    <row r="8" spans="1:17" x14ac:dyDescent="0.25">
      <c r="A8" s="1064"/>
      <c r="B8" s="11" t="str">
        <f>IF('Prac. Rec. Assumptions'!$B$56='Prac. Rec. Assumptions'!$V$3,A76,IF('Prac. Rec. Assumptions'!B60="No",A76,"Corn for Grain- Converted to Energy Crop"))</f>
        <v>Corn for Grain</v>
      </c>
      <c r="C8" s="294">
        <f>IF('Prac. Rec. Assumptions'!$B$56='Prac. Rec. Assumptions'!$V$3,D76,IF('Prac. Rec. Assumptions'!B60="No",D76,0))</f>
        <v>8694</v>
      </c>
      <c r="D8" s="294" t="s">
        <v>431</v>
      </c>
      <c r="E8" s="294">
        <f>C8*'Prac. Rec. Assumptions'!B6</f>
        <v>0</v>
      </c>
      <c r="F8" s="294">
        <f t="shared" si="0"/>
        <v>0</v>
      </c>
      <c r="G8" s="294">
        <f t="shared" si="0"/>
        <v>0</v>
      </c>
      <c r="H8" s="294">
        <f t="shared" si="0"/>
        <v>0</v>
      </c>
      <c r="I8" s="16" t="str">
        <f>IF('Conversion Tables'!F9="NA","NA",$D8/'Conversion Tables'!F9)</f>
        <v>NA</v>
      </c>
      <c r="J8" s="16" t="str">
        <f>IF('Conversion Tables'!G9="NA","NA",$D8/'Conversion Tables'!G9)</f>
        <v>NA</v>
      </c>
      <c r="K8" s="16" t="str">
        <f>IF('Conversion Tables'!H9="NA","NA",$D8/'Conversion Tables'!H9)</f>
        <v>NA</v>
      </c>
      <c r="L8" s="16" t="str">
        <f>IF('Conversion Tables'!H9="NA","NA",$D8/'Conversion Tables'!H9)</f>
        <v>NA</v>
      </c>
      <c r="M8" s="16" t="str">
        <f>IF('Conversion Tables'!K9="NA","NA",$C76*'Conversion Tables'!K9)</f>
        <v>NA</v>
      </c>
      <c r="N8" s="16" t="str">
        <f>IF('Conversion Tables'!L9="NA","NA",$C76*'Conversion Tables'!L9)</f>
        <v>NA</v>
      </c>
      <c r="O8" s="16" t="str">
        <f>IF('Conversion Tables'!M9="NA","NA",$C76*'Conversion Tables'!M9)</f>
        <v>NA</v>
      </c>
      <c r="P8" s="16" t="str">
        <f>IF('Conversion Tables'!N9="NA","NA",$C76*'Conversion Tables'!N9)</f>
        <v>NA</v>
      </c>
      <c r="Q8" s="15"/>
    </row>
    <row r="9" spans="1:17" x14ac:dyDescent="0.25">
      <c r="A9" s="1064"/>
      <c r="B9" s="11" t="str">
        <f>IF('Prac. Rec. Assumptions'!$B$56='Prac. Rec. Assumptions'!$V$3,A78,IF('Prac. Rec. Assumptions'!B64="No",A78,"Wheat- Converted to Energy Crop"))</f>
        <v>Wheat</v>
      </c>
      <c r="C9" s="294">
        <f>IF('Prac. Rec. Assumptions'!$B$56='Prac. Rec. Assumptions'!$V$3,D78,IF('Prac. Rec. Assumptions'!B64="No",D78,0))</f>
        <v>178.2</v>
      </c>
      <c r="D9" s="294" t="s">
        <v>431</v>
      </c>
      <c r="E9" s="294">
        <f>C9*'Prac. Rec. Assumptions'!B7</f>
        <v>0</v>
      </c>
      <c r="F9" s="294">
        <f t="shared" si="0"/>
        <v>0</v>
      </c>
      <c r="G9" s="294">
        <f t="shared" si="0"/>
        <v>0</v>
      </c>
      <c r="H9" s="294">
        <f t="shared" si="0"/>
        <v>0</v>
      </c>
      <c r="I9" s="16" t="str">
        <f>IF('Conversion Tables'!F10="NA","NA",$D9/'Conversion Tables'!F10)</f>
        <v>NA</v>
      </c>
      <c r="J9" s="16" t="str">
        <f>IF('Conversion Tables'!G10="NA","NA",$D9/'Conversion Tables'!G10)</f>
        <v>NA</v>
      </c>
      <c r="K9" s="16" t="str">
        <f>IF('Conversion Tables'!H10="NA","NA",$D9/'Conversion Tables'!H10)</f>
        <v>NA</v>
      </c>
      <c r="L9" s="16" t="str">
        <f>IF('Conversion Tables'!H10="NA","NA",$D9/'Conversion Tables'!H10)</f>
        <v>NA</v>
      </c>
      <c r="M9" s="16" t="str">
        <f>IF('Conversion Tables'!K10="NA","NA",$C78*'Conversion Tables'!K10)</f>
        <v>NA</v>
      </c>
      <c r="N9" s="16" t="str">
        <f>IF('Conversion Tables'!L10="NA","NA",$C78*'Conversion Tables'!L10)</f>
        <v>NA</v>
      </c>
      <c r="O9" s="16" t="str">
        <f>IF('Conversion Tables'!M10="NA","NA",$C78*'Conversion Tables'!M10)</f>
        <v>NA</v>
      </c>
      <c r="P9" s="16" t="str">
        <f>IF('Conversion Tables'!N10="NA","NA",$C78*'Conversion Tables'!N10)</f>
        <v>NA</v>
      </c>
      <c r="Q9" s="15"/>
    </row>
    <row r="10" spans="1:17" x14ac:dyDescent="0.25">
      <c r="A10" s="1064"/>
      <c r="B10" s="129" t="s">
        <v>301</v>
      </c>
      <c r="C10" s="294"/>
      <c r="D10" s="294" t="s">
        <v>431</v>
      </c>
      <c r="E10" s="294">
        <f>C10*'Prac. Rec. Assumptions'!B8</f>
        <v>0</v>
      </c>
      <c r="F10" s="294">
        <f t="shared" si="0"/>
        <v>0</v>
      </c>
      <c r="G10" s="294">
        <f t="shared" si="0"/>
        <v>0</v>
      </c>
      <c r="H10" s="294">
        <f t="shared" si="0"/>
        <v>0</v>
      </c>
      <c r="I10" s="16" t="str">
        <f>IF('Conversion Tables'!F11="NA","NA",$D10/'Conversion Tables'!F11)</f>
        <v>NA</v>
      </c>
      <c r="J10" s="16" t="str">
        <f>IF('Conversion Tables'!G11="NA","NA",$D10/'Conversion Tables'!G11)</f>
        <v>NA</v>
      </c>
      <c r="K10" s="16" t="str">
        <f>IF('Conversion Tables'!H11="NA","NA",$D10/'Conversion Tables'!H11)</f>
        <v>NA</v>
      </c>
      <c r="L10" s="16" t="str">
        <f>IF('Conversion Tables'!H11="NA","NA",$D10/'Conversion Tables'!H11)</f>
        <v>NA</v>
      </c>
      <c r="M10" s="16" t="str">
        <f>IF('Conversion Tables'!K11="NA","NA",E10*'Conversion Tables'!K11)</f>
        <v>NA</v>
      </c>
      <c r="N10" s="16" t="str">
        <f>IF('Conversion Tables'!L11="NA","NA",F10*'Conversion Tables'!L11)</f>
        <v>NA</v>
      </c>
      <c r="O10" s="16" t="str">
        <f>IF('Conversion Tables'!M11="NA","NA",G10*'Conversion Tables'!M11)</f>
        <v>NA</v>
      </c>
      <c r="P10" s="16" t="str">
        <f>IF('Conversion Tables'!N11="NA","NA",H10*'Conversion Tables'!N11)</f>
        <v>NA</v>
      </c>
      <c r="Q10" s="7"/>
    </row>
    <row r="11" spans="1:17" x14ac:dyDescent="0.25">
      <c r="A11" s="1065"/>
      <c r="B11" s="9" t="s">
        <v>524</v>
      </c>
      <c r="C11" s="295">
        <f t="shared" ref="C11:P11" si="1">SUM(C5:C10)</f>
        <v>9512.9772000000012</v>
      </c>
      <c r="D11" s="295">
        <f t="shared" si="1"/>
        <v>0</v>
      </c>
      <c r="E11" s="295">
        <f t="shared" si="1"/>
        <v>0</v>
      </c>
      <c r="F11" s="295">
        <f t="shared" si="1"/>
        <v>0</v>
      </c>
      <c r="G11" s="295">
        <f t="shared" si="1"/>
        <v>0</v>
      </c>
      <c r="H11" s="295">
        <f t="shared" si="1"/>
        <v>0</v>
      </c>
      <c r="I11" s="19">
        <f t="shared" si="1"/>
        <v>0</v>
      </c>
      <c r="J11" s="19">
        <f t="shared" si="1"/>
        <v>0</v>
      </c>
      <c r="K11" s="19">
        <f t="shared" si="1"/>
        <v>0</v>
      </c>
      <c r="L11" s="19">
        <f t="shared" si="1"/>
        <v>0</v>
      </c>
      <c r="M11" s="19">
        <f t="shared" si="1"/>
        <v>0</v>
      </c>
      <c r="N11" s="19">
        <f t="shared" si="1"/>
        <v>0</v>
      </c>
      <c r="O11" s="19">
        <f t="shared" si="1"/>
        <v>0</v>
      </c>
      <c r="P11" s="19">
        <f t="shared" si="1"/>
        <v>0</v>
      </c>
      <c r="Q11" s="19"/>
    </row>
    <row r="12" spans="1:17" x14ac:dyDescent="0.25">
      <c r="A12" s="8"/>
      <c r="C12" s="296"/>
      <c r="D12" s="296"/>
      <c r="E12" s="296"/>
      <c r="F12" s="296"/>
      <c r="G12" s="296"/>
      <c r="H12" s="296"/>
      <c r="I12" s="28"/>
      <c r="J12" s="28"/>
      <c r="K12" s="28"/>
      <c r="L12" s="28"/>
      <c r="M12" s="28"/>
      <c r="N12" s="28"/>
      <c r="O12" s="28"/>
      <c r="P12" s="28"/>
    </row>
    <row r="13" spans="1:17" x14ac:dyDescent="0.25">
      <c r="A13" s="1206" t="s">
        <v>514</v>
      </c>
      <c r="B13" s="1" t="s">
        <v>507</v>
      </c>
      <c r="C13" s="294">
        <f>D90</f>
        <v>0</v>
      </c>
      <c r="D13" s="294">
        <f>E13*'Conversion Tables'!C12</f>
        <v>0</v>
      </c>
      <c r="E13" s="294">
        <f>C13*'Prac. Rec. Assumptions'!B9</f>
        <v>0</v>
      </c>
      <c r="F13" s="294">
        <f>$E13</f>
        <v>0</v>
      </c>
      <c r="G13" s="294">
        <f>$E13</f>
        <v>0</v>
      </c>
      <c r="H13" s="294">
        <f>$E13</f>
        <v>0</v>
      </c>
      <c r="I13" s="16" t="str">
        <f>IF('Conversion Tables'!F12="NA","NA",(E13*'Conversion Tables'!$C12)/'Conversion Tables'!F12)</f>
        <v>NA</v>
      </c>
      <c r="J13" s="16" t="str">
        <f>IF('Conversion Tables'!G12="NA","NA",(F13*'Conversion Tables'!$C12)/'Conversion Tables'!G12)</f>
        <v>NA</v>
      </c>
      <c r="K13" s="16" t="str">
        <f>IF('Conversion Tables'!H12="NA","NA",(G13*'Conversion Tables'!$C12)/'Conversion Tables'!H12)</f>
        <v>NA</v>
      </c>
      <c r="L13" s="16" t="str">
        <f>IF('Conversion Tables'!I12="NA","NA",(H13*'Conversion Tables'!$C12)/'Conversion Tables'!I12)</f>
        <v>NA</v>
      </c>
      <c r="M13" s="16" t="str">
        <f>IF('Conversion Tables'!K12="NA","NA",E13*'Conversion Tables'!K12)</f>
        <v>NA</v>
      </c>
      <c r="N13" s="16" t="str">
        <f>IF('Conversion Tables'!L12="NA","NA",F13*'Conversion Tables'!L12)</f>
        <v>NA</v>
      </c>
      <c r="O13" s="16" t="str">
        <f>IF('Conversion Tables'!M12="NA","NA",G13*'Conversion Tables'!M12)</f>
        <v>NA</v>
      </c>
      <c r="P13" s="16" t="str">
        <f>IF('Conversion Tables'!N12="NA","NA",H13*'Conversion Tables'!N12)</f>
        <v>NA</v>
      </c>
      <c r="Q13" s="7"/>
    </row>
    <row r="14" spans="1:17" x14ac:dyDescent="0.25">
      <c r="A14" s="1207"/>
      <c r="B14" s="1" t="s">
        <v>504</v>
      </c>
      <c r="C14" s="294"/>
      <c r="D14" s="294"/>
      <c r="E14" s="294"/>
      <c r="F14" s="294"/>
      <c r="G14" s="294"/>
      <c r="H14" s="294"/>
      <c r="I14" s="16"/>
      <c r="J14" s="16"/>
      <c r="K14" s="16"/>
      <c r="L14" s="16"/>
      <c r="M14" s="16"/>
      <c r="N14" s="16"/>
      <c r="O14" s="16"/>
      <c r="P14" s="16"/>
      <c r="Q14" s="7"/>
    </row>
    <row r="15" spans="1:17" x14ac:dyDescent="0.25">
      <c r="A15" s="1207"/>
      <c r="B15" s="11" t="str">
        <f>IF('Prac. Rec. Assumptions'!$B$56='Prac. Rec. Assumptions'!$V$3,A81,IF('Prac. Rec. Assumptions'!B57="No",A81,"Sweet Corn- Converted to Energy Crop"))</f>
        <v>Sweet Corn</v>
      </c>
      <c r="C15" s="294">
        <f>IF('Prac. Rec. Assumptions'!$B$56='Prac. Rec. Assumptions'!$V$3,D81,IF('Prac. Rec. Assumptions'!B58="No",D81,0))</f>
        <v>219.29999999999998</v>
      </c>
      <c r="D15" s="294">
        <f>E15*'Conversion Tables'!C14</f>
        <v>2760.0220799999997</v>
      </c>
      <c r="E15" s="294">
        <f>C15*'Prac. Rec. Assumptions'!B11</f>
        <v>175.44</v>
      </c>
      <c r="F15" s="294">
        <f>$E15</f>
        <v>175.44</v>
      </c>
      <c r="G15" s="294">
        <f>$E15</f>
        <v>175.44</v>
      </c>
      <c r="H15" s="294">
        <f>$E15</f>
        <v>175.44</v>
      </c>
      <c r="I15" s="16" t="str">
        <f>IF('Conversion Tables'!F14="NA","NA",(E15*'Conversion Tables'!$C14)/'Conversion Tables'!F14)</f>
        <v>NA</v>
      </c>
      <c r="J15" s="16" t="str">
        <f>IF('Conversion Tables'!G14="NA","NA",(F15*'Conversion Tables'!$C14)/'Conversion Tables'!G14)</f>
        <v>NA</v>
      </c>
      <c r="K15" s="16" t="str">
        <f>IF('Conversion Tables'!H14="NA","NA",(G15*'Conversion Tables'!$C14)/'Conversion Tables'!H14)</f>
        <v>NA</v>
      </c>
      <c r="L15" s="16" t="str">
        <f>IF('Conversion Tables'!I14="NA","NA",(H15*'Conversion Tables'!$C14)/'Conversion Tables'!I14)</f>
        <v>NA</v>
      </c>
      <c r="M15" s="16" t="str">
        <f>IF('Conversion Tables'!K14="NA","NA",E15*'Conversion Tables'!K14)</f>
        <v>NA</v>
      </c>
      <c r="N15" s="16" t="str">
        <f>IF('Conversion Tables'!L14="NA","NA",F15*'Conversion Tables'!L14)</f>
        <v>NA</v>
      </c>
      <c r="O15" s="16" t="str">
        <f>IF('Conversion Tables'!M14="NA","NA",G15*'Conversion Tables'!M14)</f>
        <v>NA</v>
      </c>
      <c r="P15" s="16" t="str">
        <f>IF('Conversion Tables'!N14="NA","NA",H15*'Conversion Tables'!N14)</f>
        <v>NA</v>
      </c>
      <c r="Q15" s="15"/>
    </row>
    <row r="16" spans="1:17" x14ac:dyDescent="0.25">
      <c r="A16" s="1207"/>
      <c r="B16" s="11" t="str">
        <f>IF('Prac. Rec. Assumptions'!$B$56='Prac. Rec. Assumptions'!$V$3,A82,IF('Prac. Rec. Assumptions'!B58="No",A82,"Rye- Converted to Energy Crop"))</f>
        <v>Rye</v>
      </c>
      <c r="C16" s="294">
        <f>IF('Prac. Rec. Assumptions'!$B$56='Prac. Rec. Assumptions'!$V$3,D82,IF('Prac. Rec. Assumptions'!B59="No",D82,0))</f>
        <v>1489.8374999999999</v>
      </c>
      <c r="D16" s="294">
        <f>E16*'Conversion Tables'!C15</f>
        <v>0</v>
      </c>
      <c r="E16" s="294">
        <f>C16*'Prac. Rec. Assumptions'!B12</f>
        <v>0</v>
      </c>
      <c r="F16" s="294">
        <f t="shared" ref="F16:H23" si="2">$E16</f>
        <v>0</v>
      </c>
      <c r="G16" s="294">
        <f t="shared" si="2"/>
        <v>0</v>
      </c>
      <c r="H16" s="294">
        <f t="shared" si="2"/>
        <v>0</v>
      </c>
      <c r="I16" s="16" t="str">
        <f>IF('Conversion Tables'!F15="NA","NA",(E16*'Conversion Tables'!$C15)/'Conversion Tables'!F15)</f>
        <v>NA</v>
      </c>
      <c r="J16" s="16" t="str">
        <f>IF('Conversion Tables'!G15="NA","NA",(F16*'Conversion Tables'!$C15)/'Conversion Tables'!G15)</f>
        <v>NA</v>
      </c>
      <c r="K16" s="16" t="str">
        <f>IF('Conversion Tables'!H15="NA","NA",(G16*'Conversion Tables'!$C15)/'Conversion Tables'!H15)</f>
        <v>NA</v>
      </c>
      <c r="L16" s="16" t="str">
        <f>IF('Conversion Tables'!I15="NA","NA",(H16*'Conversion Tables'!$C15)/'Conversion Tables'!I15)</f>
        <v>NA</v>
      </c>
      <c r="M16" s="16" t="str">
        <f>IF('Conversion Tables'!K15="NA","NA",E16*'Conversion Tables'!K15)</f>
        <v>NA</v>
      </c>
      <c r="N16" s="16" t="str">
        <f>IF('Conversion Tables'!L15="NA","NA",F16*'Conversion Tables'!L15)</f>
        <v>NA</v>
      </c>
      <c r="O16" s="16" t="str">
        <f>IF('Conversion Tables'!M15="NA","NA",G16*'Conversion Tables'!M15)</f>
        <v>NA</v>
      </c>
      <c r="P16" s="16" t="str">
        <f>IF('Conversion Tables'!N15="NA","NA",H16*'Conversion Tables'!N15)</f>
        <v>NA</v>
      </c>
      <c r="Q16" s="15"/>
    </row>
    <row r="17" spans="1:17" x14ac:dyDescent="0.25">
      <c r="A17" s="1207"/>
      <c r="B17" s="11" t="str">
        <f>IF('Prac. Rec. Assumptions'!$B$56='Prac. Rec. Assumptions'!$V$3,A83,IF('Prac. Rec. Assumptions'!B59="No",A83,"Corn for Grain- Converted to Energy Crop"))</f>
        <v>Corn for Grain</v>
      </c>
      <c r="C17" s="294">
        <f>IF('Prac. Rec. Assumptions'!$B$56='Prac. Rec. Assumptions'!$V$3,D83,IF('Prac. Rec. Assumptions'!B60="No",D83,0))</f>
        <v>5278.5</v>
      </c>
      <c r="D17" s="294">
        <f>E17*'Conversion Tables'!C16</f>
        <v>70585.157699999982</v>
      </c>
      <c r="E17" s="294">
        <f>C17*'Prac. Rec. Assumptions'!B13</f>
        <v>4486.7249999999995</v>
      </c>
      <c r="F17" s="294">
        <f t="shared" si="2"/>
        <v>4486.7249999999995</v>
      </c>
      <c r="G17" s="294">
        <f t="shared" si="2"/>
        <v>4486.7249999999995</v>
      </c>
      <c r="H17" s="294">
        <f t="shared" si="2"/>
        <v>4486.7249999999995</v>
      </c>
      <c r="I17" s="16" t="str">
        <f>IF('Conversion Tables'!F16="NA","NA",(E17*'Conversion Tables'!$C16)/'Conversion Tables'!F16)</f>
        <v>NA</v>
      </c>
      <c r="J17" s="16" t="str">
        <f>IF('Conversion Tables'!G16="NA","NA",(F17*'Conversion Tables'!$C16)/'Conversion Tables'!G16)</f>
        <v>NA</v>
      </c>
      <c r="K17" s="16" t="str">
        <f>IF('Conversion Tables'!H16="NA","NA",(G17*'Conversion Tables'!$C16)/'Conversion Tables'!H16)</f>
        <v>NA</v>
      </c>
      <c r="L17" s="16" t="str">
        <f>IF('Conversion Tables'!I16="NA","NA",(H17*'Conversion Tables'!$C16)/'Conversion Tables'!I16)</f>
        <v>NA</v>
      </c>
      <c r="M17" s="16" t="str">
        <f>IF('Conversion Tables'!K16="NA","NA",E17*'Conversion Tables'!K16)</f>
        <v>NA</v>
      </c>
      <c r="N17" s="16" t="str">
        <f>IF('Conversion Tables'!L16="NA","NA",F17*'Conversion Tables'!L16)</f>
        <v>NA</v>
      </c>
      <c r="O17" s="16" t="str">
        <f>IF('Conversion Tables'!M16="NA","NA",G17*'Conversion Tables'!M16)</f>
        <v>NA</v>
      </c>
      <c r="P17" s="16" t="str">
        <f>IF('Conversion Tables'!N16="NA","NA",H17*'Conversion Tables'!N16)</f>
        <v>NA</v>
      </c>
      <c r="Q17" s="15"/>
    </row>
    <row r="18" spans="1:17" x14ac:dyDescent="0.25">
      <c r="A18" s="1207"/>
      <c r="B18" s="11" t="str">
        <f>IF('Prac. Rec. Assumptions'!$B$56='Prac. Rec. Assumptions'!$V$3,A84,IF('Prac. Rec. Assumptions'!B60="No",A84,"Corn for Silage- Converted to Energy Crop"))</f>
        <v>Corn for Silage</v>
      </c>
      <c r="C18" s="294">
        <f>IF('Prac. Rec. Assumptions'!$B$56='Prac. Rec. Assumptions'!$V$3,D84,IF('Prac. Rec. Assumptions'!B61="No",D84,0))</f>
        <v>1079.1199999999999</v>
      </c>
      <c r="D18" s="294">
        <f>E18*'Conversion Tables'!C17</f>
        <v>12732.536879999998</v>
      </c>
      <c r="E18" s="294">
        <f>C18*'Prac. Rec. Assumptions'!B14</f>
        <v>809.33999999999992</v>
      </c>
      <c r="F18" s="294">
        <f t="shared" si="2"/>
        <v>809.33999999999992</v>
      </c>
      <c r="G18" s="294">
        <f t="shared" si="2"/>
        <v>809.33999999999992</v>
      </c>
      <c r="H18" s="294">
        <f t="shared" si="2"/>
        <v>809.33999999999992</v>
      </c>
      <c r="I18" s="16" t="str">
        <f>IF('Conversion Tables'!F17="NA","NA",(E18*'Conversion Tables'!$C17)/'Conversion Tables'!F17)</f>
        <v>NA</v>
      </c>
      <c r="J18" s="16" t="str">
        <f>IF('Conversion Tables'!G17="NA","NA",(F18*'Conversion Tables'!$C17)/'Conversion Tables'!G17)</f>
        <v>NA</v>
      </c>
      <c r="K18" s="16" t="str">
        <f>IF('Conversion Tables'!H17="NA","NA",(G18*'Conversion Tables'!$C17)/'Conversion Tables'!H17)</f>
        <v>NA</v>
      </c>
      <c r="L18" s="16" t="str">
        <f>IF('Conversion Tables'!I17="NA","NA",(H18*'Conversion Tables'!$C17)/'Conversion Tables'!I17)</f>
        <v>NA</v>
      </c>
      <c r="M18" s="16" t="str">
        <f>IF('Conversion Tables'!K17="NA","NA",E18*'Conversion Tables'!K17)</f>
        <v>NA</v>
      </c>
      <c r="N18" s="16" t="str">
        <f>IF('Conversion Tables'!L17="NA","NA",F18*'Conversion Tables'!L17)</f>
        <v>NA</v>
      </c>
      <c r="O18" s="16" t="str">
        <f>IF('Conversion Tables'!M17="NA","NA",G18*'Conversion Tables'!M17)</f>
        <v>NA</v>
      </c>
      <c r="P18" s="16" t="str">
        <f>IF('Conversion Tables'!N17="NA","NA",H18*'Conversion Tables'!N17)</f>
        <v>NA</v>
      </c>
      <c r="Q18" s="15"/>
    </row>
    <row r="19" spans="1:17" x14ac:dyDescent="0.25">
      <c r="A19" s="1207"/>
      <c r="B19" s="11" t="str">
        <f>IF('Prac. Rec. Assumptions'!$B$56='Prac. Rec. Assumptions'!$V$3,A85,IF('Prac. Rec. Assumptions'!B61="No",A85,"Alfalfa Hay- Converted to Energy Crop"))</f>
        <v>Alfalfa Hay</v>
      </c>
      <c r="C19" s="294">
        <f>IF('Prac. Rec. Assumptions'!$B$56='Prac. Rec. Assumptions'!$V$3,D85,IF('Prac. Rec. Assumptions'!B62="No",D85,0))</f>
        <v>476</v>
      </c>
      <c r="D19" s="294">
        <f>E19*'Conversion Tables'!C18</f>
        <v>0</v>
      </c>
      <c r="E19" s="294">
        <f>C19*'Prac. Rec. Assumptions'!B15</f>
        <v>0</v>
      </c>
      <c r="F19" s="294">
        <f t="shared" si="2"/>
        <v>0</v>
      </c>
      <c r="G19" s="294">
        <f t="shared" si="2"/>
        <v>0</v>
      </c>
      <c r="H19" s="294">
        <f t="shared" si="2"/>
        <v>0</v>
      </c>
      <c r="I19" s="16" t="str">
        <f>IF('Conversion Tables'!F18="NA","NA",(E19*'Conversion Tables'!$C18)/'Conversion Tables'!F18)</f>
        <v>NA</v>
      </c>
      <c r="J19" s="16" t="str">
        <f>IF('Conversion Tables'!G18="NA","NA",(F19*'Conversion Tables'!$C18)/'Conversion Tables'!G18)</f>
        <v>NA</v>
      </c>
      <c r="K19" s="16" t="str">
        <f>IF('Conversion Tables'!H18="NA","NA",(G19*'Conversion Tables'!$C18)/'Conversion Tables'!H18)</f>
        <v>NA</v>
      </c>
      <c r="L19" s="16" t="str">
        <f>IF('Conversion Tables'!I18="NA","NA",(H19*'Conversion Tables'!$C18)/'Conversion Tables'!I18)</f>
        <v>NA</v>
      </c>
      <c r="M19" s="16" t="str">
        <f>IF('Conversion Tables'!K18="NA","NA",E19*'Conversion Tables'!K18)</f>
        <v>NA</v>
      </c>
      <c r="N19" s="16" t="str">
        <f>IF('Conversion Tables'!L18="NA","NA",F19*'Conversion Tables'!L18)</f>
        <v>NA</v>
      </c>
      <c r="O19" s="16" t="str">
        <f>IF('Conversion Tables'!M18="NA","NA",G19*'Conversion Tables'!M18)</f>
        <v>NA</v>
      </c>
      <c r="P19" s="16" t="str">
        <f>IF('Conversion Tables'!N18="NA","NA",H19*'Conversion Tables'!N18)</f>
        <v>NA</v>
      </c>
      <c r="Q19" s="15"/>
    </row>
    <row r="20" spans="1:17" x14ac:dyDescent="0.25">
      <c r="A20" s="1207"/>
      <c r="B20" s="11" t="str">
        <f>IF('Prac. Rec. Assumptions'!$B$56='Prac. Rec. Assumptions'!$V$3,A86,IF('Prac. Rec. Assumptions'!B62="No",A86,"Other Hay- Converted to Energy Crop"))</f>
        <v>Other Hay</v>
      </c>
      <c r="C20" s="294">
        <f>IF('Prac. Rec. Assumptions'!$B$56='Prac. Rec. Assumptions'!$V$3,D86,IF('Prac. Rec. Assumptions'!B63="No",D86,0))</f>
        <v>921.90999999999985</v>
      </c>
      <c r="D20" s="294">
        <f>E20*'Conversion Tables'!C19</f>
        <v>7190.8979999999983</v>
      </c>
      <c r="E20" s="294">
        <f>C20*'Prac. Rec. Assumptions'!B16</f>
        <v>460.95499999999993</v>
      </c>
      <c r="F20" s="294">
        <f t="shared" si="2"/>
        <v>460.95499999999993</v>
      </c>
      <c r="G20" s="294">
        <f t="shared" si="2"/>
        <v>460.95499999999993</v>
      </c>
      <c r="H20" s="294">
        <f t="shared" si="2"/>
        <v>460.95499999999993</v>
      </c>
      <c r="I20" s="16" t="str">
        <f>IF('Conversion Tables'!F19="NA","NA",(E20*'Conversion Tables'!$C19)/'Conversion Tables'!F19)</f>
        <v>NA</v>
      </c>
      <c r="J20" s="16" t="str">
        <f>IF('Conversion Tables'!G19="NA","NA",(F20*'Conversion Tables'!$C19)/'Conversion Tables'!G19)</f>
        <v>NA</v>
      </c>
      <c r="K20" s="16" t="str">
        <f>IF('Conversion Tables'!H19="NA","NA",(G20*'Conversion Tables'!$C19)/'Conversion Tables'!H19)</f>
        <v>NA</v>
      </c>
      <c r="L20" s="16" t="str">
        <f>IF('Conversion Tables'!I19="NA","NA",(H20*'Conversion Tables'!$C19)/'Conversion Tables'!I19)</f>
        <v>NA</v>
      </c>
      <c r="M20" s="16" t="str">
        <f>IF('Conversion Tables'!K19="NA","NA",E20*'Conversion Tables'!K19)</f>
        <v>NA</v>
      </c>
      <c r="N20" s="16" t="str">
        <f>IF('Conversion Tables'!L19="NA","NA",F20*'Conversion Tables'!L19)</f>
        <v>NA</v>
      </c>
      <c r="O20" s="16" t="str">
        <f>IF('Conversion Tables'!M19="NA","NA",G20*'Conversion Tables'!M19)</f>
        <v>NA</v>
      </c>
      <c r="P20" s="16" t="str">
        <f>IF('Conversion Tables'!N19="NA","NA",H20*'Conversion Tables'!N19)</f>
        <v>NA</v>
      </c>
      <c r="Q20" s="15"/>
    </row>
    <row r="21" spans="1:17" x14ac:dyDescent="0.25">
      <c r="A21" s="1207"/>
      <c r="B21" s="11" t="str">
        <f>IF('Prac. Rec. Assumptions'!$B$56='Prac. Rec. Assumptions'!$V$3,A87,IF('Prac. Rec. Assumptions'!B63="No",A87,"Wheat- Converted to Energy Crop"))</f>
        <v>Wheat</v>
      </c>
      <c r="C21" s="294">
        <f>IF('Prac. Rec. Assumptions'!$B$56='Prac. Rec. Assumptions'!$V$3,D87,IF('Prac. Rec. Assumptions'!B64="No",D87,0))</f>
        <v>171.0625</v>
      </c>
      <c r="D21" s="294">
        <f>E21*'Conversion Tables'!C20</f>
        <v>0</v>
      </c>
      <c r="E21" s="294">
        <f>C21*'Prac. Rec. Assumptions'!B17</f>
        <v>0</v>
      </c>
      <c r="F21" s="294">
        <f t="shared" si="2"/>
        <v>0</v>
      </c>
      <c r="G21" s="294">
        <f t="shared" si="2"/>
        <v>0</v>
      </c>
      <c r="H21" s="294">
        <f t="shared" si="2"/>
        <v>0</v>
      </c>
      <c r="I21" s="16" t="str">
        <f>IF('Conversion Tables'!F20="NA","NA",(E21*'Conversion Tables'!$C20)/'Conversion Tables'!F20)</f>
        <v>NA</v>
      </c>
      <c r="J21" s="16" t="str">
        <f>IF('Conversion Tables'!G20="NA","NA",(F21*'Conversion Tables'!$C20)/'Conversion Tables'!G20)</f>
        <v>NA</v>
      </c>
      <c r="K21" s="16" t="str">
        <f>IF('Conversion Tables'!H20="NA","NA",(G21*'Conversion Tables'!$C20)/'Conversion Tables'!H20)</f>
        <v>NA</v>
      </c>
      <c r="L21" s="16" t="str">
        <f>IF('Conversion Tables'!I20="NA","NA",(H21*'Conversion Tables'!$C20)/'Conversion Tables'!I20)</f>
        <v>NA</v>
      </c>
      <c r="M21" s="16" t="str">
        <f>IF('Conversion Tables'!K20="NA","NA",E21*'Conversion Tables'!K20)</f>
        <v>NA</v>
      </c>
      <c r="N21" s="16" t="str">
        <f>IF('Conversion Tables'!L20="NA","NA",F21*'Conversion Tables'!L20)</f>
        <v>NA</v>
      </c>
      <c r="O21" s="16" t="str">
        <f>IF('Conversion Tables'!M20="NA","NA",G21*'Conversion Tables'!M20)</f>
        <v>NA</v>
      </c>
      <c r="P21" s="16" t="str">
        <f>IF('Conversion Tables'!N20="NA","NA",H21*'Conversion Tables'!N20)</f>
        <v>NA</v>
      </c>
      <c r="Q21" s="15"/>
    </row>
    <row r="22" spans="1:17" x14ac:dyDescent="0.25">
      <c r="A22" s="1207"/>
      <c r="B22" s="148" t="s">
        <v>205</v>
      </c>
      <c r="C22" s="294">
        <f>'Biomass Data Assumptions'!P18*1000*'Energy Content Assumptions'!C18</f>
        <v>25339</v>
      </c>
      <c r="D22" s="294">
        <f>E22*'Conversion Tables'!C21</f>
        <v>197644.19999999998</v>
      </c>
      <c r="E22" s="294">
        <f>C22*'Prac. Rec. Assumptions'!B18</f>
        <v>12669.5</v>
      </c>
      <c r="F22" s="294">
        <f t="shared" si="2"/>
        <v>12669.5</v>
      </c>
      <c r="G22" s="294">
        <f t="shared" si="2"/>
        <v>12669.5</v>
      </c>
      <c r="H22" s="294">
        <f t="shared" si="2"/>
        <v>12669.5</v>
      </c>
      <c r="I22" s="16" t="str">
        <f>IF('Conversion Tables'!F21="NA","NA",(E22*'Conversion Tables'!$C21)/'Conversion Tables'!F21)</f>
        <v>NA</v>
      </c>
      <c r="J22" s="16" t="str">
        <f>IF('Conversion Tables'!G21="NA","NA",(F22*'Conversion Tables'!$C21)/'Conversion Tables'!G21)</f>
        <v>NA</v>
      </c>
      <c r="K22" s="16" t="str">
        <f>IF('Conversion Tables'!H21="NA","NA",(G22*'Conversion Tables'!$C21)/'Conversion Tables'!H21)</f>
        <v>NA</v>
      </c>
      <c r="L22" s="16" t="str">
        <f>IF('Conversion Tables'!I21="NA","NA",(H22*'Conversion Tables'!$C21)/'Conversion Tables'!I21)</f>
        <v>NA</v>
      </c>
      <c r="M22" s="16" t="str">
        <f>IF('Conversion Tables'!K21="NA","NA",E22*'Conversion Tables'!K21)</f>
        <v>NA</v>
      </c>
      <c r="N22" s="16" t="str">
        <f>IF('Conversion Tables'!L21="NA","NA",F22*'Conversion Tables'!L21)</f>
        <v>NA</v>
      </c>
      <c r="O22" s="16" t="str">
        <f>IF('Conversion Tables'!M21="NA","NA",G22*'Conversion Tables'!M21)</f>
        <v>NA</v>
      </c>
      <c r="P22" s="16" t="str">
        <f>IF('Conversion Tables'!N21="NA","NA",H22*'Conversion Tables'!N21)</f>
        <v>NA</v>
      </c>
      <c r="Q22" s="15"/>
    </row>
    <row r="23" spans="1:17" x14ac:dyDescent="0.25">
      <c r="A23" s="1207"/>
      <c r="B23" s="2" t="s">
        <v>302</v>
      </c>
      <c r="C23" s="294">
        <f>B133</f>
        <v>0</v>
      </c>
      <c r="D23" s="294">
        <f>E23*'Conversion Tables'!C22</f>
        <v>0</v>
      </c>
      <c r="E23" s="294">
        <f>C23*'Prac. Rec. Assumptions'!B19</f>
        <v>0</v>
      </c>
      <c r="F23" s="297">
        <f t="shared" si="2"/>
        <v>0</v>
      </c>
      <c r="G23" s="297">
        <f t="shared" si="2"/>
        <v>0</v>
      </c>
      <c r="H23" s="297">
        <f t="shared" si="2"/>
        <v>0</v>
      </c>
      <c r="I23" s="16" t="str">
        <f>IF('Conversion Tables'!F22="NA","NA",(E23*'Conversion Tables'!$C22)/'Conversion Tables'!F22)</f>
        <v>NA</v>
      </c>
      <c r="J23" s="16" t="str">
        <f>IF('Conversion Tables'!G22="NA","NA",(F23*'Conversion Tables'!$C22)/'Conversion Tables'!G22)</f>
        <v>NA</v>
      </c>
      <c r="K23" s="16" t="str">
        <f>IF('Conversion Tables'!H22="NA","NA",(G23*'Conversion Tables'!$C22)/'Conversion Tables'!H22)</f>
        <v>NA</v>
      </c>
      <c r="L23" s="16" t="str">
        <f>IF('Conversion Tables'!I22="NA","NA",(H23*'Conversion Tables'!$C22)/'Conversion Tables'!I22)</f>
        <v>NA</v>
      </c>
      <c r="M23" s="16" t="str">
        <f>IF('Conversion Tables'!K22="NA","NA",E23*'Conversion Tables'!K22)</f>
        <v>NA</v>
      </c>
      <c r="N23" s="16" t="str">
        <f>IF('Conversion Tables'!L22="NA","NA",F23*'Conversion Tables'!L22)</f>
        <v>NA</v>
      </c>
      <c r="O23" s="16" t="str">
        <f>IF('Conversion Tables'!M22="NA","NA",G23*'Conversion Tables'!M22)</f>
        <v>NA</v>
      </c>
      <c r="P23" s="16" t="str">
        <f>IF('Conversion Tables'!N22="NA","NA",H23*'Conversion Tables'!N22)</f>
        <v>NA</v>
      </c>
      <c r="Q23" s="7"/>
    </row>
    <row r="24" spans="1:17" x14ac:dyDescent="0.25">
      <c r="A24" s="1207"/>
      <c r="B24" s="1" t="s">
        <v>518</v>
      </c>
      <c r="C24" s="294"/>
      <c r="D24" s="294"/>
      <c r="E24" s="294"/>
      <c r="F24" s="294"/>
      <c r="G24" s="294"/>
      <c r="H24" s="294"/>
      <c r="I24" s="16"/>
      <c r="J24" s="16"/>
      <c r="K24" s="16"/>
      <c r="L24" s="16"/>
      <c r="M24" s="16"/>
      <c r="N24" s="16"/>
      <c r="O24" s="16"/>
      <c r="P24" s="16"/>
      <c r="Q24" s="7"/>
    </row>
    <row r="25" spans="1:17" x14ac:dyDescent="0.25">
      <c r="A25" s="1207"/>
      <c r="B25" s="11" t="s">
        <v>559</v>
      </c>
      <c r="C25" s="294">
        <f>C128</f>
        <v>25678.105</v>
      </c>
      <c r="D25" s="294">
        <f>E25*'Conversion Tables'!C24</f>
        <v>454502.45849999995</v>
      </c>
      <c r="E25" s="294">
        <f>C25*'Prac. Rec. Assumptions'!B21</f>
        <v>25678.105</v>
      </c>
      <c r="F25" s="294">
        <f>($C25*(1+'Biomass Data Assumptions'!G$103))*'Prac. Rec. Assumptions'!$B21</f>
        <v>26315.725078314019</v>
      </c>
      <c r="G25" s="294">
        <f>($C25*(1+'Biomass Data Assumptions'!H$103))*'Prac. Rec. Assumptions'!$B21</f>
        <v>27162.615336177256</v>
      </c>
      <c r="H25" s="294">
        <f>($C25*(1+'Biomass Data Assumptions'!I$103))*'Prac. Rec. Assumptions'!$B21</f>
        <v>27741.378176493057</v>
      </c>
      <c r="I25" s="16" t="str">
        <f>IF('Conversion Tables'!F24="NA","NA",(E25*'Conversion Tables'!$C24)/'Conversion Tables'!F24)</f>
        <v>NA</v>
      </c>
      <c r="J25" s="16" t="str">
        <f>IF('Conversion Tables'!G24="NA","NA",(F25*'Conversion Tables'!$C24)/'Conversion Tables'!G24)</f>
        <v>NA</v>
      </c>
      <c r="K25" s="16" t="str">
        <f>IF('Conversion Tables'!H24="NA","NA",(G25*'Conversion Tables'!$C24)/'Conversion Tables'!H24)</f>
        <v>NA</v>
      </c>
      <c r="L25" s="16" t="str">
        <f>IF('Conversion Tables'!I24="NA","NA",(H25*'Conversion Tables'!$C24)/'Conversion Tables'!I24)</f>
        <v>NA</v>
      </c>
      <c r="M25" s="16" t="str">
        <f>IF('Conversion Tables'!K24="NA","NA",E25*'Conversion Tables'!K24)</f>
        <v>NA</v>
      </c>
      <c r="N25" s="16" t="str">
        <f>IF('Conversion Tables'!L24="NA","NA",F25*'Conversion Tables'!L24)</f>
        <v>NA</v>
      </c>
      <c r="O25" s="16" t="str">
        <f>IF('Conversion Tables'!M24="NA","NA",G25*'Conversion Tables'!M24)</f>
        <v>NA</v>
      </c>
      <c r="P25" s="16" t="str">
        <f>IF('Conversion Tables'!N24="NA","NA",H25*'Conversion Tables'!N24)</f>
        <v>NA</v>
      </c>
      <c r="Q25" s="13"/>
    </row>
    <row r="26" spans="1:17" x14ac:dyDescent="0.25">
      <c r="A26" s="1207"/>
      <c r="B26" s="11" t="s">
        <v>560</v>
      </c>
      <c r="C26" s="294">
        <f>C129</f>
        <v>2035.0766666666664</v>
      </c>
      <c r="D26" s="294">
        <f>E26*'Conversion Tables'!C25</f>
        <v>31747.195999999996</v>
      </c>
      <c r="E26" s="294">
        <f>C26*'Prac. Rec. Assumptions'!B22</f>
        <v>2035.0766666666664</v>
      </c>
      <c r="F26" s="294">
        <f>($C26*(1+'Biomass Data Assumptions'!G$103))*'Prac. Rec. Assumptions'!$B22</f>
        <v>2085.6102143554476</v>
      </c>
      <c r="G26" s="294">
        <f>($C26*(1+'Biomass Data Assumptions'!H$103))*'Prac. Rec. Assumptions'!$B22</f>
        <v>2152.7291315420853</v>
      </c>
      <c r="H26" s="294">
        <f>($C26*(1+'Biomass Data Assumptions'!I$103))*'Prac. Rec. Assumptions'!$B22</f>
        <v>2198.5980440595945</v>
      </c>
      <c r="I26" s="16" t="str">
        <f>IF('Conversion Tables'!F25="NA","NA",(E26*'Conversion Tables'!$C25)/'Conversion Tables'!F25)</f>
        <v>NA</v>
      </c>
      <c r="J26" s="16" t="str">
        <f>IF('Conversion Tables'!G25="NA","NA",(F26*'Conversion Tables'!$C25)/'Conversion Tables'!G25)</f>
        <v>NA</v>
      </c>
      <c r="K26" s="16" t="str">
        <f>IF('Conversion Tables'!H25="NA","NA",(G26*'Conversion Tables'!$C25)/'Conversion Tables'!H25)</f>
        <v>NA</v>
      </c>
      <c r="L26" s="16" t="str">
        <f>IF('Conversion Tables'!I25="NA","NA",(H26*'Conversion Tables'!$C25)/'Conversion Tables'!I25)</f>
        <v>NA</v>
      </c>
      <c r="M26" s="16" t="str">
        <f>IF('Conversion Tables'!K25="NA","NA",E26*'Conversion Tables'!K25)</f>
        <v>NA</v>
      </c>
      <c r="N26" s="16" t="str">
        <f>IF('Conversion Tables'!L25="NA","NA",F26*'Conversion Tables'!L25)</f>
        <v>NA</v>
      </c>
      <c r="O26" s="16" t="str">
        <f>IF('Conversion Tables'!M25="NA","NA",G26*'Conversion Tables'!M25)</f>
        <v>NA</v>
      </c>
      <c r="P26" s="16" t="str">
        <f>IF('Conversion Tables'!N25="NA","NA",H26*'Conversion Tables'!N25)</f>
        <v>NA</v>
      </c>
      <c r="Q26" s="13"/>
    </row>
    <row r="27" spans="1:17" x14ac:dyDescent="0.25">
      <c r="A27" s="1207"/>
      <c r="B27" s="11" t="s">
        <v>561</v>
      </c>
      <c r="C27" s="294">
        <f>C130</f>
        <v>6291.6833333333325</v>
      </c>
      <c r="D27" s="294">
        <f>E27*'Conversion Tables'!C26</f>
        <v>98150.25999999998</v>
      </c>
      <c r="E27" s="294">
        <f>C27*'Prac. Rec. Assumptions'!B23</f>
        <v>6291.6833333333325</v>
      </c>
      <c r="F27" s="294">
        <f>($C27*(1+'Biomass Data Assumptions'!G$103))*'Prac. Rec. Assumptions'!$B23</f>
        <v>6447.9138503332051</v>
      </c>
      <c r="G27" s="294">
        <f>($C27*(1+'Biomass Data Assumptions'!H$103))*'Prac. Rec. Assumptions'!$B23</f>
        <v>6655.4200241945737</v>
      </c>
      <c r="H27" s="294">
        <f>($C27*(1+'Biomass Data Assumptions'!I$103))*'Prac. Rec. Assumptions'!$B23</f>
        <v>6797.2292627021507</v>
      </c>
      <c r="I27" s="16" t="str">
        <f>IF('Conversion Tables'!F26="NA","NA",(E27*'Conversion Tables'!$C26)/'Conversion Tables'!F26)</f>
        <v>NA</v>
      </c>
      <c r="J27" s="16" t="str">
        <f>IF('Conversion Tables'!G26="NA","NA",(F27*'Conversion Tables'!$C26)/'Conversion Tables'!G26)</f>
        <v>NA</v>
      </c>
      <c r="K27" s="16" t="str">
        <f>IF('Conversion Tables'!H26="NA","NA",(G27*'Conversion Tables'!$C26)/'Conversion Tables'!H26)</f>
        <v>NA</v>
      </c>
      <c r="L27" s="16" t="str">
        <f>IF('Conversion Tables'!I26="NA","NA",(H27*'Conversion Tables'!$C26)/'Conversion Tables'!I26)</f>
        <v>NA</v>
      </c>
      <c r="M27" s="16" t="str">
        <f>IF('Conversion Tables'!K26="NA","NA",E27*'Conversion Tables'!K26)</f>
        <v>NA</v>
      </c>
      <c r="N27" s="16" t="str">
        <f>IF('Conversion Tables'!L26="NA","NA",F27*'Conversion Tables'!L26)</f>
        <v>NA</v>
      </c>
      <c r="O27" s="16" t="str">
        <f>IF('Conversion Tables'!M26="NA","NA",G27*'Conversion Tables'!M26)</f>
        <v>NA</v>
      </c>
      <c r="P27" s="16" t="str">
        <f>IF('Conversion Tables'!N26="NA","NA",H27*'Conversion Tables'!N26)</f>
        <v>NA</v>
      </c>
      <c r="Q27" s="13"/>
    </row>
    <row r="28" spans="1:17" x14ac:dyDescent="0.25">
      <c r="A28" s="1207"/>
      <c r="B28" s="11" t="s">
        <v>562</v>
      </c>
      <c r="C28" s="294">
        <f>C131</f>
        <v>4408.87</v>
      </c>
      <c r="D28" s="294">
        <f>E28*'Conversion Tables'!C27</f>
        <v>78036.998999999996</v>
      </c>
      <c r="E28" s="294">
        <f>C28*'Prac. Rec. Assumptions'!B24</f>
        <v>4408.87</v>
      </c>
      <c r="F28" s="294">
        <f>($C28*(1+'Biomass Data Assumptions'!G$103))*'Prac. Rec. Assumptions'!$B24</f>
        <v>4518.3478619635807</v>
      </c>
      <c r="G28" s="294">
        <f>($C28*(1+'Biomass Data Assumptions'!H$103))*'Prac. Rec. Assumptions'!$B24</f>
        <v>4663.756919648541</v>
      </c>
      <c r="H28" s="294">
        <f>($C28*(1+'Biomass Data Assumptions'!I$103))*'Prac. Rec. Assumptions'!$B24</f>
        <v>4763.1291328154839</v>
      </c>
      <c r="I28" s="16" t="str">
        <f>IF('Conversion Tables'!F27="NA","NA",(E28*'Conversion Tables'!$C27)/'Conversion Tables'!F27)</f>
        <v>NA</v>
      </c>
      <c r="J28" s="16" t="str">
        <f>IF('Conversion Tables'!G27="NA","NA",(F28*'Conversion Tables'!$C27)/'Conversion Tables'!G27)</f>
        <v>NA</v>
      </c>
      <c r="K28" s="16" t="str">
        <f>IF('Conversion Tables'!H27="NA","NA",(G28*'Conversion Tables'!$C27)/'Conversion Tables'!H27)</f>
        <v>NA</v>
      </c>
      <c r="L28" s="16" t="str">
        <f>IF('Conversion Tables'!I27="NA","NA",(H28*'Conversion Tables'!$C27)/'Conversion Tables'!I27)</f>
        <v>NA</v>
      </c>
      <c r="M28" s="16" t="str">
        <f>IF('Conversion Tables'!K27="NA","NA",E28*'Conversion Tables'!K27)</f>
        <v>NA</v>
      </c>
      <c r="N28" s="16" t="str">
        <f>IF('Conversion Tables'!L27="NA","NA",F28*'Conversion Tables'!L27)</f>
        <v>NA</v>
      </c>
      <c r="O28" s="16" t="str">
        <f>IF('Conversion Tables'!M27="NA","NA",G28*'Conversion Tables'!M27)</f>
        <v>NA</v>
      </c>
      <c r="P28" s="16" t="str">
        <f>IF('Conversion Tables'!N27="NA","NA",H28*'Conversion Tables'!N27)</f>
        <v>NA</v>
      </c>
      <c r="Q28" s="13"/>
    </row>
    <row r="29" spans="1:17" x14ac:dyDescent="0.25">
      <c r="A29" s="1208"/>
      <c r="B29" s="9" t="s">
        <v>524</v>
      </c>
      <c r="C29" s="295">
        <f t="shared" ref="C29:P29" si="3">SUM(C13:C28)</f>
        <v>73388.464999999982</v>
      </c>
      <c r="D29" s="295">
        <f>SUM(D13:D28)</f>
        <v>953349.72815999982</v>
      </c>
      <c r="E29" s="295">
        <f t="shared" si="3"/>
        <v>57015.695000000007</v>
      </c>
      <c r="F29" s="295">
        <f>SUM(F13:F28)</f>
        <v>57969.557004966249</v>
      </c>
      <c r="G29" s="295">
        <f>SUM(G13:G28)</f>
        <v>59236.481411562454</v>
      </c>
      <c r="H29" s="295">
        <f>SUM(H13:H28)</f>
        <v>60102.294616070285</v>
      </c>
      <c r="I29" s="19">
        <f t="shared" si="3"/>
        <v>0</v>
      </c>
      <c r="J29" s="19">
        <f t="shared" si="3"/>
        <v>0</v>
      </c>
      <c r="K29" s="19">
        <f t="shared" si="3"/>
        <v>0</v>
      </c>
      <c r="L29" s="19">
        <f t="shared" si="3"/>
        <v>0</v>
      </c>
      <c r="M29" s="19">
        <f t="shared" si="3"/>
        <v>0</v>
      </c>
      <c r="N29" s="19">
        <f t="shared" si="3"/>
        <v>0</v>
      </c>
      <c r="O29" s="19">
        <f t="shared" si="3"/>
        <v>0</v>
      </c>
      <c r="P29" s="19">
        <f t="shared" si="3"/>
        <v>0</v>
      </c>
      <c r="Q29" s="19"/>
    </row>
    <row r="30" spans="1:17" x14ac:dyDescent="0.25">
      <c r="A30" s="8"/>
      <c r="C30" s="296"/>
      <c r="D30" s="296"/>
      <c r="E30" s="296"/>
      <c r="F30" s="296"/>
      <c r="G30" s="296"/>
      <c r="H30" s="296"/>
      <c r="I30" s="28"/>
      <c r="J30" s="28"/>
      <c r="K30" s="28"/>
      <c r="L30" s="28"/>
      <c r="M30" s="28"/>
      <c r="N30" s="28"/>
      <c r="O30" s="28"/>
      <c r="P30" s="28"/>
    </row>
    <row r="31" spans="1:17" x14ac:dyDescent="0.25">
      <c r="A31" s="1064" t="s">
        <v>516</v>
      </c>
      <c r="B31" s="130" t="str">
        <f>'Bioenergy Calculator'!B34</f>
        <v>Solid wastes - Landfilled</v>
      </c>
      <c r="C31" s="294"/>
      <c r="D31" s="294"/>
      <c r="E31" s="294"/>
      <c r="F31" s="294"/>
      <c r="G31" s="294"/>
      <c r="H31" s="294"/>
      <c r="I31" s="16"/>
      <c r="J31" s="16"/>
      <c r="K31" s="16"/>
      <c r="L31" s="16"/>
      <c r="M31" s="16"/>
      <c r="N31" s="16"/>
      <c r="O31" s="16"/>
      <c r="P31" s="16"/>
      <c r="Q31" s="7"/>
    </row>
    <row r="32" spans="1:17" x14ac:dyDescent="0.25">
      <c r="A32" s="1064"/>
      <c r="B32" s="11" t="str">
        <f>'Bioenergy Calculator'!B35</f>
        <v>Food waste, Landfilled</v>
      </c>
      <c r="C32" s="294">
        <f>C141</f>
        <v>25374.021519000002</v>
      </c>
      <c r="D32" s="294">
        <f>E32*'Conversion Tables'!C29</f>
        <v>243590.60658240004</v>
      </c>
      <c r="E32" s="294">
        <f>C32*'Prac. Rec. Assumptions'!B26</f>
        <v>15224.412911400002</v>
      </c>
      <c r="F32" s="294">
        <f>($C32*(1+'Biomass Data Assumptions'!G$103)*(1+'Biomass Data Assumptions'!C$82))*'Prac. Rec. Assumptions'!$B26</f>
        <v>15591.860743276913</v>
      </c>
      <c r="G32" s="294">
        <f>($C32*(1+'Biomass Data Assumptions'!H$103)*(1+'Biomass Data Assumptions'!D$82))*'Prac. Rec. Assumptions'!$B26</f>
        <v>16082.709330400921</v>
      </c>
      <c r="H32" s="294">
        <f>($C32*(1+'Biomass Data Assumptions'!I$103)*(1+'Biomass Data Assumptions'!E$82))*'Prac. Rec. Assumptions'!$B26</f>
        <v>16414.236441681231</v>
      </c>
      <c r="I32" s="16" t="str">
        <f>IF('Conversion Tables'!F29="NA","NA",(E32*'Conversion Tables'!$C29)/'Conversion Tables'!F29)</f>
        <v>NA</v>
      </c>
      <c r="J32" s="16" t="str">
        <f>IF('Conversion Tables'!G29="NA","NA",(F32*'Conversion Tables'!$C29)/'Conversion Tables'!G29)</f>
        <v>NA</v>
      </c>
      <c r="K32" s="16" t="str">
        <f>IF('Conversion Tables'!H29="NA","NA",(G32*'Conversion Tables'!$C29)/'Conversion Tables'!H29)</f>
        <v>NA</v>
      </c>
      <c r="L32" s="16" t="str">
        <f>IF('Conversion Tables'!I29="NA","NA",(H32*'Conversion Tables'!$C29)/'Conversion Tables'!I29)</f>
        <v>NA</v>
      </c>
      <c r="M32" s="16" t="str">
        <f>IF('Conversion Tables'!K29="NA","NA",E32*'Conversion Tables'!K29)</f>
        <v>NA</v>
      </c>
      <c r="N32" s="16" t="str">
        <f>IF('Conversion Tables'!L29="NA","NA",F32*'Conversion Tables'!L29)</f>
        <v>NA</v>
      </c>
      <c r="O32" s="16" t="str">
        <f>IF('Conversion Tables'!M29="NA","NA",G32*'Conversion Tables'!M29)</f>
        <v>NA</v>
      </c>
      <c r="P32" s="16" t="str">
        <f>IF('Conversion Tables'!N29="NA","NA",H32*'Conversion Tables'!N29)</f>
        <v>NA</v>
      </c>
      <c r="Q32" s="7"/>
    </row>
    <row r="33" spans="1:17" x14ac:dyDescent="0.25">
      <c r="A33" s="1064"/>
      <c r="B33" s="11" t="str">
        <f>'Bioenergy Calculator'!B36</f>
        <v>Waste paper, Landfilled</v>
      </c>
      <c r="C33" s="294">
        <f>C142</f>
        <v>93588.758257500012</v>
      </c>
      <c r="D33" s="294">
        <f>E33*'Conversion Tables'!C30</f>
        <v>1087276.7579323321</v>
      </c>
      <c r="E33" s="294">
        <f>C33*'Prac. Rec. Assumptions'!B27</f>
        <v>74871.00660600001</v>
      </c>
      <c r="F33" s="294">
        <f>($C33*(1+'Biomass Data Assumptions'!G$103)*(1+'Biomass Data Assumptions'!C$82))*'Prac. Rec. Assumptions'!$B27</f>
        <v>76678.050937227803</v>
      </c>
      <c r="G33" s="294">
        <f>($C33*(1+'Biomass Data Assumptions'!H$103)*(1+'Biomass Data Assumptions'!D$82))*'Prac. Rec. Assumptions'!$B27</f>
        <v>79091.958653931215</v>
      </c>
      <c r="H33" s="294">
        <f>($C33*(1+'Biomass Data Assumptions'!I$103)*(1+'Biomass Data Assumptions'!E$82))*'Prac. Rec. Assumptions'!$B27</f>
        <v>80722.351148091024</v>
      </c>
      <c r="I33" s="16" t="str">
        <f>IF('Conversion Tables'!F30="NA","NA",(E33*'Conversion Tables'!$C30)/'Conversion Tables'!F30)</f>
        <v>NA</v>
      </c>
      <c r="J33" s="16" t="str">
        <f>IF('Conversion Tables'!G30="NA","NA",(F33*'Conversion Tables'!$C30)/'Conversion Tables'!G30)</f>
        <v>NA</v>
      </c>
      <c r="K33" s="16" t="str">
        <f>IF('Conversion Tables'!H30="NA","NA",(G33*'Conversion Tables'!$C30)/'Conversion Tables'!H30)</f>
        <v>NA</v>
      </c>
      <c r="L33" s="16" t="str">
        <f>IF('Conversion Tables'!I30="NA","NA",(H33*'Conversion Tables'!$C30)/'Conversion Tables'!I30)</f>
        <v>NA</v>
      </c>
      <c r="M33" s="16" t="str">
        <f>IF('Conversion Tables'!K30="NA","NA",E33*'Conversion Tables'!K30)</f>
        <v>NA</v>
      </c>
      <c r="N33" s="16" t="str">
        <f>IF('Conversion Tables'!L30="NA","NA",F33*'Conversion Tables'!L30)</f>
        <v>NA</v>
      </c>
      <c r="O33" s="16" t="str">
        <f>IF('Conversion Tables'!M30="NA","NA",G33*'Conversion Tables'!M30)</f>
        <v>NA</v>
      </c>
      <c r="P33" s="16" t="str">
        <f>IF('Conversion Tables'!N30="NA","NA",H33*'Conversion Tables'!N30)</f>
        <v>NA</v>
      </c>
      <c r="Q33" s="7"/>
    </row>
    <row r="34" spans="1:17" x14ac:dyDescent="0.25">
      <c r="A34" s="1064"/>
      <c r="B34" s="11" t="str">
        <f>'Bioenergy Calculator'!B37</f>
        <v>Other Biomass, Landfilled</v>
      </c>
      <c r="C34" s="294">
        <f>C143</f>
        <v>71989.296197499993</v>
      </c>
      <c r="D34" s="294">
        <f>E34*'Conversion Tables'!C31</f>
        <v>752708.5627536684</v>
      </c>
      <c r="E34" s="294">
        <f>C34*'Prac. Rec. Assumptions'!B28</f>
        <v>51832.293262200001</v>
      </c>
      <c r="F34" s="294">
        <f>($C34*(1+'Biomass Data Assumptions'!G$103)*(1+'Biomass Data Assumptions'!C$82))*'Prac. Rec. Assumptions'!$B28</f>
        <v>53083.288219525566</v>
      </c>
      <c r="G34" s="294">
        <f>($C34*(1+'Biomass Data Assumptions'!H$103)*(1+'Biomass Data Assumptions'!D$82))*'Prac. Rec. Assumptions'!$B28</f>
        <v>54754.40736633334</v>
      </c>
      <c r="H34" s="294">
        <f>($C34*(1+'Biomass Data Assumptions'!I$103)*(1+'Biomass Data Assumptions'!E$82))*'Prac. Rec. Assumptions'!$B28</f>
        <v>55883.108391210553</v>
      </c>
      <c r="I34" s="16" t="str">
        <f>IF('Conversion Tables'!F31="NA","NA",(E34*'Conversion Tables'!$C31)/'Conversion Tables'!F31)</f>
        <v>NA</v>
      </c>
      <c r="J34" s="16" t="str">
        <f>IF('Conversion Tables'!G31="NA","NA",(F34*'Conversion Tables'!$C31)/'Conversion Tables'!G31)</f>
        <v>NA</v>
      </c>
      <c r="K34" s="16" t="str">
        <f>IF('Conversion Tables'!H31="NA","NA",(G34*'Conversion Tables'!$C31)/'Conversion Tables'!H31)</f>
        <v>NA</v>
      </c>
      <c r="L34" s="16" t="str">
        <f>IF('Conversion Tables'!I31="NA","NA",(H34*'Conversion Tables'!$C31)/'Conversion Tables'!I31)</f>
        <v>NA</v>
      </c>
      <c r="M34" s="16" t="str">
        <f>IF('Conversion Tables'!K31="NA","NA",E34*'Conversion Tables'!K31)</f>
        <v>NA</v>
      </c>
      <c r="N34" s="16" t="str">
        <f>IF('Conversion Tables'!L31="NA","NA",F34*'Conversion Tables'!L31)</f>
        <v>NA</v>
      </c>
      <c r="O34" s="16" t="str">
        <f>IF('Conversion Tables'!M31="NA","NA",G34*'Conversion Tables'!M31)</f>
        <v>NA</v>
      </c>
      <c r="P34" s="16" t="str">
        <f>IF('Conversion Tables'!N31="NA","NA",H34*'Conversion Tables'!N31)</f>
        <v>NA</v>
      </c>
      <c r="Q34" s="7"/>
    </row>
    <row r="35" spans="1:17" x14ac:dyDescent="0.25">
      <c r="A35" s="1065"/>
      <c r="B35" s="11" t="str">
        <f>'Bioenergy Calculator'!B38</f>
        <v>C&amp;D (Non-recycled wood)</v>
      </c>
      <c r="C35" s="294">
        <f>C145</f>
        <v>31407.497599999999</v>
      </c>
      <c r="D35" s="294">
        <f>E35*'Conversion Tables'!C32</f>
        <v>355784.13281280006</v>
      </c>
      <c r="E35" s="294">
        <f>C35*'Prac. Rec. Assumptions'!B29</f>
        <v>20100.798464000003</v>
      </c>
      <c r="F35" s="294">
        <f>($C35*(1+'Biomass Data Assumptions'!G$103)*(1+'Biomass Data Assumptions'!C$83))*'Prac. Rec. Assumptions'!$B29</f>
        <v>21634.271761929122</v>
      </c>
      <c r="G35" s="294">
        <f>($C35*(1+'Biomass Data Assumptions'!H$103)*(1+'Biomass Data Assumptions'!D$83))*'Prac. Rec. Assumptions'!$B29</f>
        <v>23451.742930748482</v>
      </c>
      <c r="H35" s="294">
        <f>($C35*(1+'Biomass Data Assumptions'!I$103)*(1+'Biomass Data Assumptions'!E$83))*'Prac. Rec. Assumptions'!$B29</f>
        <v>25154.064818542811</v>
      </c>
      <c r="I35" s="16" t="str">
        <f>IF('Conversion Tables'!F32="NA","NA",(E35*'Conversion Tables'!$C32)/'Conversion Tables'!F32)</f>
        <v>NA</v>
      </c>
      <c r="J35" s="16" t="str">
        <f>IF('Conversion Tables'!G32="NA","NA",(F35*'Conversion Tables'!$C32)/'Conversion Tables'!G32)</f>
        <v>NA</v>
      </c>
      <c r="K35" s="16" t="str">
        <f>IF('Conversion Tables'!H32="NA","NA",(G35*'Conversion Tables'!$C32)/'Conversion Tables'!H32)</f>
        <v>NA</v>
      </c>
      <c r="L35" s="16" t="str">
        <f>IF('Conversion Tables'!I32="NA","NA",(H35*'Conversion Tables'!$C32)/'Conversion Tables'!I32)</f>
        <v>NA</v>
      </c>
      <c r="M35" s="16" t="str">
        <f>IF('Conversion Tables'!K32="NA","NA",E35*'Conversion Tables'!K32)</f>
        <v>NA</v>
      </c>
      <c r="N35" s="16" t="str">
        <f>IF('Conversion Tables'!L32="NA","NA",F35*'Conversion Tables'!L32)</f>
        <v>NA</v>
      </c>
      <c r="O35" s="16" t="str">
        <f>IF('Conversion Tables'!M32="NA","NA",G35*'Conversion Tables'!M32)</f>
        <v>NA</v>
      </c>
      <c r="P35" s="16" t="str">
        <f>IF('Conversion Tables'!N32="NA","NA",H35*'Conversion Tables'!N32)</f>
        <v>NA</v>
      </c>
      <c r="Q35" s="7"/>
    </row>
    <row r="36" spans="1:17" x14ac:dyDescent="0.25">
      <c r="A36" s="1065"/>
      <c r="B36" s="4" t="s">
        <v>280</v>
      </c>
      <c r="C36" s="294"/>
      <c r="D36" s="294"/>
      <c r="E36" s="294"/>
      <c r="F36" s="294"/>
      <c r="G36" s="294"/>
      <c r="H36" s="294"/>
      <c r="I36" s="16"/>
      <c r="J36" s="16"/>
      <c r="K36" s="16"/>
      <c r="L36" s="16"/>
      <c r="M36" s="16"/>
      <c r="N36" s="16"/>
      <c r="O36" s="16"/>
      <c r="P36" s="16"/>
      <c r="Q36" s="7"/>
    </row>
    <row r="37" spans="1:17" x14ac:dyDescent="0.25">
      <c r="A37" s="1065"/>
      <c r="B37" s="677" t="s">
        <v>563</v>
      </c>
      <c r="C37" s="299">
        <f>C132</f>
        <v>1533.7375</v>
      </c>
      <c r="D37" s="294">
        <f>E37*'Conversion Tables'!C34</f>
        <v>24539.8</v>
      </c>
      <c r="E37" s="294">
        <f>C37*'Prac. Rec. Assumptions'!B31</f>
        <v>1533.7375</v>
      </c>
      <c r="F37" s="294">
        <f>($C37*(1+'Biomass Data Assumptions'!G$103)*(1+'Biomass Data Assumptions'!C$84))*'Prac. Rec. Assumptions'!$B31</f>
        <v>1718.7500961777487</v>
      </c>
      <c r="G37" s="294">
        <f>($C37*(1+'Biomass Data Assumptions'!H$103)*(1+'Biomass Data Assumptions'!D$84))*'Prac. Rec. Assumptions'!$B31</f>
        <v>1939.8953731711154</v>
      </c>
      <c r="H37" s="294">
        <f>($C37*(1+'Biomass Data Assumptions'!I$103)*(1+'Biomass Data Assumptions'!E$84))*'Prac. Rec. Assumptions'!$B31</f>
        <v>2166.4271294576633</v>
      </c>
      <c r="I37" s="16" t="str">
        <f>IF('Conversion Tables'!F34="NA","NA",(E37*'Conversion Tables'!$C34)/'Conversion Tables'!F34)</f>
        <v>NA</v>
      </c>
      <c r="J37" s="16" t="str">
        <f>IF('Conversion Tables'!G34="NA","NA",(F37*'Conversion Tables'!$C34)/'Conversion Tables'!G34)</f>
        <v>NA</v>
      </c>
      <c r="K37" s="16" t="str">
        <f>IF('Conversion Tables'!H34="NA","NA",(G37*'Conversion Tables'!$C34)/'Conversion Tables'!H34)</f>
        <v>NA</v>
      </c>
      <c r="L37" s="16" t="str">
        <f>IF('Conversion Tables'!I34="NA","NA",(H37*'Conversion Tables'!$C34)/'Conversion Tables'!I34)</f>
        <v>NA</v>
      </c>
      <c r="M37" s="16" t="str">
        <f>IF('Conversion Tables'!K34="NA","NA",E37*'Conversion Tables'!K34)</f>
        <v>NA</v>
      </c>
      <c r="N37" s="16" t="str">
        <f>IF('Conversion Tables'!L34="NA","NA",F37*'Conversion Tables'!L34)</f>
        <v>NA</v>
      </c>
      <c r="O37" s="16" t="str">
        <f>IF('Conversion Tables'!M34="NA","NA",G37*'Conversion Tables'!M34)</f>
        <v>NA</v>
      </c>
      <c r="P37" s="16" t="str">
        <f>IF('Conversion Tables'!N34="NA","NA",H37*'Conversion Tables'!N34)</f>
        <v>NA</v>
      </c>
      <c r="Q37" s="18"/>
    </row>
    <row r="38" spans="1:17" x14ac:dyDescent="0.25">
      <c r="A38" s="1065"/>
      <c r="B38" s="11" t="s">
        <v>565</v>
      </c>
      <c r="C38" s="294">
        <f>C134</f>
        <v>11780.088000000002</v>
      </c>
      <c r="D38" s="294">
        <f>E38*'Conversion Tables'!C35</f>
        <v>104253.77880000001</v>
      </c>
      <c r="E38" s="294">
        <f>C38*'Prac. Rec. Assumptions'!B32</f>
        <v>5890.0440000000008</v>
      </c>
      <c r="F38" s="294">
        <f>($C38*(1+'Biomass Data Assumptions'!G$103)*(1+'Biomass Data Assumptions'!C$84))*'Prac. Rec. Assumptions'!$B32</f>
        <v>6600.551718590159</v>
      </c>
      <c r="G38" s="294">
        <f>($C38*(1+'Biomass Data Assumptions'!H$103)*(1+'Biomass Data Assumptions'!D$84))*'Prac. Rec. Assumptions'!$B32</f>
        <v>7449.8205223346831</v>
      </c>
      <c r="H38" s="294">
        <f>($C38*(1+'Biomass Data Assumptions'!I$103)*(1+'Biomass Data Assumptions'!E$84))*'Prac. Rec. Assumptions'!$B32</f>
        <v>8319.7751344668395</v>
      </c>
      <c r="I38" s="16" t="str">
        <f>IF('Conversion Tables'!F35="NA","NA",(E38*'Conversion Tables'!$C35)/'Conversion Tables'!F35)</f>
        <v>NA</v>
      </c>
      <c r="J38" s="16" t="str">
        <f>IF('Conversion Tables'!G35="NA","NA",(F38*'Conversion Tables'!$C35)/'Conversion Tables'!G35)</f>
        <v>NA</v>
      </c>
      <c r="K38" s="16" t="str">
        <f>IF('Conversion Tables'!H35="NA","NA",(G38*'Conversion Tables'!$C35)/'Conversion Tables'!H35)</f>
        <v>NA</v>
      </c>
      <c r="L38" s="16" t="str">
        <f>IF('Conversion Tables'!I35="NA","NA",(H38*'Conversion Tables'!$C35)/'Conversion Tables'!I35)</f>
        <v>NA</v>
      </c>
      <c r="M38" s="16" t="str">
        <f>IF('Conversion Tables'!K35="NA","NA",E38*'Conversion Tables'!K35)</f>
        <v>NA</v>
      </c>
      <c r="N38" s="16" t="str">
        <f>IF('Conversion Tables'!L35="NA","NA",F38*'Conversion Tables'!L35)</f>
        <v>NA</v>
      </c>
      <c r="O38" s="16" t="str">
        <f>IF('Conversion Tables'!M35="NA","NA",G38*'Conversion Tables'!M35)</f>
        <v>NA</v>
      </c>
      <c r="P38" s="16" t="str">
        <f>IF('Conversion Tables'!N35="NA","NA",H38*'Conversion Tables'!N35)</f>
        <v>NA</v>
      </c>
      <c r="Q38" s="13"/>
    </row>
    <row r="39" spans="1:17" x14ac:dyDescent="0.25">
      <c r="A39" s="1065"/>
      <c r="B39" s="17" t="s">
        <v>555</v>
      </c>
      <c r="C39" s="294">
        <f>C124</f>
        <v>115498.035</v>
      </c>
      <c r="D39" s="299">
        <f>E39*'Conversion Tables'!C36</f>
        <v>0</v>
      </c>
      <c r="E39" s="299">
        <f>C39*'Prac. Rec. Assumptions'!B33</f>
        <v>0</v>
      </c>
      <c r="F39" s="294">
        <f>($C39*(1+'Biomass Data Assumptions'!G$103)*(1+'Biomass Data Assumptions'!C$84))*'Prac. Rec. Assumptions'!$B33</f>
        <v>0</v>
      </c>
      <c r="G39" s="294">
        <f>($C39*(1+'Biomass Data Assumptions'!H$103)*(1+'Biomass Data Assumptions'!D$84))*'Prac. Rec. Assumptions'!$B33</f>
        <v>0</v>
      </c>
      <c r="H39" s="294">
        <f>($C39*(1+'Biomass Data Assumptions'!I$103)*(1+'Biomass Data Assumptions'!E$84))*'Prac. Rec. Assumptions'!$B33</f>
        <v>0</v>
      </c>
      <c r="I39" s="16" t="str">
        <f>IF('Conversion Tables'!F36="NA","NA",(E39*'Conversion Tables'!$C36)/'Conversion Tables'!F36)</f>
        <v>NA</v>
      </c>
      <c r="J39" s="16" t="str">
        <f>IF('Conversion Tables'!G36="NA","NA",(F39*'Conversion Tables'!$C36)/'Conversion Tables'!G36)</f>
        <v>NA</v>
      </c>
      <c r="K39" s="16" t="str">
        <f>IF('Conversion Tables'!H36="NA","NA",(G39*'Conversion Tables'!$C36)/'Conversion Tables'!H36)</f>
        <v>NA</v>
      </c>
      <c r="L39" s="16" t="str">
        <f>IF('Conversion Tables'!I36="NA","NA",(H39*'Conversion Tables'!$C36)/'Conversion Tables'!I36)</f>
        <v>NA</v>
      </c>
      <c r="M39" s="16" t="str">
        <f>IF('Conversion Tables'!K36="NA","NA",E39*'Conversion Tables'!K36)</f>
        <v>NA</v>
      </c>
      <c r="N39" s="16" t="str">
        <f>IF('Conversion Tables'!L36="NA","NA",F39*'Conversion Tables'!L36)</f>
        <v>NA</v>
      </c>
      <c r="O39" s="16" t="str">
        <f>IF('Conversion Tables'!M36="NA","NA",G39*'Conversion Tables'!M36)</f>
        <v>NA</v>
      </c>
      <c r="P39" s="16" t="str">
        <f>IF('Conversion Tables'!N36="NA","NA",H39*'Conversion Tables'!N36)</f>
        <v>NA</v>
      </c>
      <c r="Q39" s="27"/>
    </row>
    <row r="40" spans="1:17" x14ac:dyDescent="0.25">
      <c r="A40" s="1065"/>
      <c r="B40" s="17" t="s">
        <v>556</v>
      </c>
      <c r="C40" s="294">
        <f>C125</f>
        <v>26847.683999999997</v>
      </c>
      <c r="D40" s="299">
        <f>E40*'Conversion Tables'!C37</f>
        <v>0</v>
      </c>
      <c r="E40" s="299">
        <f>C40*'Prac. Rec. Assumptions'!B34</f>
        <v>0</v>
      </c>
      <c r="F40" s="294">
        <f>($C40*(1+'Biomass Data Assumptions'!G$103)*(1+'Biomass Data Assumptions'!C$84))*'Prac. Rec. Assumptions'!$B34</f>
        <v>0</v>
      </c>
      <c r="G40" s="294">
        <f>($C40*(1+'Biomass Data Assumptions'!H$103)*(1+'Biomass Data Assumptions'!D$84))*'Prac. Rec. Assumptions'!$B34</f>
        <v>0</v>
      </c>
      <c r="H40" s="294">
        <f>($C40*(1+'Biomass Data Assumptions'!I$103)*(1+'Biomass Data Assumptions'!E$84))*'Prac. Rec. Assumptions'!$B34</f>
        <v>0</v>
      </c>
      <c r="I40" s="16" t="str">
        <f>IF('Conversion Tables'!F37="NA","NA",(E40*'Conversion Tables'!$C37)/'Conversion Tables'!F37)</f>
        <v>NA</v>
      </c>
      <c r="J40" s="16" t="str">
        <f>IF('Conversion Tables'!G37="NA","NA",(F40*'Conversion Tables'!$C37)/'Conversion Tables'!G37)</f>
        <v>NA</v>
      </c>
      <c r="K40" s="16" t="str">
        <f>IF('Conversion Tables'!H37="NA","NA",(G40*'Conversion Tables'!$C37)/'Conversion Tables'!H37)</f>
        <v>NA</v>
      </c>
      <c r="L40" s="16" t="str">
        <f>IF('Conversion Tables'!I37="NA","NA",(H40*'Conversion Tables'!$C37)/'Conversion Tables'!I37)</f>
        <v>NA</v>
      </c>
      <c r="M40" s="16" t="str">
        <f>IF('Conversion Tables'!K37="NA","NA",E40*'Conversion Tables'!K37)</f>
        <v>NA</v>
      </c>
      <c r="N40" s="16" t="str">
        <f>IF('Conversion Tables'!L37="NA","NA",F40*'Conversion Tables'!L37)</f>
        <v>NA</v>
      </c>
      <c r="O40" s="16" t="str">
        <f>IF('Conversion Tables'!M37="NA","NA",G40*'Conversion Tables'!M37)</f>
        <v>NA</v>
      </c>
      <c r="P40" s="16" t="str">
        <f>IF('Conversion Tables'!N37="NA","NA",H40*'Conversion Tables'!N37)</f>
        <v>NA</v>
      </c>
      <c r="Q40" s="27"/>
    </row>
    <row r="41" spans="1:17" x14ac:dyDescent="0.25">
      <c r="A41" s="1065"/>
      <c r="B41" s="17" t="s">
        <v>557</v>
      </c>
      <c r="C41" s="294">
        <f>C126</f>
        <v>23086.593000000001</v>
      </c>
      <c r="D41" s="299">
        <f>E41*'Conversion Tables'!C38</f>
        <v>0</v>
      </c>
      <c r="E41" s="299">
        <f>C41*'Prac. Rec. Assumptions'!B35</f>
        <v>0</v>
      </c>
      <c r="F41" s="294">
        <f>($C41*(1+'Biomass Data Assumptions'!G$103)*(1+'Biomass Data Assumptions'!C$84))*'Prac. Rec. Assumptions'!$B35</f>
        <v>0</v>
      </c>
      <c r="G41" s="294">
        <f>($C41*(1+'Biomass Data Assumptions'!H$103)*(1+'Biomass Data Assumptions'!D$84))*'Prac. Rec. Assumptions'!$B35</f>
        <v>0</v>
      </c>
      <c r="H41" s="294">
        <f>($C41*(1+'Biomass Data Assumptions'!I$103)*(1+'Biomass Data Assumptions'!E$84))*'Prac. Rec. Assumptions'!$B35</f>
        <v>0</v>
      </c>
      <c r="I41" s="16" t="str">
        <f>IF('Conversion Tables'!F38="NA","NA",(E41*'Conversion Tables'!$C38)/'Conversion Tables'!F38)</f>
        <v>NA</v>
      </c>
      <c r="J41" s="16" t="str">
        <f>IF('Conversion Tables'!G38="NA","NA",(F41*'Conversion Tables'!$C38)/'Conversion Tables'!G38)</f>
        <v>NA</v>
      </c>
      <c r="K41" s="16" t="str">
        <f>IF('Conversion Tables'!H38="NA","NA",(G41*'Conversion Tables'!$C38)/'Conversion Tables'!H38)</f>
        <v>NA</v>
      </c>
      <c r="L41" s="16" t="str">
        <f>IF('Conversion Tables'!I38="NA","NA",(H41*'Conversion Tables'!$C38)/'Conversion Tables'!I38)</f>
        <v>NA</v>
      </c>
      <c r="M41" s="16" t="str">
        <f>IF('Conversion Tables'!K38="NA","NA",E41*'Conversion Tables'!K38)</f>
        <v>NA</v>
      </c>
      <c r="N41" s="16" t="str">
        <f>IF('Conversion Tables'!L38="NA","NA",F41*'Conversion Tables'!L38)</f>
        <v>NA</v>
      </c>
      <c r="O41" s="16" t="str">
        <f>IF('Conversion Tables'!M38="NA","NA",G41*'Conversion Tables'!M38)</f>
        <v>NA</v>
      </c>
      <c r="P41" s="16" t="str">
        <f>IF('Conversion Tables'!N38="NA","NA",H41*'Conversion Tables'!N38)</f>
        <v>NA</v>
      </c>
      <c r="Q41" s="27"/>
    </row>
    <row r="42" spans="1:17" x14ac:dyDescent="0.25">
      <c r="A42" s="1065"/>
      <c r="B42" s="17" t="s">
        <v>558</v>
      </c>
      <c r="C42" s="294">
        <f>C127</f>
        <v>18386.64</v>
      </c>
      <c r="D42" s="299">
        <f>E42*'Conversion Tables'!C39</f>
        <v>267010.78607999999</v>
      </c>
      <c r="E42" s="299">
        <f>C42*'Prac. Rec. Assumptions'!B36</f>
        <v>18386.64</v>
      </c>
      <c r="F42" s="294">
        <f>($C42*(1+'Biomass Data Assumptions'!G$103)*(1+'Biomass Data Assumptions'!C$84))*'Prac. Rec. Assumptions'!$B36</f>
        <v>20604.594507460133</v>
      </c>
      <c r="G42" s="294">
        <f>($C42*(1+'Biomass Data Assumptions'!H$103)*(1+'Biomass Data Assumptions'!D$84))*'Prac. Rec. Assumptions'!$B36</f>
        <v>23255.712182927626</v>
      </c>
      <c r="H42" s="294">
        <f>($C42*(1+'Biomass Data Assumptions'!I$103)*(1+'Biomass Data Assumptions'!E$84))*'Prac. Rec. Assumptions'!$B36</f>
        <v>25971.4036564741</v>
      </c>
      <c r="I42" s="16" t="str">
        <f>IF('Conversion Tables'!F39="NA","NA",(E42*'Conversion Tables'!$C39)/'Conversion Tables'!F39)</f>
        <v>NA</v>
      </c>
      <c r="J42" s="16" t="str">
        <f>IF('Conversion Tables'!G39="NA","NA",(F42*'Conversion Tables'!$C39)/'Conversion Tables'!G39)</f>
        <v>NA</v>
      </c>
      <c r="K42" s="16" t="str">
        <f>IF('Conversion Tables'!H39="NA","NA",(G42*'Conversion Tables'!$C39)/'Conversion Tables'!H39)</f>
        <v>NA</v>
      </c>
      <c r="L42" s="16" t="str">
        <f>IF('Conversion Tables'!I39="NA","NA",(H42*'Conversion Tables'!$C39)/'Conversion Tables'!I39)</f>
        <v>NA</v>
      </c>
      <c r="M42" s="16" t="str">
        <f>IF('Conversion Tables'!K39="NA","NA",E42*'Conversion Tables'!K39)</f>
        <v>NA</v>
      </c>
      <c r="N42" s="16" t="str">
        <f>IF('Conversion Tables'!L39="NA","NA",F42*'Conversion Tables'!L39)</f>
        <v>NA</v>
      </c>
      <c r="O42" s="16" t="str">
        <f>IF('Conversion Tables'!M39="NA","NA",G42*'Conversion Tables'!M39)</f>
        <v>NA</v>
      </c>
      <c r="P42" s="16" t="str">
        <f>IF('Conversion Tables'!N39="NA","NA",H42*'Conversion Tables'!N39)</f>
        <v>NA</v>
      </c>
      <c r="Q42" s="27"/>
    </row>
    <row r="43" spans="1:17" x14ac:dyDescent="0.25">
      <c r="A43" s="1065"/>
      <c r="B43" s="9" t="s">
        <v>524</v>
      </c>
      <c r="C43" s="295">
        <f t="shared" ref="C43:P43" si="4">SUM(C31:C42)</f>
        <v>419492.35107400001</v>
      </c>
      <c r="D43" s="295">
        <f t="shared" si="4"/>
        <v>2835164.4249612004</v>
      </c>
      <c r="E43" s="295">
        <f t="shared" si="4"/>
        <v>187838.93274359999</v>
      </c>
      <c r="F43" s="295">
        <f t="shared" si="4"/>
        <v>195911.36798418744</v>
      </c>
      <c r="G43" s="295">
        <f t="shared" si="4"/>
        <v>206026.24635984737</v>
      </c>
      <c r="H43" s="295">
        <f t="shared" si="4"/>
        <v>214631.36671992423</v>
      </c>
      <c r="I43" s="19">
        <f t="shared" si="4"/>
        <v>0</v>
      </c>
      <c r="J43" s="19">
        <f t="shared" si="4"/>
        <v>0</v>
      </c>
      <c r="K43" s="19">
        <f t="shared" si="4"/>
        <v>0</v>
      </c>
      <c r="L43" s="19">
        <f t="shared" si="4"/>
        <v>0</v>
      </c>
      <c r="M43" s="19">
        <f t="shared" si="4"/>
        <v>0</v>
      </c>
      <c r="N43" s="19">
        <f t="shared" si="4"/>
        <v>0</v>
      </c>
      <c r="O43" s="19">
        <f t="shared" si="4"/>
        <v>0</v>
      </c>
      <c r="P43" s="19">
        <f t="shared" si="4"/>
        <v>0</v>
      </c>
      <c r="Q43" s="19"/>
    </row>
    <row r="44" spans="1:17" x14ac:dyDescent="0.25">
      <c r="A44" s="8"/>
      <c r="C44" s="296"/>
      <c r="D44" s="296"/>
      <c r="E44" s="296"/>
      <c r="F44" s="296"/>
      <c r="G44" s="296"/>
      <c r="H44" s="296"/>
      <c r="I44" s="28"/>
      <c r="J44" s="28"/>
      <c r="K44" s="28"/>
      <c r="L44" s="28"/>
      <c r="M44" s="28"/>
      <c r="N44" s="28"/>
      <c r="O44" s="28"/>
      <c r="P44" s="28"/>
    </row>
    <row r="45" spans="1:17" x14ac:dyDescent="0.25">
      <c r="A45" s="1064" t="s">
        <v>515</v>
      </c>
      <c r="B45" s="2" t="s">
        <v>510</v>
      </c>
      <c r="C45" s="294"/>
      <c r="D45" s="294"/>
      <c r="E45" s="294"/>
      <c r="F45" s="294"/>
      <c r="G45" s="294"/>
      <c r="H45" s="294"/>
      <c r="I45" s="16"/>
      <c r="J45" s="16"/>
      <c r="K45" s="16"/>
      <c r="L45" s="16"/>
      <c r="M45" s="16"/>
      <c r="N45" s="16"/>
      <c r="O45" s="16"/>
      <c r="P45" s="16"/>
      <c r="Q45" s="7"/>
    </row>
    <row r="46" spans="1:17" x14ac:dyDescent="0.25">
      <c r="A46" s="1064"/>
      <c r="B46" s="12" t="s">
        <v>525</v>
      </c>
      <c r="C46" s="294">
        <f>D77</f>
        <v>3490.56</v>
      </c>
      <c r="D46" s="294">
        <f>E46*'Conversion Tables'!C41</f>
        <v>0</v>
      </c>
      <c r="E46" s="294">
        <f>C46*'Prac. Rec. Assumptions'!B38</f>
        <v>3490.56</v>
      </c>
      <c r="F46" s="294">
        <f>$E46</f>
        <v>3490.56</v>
      </c>
      <c r="G46" s="294">
        <f>$E46</f>
        <v>3490.56</v>
      </c>
      <c r="H46" s="294">
        <f>$E46</f>
        <v>3490.56</v>
      </c>
      <c r="I46" s="16" t="str">
        <f>IF('Conversion Tables'!F41="NA","NA",(E46*'Conversion Tables'!$C41)/'Conversion Tables'!F41)</f>
        <v>NA</v>
      </c>
      <c r="J46" s="16" t="str">
        <f>IF('Conversion Tables'!G41="NA","NA",(F46*'Conversion Tables'!$C41)/'Conversion Tables'!G41)</f>
        <v>NA</v>
      </c>
      <c r="K46" s="16" t="str">
        <f>IF('Conversion Tables'!H41="NA","NA",(G46*'Conversion Tables'!$C41)/'Conversion Tables'!H41)</f>
        <v>NA</v>
      </c>
      <c r="L46" s="16" t="str">
        <f>IF('Conversion Tables'!I41="NA","NA",(H46*'Conversion Tables'!$C41)/'Conversion Tables'!I41)</f>
        <v>NA</v>
      </c>
      <c r="M46" s="16" t="str">
        <f>IF('Conversion Tables'!K41="NA","NA",E46*'Conversion Tables'!K41)</f>
        <v>NA</v>
      </c>
      <c r="N46" s="16" t="str">
        <f>IF('Conversion Tables'!L41="NA","NA",F46*'Conversion Tables'!L41)</f>
        <v>NA</v>
      </c>
      <c r="O46" s="16" t="str">
        <f>IF('Conversion Tables'!M41="NA","NA",G46*'Conversion Tables'!M41)</f>
        <v>NA</v>
      </c>
      <c r="P46" s="16" t="str">
        <f>IF('Conversion Tables'!N41="NA","NA",H46*'Conversion Tables'!N41)</f>
        <v>NA</v>
      </c>
      <c r="Q46" s="15"/>
    </row>
    <row r="47" spans="1:17" x14ac:dyDescent="0.25">
      <c r="A47" s="1065"/>
      <c r="B47" s="2" t="s">
        <v>508</v>
      </c>
      <c r="C47" s="294">
        <f t="shared" ref="C47:C48" si="5">C148</f>
        <v>3028.8689200000003</v>
      </c>
      <c r="D47" s="294"/>
      <c r="E47" s="294">
        <f>C47*'Prac. Rec. Assumptions'!B39</f>
        <v>1514.4344600000002</v>
      </c>
      <c r="F47" s="294">
        <f>($C47*(1+'Biomass Data Assumptions'!G$103))*'Prac. Rec. Assumptions'!$B39</f>
        <v>1552.0397980491532</v>
      </c>
      <c r="G47" s="294">
        <f>($C47*(1+'Biomass Data Assumptions'!H$103))*'Prac. Rec. Assumptions'!$B39</f>
        <v>1601.987400893926</v>
      </c>
      <c r="H47" s="294">
        <f>($C47*(1+'Biomass Data Assumptions'!I$103))*'Prac. Rec. Assumptions'!$B39</f>
        <v>1636.1214769693113</v>
      </c>
      <c r="I47" s="16" t="str">
        <f>IF('Conversion Tables'!F42="NA","NA",(E47*'Conversion Tables'!$C42)/'Conversion Tables'!F42)</f>
        <v>NA</v>
      </c>
      <c r="J47" s="16" t="str">
        <f>IF('Conversion Tables'!G42="NA","NA",(F47*'Conversion Tables'!$C42)/'Conversion Tables'!G42)</f>
        <v>NA</v>
      </c>
      <c r="K47" s="16" t="str">
        <f>IF('Conversion Tables'!H42="NA","NA",(G47*'Conversion Tables'!$C42)/'Conversion Tables'!H42)</f>
        <v>NA</v>
      </c>
      <c r="L47" s="16" t="str">
        <f>IF('Conversion Tables'!I42="NA","NA",(H47*'Conversion Tables'!$C42)/'Conversion Tables'!I42)</f>
        <v>NA</v>
      </c>
      <c r="M47" s="16" t="str">
        <f>IF('Conversion Tables'!K42="NA","NA",E47*'Conversion Tables'!K42)</f>
        <v>NA</v>
      </c>
      <c r="N47" s="16" t="str">
        <f>IF('Conversion Tables'!L42="NA","NA",F47*'Conversion Tables'!L42)</f>
        <v>NA</v>
      </c>
      <c r="O47" s="16" t="str">
        <f>IF('Conversion Tables'!M42="NA","NA",G47*'Conversion Tables'!M42)</f>
        <v>NA</v>
      </c>
      <c r="P47" s="16" t="str">
        <f>IF('Conversion Tables'!N42="NA","NA",H47*'Conversion Tables'!N42)</f>
        <v>NA</v>
      </c>
      <c r="Q47" s="7"/>
    </row>
    <row r="48" spans="1:17" x14ac:dyDescent="0.25">
      <c r="A48" s="1065"/>
      <c r="B48" s="1" t="s">
        <v>509</v>
      </c>
      <c r="C48" s="294">
        <f t="shared" si="5"/>
        <v>270.69503649999996</v>
      </c>
      <c r="D48" s="294"/>
      <c r="E48" s="294">
        <f>C48*'Prac. Rec. Assumptions'!B40</f>
        <v>270.69503649999996</v>
      </c>
      <c r="F48" s="294">
        <f>($C48*(1+'Biomass Data Assumptions'!G$103))*'Prac. Rec. Assumptions'!$B40</f>
        <v>277.41673930370553</v>
      </c>
      <c r="G48" s="294">
        <f>($C48*(1+'Biomass Data Assumptions'!H$103))*'Prac. Rec. Assumptions'!$B40</f>
        <v>286.34453943785809</v>
      </c>
      <c r="H48" s="294">
        <f>($C48*(1+'Biomass Data Assumptions'!I$103))*'Prac. Rec. Assumptions'!$B40</f>
        <v>292.44577736737546</v>
      </c>
      <c r="I48" s="16" t="str">
        <f>IF('Conversion Tables'!F43="NA","NA",(E48*'Conversion Tables'!$C43)/'Conversion Tables'!F43)</f>
        <v>NA</v>
      </c>
      <c r="J48" s="16" t="str">
        <f>IF('Conversion Tables'!G43="NA","NA",(F48*'Conversion Tables'!$C43)/'Conversion Tables'!G43)</f>
        <v>NA</v>
      </c>
      <c r="K48" s="16" t="str">
        <f>IF('Conversion Tables'!H43="NA","NA",(G48*'Conversion Tables'!$C43)/'Conversion Tables'!H43)</f>
        <v>NA</v>
      </c>
      <c r="L48" s="16" t="str">
        <f>IF('Conversion Tables'!I43="NA","NA",(H48*'Conversion Tables'!$C43)/'Conversion Tables'!I43)</f>
        <v>NA</v>
      </c>
      <c r="M48" s="16" t="str">
        <f>IF('Conversion Tables'!K43="NA","NA",E48*'Conversion Tables'!K43)</f>
        <v>NA</v>
      </c>
      <c r="N48" s="16" t="str">
        <f>IF('Conversion Tables'!L43="NA","NA",F48*'Conversion Tables'!L43)</f>
        <v>NA</v>
      </c>
      <c r="O48" s="16" t="str">
        <f>IF('Conversion Tables'!M43="NA","NA",G48*'Conversion Tables'!M43)</f>
        <v>NA</v>
      </c>
      <c r="P48" s="16" t="str">
        <f>IF('Conversion Tables'!N43="NA","NA",H48*'Conversion Tables'!N43)</f>
        <v>NA</v>
      </c>
      <c r="Q48" s="7"/>
    </row>
    <row r="49" spans="1:17" x14ac:dyDescent="0.25">
      <c r="A49" s="1065"/>
      <c r="B49" s="9" t="s">
        <v>524</v>
      </c>
      <c r="C49" s="295">
        <f t="shared" ref="C49:P49" si="6">SUM(C45:C48)</f>
        <v>6790.1239565000005</v>
      </c>
      <c r="D49" s="295">
        <f>SUM(D45:D48)</f>
        <v>0</v>
      </c>
      <c r="E49" s="295">
        <f t="shared" si="6"/>
        <v>5275.6894965000001</v>
      </c>
      <c r="F49" s="295">
        <f>SUM(F45:F48)</f>
        <v>5320.016537352858</v>
      </c>
      <c r="G49" s="295">
        <f>SUM(G45:G48)</f>
        <v>5378.8919403317832</v>
      </c>
      <c r="H49" s="295">
        <f>SUM(H45:H48)</f>
        <v>5419.1272543366867</v>
      </c>
      <c r="I49" s="19">
        <f t="shared" si="6"/>
        <v>0</v>
      </c>
      <c r="J49" s="19">
        <f t="shared" si="6"/>
        <v>0</v>
      </c>
      <c r="K49" s="19">
        <f t="shared" si="6"/>
        <v>0</v>
      </c>
      <c r="L49" s="19">
        <f t="shared" si="6"/>
        <v>0</v>
      </c>
      <c r="M49" s="19">
        <f t="shared" si="6"/>
        <v>0</v>
      </c>
      <c r="N49" s="19">
        <f t="shared" si="6"/>
        <v>0</v>
      </c>
      <c r="O49" s="19">
        <f t="shared" si="6"/>
        <v>0</v>
      </c>
      <c r="P49" s="19">
        <f t="shared" si="6"/>
        <v>0</v>
      </c>
      <c r="Q49" s="19"/>
    </row>
    <row r="50" spans="1:17" x14ac:dyDescent="0.25">
      <c r="A50" s="8"/>
      <c r="C50" s="296"/>
      <c r="D50" s="296"/>
      <c r="E50" s="296"/>
      <c r="F50" s="296"/>
      <c r="G50" s="296"/>
      <c r="H50" s="296"/>
      <c r="I50" s="28"/>
      <c r="J50" s="28"/>
      <c r="K50" s="28"/>
      <c r="L50" s="28"/>
      <c r="M50" s="28"/>
      <c r="N50" s="28"/>
      <c r="O50" s="28"/>
      <c r="P50" s="28"/>
    </row>
    <row r="51" spans="1:17" x14ac:dyDescent="0.25">
      <c r="A51" s="1200" t="s">
        <v>517</v>
      </c>
      <c r="B51" s="2" t="s">
        <v>505</v>
      </c>
      <c r="C51" s="294"/>
      <c r="D51" s="294"/>
      <c r="E51" s="294"/>
      <c r="F51" s="294"/>
      <c r="G51" s="294"/>
      <c r="H51" s="294"/>
      <c r="I51" s="16"/>
      <c r="J51" s="16"/>
      <c r="K51" s="16"/>
      <c r="L51" s="16"/>
      <c r="M51" s="16"/>
      <c r="N51" s="16"/>
      <c r="O51" s="16"/>
      <c r="P51" s="16"/>
      <c r="Q51" s="7"/>
    </row>
    <row r="52" spans="1:17" x14ac:dyDescent="0.25">
      <c r="A52" s="1201"/>
      <c r="B52" s="12" t="s">
        <v>535</v>
      </c>
      <c r="C52" s="294">
        <f>G97</f>
        <v>146.15183999999999</v>
      </c>
      <c r="D52" s="299">
        <f>E52*'Conversion Tables'!C45</f>
        <v>431.55715315199996</v>
      </c>
      <c r="E52" s="299">
        <f>C52*'Prac. Rec. Assumptions'!B42</f>
        <v>29.230367999999999</v>
      </c>
      <c r="F52" s="294">
        <f t="shared" ref="F52:H59" si="7">$E52</f>
        <v>29.230367999999999</v>
      </c>
      <c r="G52" s="294">
        <f t="shared" si="7"/>
        <v>29.230367999999999</v>
      </c>
      <c r="H52" s="294">
        <f t="shared" si="7"/>
        <v>29.230367999999999</v>
      </c>
      <c r="I52" s="16" t="str">
        <f>IF('Conversion Tables'!F45="NA","NA",(E52*'Conversion Tables'!$C45)/'Conversion Tables'!F45)</f>
        <v>NA</v>
      </c>
      <c r="J52" s="16" t="str">
        <f>IF('Conversion Tables'!G45="NA","NA",(F52*'Conversion Tables'!$C45)/'Conversion Tables'!G45)</f>
        <v>NA</v>
      </c>
      <c r="K52" s="16" t="str">
        <f>IF('Conversion Tables'!H45="NA","NA",(G52*'Conversion Tables'!$C45)/'Conversion Tables'!H45)</f>
        <v>NA</v>
      </c>
      <c r="L52" s="16" t="str">
        <f>IF('Conversion Tables'!I45="NA","NA",(H52*'Conversion Tables'!$C45)/'Conversion Tables'!I45)</f>
        <v>NA</v>
      </c>
      <c r="M52" s="16" t="str">
        <f>IF('Conversion Tables'!K45="NA","NA",E52*'Conversion Tables'!K45)</f>
        <v>NA</v>
      </c>
      <c r="N52" s="16" t="str">
        <f>IF('Conversion Tables'!L45="NA","NA",F52*'Conversion Tables'!L45)</f>
        <v>NA</v>
      </c>
      <c r="O52" s="16" t="str">
        <f>IF('Conversion Tables'!M45="NA","NA",G52*'Conversion Tables'!M45)</f>
        <v>NA</v>
      </c>
      <c r="P52" s="16" t="str">
        <f>IF('Conversion Tables'!N45="NA","NA",H52*'Conversion Tables'!N45)</f>
        <v>NA</v>
      </c>
      <c r="Q52" s="27"/>
    </row>
    <row r="53" spans="1:17" x14ac:dyDescent="0.25">
      <c r="A53" s="1201"/>
      <c r="B53" s="12" t="s">
        <v>539</v>
      </c>
      <c r="C53" s="294">
        <f>G104</f>
        <v>29.5869</v>
      </c>
      <c r="D53" s="299">
        <f>E53*'Conversion Tables'!C46</f>
        <v>262.09259495999999</v>
      </c>
      <c r="E53" s="299">
        <f>C53*'Prac. Rec. Assumptions'!B43</f>
        <v>17.752140000000001</v>
      </c>
      <c r="F53" s="294">
        <f t="shared" si="7"/>
        <v>17.752140000000001</v>
      </c>
      <c r="G53" s="294">
        <f t="shared" si="7"/>
        <v>17.752140000000001</v>
      </c>
      <c r="H53" s="294">
        <f t="shared" si="7"/>
        <v>17.752140000000001</v>
      </c>
      <c r="I53" s="16" t="str">
        <f>IF('Conversion Tables'!F46="NA","NA",(E53*'Conversion Tables'!$C46)/'Conversion Tables'!F46)</f>
        <v>NA</v>
      </c>
      <c r="J53" s="16" t="str">
        <f>IF('Conversion Tables'!G46="NA","NA",(F53*'Conversion Tables'!$C46)/'Conversion Tables'!G46)</f>
        <v>NA</v>
      </c>
      <c r="K53" s="16" t="str">
        <f>IF('Conversion Tables'!H46="NA","NA",(G53*'Conversion Tables'!$C46)/'Conversion Tables'!H46)</f>
        <v>NA</v>
      </c>
      <c r="L53" s="16" t="str">
        <f>IF('Conversion Tables'!I46="NA","NA",(H53*'Conversion Tables'!$C46)/'Conversion Tables'!I46)</f>
        <v>NA</v>
      </c>
      <c r="M53" s="16" t="str">
        <f>IF('Conversion Tables'!K46="NA","NA",E53*'Conversion Tables'!K46)</f>
        <v>NA</v>
      </c>
      <c r="N53" s="16" t="str">
        <f>IF('Conversion Tables'!L46="NA","NA",F53*'Conversion Tables'!L46)</f>
        <v>NA</v>
      </c>
      <c r="O53" s="16" t="str">
        <f>IF('Conversion Tables'!M46="NA","NA",G53*'Conversion Tables'!M46)</f>
        <v>NA</v>
      </c>
      <c r="P53" s="16" t="str">
        <f>IF('Conversion Tables'!N46="NA","NA",H53*'Conversion Tables'!N46)</f>
        <v>NA</v>
      </c>
      <c r="Q53" s="27"/>
    </row>
    <row r="54" spans="1:17" x14ac:dyDescent="0.25">
      <c r="A54" s="1201"/>
      <c r="B54" s="12" t="s">
        <v>545</v>
      </c>
      <c r="C54" s="294">
        <f>G106</f>
        <v>1885.2423374999998</v>
      </c>
      <c r="D54" s="299">
        <f>E54*'Conversion Tables'!C47</f>
        <v>16700.230722509998</v>
      </c>
      <c r="E54" s="299">
        <f>C54*'Prac. Rec. Assumptions'!B44</f>
        <v>1131.1454024999998</v>
      </c>
      <c r="F54" s="294">
        <f t="shared" si="7"/>
        <v>1131.1454024999998</v>
      </c>
      <c r="G54" s="294">
        <f t="shared" si="7"/>
        <v>1131.1454024999998</v>
      </c>
      <c r="H54" s="294">
        <f t="shared" si="7"/>
        <v>1131.1454024999998</v>
      </c>
      <c r="I54" s="16" t="str">
        <f>IF('Conversion Tables'!F47="NA","NA",(E54*'Conversion Tables'!$C47)/'Conversion Tables'!F47)</f>
        <v>NA</v>
      </c>
      <c r="J54" s="16" t="str">
        <f>IF('Conversion Tables'!G47="NA","NA",(F54*'Conversion Tables'!$C47)/'Conversion Tables'!G47)</f>
        <v>NA</v>
      </c>
      <c r="K54" s="16" t="str">
        <f>IF('Conversion Tables'!H47="NA","NA",(G54*'Conversion Tables'!$C47)/'Conversion Tables'!H47)</f>
        <v>NA</v>
      </c>
      <c r="L54" s="16" t="str">
        <f>IF('Conversion Tables'!I47="NA","NA",(H54*'Conversion Tables'!$C47)/'Conversion Tables'!I47)</f>
        <v>NA</v>
      </c>
      <c r="M54" s="16" t="str">
        <f>IF('Conversion Tables'!K47="NA","NA",E54*'Conversion Tables'!K47)</f>
        <v>NA</v>
      </c>
      <c r="N54" s="16" t="str">
        <f>IF('Conversion Tables'!L47="NA","NA",F54*'Conversion Tables'!L47)</f>
        <v>NA</v>
      </c>
      <c r="O54" s="16" t="str">
        <f>IF('Conversion Tables'!M47="NA","NA",G54*'Conversion Tables'!M47)</f>
        <v>NA</v>
      </c>
      <c r="P54" s="16" t="str">
        <f>IF('Conversion Tables'!N47="NA","NA",H54*'Conversion Tables'!N47)</f>
        <v>NA</v>
      </c>
      <c r="Q54" s="27"/>
    </row>
    <row r="55" spans="1:17" x14ac:dyDescent="0.25">
      <c r="A55" s="1201"/>
      <c r="B55" s="12" t="s">
        <v>546</v>
      </c>
      <c r="C55" s="294">
        <f>G108</f>
        <v>63.592124999999996</v>
      </c>
      <c r="D55" s="299">
        <f>E55*'Conversion Tables'!C48</f>
        <v>187.77482669999998</v>
      </c>
      <c r="E55" s="299">
        <f>C55*'Prac. Rec. Assumptions'!B45</f>
        <v>12.718425</v>
      </c>
      <c r="F55" s="294">
        <f t="shared" si="7"/>
        <v>12.718425</v>
      </c>
      <c r="G55" s="294">
        <f t="shared" si="7"/>
        <v>12.718425</v>
      </c>
      <c r="H55" s="294">
        <f t="shared" si="7"/>
        <v>12.718425</v>
      </c>
      <c r="I55" s="16" t="str">
        <f>IF('Conversion Tables'!F48="NA","NA",(E55*'Conversion Tables'!$C48)/'Conversion Tables'!F48)</f>
        <v>NA</v>
      </c>
      <c r="J55" s="16" t="str">
        <f>IF('Conversion Tables'!G48="NA","NA",(F55*'Conversion Tables'!$C48)/'Conversion Tables'!G48)</f>
        <v>NA</v>
      </c>
      <c r="K55" s="16" t="str">
        <f>IF('Conversion Tables'!H48="NA","NA",(G55*'Conversion Tables'!$C48)/'Conversion Tables'!H48)</f>
        <v>NA</v>
      </c>
      <c r="L55" s="16" t="str">
        <f>IF('Conversion Tables'!I48="NA","NA",(H55*'Conversion Tables'!$C48)/'Conversion Tables'!I48)</f>
        <v>NA</v>
      </c>
      <c r="M55" s="16" t="str">
        <f>IF('Conversion Tables'!K48="NA","NA",E55*'Conversion Tables'!K48)</f>
        <v>NA</v>
      </c>
      <c r="N55" s="16" t="str">
        <f>IF('Conversion Tables'!L48="NA","NA",F55*'Conversion Tables'!L48)</f>
        <v>NA</v>
      </c>
      <c r="O55" s="16" t="str">
        <f>IF('Conversion Tables'!M48="NA","NA",G55*'Conversion Tables'!M48)</f>
        <v>NA</v>
      </c>
      <c r="P55" s="16" t="str">
        <f>IF('Conversion Tables'!N48="NA","NA",H55*'Conversion Tables'!N48)</f>
        <v>NA</v>
      </c>
      <c r="Q55" s="27"/>
    </row>
    <row r="56" spans="1:17" x14ac:dyDescent="0.25">
      <c r="A56" s="1201"/>
      <c r="B56" s="12" t="s">
        <v>547</v>
      </c>
      <c r="C56" s="294">
        <f>G110</f>
        <v>83.931750000000008</v>
      </c>
      <c r="D56" s="299">
        <f>E56*'Conversion Tables'!C49</f>
        <v>247.83367140000001</v>
      </c>
      <c r="E56" s="299">
        <f>C56*'Prac. Rec. Assumptions'!B46</f>
        <v>16.786350000000002</v>
      </c>
      <c r="F56" s="294">
        <f t="shared" si="7"/>
        <v>16.786350000000002</v>
      </c>
      <c r="G56" s="294">
        <f t="shared" si="7"/>
        <v>16.786350000000002</v>
      </c>
      <c r="H56" s="294">
        <f t="shared" si="7"/>
        <v>16.786350000000002</v>
      </c>
      <c r="I56" s="16" t="str">
        <f>IF('Conversion Tables'!F49="NA","NA",(E56*'Conversion Tables'!$C49)/'Conversion Tables'!F49)</f>
        <v>NA</v>
      </c>
      <c r="J56" s="16" t="str">
        <f>IF('Conversion Tables'!G49="NA","NA",(F56*'Conversion Tables'!$C49)/'Conversion Tables'!G49)</f>
        <v>NA</v>
      </c>
      <c r="K56" s="16" t="str">
        <f>IF('Conversion Tables'!H49="NA","NA",(G56*'Conversion Tables'!$C49)/'Conversion Tables'!H49)</f>
        <v>NA</v>
      </c>
      <c r="L56" s="16" t="str">
        <f>IF('Conversion Tables'!I49="NA","NA",(H56*'Conversion Tables'!$C49)/'Conversion Tables'!I49)</f>
        <v>NA</v>
      </c>
      <c r="M56" s="16" t="str">
        <f>IF('Conversion Tables'!K49="NA","NA",E56*'Conversion Tables'!K49)</f>
        <v>NA</v>
      </c>
      <c r="N56" s="16" t="str">
        <f>IF('Conversion Tables'!L49="NA","NA",F56*'Conversion Tables'!L49)</f>
        <v>NA</v>
      </c>
      <c r="O56" s="16" t="str">
        <f>IF('Conversion Tables'!M49="NA","NA",G56*'Conversion Tables'!M49)</f>
        <v>NA</v>
      </c>
      <c r="P56" s="16" t="str">
        <f>IF('Conversion Tables'!N49="NA","NA",H56*'Conversion Tables'!N49)</f>
        <v>NA</v>
      </c>
      <c r="Q56" s="27"/>
    </row>
    <row r="57" spans="1:17" x14ac:dyDescent="0.25">
      <c r="A57" s="1201"/>
      <c r="B57" s="133" t="s">
        <v>605</v>
      </c>
      <c r="C57" s="294">
        <f>G115</f>
        <v>113.651875</v>
      </c>
      <c r="D57" s="299">
        <f>E57*'Conversion Tables'!C50</f>
        <v>838.97814125000002</v>
      </c>
      <c r="E57" s="299">
        <f>C57*'Prac. Rec. Assumptions'!B47</f>
        <v>56.825937500000002</v>
      </c>
      <c r="F57" s="294">
        <f t="shared" si="7"/>
        <v>56.825937500000002</v>
      </c>
      <c r="G57" s="294">
        <f t="shared" si="7"/>
        <v>56.825937500000002</v>
      </c>
      <c r="H57" s="294">
        <f t="shared" si="7"/>
        <v>56.825937500000002</v>
      </c>
      <c r="I57" s="16" t="str">
        <f>IF('Conversion Tables'!F50="NA","NA",(E57*'Conversion Tables'!$C50)/'Conversion Tables'!F50)</f>
        <v>NA</v>
      </c>
      <c r="J57" s="16" t="str">
        <f>IF('Conversion Tables'!G50="NA","NA",(F57*'Conversion Tables'!$C50)/'Conversion Tables'!G50)</f>
        <v>NA</v>
      </c>
      <c r="K57" s="16" t="str">
        <f>IF('Conversion Tables'!H50="NA","NA",(G57*'Conversion Tables'!$C50)/'Conversion Tables'!H50)</f>
        <v>NA</v>
      </c>
      <c r="L57" s="16" t="str">
        <f>IF('Conversion Tables'!I50="NA","NA",(H57*'Conversion Tables'!$C50)/'Conversion Tables'!I50)</f>
        <v>NA</v>
      </c>
      <c r="M57" s="16" t="str">
        <f>IF('Conversion Tables'!K50="NA","NA",E57*'Conversion Tables'!K50)</f>
        <v>NA</v>
      </c>
      <c r="N57" s="16" t="str">
        <f>IF('Conversion Tables'!L50="NA","NA",F57*'Conversion Tables'!L50)</f>
        <v>NA</v>
      </c>
      <c r="O57" s="16" t="str">
        <f>IF('Conversion Tables'!M50="NA","NA",G57*'Conversion Tables'!M50)</f>
        <v>NA</v>
      </c>
      <c r="P57" s="16" t="str">
        <f>IF('Conversion Tables'!N50="NA","NA",H57*'Conversion Tables'!N50)</f>
        <v>NA</v>
      </c>
      <c r="Q57" s="27"/>
    </row>
    <row r="58" spans="1:17" x14ac:dyDescent="0.25">
      <c r="A58" s="1201"/>
      <c r="B58" s="12" t="s">
        <v>551</v>
      </c>
      <c r="C58" s="294">
        <f>G117</f>
        <v>19.573125000000001</v>
      </c>
      <c r="D58" s="299">
        <f>E58*'Conversion Tables'!C51</f>
        <v>234.8775</v>
      </c>
      <c r="E58" s="299">
        <f>C58*'Prac. Rec. Assumptions'!B48</f>
        <v>19.573125000000001</v>
      </c>
      <c r="F58" s="294">
        <f t="shared" si="7"/>
        <v>19.573125000000001</v>
      </c>
      <c r="G58" s="294">
        <f t="shared" si="7"/>
        <v>19.573125000000001</v>
      </c>
      <c r="H58" s="294">
        <f t="shared" si="7"/>
        <v>19.573125000000001</v>
      </c>
      <c r="I58" s="16" t="str">
        <f>IF('Conversion Tables'!F51="NA","NA",(E58*'Conversion Tables'!$C51)/'Conversion Tables'!F51)</f>
        <v>NA</v>
      </c>
      <c r="J58" s="16" t="str">
        <f>IF('Conversion Tables'!G51="NA","NA",(F58*'Conversion Tables'!$C51)/'Conversion Tables'!G51)</f>
        <v>NA</v>
      </c>
      <c r="K58" s="16" t="str">
        <f>IF('Conversion Tables'!H51="NA","NA",(G58*'Conversion Tables'!$C51)/'Conversion Tables'!H51)</f>
        <v>NA</v>
      </c>
      <c r="L58" s="16" t="str">
        <f>IF('Conversion Tables'!I51="NA","NA",(H58*'Conversion Tables'!$C51)/'Conversion Tables'!I51)</f>
        <v>NA</v>
      </c>
      <c r="M58" s="16" t="str">
        <f>IF('Conversion Tables'!K51="NA","NA",E58*'Conversion Tables'!K51)</f>
        <v>NA</v>
      </c>
      <c r="N58" s="16" t="str">
        <f>IF('Conversion Tables'!L51="NA","NA",F58*'Conversion Tables'!L51)</f>
        <v>NA</v>
      </c>
      <c r="O58" s="16" t="str">
        <f>IF('Conversion Tables'!M51="NA","NA",G58*'Conversion Tables'!M51)</f>
        <v>NA</v>
      </c>
      <c r="P58" s="16" t="str">
        <f>IF('Conversion Tables'!N51="NA","NA",H58*'Conversion Tables'!N51)</f>
        <v>NA</v>
      </c>
      <c r="Q58" s="27"/>
    </row>
    <row r="59" spans="1:17" x14ac:dyDescent="0.25">
      <c r="A59" s="1201"/>
      <c r="B59" s="12" t="s">
        <v>552</v>
      </c>
      <c r="C59" s="294">
        <f>G119</f>
        <v>6.1160312500000007</v>
      </c>
      <c r="D59" s="299">
        <f>E59*'Conversion Tables'!C52</f>
        <v>90.297085375000009</v>
      </c>
      <c r="E59" s="299">
        <f>C59*'Prac. Rec. Assumptions'!B49</f>
        <v>6.1160312500000007</v>
      </c>
      <c r="F59" s="294">
        <f t="shared" si="7"/>
        <v>6.1160312500000007</v>
      </c>
      <c r="G59" s="294">
        <f t="shared" si="7"/>
        <v>6.1160312500000007</v>
      </c>
      <c r="H59" s="294">
        <f t="shared" si="7"/>
        <v>6.1160312500000007</v>
      </c>
      <c r="I59" s="16" t="str">
        <f>IF('Conversion Tables'!F52="NA","NA",(E59*'Conversion Tables'!$C52)/'Conversion Tables'!F52)</f>
        <v>NA</v>
      </c>
      <c r="J59" s="16" t="str">
        <f>IF('Conversion Tables'!G52="NA","NA",(F59*'Conversion Tables'!$C52)/'Conversion Tables'!G52)</f>
        <v>NA</v>
      </c>
      <c r="K59" s="16" t="str">
        <f>IF('Conversion Tables'!H52="NA","NA",(G59*'Conversion Tables'!$C52)/'Conversion Tables'!H52)</f>
        <v>NA</v>
      </c>
      <c r="L59" s="16" t="str">
        <f>IF('Conversion Tables'!I52="NA","NA",(H59*'Conversion Tables'!$C52)/'Conversion Tables'!I52)</f>
        <v>NA</v>
      </c>
      <c r="M59" s="16" t="str">
        <f>IF('Conversion Tables'!K52="NA","NA",E59*'Conversion Tables'!K52)</f>
        <v>NA</v>
      </c>
      <c r="N59" s="16" t="str">
        <f>IF('Conversion Tables'!L52="NA","NA",F59*'Conversion Tables'!L52)</f>
        <v>NA</v>
      </c>
      <c r="O59" s="16" t="str">
        <f>IF('Conversion Tables'!M52="NA","NA",G59*'Conversion Tables'!M52)</f>
        <v>NA</v>
      </c>
      <c r="P59" s="16" t="str">
        <f>IF('Conversion Tables'!N52="NA","NA",H59*'Conversion Tables'!N52)</f>
        <v>NA</v>
      </c>
      <c r="Q59" s="27"/>
    </row>
    <row r="60" spans="1:17" x14ac:dyDescent="0.25">
      <c r="A60" s="1202"/>
      <c r="B60" s="129" t="s">
        <v>305</v>
      </c>
      <c r="C60" s="294">
        <f>'Biomass Data Assumptions'!AE18</f>
        <v>40303.650299000001</v>
      </c>
      <c r="D60" s="299">
        <f>E60*'Conversion Tables'!C53</f>
        <v>483643.80358800001</v>
      </c>
      <c r="E60" s="299">
        <f>C60*'Prac. Rec. Assumptions'!B50</f>
        <v>40303.650299000001</v>
      </c>
      <c r="F60" s="294">
        <f>($C60*(1+'Biomass Data Assumptions'!G$103*(4/5)))*'Prac. Rec. Assumptions'!$B50</f>
        <v>41104.283107690186</v>
      </c>
      <c r="G60" s="294">
        <f>($C60*(1+'Biomass Data Assumptions'!H$103*(9/10)))*'Prac. Rec. Assumptions'!$B50</f>
        <v>42400.692386376977</v>
      </c>
      <c r="H60" s="294">
        <f>($C60*(1+'Biomass Data Assumptions'!I$103*(14/15)))*'Prac. Rec. Assumptions'!$B50</f>
        <v>43326.210227191914</v>
      </c>
      <c r="I60" s="16" t="str">
        <f>IF('Conversion Tables'!F53="NA","NA",(E60*'Conversion Tables'!$C53)/'Conversion Tables'!F53)</f>
        <v>NA</v>
      </c>
      <c r="J60" s="16" t="str">
        <f>IF('Conversion Tables'!G53="NA","NA",(F60*'Conversion Tables'!$C53)/'Conversion Tables'!G53)</f>
        <v>NA</v>
      </c>
      <c r="K60" s="16" t="str">
        <f>IF('Conversion Tables'!H53="NA","NA",(G60*'Conversion Tables'!$C53)/'Conversion Tables'!H53)</f>
        <v>NA</v>
      </c>
      <c r="L60" s="16" t="str">
        <f>IF('Conversion Tables'!I53="NA","NA",(H60*'Conversion Tables'!$C53)/'Conversion Tables'!I53)</f>
        <v>NA</v>
      </c>
      <c r="M60" s="16" t="str">
        <f>IF('Conversion Tables'!K53="NA","NA",E60*'Conversion Tables'!K53)</f>
        <v>NA</v>
      </c>
      <c r="N60" s="16" t="str">
        <f>IF('Conversion Tables'!L53="NA","NA",F60*'Conversion Tables'!L53)</f>
        <v>NA</v>
      </c>
      <c r="O60" s="16" t="str">
        <f>IF('Conversion Tables'!M53="NA","NA",G60*'Conversion Tables'!M53)</f>
        <v>NA</v>
      </c>
      <c r="P60" s="16" t="str">
        <f>IF('Conversion Tables'!N53="NA","NA",H60*'Conversion Tables'!N53)</f>
        <v>NA</v>
      </c>
      <c r="Q60" s="7"/>
    </row>
    <row r="61" spans="1:17" x14ac:dyDescent="0.25">
      <c r="A61" s="1202"/>
      <c r="B61" s="9" t="s">
        <v>257</v>
      </c>
      <c r="C61" s="295">
        <f>SUM(C52:C60)</f>
        <v>42651.496282749998</v>
      </c>
      <c r="D61" s="295">
        <f>SUM(D52:D60)</f>
        <v>502637.44528334698</v>
      </c>
      <c r="E61" s="295">
        <f t="shared" ref="E61:P61" si="8">SUM(E52:E60)</f>
        <v>41593.798078250002</v>
      </c>
      <c r="F61" s="295">
        <f>SUM(F52:F60)</f>
        <v>42394.430886940187</v>
      </c>
      <c r="G61" s="295">
        <f>SUM(G52:G60)</f>
        <v>43690.840165626978</v>
      </c>
      <c r="H61" s="295">
        <f>SUM(H52:H60)</f>
        <v>44616.358006441915</v>
      </c>
      <c r="I61" s="19">
        <f t="shared" si="8"/>
        <v>0</v>
      </c>
      <c r="J61" s="19">
        <f t="shared" si="8"/>
        <v>0</v>
      </c>
      <c r="K61" s="19">
        <f t="shared" si="8"/>
        <v>0</v>
      </c>
      <c r="L61" s="19">
        <f t="shared" si="8"/>
        <v>0</v>
      </c>
      <c r="M61" s="19">
        <f t="shared" si="8"/>
        <v>0</v>
      </c>
      <c r="N61" s="19">
        <f t="shared" si="8"/>
        <v>0</v>
      </c>
      <c r="O61" s="19">
        <f t="shared" si="8"/>
        <v>0</v>
      </c>
      <c r="P61" s="19">
        <f t="shared" si="8"/>
        <v>0</v>
      </c>
      <c r="Q61" s="7"/>
    </row>
    <row r="62" spans="1:17" x14ac:dyDescent="0.25">
      <c r="A62" s="1202"/>
      <c r="B62" s="7" t="s">
        <v>256</v>
      </c>
      <c r="C62" s="298" t="s">
        <v>251</v>
      </c>
      <c r="D62" s="13"/>
      <c r="E62" s="298" t="s">
        <v>251</v>
      </c>
      <c r="F62" s="298"/>
      <c r="G62" s="298"/>
      <c r="H62" s="298"/>
      <c r="I62" s="7"/>
      <c r="J62" s="7"/>
      <c r="K62" s="7"/>
      <c r="L62" s="7"/>
      <c r="M62" s="7"/>
      <c r="N62" s="7"/>
      <c r="O62" s="7"/>
      <c r="P62" s="7"/>
      <c r="Q62" s="7"/>
    </row>
    <row r="63" spans="1:17" x14ac:dyDescent="0.25">
      <c r="A63" s="1203"/>
      <c r="B63" s="133" t="s">
        <v>304</v>
      </c>
      <c r="C63" s="294">
        <f>'Biomass Data Assumptions'!AB18</f>
        <v>434.77021354999999</v>
      </c>
      <c r="D63" s="300">
        <f>E63*'Conversion Tables'!C55</f>
        <v>269122.76218745002</v>
      </c>
      <c r="E63" s="299">
        <f>C63*'Prac. Rec. Assumptions'!B51</f>
        <v>434.77021354999999</v>
      </c>
      <c r="F63" s="294">
        <f>($C63*(1+'Biomass Data Assumptions'!G$103*(4/5)))*'Prac. Rec. Assumptions'!$B51</f>
        <v>443.40693242352609</v>
      </c>
      <c r="G63" s="294">
        <f>($C63*(1+'Biomass Data Assumptions'!H$103*(9/10)))*'Prac. Rec. Assumptions'!$B51</f>
        <v>457.39177336873547</v>
      </c>
      <c r="H63" s="294">
        <f>($C63*(1+'Biomass Data Assumptions'!I$103*(14/15)))*'Prac. Rec. Assumptions'!$B51</f>
        <v>467.37567275031159</v>
      </c>
      <c r="I63" s="16" t="str">
        <f>IF('Conversion Tables'!F55="NA","NA",(E63*'Conversion Tables'!$C55)/'Conversion Tables'!F55)</f>
        <v>NA</v>
      </c>
      <c r="J63" s="16" t="str">
        <f>IF('Conversion Tables'!G55="NA","NA",(F63*'Conversion Tables'!$C55)/'Conversion Tables'!G55)</f>
        <v>NA</v>
      </c>
      <c r="K63" s="16" t="str">
        <f>IF('Conversion Tables'!H55="NA","NA",(G63*'Conversion Tables'!$C55)/'Conversion Tables'!H55)</f>
        <v>NA</v>
      </c>
      <c r="L63" s="16" t="str">
        <f>IF('Conversion Tables'!I55="NA","NA",(H63*'Conversion Tables'!$C55)/'Conversion Tables'!I55)</f>
        <v>NA</v>
      </c>
      <c r="M63" s="16" t="str">
        <f>IF('Conversion Tables'!K55="NA","NA",E63*'Conversion Tables'!K55)</f>
        <v>NA</v>
      </c>
      <c r="N63" s="16" t="str">
        <f>IF('Conversion Tables'!L55="NA","NA",F63*'Conversion Tables'!L55)</f>
        <v>NA</v>
      </c>
      <c r="O63" s="16" t="str">
        <f>IF('Conversion Tables'!M55="NA","NA",G63*'Conversion Tables'!M55)</f>
        <v>NA</v>
      </c>
      <c r="P63" s="16" t="str">
        <f>IF('Conversion Tables'!N55="NA","NA",H63*'Conversion Tables'!N55)</f>
        <v>NA</v>
      </c>
      <c r="Q63" s="7"/>
    </row>
    <row r="64" spans="1:17" x14ac:dyDescent="0.25">
      <c r="A64" s="1204"/>
      <c r="B64" s="17" t="s">
        <v>512</v>
      </c>
      <c r="C64" s="294">
        <f>'Biomass Data Assumptions'!X18</f>
        <v>785.86560530970928</v>
      </c>
      <c r="D64" s="300">
        <f>E64*'Conversion Tables'!C56</f>
        <v>397647.99628671288</v>
      </c>
      <c r="E64" s="299">
        <f>C64*'Prac. Rec. Assumptions'!B52</f>
        <v>785.86560530970928</v>
      </c>
      <c r="F64" s="545">
        <f>($C64*(1+'Biomass Data Assumptions'!G$103*(3/5))*(1+('Biomass Data Assumptions'!C$82-((1+'Biomass Data Assumptions'!$B$82)^2 - 1))))*'Prac. Rec. Assumptions'!$B52</f>
        <v>797.24915441566395</v>
      </c>
      <c r="G64" s="545">
        <f>($C64*(1+'Biomass Data Assumptions'!H$103*(4/5))*(1+('Biomass Data Assumptions'!D$82-((1+'Biomass Data Assumptions'!$B$82)^2 - 1))))*'Prac. Rec. Assumptions'!$B52</f>
        <v>821.31896511751768</v>
      </c>
      <c r="H64" s="545">
        <f>($C64*(1+'Biomass Data Assumptions'!I$103*(13/15))*(1+('Biomass Data Assumptions'!E$82-((1+'Biomass Data Assumptions'!$B$82)^2 - 1))))*'Prac. Rec. Assumptions'!$B52</f>
        <v>839.10893266144978</v>
      </c>
      <c r="I64" s="16" t="str">
        <f>IF('Conversion Tables'!F56="NA","NA",(E64*'Conversion Tables'!$C56)/'Conversion Tables'!F56)</f>
        <v>NA</v>
      </c>
      <c r="J64" s="16" t="str">
        <f>IF('Conversion Tables'!G56="NA","NA",(F64*'Conversion Tables'!$C56)/'Conversion Tables'!G56)</f>
        <v>NA</v>
      </c>
      <c r="K64" s="16" t="str">
        <f>IF('Conversion Tables'!H56="NA","NA",(G64*'Conversion Tables'!$C56)/'Conversion Tables'!H56)</f>
        <v>NA</v>
      </c>
      <c r="L64" s="16" t="str">
        <f>IF('Conversion Tables'!I56="NA","NA",(H64*'Conversion Tables'!$C56)/'Conversion Tables'!I56)</f>
        <v>NA</v>
      </c>
      <c r="M64" s="16" t="str">
        <f>IF('Conversion Tables'!K56="NA","NA",E64*'Conversion Tables'!K56)</f>
        <v>NA</v>
      </c>
      <c r="N64" s="16" t="str">
        <f>IF('Conversion Tables'!L56="NA","NA",F64*'Conversion Tables'!L56)</f>
        <v>NA</v>
      </c>
      <c r="O64" s="16" t="str">
        <f>IF('Conversion Tables'!M56="NA","NA",G64*'Conversion Tables'!M56)</f>
        <v>NA</v>
      </c>
      <c r="P64" s="16" t="str">
        <f>IF('Conversion Tables'!N56="NA","NA",H64*'Conversion Tables'!N56)</f>
        <v>NA</v>
      </c>
      <c r="Q64" s="7"/>
    </row>
    <row r="65" spans="1:19" x14ac:dyDescent="0.25">
      <c r="A65" s="1204"/>
      <c r="B65" s="9" t="s">
        <v>248</v>
      </c>
      <c r="C65" s="295">
        <f>SUM(C63:C64)</f>
        <v>1220.6358188597092</v>
      </c>
      <c r="D65" s="295">
        <f>SUM(D63:D64)</f>
        <v>666770.7584741629</v>
      </c>
      <c r="E65" s="295">
        <f t="shared" ref="E65:P65" si="9">SUM(E63:E64)</f>
        <v>1220.6358188597092</v>
      </c>
      <c r="F65" s="295">
        <f>SUM(F63:F64)</f>
        <v>1240.65608683919</v>
      </c>
      <c r="G65" s="295">
        <f>SUM(G63:G64)</f>
        <v>1278.7107384862531</v>
      </c>
      <c r="H65" s="295">
        <f>SUM(H63:H64)</f>
        <v>1306.4846054117613</v>
      </c>
      <c r="I65" s="19">
        <f t="shared" si="9"/>
        <v>0</v>
      </c>
      <c r="J65" s="19">
        <f t="shared" si="9"/>
        <v>0</v>
      </c>
      <c r="K65" s="19">
        <f t="shared" si="9"/>
        <v>0</v>
      </c>
      <c r="L65" s="19">
        <f t="shared" si="9"/>
        <v>0</v>
      </c>
      <c r="M65" s="19">
        <f t="shared" si="9"/>
        <v>0</v>
      </c>
      <c r="N65" s="19">
        <f t="shared" si="9"/>
        <v>0</v>
      </c>
      <c r="O65" s="19">
        <f t="shared" si="9"/>
        <v>0</v>
      </c>
      <c r="P65" s="19">
        <f t="shared" si="9"/>
        <v>0</v>
      </c>
      <c r="Q65" s="19">
        <f>SUM(Q51:Q64)</f>
        <v>0</v>
      </c>
    </row>
    <row r="66" spans="1:19" x14ac:dyDescent="0.25">
      <c r="A66" s="1204"/>
      <c r="B66" s="9"/>
      <c r="C66" s="295"/>
      <c r="D66" s="295"/>
      <c r="E66" s="295"/>
      <c r="F66" s="295"/>
      <c r="G66" s="295"/>
      <c r="H66" s="295"/>
      <c r="I66" s="19"/>
      <c r="J66" s="19"/>
      <c r="K66" s="19"/>
      <c r="L66" s="19"/>
      <c r="M66" s="19"/>
      <c r="N66" s="19"/>
      <c r="O66" s="19"/>
      <c r="P66" s="19"/>
      <c r="Q66" s="19"/>
    </row>
    <row r="67" spans="1:19" x14ac:dyDescent="0.25">
      <c r="A67" s="1205"/>
      <c r="B67" s="9" t="s">
        <v>258</v>
      </c>
      <c r="C67" s="295">
        <f>C61+(C63*1000000/29487.1582406855)+(C64*1000000/25364.5039539246)</f>
        <v>88378.776855365984</v>
      </c>
      <c r="D67" s="295">
        <f t="shared" ref="D67" si="10">D61+D65</f>
        <v>1169408.2037575098</v>
      </c>
      <c r="E67" s="295">
        <f>E61+(E63*1000000/29487.1582406855)+(E64*1000000/25364.5039539246)</f>
        <v>87321.078650865995</v>
      </c>
      <c r="F67" s="295">
        <f t="shared" ref="F67:H67" si="11">F61+(F63*1000000/29487.1582406855)+(F64*1000000/25364.5039539246)</f>
        <v>88863.407505670795</v>
      </c>
      <c r="G67" s="295">
        <f t="shared" si="11"/>
        <v>91583.042137427372</v>
      </c>
      <c r="H67" s="295">
        <f t="shared" si="11"/>
        <v>93548.51721464764</v>
      </c>
      <c r="I67" s="19">
        <f t="shared" ref="I67:P67" si="12">I61+I65</f>
        <v>0</v>
      </c>
      <c r="J67" s="19">
        <f t="shared" si="12"/>
        <v>0</v>
      </c>
      <c r="K67" s="19">
        <f t="shared" si="12"/>
        <v>0</v>
      </c>
      <c r="L67" s="19">
        <f t="shared" si="12"/>
        <v>0</v>
      </c>
      <c r="M67" s="19">
        <f t="shared" si="12"/>
        <v>0</v>
      </c>
      <c r="N67" s="19">
        <f t="shared" si="12"/>
        <v>0</v>
      </c>
      <c r="O67" s="19">
        <f t="shared" si="12"/>
        <v>0</v>
      </c>
      <c r="P67" s="19">
        <f t="shared" si="12"/>
        <v>0</v>
      </c>
      <c r="Q67" s="19"/>
    </row>
    <row r="68" spans="1:19" customFormat="1" x14ac:dyDescent="0.25">
      <c r="B68" s="270" t="s">
        <v>162</v>
      </c>
      <c r="C68" s="132">
        <f>C11+C29+C43+C49+C67</f>
        <v>597562.69408586598</v>
      </c>
      <c r="D68" s="132"/>
      <c r="E68" s="132">
        <f>E11+E29+E43+E49+E67</f>
        <v>337451.395890966</v>
      </c>
      <c r="F68" s="132">
        <f>F11+F29+F43+F49+F67</f>
        <v>348064.34903217736</v>
      </c>
      <c r="G68" s="132">
        <f>G11+G29+G43+G49+G67</f>
        <v>362224.661849169</v>
      </c>
      <c r="H68" s="132">
        <f>H11+H29+H43+H49+H67</f>
        <v>373701.30580497882</v>
      </c>
      <c r="I68" s="264"/>
    </row>
    <row r="69" spans="1:19" ht="13.8" thickBot="1" x14ac:dyDescent="0.3">
      <c r="A69" s="10"/>
      <c r="B69" s="10"/>
      <c r="C69" s="10"/>
      <c r="D69" s="10"/>
      <c r="E69" s="10"/>
      <c r="F69" s="10"/>
      <c r="G69" s="10"/>
      <c r="H69" s="10"/>
      <c r="I69" s="1003">
        <f>SUM(I8:I66)/2</f>
        <v>0</v>
      </c>
      <c r="J69" s="1003">
        <f>SUM(J8:J66)/2</f>
        <v>0</v>
      </c>
      <c r="K69" s="1003">
        <f>SUM(K8:K66)/2</f>
        <v>0</v>
      </c>
      <c r="L69" s="1003">
        <f>SUM(L8:L66)/2</f>
        <v>0</v>
      </c>
      <c r="M69" s="1003">
        <f>SUM(M8:M66)/2</f>
        <v>0</v>
      </c>
      <c r="N69" s="1003">
        <f t="shared" ref="N69:P69" si="13">SUM(N8:N66)/2</f>
        <v>0</v>
      </c>
      <c r="O69" s="1003">
        <f t="shared" si="13"/>
        <v>0</v>
      </c>
      <c r="P69" s="1003">
        <f t="shared" si="13"/>
        <v>0</v>
      </c>
      <c r="Q69" s="10"/>
      <c r="R69" s="10"/>
      <c r="S69" s="10"/>
    </row>
    <row r="70" spans="1:19" x14ac:dyDescent="0.25">
      <c r="A70" s="35" t="s">
        <v>23</v>
      </c>
      <c r="B70" s="36"/>
      <c r="C70" s="36"/>
      <c r="D70" s="36"/>
      <c r="E70" s="36"/>
      <c r="F70" s="36"/>
      <c r="G70" s="36"/>
      <c r="H70" s="36"/>
      <c r="I70" s="36"/>
      <c r="J70" s="36"/>
      <c r="K70" s="36"/>
      <c r="L70" s="36"/>
      <c r="M70" s="36"/>
      <c r="N70" s="36"/>
      <c r="O70" s="36"/>
      <c r="P70" s="36"/>
      <c r="Q70" s="36"/>
      <c r="R70" s="36"/>
    </row>
    <row r="71" spans="1:19" x14ac:dyDescent="0.25">
      <c r="A71" s="36"/>
      <c r="B71" s="36"/>
      <c r="C71" s="36"/>
      <c r="D71" s="36"/>
      <c r="E71" s="36"/>
      <c r="F71" s="36"/>
      <c r="G71" s="36"/>
      <c r="H71" s="36"/>
      <c r="I71" s="36"/>
      <c r="J71" s="36"/>
      <c r="K71" s="36"/>
      <c r="L71" s="36"/>
      <c r="M71" s="36"/>
      <c r="N71" s="36"/>
      <c r="O71" s="36"/>
      <c r="P71" s="36"/>
      <c r="Q71" s="36"/>
      <c r="R71" s="36"/>
    </row>
    <row r="72" spans="1:19" x14ac:dyDescent="0.25">
      <c r="A72" s="36"/>
      <c r="B72" s="36"/>
      <c r="C72" s="36"/>
      <c r="D72" s="36"/>
      <c r="E72" s="36"/>
      <c r="F72" s="36"/>
      <c r="G72" s="36"/>
      <c r="H72" s="36"/>
      <c r="I72" s="36"/>
      <c r="J72" s="36"/>
      <c r="K72" s="36"/>
      <c r="L72" s="36"/>
      <c r="M72" s="36"/>
      <c r="N72" s="36"/>
      <c r="O72" s="36"/>
      <c r="P72" s="36"/>
      <c r="Q72" s="36"/>
      <c r="R72" s="36"/>
    </row>
    <row r="73" spans="1:19" ht="26.4" x14ac:dyDescent="0.25">
      <c r="A73" s="37" t="s">
        <v>1037</v>
      </c>
      <c r="B73" s="454" t="s">
        <v>297</v>
      </c>
      <c r="C73" s="37" t="s">
        <v>1042</v>
      </c>
      <c r="D73" s="37" t="s">
        <v>1041</v>
      </c>
      <c r="E73" s="36" t="s">
        <v>598</v>
      </c>
      <c r="F73" s="38"/>
      <c r="G73" s="38"/>
      <c r="H73" s="36"/>
      <c r="I73" s="36"/>
      <c r="J73" s="36"/>
      <c r="K73" s="36"/>
      <c r="L73" s="36"/>
      <c r="M73" s="36"/>
      <c r="N73" s="36"/>
      <c r="O73" s="36"/>
      <c r="P73" s="36"/>
      <c r="Q73" s="36"/>
      <c r="R73" s="36"/>
    </row>
    <row r="74" spans="1:19" x14ac:dyDescent="0.25">
      <c r="A74" s="39" t="s">
        <v>519</v>
      </c>
      <c r="B74" s="21">
        <v>90</v>
      </c>
      <c r="C74" s="40">
        <f>'Biomass Data Assumptions'!B38*B74</f>
        <v>5877</v>
      </c>
      <c r="D74" s="40">
        <f>(C74*'Biomass Data Assumptions'!C38)/2000</f>
        <v>164.55600000000001</v>
      </c>
      <c r="E74" s="41"/>
      <c r="F74" s="41"/>
      <c r="G74" s="41"/>
      <c r="H74" s="36"/>
      <c r="I74" s="36"/>
      <c r="J74" s="36"/>
      <c r="K74" s="36"/>
      <c r="L74" s="36"/>
      <c r="M74" s="36"/>
      <c r="N74" s="36"/>
      <c r="O74" s="36"/>
      <c r="P74" s="36"/>
      <c r="Q74" s="36"/>
      <c r="R74" s="36"/>
    </row>
    <row r="75" spans="1:19" x14ac:dyDescent="0.25">
      <c r="A75" s="39" t="s">
        <v>520</v>
      </c>
      <c r="B75" s="21">
        <v>623</v>
      </c>
      <c r="C75" s="40">
        <f>'Biomass Data Assumptions'!B39*B75</f>
        <v>17007.900000000001</v>
      </c>
      <c r="D75" s="40">
        <f>(C75*'Biomass Data Assumptions'!C39)/2000</f>
        <v>476.22120000000007</v>
      </c>
      <c r="E75" s="41"/>
      <c r="F75" s="41"/>
      <c r="G75" s="41"/>
      <c r="H75" s="36"/>
      <c r="I75" s="36"/>
      <c r="J75" s="36"/>
      <c r="K75" s="36"/>
      <c r="L75" s="36"/>
      <c r="M75" s="36"/>
      <c r="N75" s="36"/>
      <c r="O75" s="36"/>
      <c r="P75" s="36"/>
      <c r="Q75" s="36"/>
      <c r="R75" s="36"/>
    </row>
    <row r="76" spans="1:19" x14ac:dyDescent="0.25">
      <c r="A76" s="39" t="s">
        <v>521</v>
      </c>
      <c r="B76" s="21">
        <v>2484</v>
      </c>
      <c r="C76" s="40">
        <f>'Biomass Data Assumptions'!B40*B76</f>
        <v>310500</v>
      </c>
      <c r="D76" s="40">
        <f>(C76*'Biomass Data Assumptions'!C40)/2000</f>
        <v>8694</v>
      </c>
      <c r="E76" s="41"/>
      <c r="F76" s="41"/>
      <c r="G76" s="41"/>
      <c r="H76" s="36"/>
      <c r="I76" s="36"/>
      <c r="J76" s="36"/>
      <c r="K76" s="36"/>
      <c r="L76" s="36"/>
      <c r="M76" s="36"/>
      <c r="N76" s="36"/>
      <c r="O76" s="36"/>
      <c r="P76" s="36"/>
      <c r="Q76" s="36"/>
      <c r="R76" s="36"/>
    </row>
    <row r="77" spans="1:19" x14ac:dyDescent="0.25">
      <c r="A77" s="39" t="s">
        <v>525</v>
      </c>
      <c r="B77" s="21">
        <v>3636</v>
      </c>
      <c r="C77" s="40">
        <f>'Biomass Data Assumptions'!B41*B77</f>
        <v>116352</v>
      </c>
      <c r="D77" s="40">
        <f>(C77*'Biomass Data Assumptions'!C41)/2000</f>
        <v>3490.56</v>
      </c>
      <c r="E77" s="41"/>
      <c r="F77" s="41"/>
      <c r="G77" s="41"/>
      <c r="H77" s="36"/>
      <c r="I77" s="36"/>
      <c r="J77" s="36"/>
      <c r="K77" s="36"/>
      <c r="L77" s="36"/>
      <c r="M77" s="36"/>
      <c r="N77" s="36"/>
      <c r="O77" s="36"/>
      <c r="P77" s="36"/>
      <c r="Q77" s="36"/>
      <c r="R77" s="36"/>
    </row>
    <row r="78" spans="1:19" x14ac:dyDescent="0.25">
      <c r="A78" s="39" t="s">
        <v>522</v>
      </c>
      <c r="B78" s="21">
        <v>110</v>
      </c>
      <c r="C78" s="40">
        <f>'Biomass Data Assumptions'!B42*B78</f>
        <v>5940</v>
      </c>
      <c r="D78" s="40">
        <f>(C78*'Biomass Data Assumptions'!C42)/2000</f>
        <v>178.2</v>
      </c>
      <c r="E78" s="41"/>
      <c r="F78" s="41"/>
      <c r="G78" s="41"/>
      <c r="H78" s="36"/>
      <c r="I78" s="36"/>
      <c r="J78" s="36"/>
      <c r="K78" s="36"/>
      <c r="L78" s="36"/>
      <c r="M78" s="36"/>
      <c r="N78" s="36"/>
      <c r="O78" s="36"/>
      <c r="P78" s="36"/>
      <c r="Q78" s="36"/>
      <c r="R78" s="36"/>
    </row>
    <row r="79" spans="1:19" x14ac:dyDescent="0.25">
      <c r="A79" s="36"/>
      <c r="B79" s="36"/>
      <c r="C79" s="36"/>
      <c r="D79" s="36"/>
      <c r="E79" s="36"/>
      <c r="F79" s="36"/>
      <c r="G79" s="36"/>
      <c r="H79" s="36"/>
      <c r="I79" s="36"/>
      <c r="J79" s="36"/>
      <c r="K79" s="36"/>
      <c r="L79" s="36"/>
      <c r="M79" s="36"/>
      <c r="N79" s="36"/>
      <c r="O79" s="36"/>
      <c r="P79" s="36"/>
      <c r="Q79" s="36"/>
      <c r="R79" s="36"/>
    </row>
    <row r="80" spans="1:19" ht="39.6" x14ac:dyDescent="0.25">
      <c r="A80" s="37" t="s">
        <v>1038</v>
      </c>
      <c r="B80" s="454" t="s">
        <v>297</v>
      </c>
      <c r="C80" s="37" t="s">
        <v>1041</v>
      </c>
      <c r="D80" s="37" t="s">
        <v>1036</v>
      </c>
      <c r="E80" s="36" t="s">
        <v>598</v>
      </c>
      <c r="F80" s="38"/>
      <c r="G80" s="38"/>
      <c r="H80" s="36"/>
      <c r="I80" s="36"/>
      <c r="J80" s="36"/>
      <c r="K80" s="36"/>
      <c r="L80" s="36"/>
      <c r="M80" s="36"/>
      <c r="N80" s="36"/>
      <c r="O80" s="36"/>
      <c r="P80" s="36"/>
      <c r="Q80" s="36"/>
      <c r="R80" s="36"/>
    </row>
    <row r="81" spans="1:18" x14ac:dyDescent="0.25">
      <c r="A81" s="39" t="s">
        <v>527</v>
      </c>
      <c r="B81" s="21">
        <v>258</v>
      </c>
      <c r="C81" s="40">
        <f>'Biomass Data Assumptions'!B49*B81</f>
        <v>258</v>
      </c>
      <c r="D81" s="40">
        <f>C81*'Energy Content Assumptions'!C11</f>
        <v>219.29999999999998</v>
      </c>
      <c r="E81" s="41"/>
      <c r="F81" s="41"/>
      <c r="G81" s="41"/>
      <c r="H81" s="36"/>
      <c r="I81" s="36"/>
      <c r="J81" s="36"/>
      <c r="K81" s="36"/>
      <c r="L81" s="36"/>
      <c r="M81" s="36"/>
      <c r="N81" s="36"/>
      <c r="O81" s="36"/>
      <c r="P81" s="36"/>
      <c r="Q81" s="36"/>
      <c r="R81" s="36"/>
    </row>
    <row r="82" spans="1:18" x14ac:dyDescent="0.25">
      <c r="A82" s="39" t="s">
        <v>520</v>
      </c>
      <c r="B82" s="21">
        <f>623+156</f>
        <v>779</v>
      </c>
      <c r="C82" s="40">
        <f>'Biomass Data Assumptions'!B50*B82</f>
        <v>1752.75</v>
      </c>
      <c r="D82" s="40">
        <f>C82*'Energy Content Assumptions'!C12</f>
        <v>1489.8374999999999</v>
      </c>
      <c r="E82" s="41"/>
      <c r="F82" s="41"/>
      <c r="G82" s="41"/>
      <c r="H82" s="36"/>
      <c r="I82" s="36"/>
      <c r="J82" s="36"/>
      <c r="K82" s="36"/>
      <c r="L82" s="36"/>
      <c r="M82" s="36"/>
      <c r="N82" s="36"/>
      <c r="O82" s="36"/>
      <c r="P82" s="36"/>
      <c r="Q82" s="36"/>
      <c r="R82" s="36"/>
    </row>
    <row r="83" spans="1:18" x14ac:dyDescent="0.25">
      <c r="A83" s="39" t="s">
        <v>521</v>
      </c>
      <c r="B83" s="21">
        <v>2484</v>
      </c>
      <c r="C83" s="40">
        <f>'Biomass Data Assumptions'!B51*B83</f>
        <v>6210</v>
      </c>
      <c r="D83" s="40">
        <f>C83*'Energy Content Assumptions'!C13</f>
        <v>5278.5</v>
      </c>
      <c r="E83" s="41"/>
      <c r="F83" s="41"/>
      <c r="G83" s="41"/>
      <c r="H83" s="36"/>
      <c r="I83" s="36"/>
      <c r="J83" s="36"/>
      <c r="K83" s="36"/>
      <c r="L83" s="36"/>
      <c r="M83" s="36"/>
      <c r="N83" s="36"/>
      <c r="O83" s="36"/>
      <c r="P83" s="36"/>
      <c r="Q83" s="36"/>
      <c r="R83" s="36"/>
    </row>
    <row r="84" spans="1:18" x14ac:dyDescent="0.25">
      <c r="A84" s="39" t="s">
        <v>528</v>
      </c>
      <c r="B84" s="21">
        <v>188</v>
      </c>
      <c r="C84" s="40">
        <f>'Biomass Data Assumptions'!B52*B84</f>
        <v>3083.2</v>
      </c>
      <c r="D84" s="40">
        <f>C84*'Energy Content Assumptions'!C14</f>
        <v>1079.1199999999999</v>
      </c>
      <c r="E84" s="41"/>
      <c r="F84" s="41"/>
      <c r="G84" s="41"/>
      <c r="H84" s="36"/>
      <c r="I84" s="36"/>
      <c r="J84" s="36"/>
      <c r="K84" s="36"/>
      <c r="L84" s="36"/>
      <c r="M84" s="36"/>
      <c r="N84" s="36"/>
      <c r="O84" s="36"/>
      <c r="P84" s="36"/>
      <c r="Q84" s="36"/>
      <c r="R84" s="36"/>
    </row>
    <row r="85" spans="1:18" x14ac:dyDescent="0.25">
      <c r="A85" s="39" t="s">
        <v>529</v>
      </c>
      <c r="B85" s="21">
        <v>175</v>
      </c>
      <c r="C85" s="40">
        <f>'Biomass Data Assumptions'!B53*B85</f>
        <v>560</v>
      </c>
      <c r="D85" s="40">
        <f>C85*'Energy Content Assumptions'!C15</f>
        <v>476</v>
      </c>
      <c r="E85" s="41"/>
      <c r="F85" s="41"/>
      <c r="G85" s="41"/>
      <c r="H85" s="36"/>
      <c r="I85" s="36"/>
      <c r="J85" s="36"/>
      <c r="K85" s="36"/>
      <c r="L85" s="36"/>
      <c r="M85" s="36"/>
      <c r="N85" s="36"/>
      <c r="O85" s="36"/>
      <c r="P85" s="36"/>
      <c r="Q85" s="36"/>
      <c r="R85" s="36"/>
    </row>
    <row r="86" spans="1:18" x14ac:dyDescent="0.25">
      <c r="A86" s="39" t="s">
        <v>530</v>
      </c>
      <c r="B86" s="21">
        <v>638</v>
      </c>
      <c r="C86" s="40">
        <f>'Biomass Data Assumptions'!B54*B86</f>
        <v>1084.5999999999999</v>
      </c>
      <c r="D86" s="40">
        <f>C86*'Energy Content Assumptions'!C16</f>
        <v>921.90999999999985</v>
      </c>
      <c r="E86" s="41"/>
      <c r="F86" s="41"/>
      <c r="G86" s="41"/>
      <c r="H86" s="36"/>
      <c r="I86" s="36"/>
      <c r="J86" s="36"/>
      <c r="K86" s="36"/>
      <c r="L86" s="36"/>
      <c r="M86" s="36"/>
      <c r="N86" s="36"/>
      <c r="O86" s="36"/>
      <c r="P86" s="36"/>
      <c r="Q86" s="36"/>
      <c r="R86" s="36"/>
    </row>
    <row r="87" spans="1:18" x14ac:dyDescent="0.25">
      <c r="A87" s="39" t="s">
        <v>522</v>
      </c>
      <c r="B87" s="21">
        <f>110+5</f>
        <v>115</v>
      </c>
      <c r="C87" s="40">
        <f>'Biomass Data Assumptions'!B55*B87</f>
        <v>201.25</v>
      </c>
      <c r="D87" s="40">
        <f>C87*'Energy Content Assumptions'!C17</f>
        <v>171.0625</v>
      </c>
      <c r="E87" s="41"/>
      <c r="F87" s="41"/>
      <c r="G87" s="41"/>
      <c r="H87" s="36"/>
      <c r="I87" s="36"/>
      <c r="J87" s="36"/>
      <c r="K87" s="36"/>
      <c r="L87" s="36"/>
      <c r="M87" s="36"/>
      <c r="N87" s="36"/>
      <c r="O87" s="36"/>
      <c r="P87" s="36"/>
      <c r="Q87" s="36"/>
      <c r="R87" s="36"/>
    </row>
    <row r="88" spans="1:18" x14ac:dyDescent="0.25">
      <c r="A88" s="43"/>
      <c r="B88" s="41"/>
      <c r="C88" s="41"/>
      <c r="D88" s="41"/>
      <c r="E88" s="41"/>
      <c r="F88" s="41"/>
      <c r="G88" s="41"/>
      <c r="H88" s="36"/>
      <c r="I88" s="36"/>
      <c r="J88" s="36"/>
      <c r="K88" s="36"/>
      <c r="L88" s="36"/>
      <c r="M88" s="36"/>
      <c r="N88" s="36"/>
      <c r="O88" s="36"/>
      <c r="P88" s="36"/>
      <c r="Q88" s="36"/>
      <c r="R88" s="36"/>
    </row>
    <row r="89" spans="1:18" x14ac:dyDescent="0.25">
      <c r="A89" s="43"/>
      <c r="B89" s="640" t="s">
        <v>297</v>
      </c>
      <c r="C89" s="122" t="s">
        <v>299</v>
      </c>
      <c r="D89" s="122" t="s">
        <v>300</v>
      </c>
      <c r="E89" s="41"/>
      <c r="F89" s="41"/>
      <c r="G89" s="41"/>
      <c r="H89" s="36"/>
      <c r="I89" s="36"/>
      <c r="J89" s="36"/>
      <c r="K89" s="36"/>
      <c r="L89" s="36"/>
      <c r="M89" s="36"/>
      <c r="N89" s="36"/>
      <c r="O89" s="36"/>
      <c r="P89" s="36"/>
      <c r="Q89" s="36"/>
      <c r="R89" s="36"/>
    </row>
    <row r="90" spans="1:18" x14ac:dyDescent="0.25">
      <c r="A90" s="43" t="s">
        <v>296</v>
      </c>
      <c r="B90" s="85">
        <f>IF('Prac. Rec. Assumptions'!B56='Prac. Rec. Assumptions'!V3,0,SUM(IF('Prac. Rec. Assumptions'!B57="Yes",B74,0),IF('Prac. Rec. Assumptions'!B58="Yes",B81,0),IF('Prac. Rec. Assumptions'!B59="Yes",B82,0),IF('Prac. Rec. Assumptions'!B60="Yes",B83,0),IF('Prac. Rec. Assumptions'!B61="Yes",B84,0),IF('Prac. Rec. Assumptions'!B62="Yes",B85,0),IF('Prac. Rec. Assumptions'!B63="Yes",B86,0),IF('Prac. Rec. Assumptions'!B64="Yes",B87,0)))</f>
        <v>0</v>
      </c>
      <c r="C90" s="41">
        <f>IF('Prac. Rec. Assumptions'!B56='Prac. Rec. Assumptions'!V1,'Biomass Data Assumptions'!C46,IF('Prac. Rec. Assumptions'!B56='Prac. Rec. Assumptions'!V2,'Biomass Data Assumptions'!C45,0))</f>
        <v>0</v>
      </c>
      <c r="D90" s="41">
        <f>(C90*'Energy Content Assumptions'!C9)*B90</f>
        <v>0</v>
      </c>
      <c r="E90" s="41"/>
      <c r="F90" s="41"/>
      <c r="G90" s="41"/>
      <c r="H90" s="36"/>
      <c r="I90" s="36"/>
      <c r="J90" s="36"/>
      <c r="K90" s="36"/>
      <c r="L90" s="36"/>
      <c r="M90" s="36"/>
      <c r="N90" s="36"/>
      <c r="O90" s="36"/>
      <c r="P90" s="36"/>
      <c r="Q90" s="36"/>
      <c r="R90" s="36"/>
    </row>
    <row r="91" spans="1:18" x14ac:dyDescent="0.25">
      <c r="A91" s="36"/>
      <c r="B91" s="36"/>
      <c r="C91" s="36"/>
      <c r="D91" s="36"/>
      <c r="E91" s="36"/>
      <c r="F91" s="36"/>
      <c r="G91" s="36"/>
      <c r="H91" s="36"/>
      <c r="I91" s="36"/>
      <c r="J91" s="36"/>
      <c r="K91" s="36"/>
      <c r="L91" s="36"/>
      <c r="M91" s="36"/>
      <c r="N91" s="36"/>
      <c r="O91" s="36"/>
      <c r="P91" s="36"/>
      <c r="Q91" s="36"/>
      <c r="R91" s="36"/>
    </row>
    <row r="92" spans="1:18" ht="39.6" x14ac:dyDescent="0.25">
      <c r="A92" s="42" t="s">
        <v>531</v>
      </c>
      <c r="B92" s="455" t="s">
        <v>298</v>
      </c>
      <c r="C92" s="38" t="s">
        <v>1050</v>
      </c>
      <c r="D92" s="38" t="s">
        <v>1045</v>
      </c>
      <c r="E92" s="38" t="s">
        <v>1048</v>
      </c>
      <c r="F92" s="38" t="s">
        <v>1047</v>
      </c>
      <c r="G92" s="38" t="s">
        <v>1046</v>
      </c>
      <c r="H92" s="36" t="s">
        <v>599</v>
      </c>
      <c r="I92" s="36"/>
      <c r="J92" s="38"/>
      <c r="K92" s="38"/>
      <c r="L92" s="38"/>
      <c r="M92" s="38"/>
      <c r="N92" s="36"/>
      <c r="O92" s="36"/>
      <c r="P92" s="36"/>
      <c r="Q92" s="36"/>
      <c r="R92" s="36"/>
    </row>
    <row r="93" spans="1:18" x14ac:dyDescent="0.25">
      <c r="A93" s="42"/>
      <c r="B93" s="38"/>
      <c r="C93" s="38"/>
      <c r="D93" s="38"/>
      <c r="E93" s="38"/>
      <c r="F93" s="36"/>
      <c r="G93" s="36"/>
      <c r="H93" s="36"/>
      <c r="I93" s="36"/>
      <c r="J93" s="38"/>
      <c r="K93" s="38"/>
      <c r="L93" s="38"/>
      <c r="M93" s="38"/>
      <c r="N93" s="36"/>
      <c r="O93" s="36"/>
      <c r="P93" s="36"/>
      <c r="Q93" s="36"/>
      <c r="R93" s="36"/>
    </row>
    <row r="94" spans="1:18" ht="11.25" customHeight="1" x14ac:dyDescent="0.25">
      <c r="A94" s="43"/>
      <c r="B94" s="36"/>
      <c r="C94" s="41"/>
      <c r="D94" s="41"/>
      <c r="E94" s="44"/>
      <c r="F94" s="36"/>
      <c r="G94" s="36"/>
      <c r="H94" s="36"/>
      <c r="I94" s="36"/>
      <c r="J94" s="44"/>
      <c r="K94" s="44"/>
      <c r="L94" s="44"/>
      <c r="M94" s="44"/>
      <c r="N94" s="36"/>
      <c r="O94" s="36"/>
      <c r="P94" s="36"/>
      <c r="Q94" s="36"/>
      <c r="R94" s="36"/>
    </row>
    <row r="95" spans="1:18" hidden="1" x14ac:dyDescent="0.25">
      <c r="A95" s="45"/>
      <c r="B95" s="85"/>
      <c r="C95" s="41"/>
      <c r="D95" s="41"/>
      <c r="E95" s="41"/>
      <c r="F95" s="41"/>
      <c r="G95" s="41"/>
      <c r="H95" s="36"/>
      <c r="I95" s="36"/>
      <c r="J95" s="41"/>
      <c r="K95" s="41"/>
      <c r="L95" s="41"/>
      <c r="M95" s="41"/>
      <c r="N95" s="36"/>
      <c r="O95" s="36"/>
      <c r="P95" s="36"/>
      <c r="Q95" s="36"/>
      <c r="R95" s="36"/>
    </row>
    <row r="96" spans="1:18" hidden="1" x14ac:dyDescent="0.25">
      <c r="A96" s="45"/>
      <c r="B96" s="85"/>
      <c r="C96" s="41"/>
      <c r="D96" s="41"/>
      <c r="E96" s="41"/>
      <c r="F96" s="41"/>
      <c r="G96" s="41"/>
      <c r="H96" s="36"/>
      <c r="I96" s="36"/>
      <c r="J96" s="41"/>
      <c r="K96" s="41"/>
      <c r="L96" s="41"/>
      <c r="M96" s="41"/>
      <c r="N96" s="36"/>
      <c r="O96" s="36"/>
      <c r="P96" s="36"/>
      <c r="Q96" s="36"/>
      <c r="R96" s="36"/>
    </row>
    <row r="97" spans="1:18" x14ac:dyDescent="0.25">
      <c r="A97" s="467" t="s">
        <v>535</v>
      </c>
      <c r="B97" s="85">
        <v>129</v>
      </c>
      <c r="C97" s="41">
        <f>ROUND('Biomass Data Assumptions'!$B$60/1000*B97,0)</f>
        <v>129</v>
      </c>
      <c r="D97" s="41">
        <f>'Biomass Data Assumptions'!$C$60*C97</f>
        <v>4331820</v>
      </c>
      <c r="E97" s="41">
        <f>('Biomass Data Assumptions'!$D$60*'Energy Content Assumptions'!$C$44*D97)/2000</f>
        <v>51.981840000000005</v>
      </c>
      <c r="F97" s="41">
        <f>('Biomass Data Assumptions'!$E$60*B97*365)/2000</f>
        <v>94.17</v>
      </c>
      <c r="G97" s="41">
        <f>F97+E97</f>
        <v>146.15183999999999</v>
      </c>
      <c r="H97" s="36"/>
      <c r="I97" s="36"/>
      <c r="J97" s="41"/>
      <c r="K97" s="41"/>
      <c r="L97" s="41"/>
      <c r="M97" s="41"/>
      <c r="N97" s="36"/>
      <c r="O97" s="36"/>
      <c r="P97" s="36"/>
      <c r="Q97" s="36"/>
      <c r="R97" s="36"/>
    </row>
    <row r="98" spans="1:18" x14ac:dyDescent="0.25">
      <c r="A98" s="46"/>
      <c r="B98" s="41"/>
      <c r="C98" s="41"/>
      <c r="D98" s="41"/>
      <c r="E98" s="41"/>
      <c r="F98" s="41"/>
      <c r="G98" s="41"/>
      <c r="H98" s="36"/>
      <c r="I98" s="36"/>
      <c r="J98" s="41"/>
      <c r="K98" s="41"/>
      <c r="L98" s="41"/>
      <c r="M98" s="41"/>
      <c r="N98" s="36"/>
      <c r="O98" s="36"/>
      <c r="P98" s="36"/>
      <c r="Q98" s="36"/>
      <c r="R98" s="36"/>
    </row>
    <row r="99" spans="1:18" x14ac:dyDescent="0.25">
      <c r="A99" s="43" t="s">
        <v>539</v>
      </c>
      <c r="B99" s="47"/>
      <c r="C99" s="41"/>
      <c r="D99" s="41"/>
      <c r="E99" s="41"/>
      <c r="F99" s="41"/>
      <c r="G99" s="41"/>
      <c r="H99" s="36"/>
      <c r="I99" s="36"/>
      <c r="J99" s="41"/>
      <c r="K99" s="41"/>
      <c r="L99" s="41"/>
      <c r="M99" s="41"/>
      <c r="N99" s="36"/>
      <c r="O99" s="36"/>
      <c r="P99" s="36"/>
      <c r="Q99" s="36"/>
      <c r="R99" s="36"/>
    </row>
    <row r="100" spans="1:18" x14ac:dyDescent="0.25">
      <c r="A100" s="460" t="s">
        <v>603</v>
      </c>
      <c r="B100" s="85">
        <v>3</v>
      </c>
      <c r="C100" s="41">
        <f>ROUND('Biomass Data Assumptions'!B62/1000*B100,0)</f>
        <v>1</v>
      </c>
      <c r="D100" s="41">
        <f>'Biomass Data Assumptions'!C62*C100</f>
        <v>29200</v>
      </c>
      <c r="E100" s="41">
        <f>('Biomass Data Assumptions'!D62*'Energy Content Assumptions'!C46*D100)/2000</f>
        <v>1.3140000000000001</v>
      </c>
      <c r="F100" s="41">
        <f>('Biomass Data Assumptions'!E62*B100*365)/2000</f>
        <v>2.7374999999999998</v>
      </c>
      <c r="G100" s="41">
        <f>F100+E100</f>
        <v>4.0514999999999999</v>
      </c>
      <c r="H100" s="36"/>
      <c r="I100" s="36"/>
      <c r="J100" s="41"/>
      <c r="K100" s="41"/>
      <c r="L100" s="41"/>
      <c r="M100" s="41"/>
      <c r="N100" s="36"/>
      <c r="O100" s="36"/>
      <c r="P100" s="36"/>
      <c r="Q100" s="36"/>
      <c r="R100" s="36"/>
    </row>
    <row r="101" spans="1:18" ht="0.75" customHeight="1" x14ac:dyDescent="0.25">
      <c r="A101" s="45"/>
      <c r="B101" s="85"/>
      <c r="C101" s="41"/>
      <c r="D101" s="41"/>
      <c r="E101" s="41"/>
      <c r="F101" s="41"/>
      <c r="G101" s="41"/>
      <c r="H101" s="36"/>
      <c r="I101" s="36"/>
      <c r="J101" s="41"/>
      <c r="K101" s="41"/>
      <c r="L101" s="41"/>
      <c r="M101" s="41"/>
      <c r="N101" s="36"/>
      <c r="O101" s="36"/>
      <c r="P101" s="36"/>
      <c r="Q101" s="36"/>
      <c r="R101" s="36"/>
    </row>
    <row r="102" spans="1:18" ht="11.25" customHeight="1" x14ac:dyDescent="0.25">
      <c r="A102" s="460" t="s">
        <v>604</v>
      </c>
      <c r="B102" s="85">
        <v>6</v>
      </c>
      <c r="C102" s="41">
        <f>ROUND('Biomass Data Assumptions'!B64/1000*B102,0)</f>
        <v>8</v>
      </c>
      <c r="D102" s="41">
        <f>'Biomass Data Assumptions'!C64*C102</f>
        <v>324120</v>
      </c>
      <c r="E102" s="41">
        <f>('Biomass Data Assumptions'!D64*'Energy Content Assumptions'!C48*D102)/2000</f>
        <v>14.5854</v>
      </c>
      <c r="F102" s="41">
        <f>'Biomass Data Assumptions'!E64*B102*365/2000</f>
        <v>10.95</v>
      </c>
      <c r="G102" s="41">
        <f>F102+E102</f>
        <v>25.535399999999999</v>
      </c>
      <c r="H102" s="36"/>
      <c r="I102" s="36"/>
      <c r="J102" s="41"/>
      <c r="K102" s="41"/>
      <c r="L102" s="41"/>
      <c r="M102" s="41"/>
      <c r="N102" s="36"/>
      <c r="O102" s="36"/>
      <c r="P102" s="36"/>
      <c r="Q102" s="36"/>
      <c r="R102" s="36"/>
    </row>
    <row r="103" spans="1:18" hidden="1" x14ac:dyDescent="0.25">
      <c r="A103" s="45"/>
      <c r="B103" s="85"/>
      <c r="C103" s="41"/>
      <c r="D103" s="41"/>
      <c r="E103" s="41"/>
      <c r="F103" s="41"/>
      <c r="G103" s="41"/>
      <c r="H103" s="36"/>
      <c r="I103" s="36"/>
      <c r="J103" s="41"/>
      <c r="K103" s="41"/>
      <c r="L103" s="41"/>
      <c r="M103" s="41"/>
      <c r="N103" s="36"/>
      <c r="O103" s="36"/>
      <c r="P103" s="36"/>
      <c r="Q103" s="36"/>
      <c r="R103" s="36"/>
    </row>
    <row r="104" spans="1:18" x14ac:dyDescent="0.25">
      <c r="A104" s="467" t="s">
        <v>544</v>
      </c>
      <c r="B104" s="85">
        <v>9</v>
      </c>
      <c r="C104" s="41">
        <f>SUM(C100:C103)</f>
        <v>9</v>
      </c>
      <c r="D104" s="41">
        <f>SUM(D100:D103)</f>
        <v>353320</v>
      </c>
      <c r="E104" s="41">
        <f>SUM(E100:E103)</f>
        <v>15.8994</v>
      </c>
      <c r="F104" s="41">
        <f>SUM(F100:F103)</f>
        <v>13.6875</v>
      </c>
      <c r="G104" s="41">
        <f>SUM(G100:G103)</f>
        <v>29.5869</v>
      </c>
      <c r="H104" s="36"/>
      <c r="I104" s="36"/>
      <c r="J104" s="41"/>
      <c r="K104" s="41"/>
      <c r="L104" s="41"/>
      <c r="M104" s="41"/>
      <c r="N104" s="36"/>
      <c r="O104" s="36"/>
      <c r="P104" s="36"/>
      <c r="Q104" s="36"/>
      <c r="R104" s="36"/>
    </row>
    <row r="105" spans="1:18" x14ac:dyDescent="0.25">
      <c r="A105" s="46"/>
      <c r="B105" s="41"/>
      <c r="C105" s="41"/>
      <c r="D105" s="41"/>
      <c r="E105" s="41"/>
      <c r="F105" s="41"/>
      <c r="G105" s="41"/>
      <c r="H105" s="36"/>
      <c r="I105" s="36"/>
      <c r="J105" s="41"/>
      <c r="K105" s="41"/>
      <c r="L105" s="41"/>
      <c r="M105" s="41"/>
      <c r="N105" s="36"/>
      <c r="O105" s="36"/>
      <c r="P105" s="36"/>
      <c r="Q105" s="36"/>
      <c r="R105" s="36"/>
    </row>
    <row r="106" spans="1:18" x14ac:dyDescent="0.25">
      <c r="A106" s="43" t="s">
        <v>545</v>
      </c>
      <c r="B106" s="85">
        <v>547</v>
      </c>
      <c r="C106" s="41">
        <f>ROUND('Biomass Data Assumptions'!B66/1000*B106,0)</f>
        <v>547</v>
      </c>
      <c r="D106" s="41">
        <f>'Biomass Data Assumptions'!C66*C106</f>
        <v>11080852.5</v>
      </c>
      <c r="E106" s="41">
        <f>('Biomass Data Assumptions'!D66*'Energy Content Assumptions'!C50*D106)/2000</f>
        <v>387.8298375</v>
      </c>
      <c r="F106" s="41">
        <f>'Biomass Data Assumptions'!E66*B106*365/2000</f>
        <v>1497.4124999999999</v>
      </c>
      <c r="G106" s="41">
        <f>F106+E106</f>
        <v>1885.2423374999998</v>
      </c>
      <c r="H106" s="36"/>
      <c r="I106" s="36"/>
      <c r="J106" s="41"/>
      <c r="K106" s="41"/>
      <c r="L106" s="41"/>
      <c r="M106" s="41"/>
      <c r="N106" s="36"/>
      <c r="O106" s="36"/>
      <c r="P106" s="36"/>
      <c r="Q106" s="36"/>
      <c r="R106" s="36"/>
    </row>
    <row r="107" spans="1:18" x14ac:dyDescent="0.25">
      <c r="A107" s="43"/>
      <c r="B107" s="41"/>
      <c r="C107" s="41"/>
      <c r="D107" s="41"/>
      <c r="E107" s="41"/>
      <c r="F107" s="41"/>
      <c r="G107" s="41"/>
      <c r="H107" s="36"/>
      <c r="I107" s="36"/>
      <c r="J107" s="41"/>
      <c r="K107" s="41"/>
      <c r="L107" s="41"/>
      <c r="M107" s="41"/>
      <c r="N107" s="36"/>
      <c r="O107" s="36"/>
      <c r="P107" s="36"/>
      <c r="Q107" s="36"/>
      <c r="R107" s="36"/>
    </row>
    <row r="108" spans="1:18" x14ac:dyDescent="0.25">
      <c r="A108" s="43" t="s">
        <v>546</v>
      </c>
      <c r="B108" s="85">
        <v>289</v>
      </c>
      <c r="C108" s="41">
        <f>ROUND('Biomass Data Assumptions'!B67/1000*B108,0)</f>
        <v>29</v>
      </c>
      <c r="D108" s="41">
        <f>'Biomass Data Assumptions'!C67*C108</f>
        <v>433985</v>
      </c>
      <c r="E108" s="41">
        <f>('Biomass Data Assumptions'!D67*'Energy Content Assumptions'!C51*D108)/2000</f>
        <v>10.849625</v>
      </c>
      <c r="F108" s="41">
        <f>'Biomass Data Assumptions'!E67*B108*365/2000</f>
        <v>52.7425</v>
      </c>
      <c r="G108" s="41">
        <f>F108+E108</f>
        <v>63.592124999999996</v>
      </c>
      <c r="H108" s="36"/>
      <c r="I108" s="36"/>
      <c r="J108" s="41"/>
      <c r="K108" s="41"/>
      <c r="L108" s="41"/>
      <c r="M108" s="41"/>
      <c r="N108" s="36"/>
      <c r="O108" s="36"/>
      <c r="P108" s="36"/>
      <c r="Q108" s="36"/>
      <c r="R108" s="36"/>
    </row>
    <row r="109" spans="1:18" x14ac:dyDescent="0.25">
      <c r="A109" s="43"/>
      <c r="B109" s="41"/>
      <c r="C109" s="41"/>
      <c r="D109" s="41"/>
      <c r="E109" s="41"/>
      <c r="F109" s="41"/>
      <c r="G109" s="41"/>
      <c r="H109" s="36"/>
      <c r="I109" s="36"/>
      <c r="J109" s="41"/>
      <c r="K109" s="41"/>
      <c r="L109" s="41"/>
      <c r="M109" s="41"/>
      <c r="N109" s="36"/>
      <c r="O109" s="36"/>
      <c r="P109" s="36"/>
      <c r="Q109" s="36"/>
      <c r="R109" s="36"/>
    </row>
    <row r="110" spans="1:18" x14ac:dyDescent="0.25">
      <c r="A110" s="43" t="s">
        <v>547</v>
      </c>
      <c r="B110" s="85">
        <v>382</v>
      </c>
      <c r="C110" s="41">
        <f>ROUND('Biomass Data Assumptions'!B68/1000*B110,0)</f>
        <v>38</v>
      </c>
      <c r="D110" s="41">
        <f>'Biomass Data Assumptions'!C68*C110</f>
        <v>568670</v>
      </c>
      <c r="E110" s="41">
        <f>('Biomass Data Assumptions'!D68*'Energy Content Assumptions'!C52*D110)/2000</f>
        <v>14.216749999999999</v>
      </c>
      <c r="F110" s="41">
        <f>'Biomass Data Assumptions'!E68*B110*365/2000</f>
        <v>69.715000000000003</v>
      </c>
      <c r="G110" s="41">
        <f>F110+E110</f>
        <v>83.931750000000008</v>
      </c>
      <c r="H110" s="36"/>
      <c r="I110" s="36"/>
      <c r="J110" s="41"/>
      <c r="K110" s="41"/>
      <c r="L110" s="41"/>
      <c r="M110" s="41"/>
      <c r="N110" s="36"/>
      <c r="O110" s="36"/>
      <c r="P110" s="36"/>
      <c r="Q110" s="36"/>
      <c r="R110" s="36"/>
    </row>
    <row r="111" spans="1:18" x14ac:dyDescent="0.25">
      <c r="A111" s="43"/>
      <c r="B111" s="41"/>
      <c r="C111" s="41"/>
      <c r="D111" s="41"/>
      <c r="E111" s="41"/>
      <c r="F111" s="41"/>
      <c r="G111" s="41"/>
      <c r="H111" s="36"/>
      <c r="I111" s="36"/>
      <c r="J111" s="41"/>
      <c r="K111" s="41"/>
      <c r="L111" s="41"/>
      <c r="M111" s="41"/>
      <c r="N111" s="36"/>
      <c r="O111" s="36"/>
      <c r="P111" s="36"/>
      <c r="Q111" s="36"/>
      <c r="R111" s="36"/>
    </row>
    <row r="112" spans="1:18" hidden="1" x14ac:dyDescent="0.25">
      <c r="A112" s="43" t="s">
        <v>548</v>
      </c>
      <c r="B112" s="36"/>
      <c r="C112" s="41"/>
      <c r="D112" s="41"/>
      <c r="E112" s="41"/>
      <c r="F112" s="41"/>
      <c r="G112" s="41"/>
      <c r="H112" s="36"/>
      <c r="I112" s="36"/>
      <c r="J112" s="41"/>
      <c r="K112" s="41"/>
      <c r="L112" s="41"/>
      <c r="M112" s="41"/>
      <c r="N112" s="36"/>
      <c r="O112" s="36"/>
      <c r="P112" s="36"/>
      <c r="Q112" s="36"/>
      <c r="R112" s="36"/>
    </row>
    <row r="113" spans="1:18" hidden="1" x14ac:dyDescent="0.25">
      <c r="A113" s="45"/>
      <c r="B113" s="85"/>
      <c r="C113" s="41"/>
      <c r="D113" s="41"/>
      <c r="E113" s="41"/>
      <c r="F113" s="41"/>
      <c r="G113" s="41"/>
      <c r="H113" s="36"/>
      <c r="I113" s="36"/>
      <c r="J113" s="41"/>
      <c r="K113" s="41"/>
      <c r="L113" s="41"/>
      <c r="M113" s="41"/>
      <c r="N113" s="36"/>
      <c r="O113" s="36"/>
      <c r="P113" s="36"/>
      <c r="Q113" s="36"/>
      <c r="R113" s="36"/>
    </row>
    <row r="114" spans="1:18" hidden="1" x14ac:dyDescent="0.25">
      <c r="A114" s="45"/>
      <c r="B114" s="85"/>
      <c r="C114" s="41"/>
      <c r="D114" s="41"/>
      <c r="E114" s="41"/>
      <c r="F114" s="41"/>
      <c r="G114" s="41"/>
      <c r="H114" s="36"/>
      <c r="I114" s="36"/>
      <c r="J114" s="41"/>
      <c r="K114" s="41"/>
      <c r="L114" s="41"/>
      <c r="M114" s="41"/>
      <c r="N114" s="36"/>
      <c r="O114" s="36"/>
      <c r="P114" s="36"/>
      <c r="Q114" s="36"/>
      <c r="R114" s="36"/>
    </row>
    <row r="115" spans="1:18" x14ac:dyDescent="0.25">
      <c r="A115" s="467" t="s">
        <v>605</v>
      </c>
      <c r="B115" s="85">
        <v>662</v>
      </c>
      <c r="C115" s="41">
        <f>ROUND('Biomass Data Assumptions'!$B$71/1000*B115,0)</f>
        <v>265</v>
      </c>
      <c r="D115" s="41">
        <f>'Biomass Data Assumptions'!$C$71*C115</f>
        <v>4546075</v>
      </c>
      <c r="E115" s="41">
        <f>('Biomass Data Assumptions'!$D$71*'Energy Content Assumptions'!$C$55*D115)/2000</f>
        <v>113.651875</v>
      </c>
      <c r="F115" s="41">
        <f>'Biomass Data Assumptions'!$E$71*B115*365/2000</f>
        <v>0</v>
      </c>
      <c r="G115" s="41">
        <f>F115+E115</f>
        <v>113.651875</v>
      </c>
      <c r="H115" s="36"/>
      <c r="I115" s="36"/>
      <c r="J115" s="41"/>
      <c r="K115" s="41"/>
      <c r="L115" s="41"/>
      <c r="M115" s="41"/>
      <c r="N115" s="36"/>
      <c r="O115" s="36"/>
      <c r="P115" s="36"/>
      <c r="Q115" s="36"/>
      <c r="R115" s="36"/>
    </row>
    <row r="116" spans="1:18" x14ac:dyDescent="0.25">
      <c r="A116" s="46"/>
      <c r="B116" s="41"/>
      <c r="C116" s="41"/>
      <c r="D116" s="41"/>
      <c r="E116" s="41"/>
      <c r="F116" s="41"/>
      <c r="G116" s="41"/>
      <c r="H116" s="36"/>
      <c r="I116" s="36"/>
      <c r="J116" s="41"/>
      <c r="K116" s="41"/>
      <c r="L116" s="41"/>
      <c r="M116" s="41"/>
      <c r="N116" s="36"/>
      <c r="O116" s="36"/>
      <c r="P116" s="36"/>
      <c r="Q116" s="36"/>
      <c r="R116" s="36"/>
    </row>
    <row r="117" spans="1:18" x14ac:dyDescent="0.25">
      <c r="A117" s="43" t="s">
        <v>551</v>
      </c>
      <c r="B117" s="85">
        <f>368+647+1146</f>
        <v>2161</v>
      </c>
      <c r="C117" s="41">
        <f>ROUND('Biomass Data Assumptions'!B72/1000*B117,0)</f>
        <v>11</v>
      </c>
      <c r="D117" s="41">
        <f>'Biomass Data Assumptions'!C72*C117</f>
        <v>200750</v>
      </c>
      <c r="E117" s="41">
        <f>('Biomass Data Assumptions'!D72*'Energy Content Assumptions'!C56*D117)/2000</f>
        <v>19.573125000000001</v>
      </c>
      <c r="F117" s="41">
        <f>'Biomass Data Assumptions'!E72*B117*365/2000</f>
        <v>0</v>
      </c>
      <c r="G117" s="41">
        <f>F117+E117</f>
        <v>19.573125000000001</v>
      </c>
      <c r="H117" s="150" t="s">
        <v>610</v>
      </c>
      <c r="I117" s="36"/>
      <c r="J117" s="41"/>
      <c r="K117" s="41"/>
      <c r="L117" s="41"/>
      <c r="M117" s="41"/>
      <c r="N117" s="36"/>
      <c r="O117" s="36"/>
      <c r="P117" s="36"/>
      <c r="Q117" s="36"/>
      <c r="R117" s="36"/>
    </row>
    <row r="118" spans="1:18" x14ac:dyDescent="0.25">
      <c r="A118" s="43"/>
      <c r="B118" s="41"/>
      <c r="C118" s="41"/>
      <c r="D118" s="41"/>
      <c r="E118" s="41"/>
      <c r="F118" s="41"/>
      <c r="G118" s="41"/>
      <c r="H118" s="36"/>
      <c r="I118" s="36"/>
      <c r="J118" s="41"/>
      <c r="K118" s="41"/>
      <c r="L118" s="41"/>
      <c r="M118" s="41"/>
      <c r="N118" s="36"/>
      <c r="O118" s="36"/>
      <c r="P118" s="36"/>
      <c r="Q118" s="36"/>
      <c r="R118" s="36"/>
    </row>
    <row r="119" spans="1:18" x14ac:dyDescent="0.25">
      <c r="A119" s="43" t="s">
        <v>552</v>
      </c>
      <c r="B119" s="85">
        <v>127</v>
      </c>
      <c r="C119" s="41">
        <f>ROUND('Biomass Data Assumptions'!B73/1000*B119,0)</f>
        <v>3</v>
      </c>
      <c r="D119" s="41">
        <f>'Biomass Data Assumptions'!C73*C119</f>
        <v>40515</v>
      </c>
      <c r="E119" s="41">
        <f>('Biomass Data Assumptions'!D73*'Energy Content Assumptions'!C57*D119)/2000</f>
        <v>3.7982812500000001</v>
      </c>
      <c r="F119" s="41">
        <f>'Biomass Data Assumptions'!E73*B119*365/2000</f>
        <v>2.3177500000000002</v>
      </c>
      <c r="G119" s="41">
        <f>F119+E119</f>
        <v>6.1160312500000007</v>
      </c>
      <c r="H119" s="36"/>
      <c r="I119" s="36"/>
      <c r="J119" s="41"/>
      <c r="K119" s="41"/>
      <c r="L119" s="41"/>
      <c r="M119" s="41"/>
      <c r="N119" s="36"/>
      <c r="O119" s="36"/>
      <c r="P119" s="36"/>
      <c r="Q119" s="36"/>
      <c r="R119" s="36"/>
    </row>
    <row r="120" spans="1:18" x14ac:dyDescent="0.25">
      <c r="A120" s="43"/>
      <c r="B120" s="41"/>
      <c r="C120" s="41"/>
      <c r="D120" s="41"/>
      <c r="E120" s="41"/>
      <c r="F120" s="41"/>
      <c r="G120" s="41"/>
      <c r="H120" s="36"/>
      <c r="I120" s="36"/>
      <c r="J120" s="41"/>
      <c r="K120" s="41"/>
      <c r="L120" s="41"/>
      <c r="M120" s="41"/>
      <c r="N120" s="36"/>
      <c r="O120" s="36"/>
      <c r="P120" s="36"/>
      <c r="Q120" s="36"/>
      <c r="R120" s="36"/>
    </row>
    <row r="121" spans="1:18" x14ac:dyDescent="0.25">
      <c r="A121" s="43" t="s">
        <v>553</v>
      </c>
      <c r="B121" s="86">
        <f t="shared" ref="B121:G121" si="14">B97+B104+B106+B108+B110+B115+B117+B119</f>
        <v>4306</v>
      </c>
      <c r="C121" s="48">
        <f t="shared" si="14"/>
        <v>1031</v>
      </c>
      <c r="D121" s="48">
        <f t="shared" si="14"/>
        <v>21555987.5</v>
      </c>
      <c r="E121" s="48">
        <f t="shared" si="14"/>
        <v>617.80073374999995</v>
      </c>
      <c r="F121" s="48">
        <f t="shared" si="14"/>
        <v>1730.0452499999999</v>
      </c>
      <c r="G121" s="48">
        <f t="shared" si="14"/>
        <v>2347.84598375</v>
      </c>
      <c r="H121" s="36"/>
      <c r="I121" s="36"/>
      <c r="J121" s="48"/>
      <c r="K121" s="48"/>
      <c r="L121" s="48"/>
      <c r="M121" s="48"/>
      <c r="N121" s="36"/>
      <c r="O121" s="36"/>
      <c r="P121" s="36"/>
      <c r="Q121" s="36"/>
      <c r="R121" s="36"/>
    </row>
    <row r="122" spans="1:18" x14ac:dyDescent="0.25">
      <c r="A122" s="36"/>
      <c r="B122" s="36"/>
      <c r="C122" s="36"/>
      <c r="D122" s="36"/>
      <c r="E122" s="36"/>
      <c r="F122" s="36"/>
      <c r="G122" s="36"/>
      <c r="H122" s="36"/>
      <c r="I122" s="36"/>
      <c r="J122" s="36"/>
      <c r="K122" s="36"/>
      <c r="L122" s="36"/>
      <c r="M122" s="36"/>
      <c r="N122" s="36"/>
      <c r="O122" s="36"/>
      <c r="P122" s="36"/>
      <c r="Q122" s="36"/>
      <c r="R122" s="36"/>
    </row>
    <row r="123" spans="1:18" x14ac:dyDescent="0.25">
      <c r="A123" s="49" t="s">
        <v>1014</v>
      </c>
      <c r="B123" s="49" t="s">
        <v>1043</v>
      </c>
      <c r="C123" s="49" t="s">
        <v>1044</v>
      </c>
      <c r="D123" s="547" t="s">
        <v>1013</v>
      </c>
      <c r="E123" s="36"/>
      <c r="F123" s="36"/>
      <c r="G123" s="36"/>
      <c r="H123" s="36"/>
      <c r="I123" s="36"/>
      <c r="J123" s="36"/>
      <c r="K123" s="36"/>
      <c r="L123" s="36"/>
      <c r="M123" s="36"/>
      <c r="N123" s="36"/>
      <c r="O123" s="36"/>
      <c r="P123" s="36"/>
      <c r="Q123" s="36"/>
      <c r="R123" s="36"/>
    </row>
    <row r="124" spans="1:18" x14ac:dyDescent="0.25">
      <c r="A124" s="50" t="s">
        <v>555</v>
      </c>
      <c r="B124" s="87">
        <v>128331.15</v>
      </c>
      <c r="C124" s="543">
        <f>B124*'Energy Content Assumptions'!C33</f>
        <v>115498.035</v>
      </c>
      <c r="D124" s="36"/>
      <c r="E124" s="36"/>
      <c r="F124" s="36"/>
      <c r="G124" s="36"/>
      <c r="H124" s="36"/>
      <c r="I124" s="36"/>
      <c r="J124" s="36"/>
      <c r="K124" s="36"/>
      <c r="L124" s="36"/>
      <c r="M124" s="36"/>
      <c r="N124" s="36"/>
      <c r="O124" s="36"/>
      <c r="P124" s="36"/>
      <c r="Q124" s="36"/>
      <c r="R124" s="36"/>
    </row>
    <row r="125" spans="1:18" x14ac:dyDescent="0.25">
      <c r="A125" s="50" t="s">
        <v>556</v>
      </c>
      <c r="B125" s="87">
        <v>29830.76</v>
      </c>
      <c r="C125" s="543">
        <f>B125*'Energy Content Assumptions'!C34</f>
        <v>26847.683999999997</v>
      </c>
      <c r="D125" s="36"/>
      <c r="E125" s="36"/>
      <c r="F125" s="36"/>
      <c r="G125" s="36"/>
      <c r="H125" s="36"/>
      <c r="I125" s="36"/>
      <c r="J125" s="36"/>
      <c r="K125" s="36"/>
      <c r="L125" s="36"/>
      <c r="M125" s="36"/>
      <c r="N125" s="36"/>
      <c r="O125" s="36"/>
      <c r="P125" s="36"/>
      <c r="Q125" s="36"/>
      <c r="R125" s="36"/>
    </row>
    <row r="126" spans="1:18" x14ac:dyDescent="0.25">
      <c r="A126" s="50" t="s">
        <v>557</v>
      </c>
      <c r="B126" s="87">
        <v>25651.77</v>
      </c>
      <c r="C126" s="543">
        <f>B126*'Energy Content Assumptions'!C35</f>
        <v>23086.593000000001</v>
      </c>
      <c r="D126" s="36"/>
      <c r="E126" s="36"/>
      <c r="F126" s="36"/>
      <c r="G126" s="36"/>
      <c r="H126" s="36"/>
      <c r="I126" s="36"/>
      <c r="J126" s="36"/>
      <c r="K126" s="36"/>
      <c r="L126" s="36"/>
      <c r="M126" s="36"/>
      <c r="N126" s="36"/>
      <c r="O126" s="36"/>
      <c r="P126" s="36"/>
      <c r="Q126" s="36"/>
      <c r="R126" s="36"/>
    </row>
    <row r="127" spans="1:18" x14ac:dyDescent="0.25">
      <c r="A127" s="50" t="s">
        <v>558</v>
      </c>
      <c r="B127" s="87">
        <v>20429.599999999999</v>
      </c>
      <c r="C127" s="543">
        <f>B127*'Energy Content Assumptions'!C36</f>
        <v>18386.64</v>
      </c>
      <c r="D127" s="36"/>
      <c r="E127" s="36"/>
      <c r="F127" s="36"/>
      <c r="G127" s="36"/>
      <c r="H127" s="36"/>
      <c r="I127" s="36"/>
      <c r="J127" s="36"/>
      <c r="K127" s="36"/>
      <c r="L127" s="36"/>
      <c r="M127" s="36"/>
      <c r="N127" s="36"/>
      <c r="O127" s="36"/>
      <c r="P127" s="36"/>
      <c r="Q127" s="36"/>
      <c r="R127" s="36"/>
    </row>
    <row r="128" spans="1:18" x14ac:dyDescent="0.25">
      <c r="A128" s="50" t="s">
        <v>559</v>
      </c>
      <c r="B128" s="87">
        <v>51356.21</v>
      </c>
      <c r="C128" s="543">
        <f>B128*'Energy Content Assumptions'!C21</f>
        <v>25678.105</v>
      </c>
      <c r="D128" s="36"/>
      <c r="E128" s="36"/>
      <c r="F128" s="36"/>
      <c r="G128" s="36"/>
      <c r="H128" s="36"/>
      <c r="I128" s="36"/>
      <c r="J128" s="36"/>
      <c r="K128" s="36"/>
      <c r="L128" s="36"/>
      <c r="M128" s="36"/>
      <c r="N128" s="36"/>
      <c r="O128" s="36"/>
      <c r="P128" s="36"/>
      <c r="Q128" s="36"/>
      <c r="R128" s="36"/>
    </row>
    <row r="129" spans="1:18" x14ac:dyDescent="0.25">
      <c r="A129" s="50" t="s">
        <v>560</v>
      </c>
      <c r="B129" s="87">
        <v>6105.23</v>
      </c>
      <c r="C129" s="543">
        <f>B129*'Energy Content Assumptions'!C22</f>
        <v>2035.0766666666664</v>
      </c>
      <c r="D129" s="36"/>
      <c r="E129" s="36"/>
      <c r="F129" s="36"/>
      <c r="G129" s="36"/>
      <c r="H129" s="36"/>
      <c r="I129" s="36"/>
      <c r="J129" s="36"/>
      <c r="K129" s="36"/>
      <c r="L129" s="36"/>
      <c r="M129" s="36"/>
      <c r="N129" s="36"/>
      <c r="O129" s="36"/>
      <c r="P129" s="36"/>
      <c r="Q129" s="36"/>
      <c r="R129" s="36"/>
    </row>
    <row r="130" spans="1:18" x14ac:dyDescent="0.25">
      <c r="A130" s="50" t="s">
        <v>561</v>
      </c>
      <c r="B130" s="87">
        <v>18875.05</v>
      </c>
      <c r="C130" s="543">
        <f>B130*'Energy Content Assumptions'!C23</f>
        <v>6291.6833333333325</v>
      </c>
      <c r="D130" s="36"/>
      <c r="E130" s="36"/>
      <c r="F130" s="36"/>
      <c r="G130" s="36"/>
      <c r="H130" s="36"/>
      <c r="I130" s="36"/>
      <c r="J130" s="36"/>
      <c r="K130" s="36"/>
      <c r="L130" s="36"/>
      <c r="M130" s="36"/>
      <c r="N130" s="36"/>
      <c r="O130" s="36"/>
      <c r="P130" s="36"/>
      <c r="Q130" s="36"/>
      <c r="R130" s="36"/>
    </row>
    <row r="131" spans="1:18" x14ac:dyDescent="0.25">
      <c r="A131" s="50" t="s">
        <v>562</v>
      </c>
      <c r="B131" s="549">
        <v>8817.74</v>
      </c>
      <c r="C131" s="543">
        <f>B131*'Energy Content Assumptions'!C24</f>
        <v>4408.87</v>
      </c>
      <c r="D131" s="36"/>
      <c r="E131" s="36"/>
      <c r="F131" s="36"/>
      <c r="G131" s="36"/>
      <c r="H131" s="36"/>
      <c r="I131" s="36"/>
      <c r="J131" s="36"/>
      <c r="K131" s="36"/>
      <c r="L131" s="36"/>
      <c r="M131" s="36"/>
      <c r="N131" s="36"/>
      <c r="O131" s="36"/>
      <c r="P131" s="36"/>
      <c r="Q131" s="36"/>
      <c r="R131" s="36"/>
    </row>
    <row r="132" spans="1:18" x14ac:dyDescent="0.25">
      <c r="A132" s="50" t="s">
        <v>563</v>
      </c>
      <c r="B132" s="87">
        <v>6134.95</v>
      </c>
      <c r="C132" s="543">
        <f>B132*'Energy Content Assumptions'!C31</f>
        <v>1533.7375</v>
      </c>
      <c r="D132" s="36"/>
      <c r="E132" s="36"/>
      <c r="F132" s="36"/>
      <c r="G132" s="36"/>
      <c r="H132" s="36"/>
      <c r="I132" s="36"/>
      <c r="J132" s="36"/>
      <c r="K132" s="36"/>
      <c r="L132" s="36"/>
      <c r="M132" s="36"/>
      <c r="N132" s="36"/>
      <c r="O132" s="36"/>
      <c r="P132" s="36"/>
      <c r="Q132" s="36"/>
      <c r="R132" s="36"/>
    </row>
    <row r="133" spans="1:18" x14ac:dyDescent="0.25">
      <c r="A133" s="50" t="s">
        <v>564</v>
      </c>
      <c r="B133" s="87">
        <v>0</v>
      </c>
      <c r="C133" s="543">
        <f>B133*'Energy Content Assumptions'!C19</f>
        <v>0</v>
      </c>
      <c r="D133" s="36"/>
      <c r="E133" s="36"/>
      <c r="F133" s="36"/>
      <c r="G133" s="36"/>
      <c r="H133" s="36"/>
      <c r="I133" s="36"/>
      <c r="J133" s="36"/>
      <c r="K133" s="36"/>
      <c r="L133" s="36"/>
      <c r="M133" s="36"/>
      <c r="N133" s="36"/>
      <c r="O133" s="36"/>
      <c r="P133" s="36"/>
      <c r="Q133" s="36"/>
      <c r="R133" s="36"/>
    </row>
    <row r="134" spans="1:18" x14ac:dyDescent="0.25">
      <c r="A134" s="50" t="s">
        <v>565</v>
      </c>
      <c r="B134" s="87">
        <v>14725.11</v>
      </c>
      <c r="C134" s="543">
        <f>B134*'Energy Content Assumptions'!C32</f>
        <v>11780.088000000002</v>
      </c>
      <c r="D134" s="36"/>
      <c r="E134" s="36"/>
      <c r="F134" s="36"/>
      <c r="G134" s="36"/>
      <c r="H134" s="36"/>
      <c r="I134" s="36"/>
      <c r="J134" s="36"/>
      <c r="K134" s="36"/>
      <c r="L134" s="36"/>
      <c r="M134" s="36"/>
      <c r="N134" s="36"/>
      <c r="O134" s="36"/>
      <c r="P134" s="36"/>
      <c r="Q134" s="36"/>
      <c r="R134" s="36"/>
    </row>
    <row r="135" spans="1:18" x14ac:dyDescent="0.25">
      <c r="A135" s="36"/>
      <c r="B135" s="36"/>
      <c r="C135" s="36"/>
      <c r="D135" s="36"/>
      <c r="E135" s="36"/>
      <c r="F135" s="36"/>
      <c r="G135" s="36"/>
      <c r="H135" s="36"/>
      <c r="I135" s="36"/>
      <c r="J135" s="36"/>
      <c r="K135" s="36"/>
      <c r="L135" s="36"/>
      <c r="M135" s="36"/>
      <c r="N135" s="36"/>
      <c r="O135" s="36"/>
      <c r="P135" s="36"/>
      <c r="Q135" s="36"/>
      <c r="R135" s="36"/>
    </row>
    <row r="136" spans="1:18" x14ac:dyDescent="0.25">
      <c r="A136" s="49" t="s">
        <v>462</v>
      </c>
      <c r="B136" s="49" t="s">
        <v>1039</v>
      </c>
      <c r="C136" s="49" t="s">
        <v>1040</v>
      </c>
      <c r="D136" s="36"/>
      <c r="E136" s="36"/>
      <c r="F136" s="36"/>
      <c r="G136" s="36"/>
      <c r="H136" s="36"/>
      <c r="I136" s="36"/>
      <c r="J136" s="36"/>
      <c r="K136" s="36"/>
      <c r="L136" s="36"/>
      <c r="M136" s="36"/>
      <c r="N136" s="36"/>
      <c r="O136" s="36"/>
      <c r="P136" s="36"/>
      <c r="Q136" s="36"/>
      <c r="R136" s="36"/>
    </row>
    <row r="137" spans="1:18" x14ac:dyDescent="0.25">
      <c r="A137" s="50" t="s">
        <v>211</v>
      </c>
      <c r="B137" s="87">
        <f>'Biomass Data Assumptions'!$M$18</f>
        <v>926784.99</v>
      </c>
      <c r="C137" s="544"/>
      <c r="D137" s="546" t="s">
        <v>1016</v>
      </c>
      <c r="E137" s="36"/>
      <c r="F137" s="36"/>
      <c r="G137" s="36"/>
      <c r="H137" s="36"/>
      <c r="I137" s="36"/>
      <c r="J137" s="36"/>
      <c r="K137" s="36"/>
      <c r="L137" s="36"/>
      <c r="M137" s="36"/>
      <c r="N137" s="36"/>
      <c r="O137" s="36"/>
      <c r="P137" s="36"/>
      <c r="Q137" s="36"/>
      <c r="R137" s="36"/>
    </row>
    <row r="138" spans="1:18" x14ac:dyDescent="0.25">
      <c r="A138" s="50" t="s">
        <v>208</v>
      </c>
      <c r="B138" s="87">
        <f>'Biomass Data Assumptions'!$F$18</f>
        <v>553312.05000000005</v>
      </c>
      <c r="C138" s="543">
        <f>B138*'Energy Content Assumptions'!$C$28</f>
        <v>276656.02500000002</v>
      </c>
      <c r="D138" s="546" t="s">
        <v>1016</v>
      </c>
      <c r="E138" s="36"/>
      <c r="F138" s="36"/>
      <c r="G138" s="36"/>
      <c r="H138" s="36"/>
      <c r="I138" s="36"/>
      <c r="J138" s="36"/>
      <c r="K138" s="36"/>
      <c r="L138" s="36"/>
      <c r="M138" s="36"/>
      <c r="N138" s="36"/>
      <c r="O138" s="36"/>
      <c r="P138" s="36"/>
      <c r="Q138" s="36"/>
      <c r="R138" s="36"/>
    </row>
    <row r="139" spans="1:18" x14ac:dyDescent="0.25">
      <c r="A139" s="50" t="s">
        <v>209</v>
      </c>
      <c r="B139" s="87">
        <f>'Biomass Data Assumptions'!$H$18</f>
        <v>18671.900000000001</v>
      </c>
      <c r="C139" s="543"/>
      <c r="D139" s="36" t="s">
        <v>1020</v>
      </c>
      <c r="E139" s="36"/>
      <c r="F139" s="36"/>
      <c r="G139" s="36"/>
      <c r="H139" s="36"/>
      <c r="I139" s="36"/>
      <c r="J139" s="36"/>
      <c r="K139" s="36"/>
      <c r="L139" s="36"/>
      <c r="M139" s="36"/>
      <c r="N139" s="36"/>
      <c r="O139" s="36"/>
      <c r="P139" s="36"/>
      <c r="Q139" s="36"/>
      <c r="R139" s="36"/>
    </row>
    <row r="140" spans="1:18" x14ac:dyDescent="0.25">
      <c r="A140" s="50" t="s">
        <v>210</v>
      </c>
      <c r="B140" s="87">
        <f>'Biomass Data Assumptions'!$I$18</f>
        <v>534640.15</v>
      </c>
      <c r="C140" s="543">
        <f>B140*'Energy Content Assumptions'!$C$28</f>
        <v>267320.07500000001</v>
      </c>
      <c r="D140" s="36" t="s">
        <v>1021</v>
      </c>
      <c r="E140" s="36"/>
      <c r="F140" s="36"/>
      <c r="G140" s="36"/>
      <c r="H140" s="36"/>
      <c r="I140" s="36"/>
      <c r="J140" s="36"/>
      <c r="K140" s="36"/>
      <c r="L140" s="36"/>
      <c r="M140" s="36"/>
      <c r="N140" s="36"/>
      <c r="O140" s="36"/>
      <c r="P140" s="36"/>
      <c r="Q140" s="36"/>
      <c r="R140" s="36"/>
    </row>
    <row r="141" spans="1:18" x14ac:dyDescent="0.25">
      <c r="A141" s="50" t="str">
        <f>'Bioenergy Calculator'!B35</f>
        <v>Food waste, Landfilled</v>
      </c>
      <c r="B141" s="87">
        <f>IF('Bioenergy Calculator'!H75="No",'Biomass Data Assumptions'!J18,'Biomass Data Assumptions'!F18*'Biomass Data Assumptions'!I41)</f>
        <v>84580.071730000011</v>
      </c>
      <c r="C141" s="543">
        <f>B141*'Energy Content Assumptions'!C26</f>
        <v>25374.021519000002</v>
      </c>
      <c r="D141" s="150" t="s">
        <v>1063</v>
      </c>
      <c r="E141" s="36"/>
      <c r="F141" s="36"/>
      <c r="G141" s="36"/>
      <c r="H141" s="36"/>
      <c r="I141" s="36"/>
      <c r="J141" s="36"/>
      <c r="K141" s="36"/>
      <c r="L141" s="36"/>
      <c r="M141" s="36"/>
      <c r="N141" s="36"/>
      <c r="O141" s="36"/>
      <c r="P141" s="36"/>
      <c r="Q141" s="36"/>
      <c r="R141" s="36"/>
    </row>
    <row r="142" spans="1:18" x14ac:dyDescent="0.25">
      <c r="A142" s="50" t="str">
        <f>'Bioenergy Calculator'!B36</f>
        <v>Waste paper, Landfilled</v>
      </c>
      <c r="B142" s="87">
        <f>IF('Bioenergy Calculator'!H75="No",'Biomass Data Assumptions'!K18,'Biomass Data Assumptions'!F18*'Biomass Data Assumptions'!I42)</f>
        <v>103987.50917500001</v>
      </c>
      <c r="C142" s="543">
        <f>B142*'Energy Content Assumptions'!C27</f>
        <v>93588.758257500012</v>
      </c>
      <c r="D142" s="150" t="s">
        <v>1063</v>
      </c>
      <c r="E142" s="36"/>
      <c r="F142" s="36"/>
      <c r="G142" s="36"/>
      <c r="H142" s="36"/>
      <c r="I142" s="36"/>
      <c r="J142" s="36"/>
      <c r="K142" s="36"/>
      <c r="L142" s="36"/>
      <c r="M142" s="36"/>
      <c r="N142" s="36"/>
      <c r="O142" s="36"/>
      <c r="P142" s="36"/>
      <c r="Q142" s="36"/>
      <c r="R142" s="36"/>
    </row>
    <row r="143" spans="1:18" x14ac:dyDescent="0.25">
      <c r="A143" s="50" t="str">
        <f>'Bioenergy Calculator'!B37</f>
        <v>Other Biomass, Landfilled</v>
      </c>
      <c r="B143" s="87">
        <f>IF('Bioenergy Calculator'!H75="No",'Biomass Data Assumptions'!L18,'Biomass Data Assumptions'!F18*'Biomass Data Assumptions'!I43)</f>
        <v>143978.59239499999</v>
      </c>
      <c r="C143" s="543">
        <f>B143*'Energy Content Assumptions'!$C$28</f>
        <v>71989.296197499993</v>
      </c>
      <c r="D143" s="547" t="s">
        <v>1064</v>
      </c>
      <c r="E143" s="36"/>
      <c r="F143" s="36"/>
      <c r="G143" s="36"/>
      <c r="H143" s="36"/>
      <c r="I143" s="36"/>
      <c r="J143" s="36"/>
      <c r="K143" s="36"/>
      <c r="L143" s="36"/>
      <c r="M143" s="36"/>
      <c r="N143" s="36"/>
      <c r="O143" s="36"/>
      <c r="P143" s="36"/>
      <c r="Q143" s="36"/>
      <c r="R143" s="36"/>
    </row>
    <row r="144" spans="1:18" x14ac:dyDescent="0.25">
      <c r="A144" s="50" t="s">
        <v>463</v>
      </c>
      <c r="B144" s="87">
        <v>98148.43</v>
      </c>
      <c r="C144" s="543">
        <f>B144*'Energy Content Assumptions'!C29</f>
        <v>78518.743999999992</v>
      </c>
      <c r="D144" s="151" t="s">
        <v>206</v>
      </c>
      <c r="E144" s="36"/>
      <c r="F144" s="36"/>
      <c r="G144" s="36"/>
      <c r="H144" s="36"/>
      <c r="I144" s="36"/>
      <c r="J144" s="36"/>
      <c r="K144" s="36"/>
      <c r="L144" s="36"/>
      <c r="M144" s="36"/>
      <c r="N144" s="36"/>
      <c r="O144" s="36"/>
      <c r="P144" s="36"/>
      <c r="Q144" s="36"/>
      <c r="R144" s="36"/>
    </row>
    <row r="145" spans="1:18" x14ac:dyDescent="0.25">
      <c r="A145" s="709" t="s">
        <v>179</v>
      </c>
      <c r="B145" s="710">
        <v>0.4</v>
      </c>
      <c r="C145" s="543">
        <f>C144*B145</f>
        <v>31407.497599999999</v>
      </c>
      <c r="D145" s="36" t="s">
        <v>1202</v>
      </c>
      <c r="E145" s="36"/>
      <c r="F145" s="36"/>
      <c r="G145" s="36"/>
      <c r="H145" s="36"/>
      <c r="I145" s="36"/>
      <c r="J145" s="36"/>
      <c r="K145" s="36"/>
      <c r="L145" s="36"/>
      <c r="M145" s="36"/>
      <c r="N145" s="36"/>
      <c r="O145" s="36"/>
      <c r="P145" s="36"/>
      <c r="Q145" s="36"/>
      <c r="R145" s="36"/>
    </row>
    <row r="146" spans="1:18" x14ac:dyDescent="0.25">
      <c r="A146" s="712"/>
      <c r="B146" s="713"/>
      <c r="C146" s="543"/>
      <c r="D146" s="150" t="s">
        <v>1553</v>
      </c>
      <c r="E146" s="36"/>
      <c r="F146" s="36"/>
      <c r="G146" s="36"/>
      <c r="H146" s="36"/>
      <c r="I146" s="36"/>
      <c r="J146" s="36"/>
      <c r="K146" s="36"/>
      <c r="L146" s="36"/>
      <c r="M146" s="36"/>
      <c r="N146" s="36"/>
      <c r="O146" s="36"/>
      <c r="P146" s="36"/>
      <c r="Q146" s="36"/>
      <c r="R146" s="36"/>
    </row>
    <row r="147" spans="1:18" x14ac:dyDescent="0.25">
      <c r="A147" s="1238" t="s">
        <v>1568</v>
      </c>
      <c r="B147" s="49" t="s">
        <v>1039</v>
      </c>
      <c r="C147" s="49" t="s">
        <v>1571</v>
      </c>
      <c r="D147" s="150"/>
      <c r="E147" s="36"/>
      <c r="F147" s="36"/>
      <c r="G147" s="36"/>
      <c r="H147" s="36"/>
      <c r="I147" s="36"/>
      <c r="J147" s="36"/>
      <c r="K147" s="36"/>
      <c r="L147" s="36"/>
      <c r="M147" s="36"/>
      <c r="N147" s="36"/>
      <c r="O147" s="36"/>
      <c r="P147" s="36"/>
      <c r="Q147" s="36"/>
      <c r="R147" s="36"/>
    </row>
    <row r="148" spans="1:18" x14ac:dyDescent="0.25">
      <c r="A148" s="1236" t="s">
        <v>508</v>
      </c>
      <c r="B148" s="549">
        <f>'Biomass Data Assumptions'!R18/2000</f>
        <v>3563.3752000000004</v>
      </c>
      <c r="C148" s="1239">
        <f>B148*'Energy Content Assumptions'!C39</f>
        <v>3028.8689200000003</v>
      </c>
      <c r="D148" s="150" t="s">
        <v>1569</v>
      </c>
      <c r="E148" s="36"/>
      <c r="F148" s="36"/>
      <c r="G148" s="36"/>
      <c r="H148" s="36"/>
      <c r="I148" s="36"/>
      <c r="J148" s="36"/>
      <c r="K148" s="36"/>
      <c r="L148" s="36"/>
      <c r="M148" s="36"/>
      <c r="N148" s="36"/>
      <c r="O148" s="36"/>
      <c r="P148" s="36"/>
      <c r="Q148" s="36"/>
      <c r="R148" s="36"/>
    </row>
    <row r="149" spans="1:18" x14ac:dyDescent="0.25">
      <c r="A149" s="1236" t="s">
        <v>509</v>
      </c>
      <c r="B149" s="549">
        <f>'Biomass Data Assumptions'!S18/2000</f>
        <v>5413.9007299999994</v>
      </c>
      <c r="C149" s="1239">
        <f>B149*'Energy Content Assumptions'!C40</f>
        <v>270.69503649999996</v>
      </c>
      <c r="D149" s="150" t="s">
        <v>1570</v>
      </c>
      <c r="E149" s="36"/>
      <c r="F149" s="36"/>
      <c r="G149" s="36"/>
      <c r="H149" s="36"/>
      <c r="I149" s="36"/>
      <c r="J149" s="36"/>
      <c r="K149" s="36"/>
      <c r="L149" s="36"/>
      <c r="M149" s="36"/>
      <c r="N149" s="36"/>
      <c r="O149" s="36"/>
      <c r="P149" s="36"/>
      <c r="Q149" s="36"/>
      <c r="R149" s="36"/>
    </row>
    <row r="150" spans="1:18" x14ac:dyDescent="0.25">
      <c r="A150" s="36"/>
      <c r="B150" s="36"/>
      <c r="C150" s="36"/>
      <c r="D150" s="36"/>
      <c r="E150" s="36"/>
      <c r="F150" s="36"/>
      <c r="G150" s="36"/>
      <c r="H150" s="36"/>
      <c r="I150" s="36"/>
      <c r="J150" s="36"/>
      <c r="K150" s="36"/>
      <c r="L150" s="36"/>
      <c r="M150" s="36"/>
      <c r="N150" s="36"/>
      <c r="O150" s="36"/>
      <c r="P150" s="36"/>
      <c r="Q150" s="36"/>
      <c r="R150" s="36"/>
    </row>
    <row r="151" spans="1:18" x14ac:dyDescent="0.25">
      <c r="A151" s="36"/>
      <c r="B151" s="36"/>
      <c r="C151" s="36"/>
      <c r="D151" s="36"/>
      <c r="E151" s="36"/>
      <c r="F151" s="36"/>
      <c r="G151" s="36"/>
      <c r="H151" s="36"/>
      <c r="I151" s="36"/>
      <c r="J151" s="36"/>
      <c r="K151" s="36"/>
      <c r="L151" s="36"/>
      <c r="M151" s="36"/>
      <c r="N151" s="36"/>
      <c r="O151" s="36"/>
      <c r="P151" s="36"/>
      <c r="Q151" s="36"/>
      <c r="R151" s="36"/>
    </row>
    <row r="152" spans="1:18" x14ac:dyDescent="0.25">
      <c r="A152" s="36"/>
      <c r="B152" s="36"/>
      <c r="C152" s="36"/>
      <c r="D152" s="36"/>
      <c r="E152" s="36"/>
      <c r="F152" s="36"/>
      <c r="G152" s="36"/>
      <c r="H152" s="36"/>
      <c r="I152" s="36"/>
      <c r="J152" s="36"/>
      <c r="K152" s="36"/>
      <c r="L152" s="36"/>
      <c r="M152" s="36"/>
      <c r="N152" s="36"/>
      <c r="O152" s="36"/>
      <c r="P152" s="36"/>
      <c r="Q152" s="36"/>
      <c r="R152" s="36"/>
    </row>
    <row r="153" spans="1:18" x14ac:dyDescent="0.25">
      <c r="A153" s="36"/>
      <c r="B153" s="36"/>
      <c r="C153" s="36"/>
      <c r="D153" s="36"/>
      <c r="E153" s="36"/>
      <c r="F153" s="36"/>
      <c r="G153" s="36"/>
      <c r="H153" s="36"/>
      <c r="I153" s="36"/>
      <c r="J153" s="36"/>
      <c r="K153" s="36"/>
      <c r="L153" s="36"/>
      <c r="M153" s="36"/>
      <c r="N153" s="36"/>
      <c r="O153" s="36"/>
      <c r="P153" s="36"/>
      <c r="Q153" s="36"/>
      <c r="R153" s="36"/>
    </row>
    <row r="154" spans="1:18" x14ac:dyDescent="0.25">
      <c r="A154" s="36"/>
      <c r="B154" s="36"/>
      <c r="C154" s="36"/>
      <c r="D154" s="36"/>
      <c r="E154" s="36"/>
      <c r="F154" s="36"/>
      <c r="G154" s="36"/>
      <c r="H154" s="36"/>
      <c r="I154" s="36"/>
      <c r="J154" s="36"/>
      <c r="K154" s="36"/>
      <c r="L154" s="36"/>
      <c r="M154" s="36"/>
      <c r="N154" s="36"/>
      <c r="O154" s="36"/>
      <c r="P154" s="36"/>
      <c r="Q154" s="36"/>
      <c r="R154" s="36"/>
    </row>
    <row r="155" spans="1:18" x14ac:dyDescent="0.25">
      <c r="A155" s="36"/>
      <c r="B155" s="36"/>
      <c r="C155" s="36"/>
      <c r="D155" s="36"/>
      <c r="E155" s="36"/>
      <c r="F155" s="36"/>
      <c r="G155" s="36"/>
      <c r="H155" s="36"/>
      <c r="I155" s="36"/>
      <c r="J155" s="36"/>
      <c r="K155" s="36"/>
      <c r="L155" s="36"/>
      <c r="M155" s="36"/>
      <c r="N155" s="36"/>
      <c r="O155" s="36"/>
      <c r="P155" s="36"/>
      <c r="Q155" s="36"/>
      <c r="R155" s="36"/>
    </row>
    <row r="156" spans="1:18" x14ac:dyDescent="0.25">
      <c r="A156" s="36"/>
      <c r="B156" s="36"/>
      <c r="C156" s="36"/>
      <c r="D156" s="36"/>
      <c r="E156" s="36"/>
      <c r="F156" s="36"/>
      <c r="G156" s="36"/>
      <c r="H156" s="36"/>
      <c r="I156" s="36"/>
      <c r="J156" s="36"/>
      <c r="K156" s="36"/>
      <c r="L156" s="36"/>
      <c r="M156" s="36"/>
      <c r="N156" s="36"/>
      <c r="O156" s="36"/>
      <c r="P156" s="36"/>
      <c r="Q156" s="36"/>
      <c r="R156" s="36"/>
    </row>
    <row r="157" spans="1:18" x14ac:dyDescent="0.25">
      <c r="A157" s="36"/>
      <c r="B157" s="36"/>
      <c r="C157" s="36"/>
      <c r="D157" s="36"/>
      <c r="E157" s="36"/>
      <c r="F157" s="36"/>
      <c r="G157" s="36"/>
      <c r="H157" s="36"/>
      <c r="I157" s="36"/>
      <c r="J157" s="36"/>
      <c r="K157" s="36"/>
      <c r="L157" s="36"/>
      <c r="M157" s="36"/>
      <c r="N157" s="36"/>
      <c r="O157" s="36"/>
      <c r="P157" s="36"/>
      <c r="Q157" s="36"/>
      <c r="R157" s="36"/>
    </row>
    <row r="158" spans="1:18" x14ac:dyDescent="0.25">
      <c r="A158" s="36"/>
      <c r="B158" s="36"/>
      <c r="C158" s="36"/>
      <c r="D158" s="36"/>
      <c r="E158" s="36"/>
      <c r="F158" s="36"/>
      <c r="G158" s="36"/>
      <c r="H158" s="36"/>
      <c r="I158" s="36"/>
      <c r="J158" s="36"/>
      <c r="K158" s="36"/>
      <c r="L158" s="36"/>
      <c r="M158" s="36"/>
      <c r="N158" s="36"/>
      <c r="O158" s="36"/>
      <c r="P158" s="36"/>
      <c r="Q158" s="36"/>
      <c r="R158" s="36"/>
    </row>
    <row r="159" spans="1:18" x14ac:dyDescent="0.25">
      <c r="A159" s="36"/>
      <c r="B159" s="36"/>
      <c r="C159" s="36"/>
      <c r="D159" s="36"/>
      <c r="E159" s="36"/>
      <c r="F159" s="36"/>
      <c r="G159" s="36"/>
      <c r="H159" s="36"/>
      <c r="I159" s="36"/>
      <c r="J159" s="36"/>
      <c r="K159" s="36"/>
      <c r="L159" s="36"/>
      <c r="M159" s="36"/>
      <c r="N159" s="36"/>
      <c r="O159" s="36"/>
      <c r="P159" s="36"/>
      <c r="Q159" s="36"/>
      <c r="R159" s="36"/>
    </row>
    <row r="160" spans="1:18" x14ac:dyDescent="0.25">
      <c r="A160" s="36"/>
      <c r="B160" s="36"/>
      <c r="C160" s="36"/>
      <c r="D160" s="36"/>
      <c r="E160" s="36"/>
      <c r="F160" s="36"/>
      <c r="G160" s="36"/>
      <c r="H160" s="36"/>
      <c r="I160" s="36"/>
      <c r="J160" s="36"/>
      <c r="K160" s="36"/>
      <c r="L160" s="36"/>
      <c r="M160" s="36"/>
      <c r="N160" s="36"/>
      <c r="O160" s="36"/>
      <c r="P160" s="36"/>
      <c r="Q160" s="36"/>
      <c r="R160" s="36"/>
    </row>
    <row r="161" spans="1:18" x14ac:dyDescent="0.25">
      <c r="A161" s="36"/>
      <c r="B161" s="36"/>
      <c r="C161" s="36"/>
      <c r="D161" s="36"/>
      <c r="E161" s="36"/>
      <c r="F161" s="36"/>
      <c r="G161" s="36"/>
      <c r="H161" s="36"/>
      <c r="I161" s="36"/>
      <c r="J161" s="36"/>
      <c r="K161" s="36"/>
      <c r="L161" s="36"/>
      <c r="M161" s="36"/>
      <c r="N161" s="36"/>
      <c r="O161" s="36"/>
      <c r="P161" s="36"/>
      <c r="Q161" s="36"/>
      <c r="R161" s="36"/>
    </row>
    <row r="162" spans="1:18" x14ac:dyDescent="0.25">
      <c r="A162" s="36"/>
      <c r="B162" s="36"/>
      <c r="C162" s="36"/>
      <c r="D162" s="36"/>
      <c r="E162" s="36"/>
      <c r="F162" s="36"/>
      <c r="G162" s="36"/>
      <c r="H162" s="36"/>
      <c r="I162" s="36"/>
      <c r="J162" s="36"/>
      <c r="K162" s="36"/>
      <c r="L162" s="36"/>
      <c r="M162" s="36"/>
      <c r="N162" s="36"/>
      <c r="O162" s="36"/>
      <c r="P162" s="36"/>
      <c r="Q162" s="36"/>
      <c r="R162" s="36"/>
    </row>
    <row r="163" spans="1:18" x14ac:dyDescent="0.25">
      <c r="A163" s="36"/>
      <c r="B163" s="36"/>
      <c r="C163" s="36"/>
      <c r="D163" s="36"/>
      <c r="E163" s="36"/>
      <c r="F163" s="36"/>
      <c r="G163" s="36"/>
      <c r="H163" s="36"/>
      <c r="I163" s="36"/>
      <c r="J163" s="36"/>
      <c r="K163" s="36"/>
      <c r="L163" s="36"/>
      <c r="M163" s="36"/>
      <c r="N163" s="36"/>
      <c r="O163" s="36"/>
      <c r="P163" s="36"/>
      <c r="Q163" s="36"/>
      <c r="R163" s="36"/>
    </row>
    <row r="164" spans="1:18" x14ac:dyDescent="0.25">
      <c r="A164" s="36"/>
      <c r="B164" s="36"/>
      <c r="C164" s="36"/>
      <c r="D164" s="36"/>
      <c r="E164" s="36"/>
      <c r="F164" s="36"/>
      <c r="G164" s="36"/>
      <c r="H164" s="36"/>
      <c r="I164" s="36"/>
      <c r="J164" s="36"/>
      <c r="K164" s="36"/>
      <c r="L164" s="36"/>
      <c r="M164" s="36"/>
      <c r="N164" s="36"/>
      <c r="O164" s="36"/>
      <c r="P164" s="36"/>
      <c r="Q164" s="36"/>
      <c r="R164" s="36"/>
    </row>
    <row r="165" spans="1:18" x14ac:dyDescent="0.25">
      <c r="A165" s="36"/>
      <c r="B165" s="36"/>
      <c r="C165" s="36"/>
      <c r="D165" s="36"/>
      <c r="E165" s="36"/>
      <c r="F165" s="36"/>
      <c r="G165" s="36"/>
      <c r="H165" s="36"/>
      <c r="I165" s="36"/>
      <c r="J165" s="36"/>
      <c r="K165" s="36"/>
      <c r="L165" s="36"/>
      <c r="M165" s="36"/>
      <c r="N165" s="36"/>
      <c r="O165" s="36"/>
      <c r="P165" s="36"/>
      <c r="Q165" s="36"/>
      <c r="R165" s="36"/>
    </row>
    <row r="166" spans="1:18" x14ac:dyDescent="0.25">
      <c r="A166" s="36"/>
      <c r="B166" s="36"/>
      <c r="C166" s="36"/>
      <c r="D166" s="36"/>
      <c r="E166" s="36"/>
      <c r="F166" s="36"/>
      <c r="G166" s="36"/>
      <c r="H166" s="36"/>
      <c r="I166" s="36"/>
      <c r="J166" s="36"/>
      <c r="K166" s="36"/>
      <c r="L166" s="36"/>
      <c r="M166" s="36"/>
      <c r="N166" s="36"/>
      <c r="O166" s="36"/>
      <c r="P166" s="36"/>
      <c r="Q166" s="36"/>
      <c r="R166" s="36"/>
    </row>
    <row r="167" spans="1:18" x14ac:dyDescent="0.25">
      <c r="A167" s="36"/>
      <c r="B167" s="36"/>
      <c r="C167" s="36"/>
      <c r="D167" s="36"/>
      <c r="E167" s="36"/>
      <c r="F167" s="36"/>
      <c r="G167" s="36"/>
      <c r="H167" s="36"/>
      <c r="I167" s="36"/>
      <c r="J167" s="36"/>
      <c r="K167" s="36"/>
      <c r="L167" s="36"/>
      <c r="M167" s="36"/>
      <c r="N167" s="36"/>
      <c r="O167" s="36"/>
      <c r="P167" s="36"/>
      <c r="Q167" s="36"/>
      <c r="R167" s="36"/>
    </row>
    <row r="168" spans="1:18" x14ac:dyDescent="0.25">
      <c r="A168" s="36"/>
      <c r="B168" s="36"/>
      <c r="C168" s="36"/>
      <c r="D168" s="36"/>
      <c r="E168" s="36"/>
      <c r="F168" s="36"/>
      <c r="G168" s="36"/>
      <c r="H168" s="36"/>
      <c r="I168" s="36"/>
      <c r="J168" s="36"/>
      <c r="K168" s="36"/>
      <c r="L168" s="36"/>
      <c r="M168" s="36"/>
      <c r="N168" s="36"/>
      <c r="O168" s="36"/>
      <c r="P168" s="36"/>
      <c r="Q168" s="36"/>
      <c r="R168" s="36"/>
    </row>
    <row r="169" spans="1:18" x14ac:dyDescent="0.25">
      <c r="A169" s="36"/>
      <c r="B169" s="36"/>
      <c r="C169" s="36"/>
      <c r="D169" s="36"/>
      <c r="E169" s="36"/>
      <c r="F169" s="36"/>
      <c r="G169" s="36"/>
      <c r="H169" s="36"/>
      <c r="I169" s="36"/>
      <c r="J169" s="36"/>
      <c r="K169" s="36"/>
      <c r="L169" s="36"/>
      <c r="M169" s="36"/>
      <c r="N169" s="36"/>
      <c r="O169" s="36"/>
      <c r="P169" s="36"/>
      <c r="Q169" s="36"/>
      <c r="R169" s="36"/>
    </row>
    <row r="170" spans="1:18" x14ac:dyDescent="0.25">
      <c r="A170" s="36"/>
      <c r="B170" s="36"/>
      <c r="C170" s="36"/>
      <c r="D170" s="36"/>
      <c r="E170" s="36"/>
      <c r="F170" s="36"/>
      <c r="G170" s="36"/>
      <c r="H170" s="36"/>
      <c r="I170" s="36"/>
      <c r="J170" s="36"/>
      <c r="K170" s="36"/>
      <c r="L170" s="36"/>
      <c r="M170" s="36"/>
      <c r="N170" s="36"/>
      <c r="O170" s="36"/>
      <c r="P170" s="36"/>
      <c r="Q170" s="36"/>
      <c r="R170" s="36"/>
    </row>
    <row r="171" spans="1:18" x14ac:dyDescent="0.25">
      <c r="P171" s="36"/>
      <c r="Q171" s="36"/>
      <c r="R171" s="36"/>
    </row>
    <row r="172" spans="1:18" x14ac:dyDescent="0.25">
      <c r="P172" s="36"/>
      <c r="Q172" s="36"/>
      <c r="R172" s="36"/>
    </row>
    <row r="173" spans="1:18" x14ac:dyDescent="0.25">
      <c r="P173" s="36"/>
      <c r="Q173" s="36"/>
      <c r="R173" s="36"/>
    </row>
    <row r="174" spans="1:18" x14ac:dyDescent="0.25">
      <c r="P174" s="36"/>
      <c r="Q174" s="36"/>
      <c r="R174" s="36"/>
    </row>
    <row r="175" spans="1:18" x14ac:dyDescent="0.25">
      <c r="P175" s="36"/>
      <c r="Q175" s="36"/>
      <c r="R175" s="36"/>
    </row>
    <row r="176" spans="1:18" x14ac:dyDescent="0.25">
      <c r="P176" s="36"/>
      <c r="Q176" s="36"/>
      <c r="R176" s="36"/>
    </row>
    <row r="177" spans="16:18" x14ac:dyDescent="0.25">
      <c r="P177" s="36"/>
      <c r="Q177" s="36"/>
      <c r="R177" s="36"/>
    </row>
    <row r="178" spans="16:18" x14ac:dyDescent="0.25">
      <c r="P178" s="36"/>
      <c r="Q178" s="36"/>
      <c r="R178" s="36"/>
    </row>
    <row r="179" spans="16:18" x14ac:dyDescent="0.25">
      <c r="P179" s="36"/>
      <c r="Q179" s="36"/>
      <c r="R179" s="36"/>
    </row>
    <row r="180" spans="16:18" x14ac:dyDescent="0.25">
      <c r="P180" s="36"/>
      <c r="Q180" s="36"/>
      <c r="R180" s="36"/>
    </row>
    <row r="181" spans="16:18" x14ac:dyDescent="0.25">
      <c r="P181" s="36"/>
      <c r="Q181" s="36"/>
      <c r="R181" s="36"/>
    </row>
    <row r="182" spans="16:18" x14ac:dyDescent="0.25">
      <c r="P182" s="36"/>
      <c r="Q182" s="36"/>
      <c r="R182" s="36"/>
    </row>
    <row r="183" spans="16:18" x14ac:dyDescent="0.25">
      <c r="P183" s="36"/>
      <c r="Q183" s="36"/>
      <c r="R183" s="36"/>
    </row>
    <row r="184" spans="16:18" x14ac:dyDescent="0.25">
      <c r="P184" s="36"/>
      <c r="Q184" s="36"/>
      <c r="R184" s="36"/>
    </row>
    <row r="185" spans="16:18" x14ac:dyDescent="0.25">
      <c r="P185" s="36"/>
      <c r="Q185" s="36"/>
      <c r="R185" s="36"/>
    </row>
    <row r="186" spans="16:18" x14ac:dyDescent="0.25">
      <c r="P186" s="36"/>
      <c r="Q186" s="36"/>
      <c r="R186" s="36"/>
    </row>
    <row r="187" spans="16:18" x14ac:dyDescent="0.25">
      <c r="P187" s="36"/>
      <c r="Q187" s="36"/>
      <c r="R187" s="36"/>
    </row>
    <row r="188" spans="16:18" x14ac:dyDescent="0.25">
      <c r="P188" s="36"/>
      <c r="Q188" s="36"/>
      <c r="R188" s="36"/>
    </row>
    <row r="189" spans="16:18" x14ac:dyDescent="0.25">
      <c r="P189" s="36"/>
      <c r="Q189" s="36"/>
      <c r="R189" s="36"/>
    </row>
    <row r="190" spans="16:18" x14ac:dyDescent="0.25">
      <c r="P190" s="36"/>
      <c r="Q190" s="36"/>
      <c r="R190" s="36"/>
    </row>
    <row r="191" spans="16:18" x14ac:dyDescent="0.25">
      <c r="P191" s="36"/>
      <c r="Q191" s="36"/>
      <c r="R191" s="36"/>
    </row>
    <row r="192" spans="16:18" x14ac:dyDescent="0.25">
      <c r="P192" s="36"/>
      <c r="Q192" s="36"/>
      <c r="R192" s="36"/>
    </row>
    <row r="193" spans="16:18" x14ac:dyDescent="0.25">
      <c r="P193" s="36"/>
      <c r="Q193" s="36"/>
      <c r="R193" s="36"/>
    </row>
    <row r="194" spans="16:18" x14ac:dyDescent="0.25">
      <c r="P194" s="36"/>
      <c r="Q194" s="36"/>
      <c r="R194" s="36"/>
    </row>
    <row r="195" spans="16:18" x14ac:dyDescent="0.25">
      <c r="P195" s="36"/>
      <c r="Q195" s="36"/>
      <c r="R195" s="36"/>
    </row>
    <row r="196" spans="16:18" x14ac:dyDescent="0.25">
      <c r="P196" s="36"/>
      <c r="Q196" s="36"/>
      <c r="R196" s="36"/>
    </row>
    <row r="197" spans="16:18" x14ac:dyDescent="0.25">
      <c r="P197" s="36"/>
      <c r="Q197" s="36"/>
      <c r="R197" s="36"/>
    </row>
    <row r="198" spans="16:18" x14ac:dyDescent="0.25">
      <c r="P198" s="36"/>
      <c r="Q198" s="36"/>
      <c r="R198" s="36"/>
    </row>
    <row r="199" spans="16:18" x14ac:dyDescent="0.25">
      <c r="P199" s="36"/>
      <c r="Q199" s="36"/>
      <c r="R199" s="36"/>
    </row>
  </sheetData>
  <mergeCells count="15">
    <mergeCell ref="A3:A4"/>
    <mergeCell ref="B3:B4"/>
    <mergeCell ref="C3:C4"/>
    <mergeCell ref="A51:A67"/>
    <mergeCell ref="A5:A11"/>
    <mergeCell ref="A13:A29"/>
    <mergeCell ref="A31:A43"/>
    <mergeCell ref="A45:A49"/>
    <mergeCell ref="I1:L1"/>
    <mergeCell ref="M1:P1"/>
    <mergeCell ref="Q3:Q4"/>
    <mergeCell ref="D3:D4"/>
    <mergeCell ref="I3:L3"/>
    <mergeCell ref="M3:P3"/>
    <mergeCell ref="E3:H3"/>
  </mergeCells>
  <phoneticPr fontId="0" type="noConversion"/>
  <pageMargins left="0.75" right="0.75" top="1" bottom="1" header="0.5" footer="0.5"/>
  <pageSetup paperSize="5" scale="50" orientation="landscape" r:id="rId1"/>
  <headerFooter alignWithMargins="0">
    <oddFooter>&amp;L&amp;"Arial,Italic" 7/02/07&amp;C&amp;"Arial,Italic"&amp;A&amp;R&amp;"Arial,Italic"NJAES Report 2007-1 ©2007
New Jersey Agricultural Experiment Station</oddFooter>
  </headerFooter>
  <ignoredErrors>
    <ignoredError sqref="D67" formula="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S199"/>
  <sheetViews>
    <sheetView topLeftCell="A110" zoomScale="70" zoomScaleNormal="70" workbookViewId="0">
      <selection activeCell="C147" sqref="C147"/>
    </sheetView>
  </sheetViews>
  <sheetFormatPr defaultColWidth="9.109375" defaultRowHeight="13.2" x14ac:dyDescent="0.25"/>
  <cols>
    <col min="1" max="1" width="28.6640625" style="5" customWidth="1"/>
    <col min="2" max="2" width="42.6640625" style="5" customWidth="1"/>
    <col min="3" max="3" width="23.6640625" style="5" customWidth="1"/>
    <col min="4" max="4" width="18.6640625" style="5" customWidth="1"/>
    <col min="5" max="16" width="14.6640625" style="5" customWidth="1"/>
    <col min="17" max="17" width="45.6640625" style="5" customWidth="1"/>
    <col min="18" max="18" width="34.44140625" style="5" customWidth="1"/>
    <col min="19" max="19" width="19.33203125" style="5" customWidth="1"/>
    <col min="20" max="20" width="14" style="5" customWidth="1"/>
    <col min="21" max="16384" width="9.109375" style="5"/>
  </cols>
  <sheetData>
    <row r="1" spans="1:17" ht="15.6" x14ac:dyDescent="0.3">
      <c r="A1" s="407" t="s">
        <v>439</v>
      </c>
      <c r="E1" s="412" t="s">
        <v>433</v>
      </c>
      <c r="I1" s="1195" t="str">
        <f>'Bioenergy Calculator'!B3</f>
        <v>None</v>
      </c>
      <c r="J1" s="1195"/>
      <c r="K1" s="1195"/>
      <c r="L1" s="1196"/>
      <c r="M1" s="1195" t="str">
        <f>'Bioenergy Calculator'!B4</f>
        <v>None</v>
      </c>
      <c r="N1" s="1195"/>
      <c r="O1" s="1195"/>
      <c r="P1" s="1196"/>
    </row>
    <row r="3" spans="1:17" s="6" customFormat="1" ht="24.75" customHeight="1" x14ac:dyDescent="0.25">
      <c r="A3" s="1062" t="s">
        <v>567</v>
      </c>
      <c r="B3" s="1062" t="s">
        <v>506</v>
      </c>
      <c r="C3" s="1062" t="s">
        <v>1035</v>
      </c>
      <c r="D3" s="1062" t="s">
        <v>1051</v>
      </c>
      <c r="E3" s="1072" t="s">
        <v>523</v>
      </c>
      <c r="F3" s="1210"/>
      <c r="G3" s="1210"/>
      <c r="H3" s="1075"/>
      <c r="I3" s="1072" t="s">
        <v>275</v>
      </c>
      <c r="J3" s="1073"/>
      <c r="K3" s="1074"/>
      <c r="L3" s="1075"/>
      <c r="M3" s="1083" t="s">
        <v>274</v>
      </c>
      <c r="N3" s="1084"/>
      <c r="O3" s="1197"/>
      <c r="P3" s="1198"/>
      <c r="Q3" s="1060" t="s">
        <v>570</v>
      </c>
    </row>
    <row r="4" spans="1:17" s="6" customFormat="1" x14ac:dyDescent="0.25">
      <c r="A4" s="1063"/>
      <c r="B4" s="1063"/>
      <c r="C4" s="1063"/>
      <c r="D4" s="1071"/>
      <c r="E4" s="22">
        <v>2010</v>
      </c>
      <c r="F4" s="22">
        <v>2015</v>
      </c>
      <c r="G4" s="22">
        <v>2020</v>
      </c>
      <c r="H4" s="22">
        <v>2025</v>
      </c>
      <c r="I4" s="22">
        <v>2010</v>
      </c>
      <c r="J4" s="22">
        <v>2015</v>
      </c>
      <c r="K4" s="22">
        <v>2020</v>
      </c>
      <c r="L4" s="22">
        <v>2025</v>
      </c>
      <c r="M4" s="22">
        <v>2010</v>
      </c>
      <c r="N4" s="22">
        <v>2015</v>
      </c>
      <c r="O4" s="22">
        <v>2020</v>
      </c>
      <c r="P4" s="22">
        <v>2025</v>
      </c>
      <c r="Q4" s="1061"/>
    </row>
    <row r="5" spans="1:17" x14ac:dyDescent="0.25">
      <c r="A5" s="1064" t="s">
        <v>513</v>
      </c>
      <c r="B5" s="1" t="s">
        <v>511</v>
      </c>
      <c r="C5" s="13"/>
      <c r="D5" s="13"/>
      <c r="E5" s="13"/>
      <c r="F5" s="13"/>
      <c r="G5" s="13"/>
      <c r="H5" s="13"/>
      <c r="I5" s="7"/>
      <c r="J5" s="7"/>
      <c r="K5" s="7"/>
      <c r="L5" s="7"/>
      <c r="M5" s="7"/>
      <c r="N5" s="7"/>
      <c r="O5" s="7"/>
      <c r="P5" s="7"/>
      <c r="Q5" s="7"/>
    </row>
    <row r="6" spans="1:17" x14ac:dyDescent="0.25">
      <c r="A6" s="1064"/>
      <c r="B6" s="11" t="str">
        <f>IF('Prac. Rec. Assumptions'!$B$56='Prac. Rec. Assumptions'!$V$3,A74,IF('Prac. Rec. Assumptions'!B57="No",A74,"Sorghum- Converted to Energy Crop"))</f>
        <v>Sorghum</v>
      </c>
      <c r="C6" s="294">
        <f>IF('Prac. Rec. Assumptions'!$B$56='Prac. Rec. Assumptions'!$V$3,D74,IF('Prac. Rec. Assumptions'!B57="No",D74,0))</f>
        <v>745.98719999999992</v>
      </c>
      <c r="D6" s="294" t="s">
        <v>431</v>
      </c>
      <c r="E6" s="294">
        <f>C6*'Prac. Rec. Assumptions'!B4</f>
        <v>0</v>
      </c>
      <c r="F6" s="294">
        <f>$E6</f>
        <v>0</v>
      </c>
      <c r="G6" s="294">
        <f>$E6</f>
        <v>0</v>
      </c>
      <c r="H6" s="294">
        <f>$E6</f>
        <v>0</v>
      </c>
      <c r="I6" s="16" t="str">
        <f>IF('Conversion Tables'!F7="NA","NA",$D6/'Conversion Tables'!F7)</f>
        <v>NA</v>
      </c>
      <c r="J6" s="16" t="str">
        <f>IF('Conversion Tables'!G7="NA","NA",$D6/'Conversion Tables'!G7)</f>
        <v>NA</v>
      </c>
      <c r="K6" s="16" t="str">
        <f>IF('Conversion Tables'!H7="NA","NA",$D6/'Conversion Tables'!H7)</f>
        <v>NA</v>
      </c>
      <c r="L6" s="16" t="str">
        <f>IF('Conversion Tables'!H7="NA","NA",$D6/'Conversion Tables'!H7)</f>
        <v>NA</v>
      </c>
      <c r="M6" s="16" t="str">
        <f>IF('Conversion Tables'!K7="NA","NA",$C74*'Conversion Tables'!K7)</f>
        <v>NA</v>
      </c>
      <c r="N6" s="16" t="str">
        <f>IF('Conversion Tables'!L7="NA","NA",$C74*'Conversion Tables'!L7)</f>
        <v>NA</v>
      </c>
      <c r="O6" s="16" t="str">
        <f>IF('Conversion Tables'!M7="NA","NA",$C74*'Conversion Tables'!M7)</f>
        <v>NA</v>
      </c>
      <c r="P6" s="16" t="str">
        <f>IF('Conversion Tables'!N7="NA","NA",$C74*'Conversion Tables'!N7)</f>
        <v>NA</v>
      </c>
      <c r="Q6" s="15"/>
    </row>
    <row r="7" spans="1:17" x14ac:dyDescent="0.25">
      <c r="A7" s="1064"/>
      <c r="B7" s="11" t="str">
        <f>IF('Prac. Rec. Assumptions'!$B$56='Prac. Rec. Assumptions'!$V$3,A75,IF('Prac. Rec. Assumptions'!B59="No",A75,"Rye- Converted to Energy Crop"))</f>
        <v>Rye</v>
      </c>
      <c r="C7" s="294">
        <f>IF('Prac. Rec. Assumptions'!$B$56='Prac. Rec. Assumptions'!$V$3,D75,IF('Prac. Rec. Assumptions'!B59="No",D75,0))</f>
        <v>1652.6328000000001</v>
      </c>
      <c r="D7" s="294" t="s">
        <v>431</v>
      </c>
      <c r="E7" s="294">
        <f>C7*'Prac. Rec. Assumptions'!B5</f>
        <v>0</v>
      </c>
      <c r="F7" s="294">
        <f t="shared" ref="F7:H10" si="0">$E7</f>
        <v>0</v>
      </c>
      <c r="G7" s="294">
        <f t="shared" si="0"/>
        <v>0</v>
      </c>
      <c r="H7" s="294">
        <f t="shared" si="0"/>
        <v>0</v>
      </c>
      <c r="I7" s="16" t="str">
        <f>IF('Conversion Tables'!F8="NA","NA",$D7/'Conversion Tables'!F8)</f>
        <v>NA</v>
      </c>
      <c r="J7" s="16" t="str">
        <f>IF('Conversion Tables'!G8="NA","NA",$D7/'Conversion Tables'!G8)</f>
        <v>NA</v>
      </c>
      <c r="K7" s="16" t="str">
        <f>IF('Conversion Tables'!H8="NA","NA",$D7/'Conversion Tables'!H8)</f>
        <v>NA</v>
      </c>
      <c r="L7" s="16" t="str">
        <f>IF('Conversion Tables'!H8="NA","NA",$D7/'Conversion Tables'!H8)</f>
        <v>NA</v>
      </c>
      <c r="M7" s="16" t="str">
        <f>IF('Conversion Tables'!K8="NA","NA",$C75*'Conversion Tables'!K8)</f>
        <v>NA</v>
      </c>
      <c r="N7" s="16" t="str">
        <f>IF('Conversion Tables'!L8="NA","NA",$C75*'Conversion Tables'!L8)</f>
        <v>NA</v>
      </c>
      <c r="O7" s="16" t="str">
        <f>IF('Conversion Tables'!M8="NA","NA",$C75*'Conversion Tables'!M8)</f>
        <v>NA</v>
      </c>
      <c r="P7" s="16" t="str">
        <f>IF('Conversion Tables'!N8="NA","NA",$C75*'Conversion Tables'!N8)</f>
        <v>NA</v>
      </c>
      <c r="Q7" s="15"/>
    </row>
    <row r="8" spans="1:17" x14ac:dyDescent="0.25">
      <c r="A8" s="1064"/>
      <c r="B8" s="11" t="str">
        <f>IF('Prac. Rec. Assumptions'!$B$56='Prac. Rec. Assumptions'!$V$3,A76,IF('Prac. Rec. Assumptions'!B60="No",A76,"Corn for Grain- Converted to Energy Crop"))</f>
        <v>Corn for Grain</v>
      </c>
      <c r="C8" s="294">
        <f>IF('Prac. Rec. Assumptions'!$B$56='Prac. Rec. Assumptions'!$V$3,D76,IF('Prac. Rec. Assumptions'!B60="No",D76,0))</f>
        <v>5848.5</v>
      </c>
      <c r="D8" s="294" t="s">
        <v>431</v>
      </c>
      <c r="E8" s="294">
        <f>C8*'Prac. Rec. Assumptions'!B6</f>
        <v>0</v>
      </c>
      <c r="F8" s="294">
        <f t="shared" si="0"/>
        <v>0</v>
      </c>
      <c r="G8" s="294">
        <f t="shared" si="0"/>
        <v>0</v>
      </c>
      <c r="H8" s="294">
        <f t="shared" si="0"/>
        <v>0</v>
      </c>
      <c r="I8" s="16" t="str">
        <f>IF('Conversion Tables'!F9="NA","NA",$D8/'Conversion Tables'!F9)</f>
        <v>NA</v>
      </c>
      <c r="J8" s="16" t="str">
        <f>IF('Conversion Tables'!G9="NA","NA",$D8/'Conversion Tables'!G9)</f>
        <v>NA</v>
      </c>
      <c r="K8" s="16" t="str">
        <f>IF('Conversion Tables'!H9="NA","NA",$D8/'Conversion Tables'!H9)</f>
        <v>NA</v>
      </c>
      <c r="L8" s="16" t="str">
        <f>IF('Conversion Tables'!H9="NA","NA",$D8/'Conversion Tables'!H9)</f>
        <v>NA</v>
      </c>
      <c r="M8" s="16" t="str">
        <f>IF('Conversion Tables'!K9="NA","NA",$C76*'Conversion Tables'!K9)</f>
        <v>NA</v>
      </c>
      <c r="N8" s="16" t="str">
        <f>IF('Conversion Tables'!L9="NA","NA",$C76*'Conversion Tables'!L9)</f>
        <v>NA</v>
      </c>
      <c r="O8" s="16" t="str">
        <f>IF('Conversion Tables'!M9="NA","NA",$C76*'Conversion Tables'!M9)</f>
        <v>NA</v>
      </c>
      <c r="P8" s="16" t="str">
        <f>IF('Conversion Tables'!N9="NA","NA",$C76*'Conversion Tables'!N9)</f>
        <v>NA</v>
      </c>
      <c r="Q8" s="15"/>
    </row>
    <row r="9" spans="1:17" x14ac:dyDescent="0.25">
      <c r="A9" s="1064"/>
      <c r="B9" s="11" t="str">
        <f>IF('Prac. Rec. Assumptions'!$B$56='Prac. Rec. Assumptions'!$V$3,A78,IF('Prac. Rec. Assumptions'!B64="No",A78,"Wheat- Converted to Energy Crop"))</f>
        <v>Wheat</v>
      </c>
      <c r="C9" s="294">
        <f>IF('Prac. Rec. Assumptions'!$B$56='Prac. Rec. Assumptions'!$V$3,D78,IF('Prac. Rec. Assumptions'!B64="No",D78,0))</f>
        <v>1180.98</v>
      </c>
      <c r="D9" s="294" t="s">
        <v>431</v>
      </c>
      <c r="E9" s="294">
        <f>C9*'Prac. Rec. Assumptions'!B7</f>
        <v>0</v>
      </c>
      <c r="F9" s="294">
        <f t="shared" si="0"/>
        <v>0</v>
      </c>
      <c r="G9" s="294">
        <f t="shared" si="0"/>
        <v>0</v>
      </c>
      <c r="H9" s="294">
        <f t="shared" si="0"/>
        <v>0</v>
      </c>
      <c r="I9" s="16" t="str">
        <f>IF('Conversion Tables'!F10="NA","NA",$D9/'Conversion Tables'!F10)</f>
        <v>NA</v>
      </c>
      <c r="J9" s="16" t="str">
        <f>IF('Conversion Tables'!G10="NA","NA",$D9/'Conversion Tables'!G10)</f>
        <v>NA</v>
      </c>
      <c r="K9" s="16" t="str">
        <f>IF('Conversion Tables'!H10="NA","NA",$D9/'Conversion Tables'!H10)</f>
        <v>NA</v>
      </c>
      <c r="L9" s="16" t="str">
        <f>IF('Conversion Tables'!H10="NA","NA",$D9/'Conversion Tables'!H10)</f>
        <v>NA</v>
      </c>
      <c r="M9" s="16" t="str">
        <f>IF('Conversion Tables'!K10="NA","NA",$C78*'Conversion Tables'!K10)</f>
        <v>NA</v>
      </c>
      <c r="N9" s="16" t="str">
        <f>IF('Conversion Tables'!L10="NA","NA",$C78*'Conversion Tables'!L10)</f>
        <v>NA</v>
      </c>
      <c r="O9" s="16" t="str">
        <f>IF('Conversion Tables'!M10="NA","NA",$C78*'Conversion Tables'!M10)</f>
        <v>NA</v>
      </c>
      <c r="P9" s="16" t="str">
        <f>IF('Conversion Tables'!N10="NA","NA",$C78*'Conversion Tables'!N10)</f>
        <v>NA</v>
      </c>
      <c r="Q9" s="15"/>
    </row>
    <row r="10" spans="1:17" x14ac:dyDescent="0.25">
      <c r="A10" s="1064"/>
      <c r="B10" s="129" t="s">
        <v>301</v>
      </c>
      <c r="C10" s="294"/>
      <c r="D10" s="294" t="s">
        <v>431</v>
      </c>
      <c r="E10" s="294">
        <f>C10*'Prac. Rec. Assumptions'!B8</f>
        <v>0</v>
      </c>
      <c r="F10" s="294">
        <f t="shared" si="0"/>
        <v>0</v>
      </c>
      <c r="G10" s="294">
        <f t="shared" si="0"/>
        <v>0</v>
      </c>
      <c r="H10" s="294">
        <f t="shared" si="0"/>
        <v>0</v>
      </c>
      <c r="I10" s="16" t="str">
        <f>IF('Conversion Tables'!F11="NA","NA",$D10/'Conversion Tables'!F11)</f>
        <v>NA</v>
      </c>
      <c r="J10" s="16" t="str">
        <f>IF('Conversion Tables'!G11="NA","NA",$D10/'Conversion Tables'!G11)</f>
        <v>NA</v>
      </c>
      <c r="K10" s="16" t="str">
        <f>IF('Conversion Tables'!H11="NA","NA",$D10/'Conversion Tables'!H11)</f>
        <v>NA</v>
      </c>
      <c r="L10" s="16" t="str">
        <f>IF('Conversion Tables'!H11="NA","NA",$D10/'Conversion Tables'!H11)</f>
        <v>NA</v>
      </c>
      <c r="M10" s="16" t="str">
        <f>IF('Conversion Tables'!K11="NA","NA",E10*'Conversion Tables'!K11)</f>
        <v>NA</v>
      </c>
      <c r="N10" s="16" t="str">
        <f>IF('Conversion Tables'!L11="NA","NA",F10*'Conversion Tables'!L11)</f>
        <v>NA</v>
      </c>
      <c r="O10" s="16" t="str">
        <f>IF('Conversion Tables'!M11="NA","NA",G10*'Conversion Tables'!M11)</f>
        <v>NA</v>
      </c>
      <c r="P10" s="16" t="str">
        <f>IF('Conversion Tables'!N11="NA","NA",H10*'Conversion Tables'!N11)</f>
        <v>NA</v>
      </c>
      <c r="Q10" s="7"/>
    </row>
    <row r="11" spans="1:17" x14ac:dyDescent="0.25">
      <c r="A11" s="1065"/>
      <c r="B11" s="9" t="s">
        <v>524</v>
      </c>
      <c r="C11" s="295">
        <f t="shared" ref="C11:P11" si="1">SUM(C5:C10)</f>
        <v>9428.0999999999985</v>
      </c>
      <c r="D11" s="295">
        <f t="shared" si="1"/>
        <v>0</v>
      </c>
      <c r="E11" s="295">
        <f t="shared" si="1"/>
        <v>0</v>
      </c>
      <c r="F11" s="295">
        <f t="shared" si="1"/>
        <v>0</v>
      </c>
      <c r="G11" s="295">
        <f t="shared" si="1"/>
        <v>0</v>
      </c>
      <c r="H11" s="295">
        <f t="shared" si="1"/>
        <v>0</v>
      </c>
      <c r="I11" s="19">
        <f t="shared" si="1"/>
        <v>0</v>
      </c>
      <c r="J11" s="19">
        <f t="shared" si="1"/>
        <v>0</v>
      </c>
      <c r="K11" s="19">
        <f t="shared" si="1"/>
        <v>0</v>
      </c>
      <c r="L11" s="19">
        <f t="shared" si="1"/>
        <v>0</v>
      </c>
      <c r="M11" s="19">
        <f t="shared" si="1"/>
        <v>0</v>
      </c>
      <c r="N11" s="19">
        <f t="shared" si="1"/>
        <v>0</v>
      </c>
      <c r="O11" s="19">
        <f t="shared" si="1"/>
        <v>0</v>
      </c>
      <c r="P11" s="19">
        <f t="shared" si="1"/>
        <v>0</v>
      </c>
      <c r="Q11" s="19"/>
    </row>
    <row r="12" spans="1:17" x14ac:dyDescent="0.25">
      <c r="A12" s="8"/>
      <c r="C12" s="296"/>
      <c r="D12" s="296"/>
      <c r="E12" s="296"/>
      <c r="F12" s="296"/>
      <c r="G12" s="296"/>
      <c r="H12" s="296"/>
      <c r="I12" s="28"/>
      <c r="J12" s="28"/>
      <c r="K12" s="28"/>
      <c r="L12" s="28"/>
      <c r="M12" s="28"/>
      <c r="N12" s="28"/>
      <c r="O12" s="28"/>
      <c r="P12" s="28"/>
    </row>
    <row r="13" spans="1:17" x14ac:dyDescent="0.25">
      <c r="A13" s="1206" t="s">
        <v>514</v>
      </c>
      <c r="B13" s="1" t="s">
        <v>507</v>
      </c>
      <c r="C13" s="294">
        <f>D90</f>
        <v>0</v>
      </c>
      <c r="D13" s="294">
        <f>E13*'Conversion Tables'!C12</f>
        <v>0</v>
      </c>
      <c r="E13" s="294">
        <f>C13*'Prac. Rec. Assumptions'!B9</f>
        <v>0</v>
      </c>
      <c r="F13" s="294">
        <f>$E13</f>
        <v>0</v>
      </c>
      <c r="G13" s="294">
        <f>$E13</f>
        <v>0</v>
      </c>
      <c r="H13" s="294">
        <f>$E13</f>
        <v>0</v>
      </c>
      <c r="I13" s="16" t="str">
        <f>IF('Conversion Tables'!F12="NA","NA",(E13*'Conversion Tables'!$C12)/'Conversion Tables'!F12)</f>
        <v>NA</v>
      </c>
      <c r="J13" s="16" t="str">
        <f>IF('Conversion Tables'!G12="NA","NA",(F13*'Conversion Tables'!$C12)/'Conversion Tables'!G12)</f>
        <v>NA</v>
      </c>
      <c r="K13" s="16" t="str">
        <f>IF('Conversion Tables'!H12="NA","NA",(G13*'Conversion Tables'!$C12)/'Conversion Tables'!H12)</f>
        <v>NA</v>
      </c>
      <c r="L13" s="16" t="str">
        <f>IF('Conversion Tables'!I12="NA","NA",(H13*'Conversion Tables'!$C12)/'Conversion Tables'!I12)</f>
        <v>NA</v>
      </c>
      <c r="M13" s="16" t="str">
        <f>IF('Conversion Tables'!K12="NA","NA",E13*'Conversion Tables'!K12)</f>
        <v>NA</v>
      </c>
      <c r="N13" s="16" t="str">
        <f>IF('Conversion Tables'!L12="NA","NA",F13*'Conversion Tables'!L12)</f>
        <v>NA</v>
      </c>
      <c r="O13" s="16" t="str">
        <f>IF('Conversion Tables'!M12="NA","NA",G13*'Conversion Tables'!M12)</f>
        <v>NA</v>
      </c>
      <c r="P13" s="16" t="str">
        <f>IF('Conversion Tables'!N12="NA","NA",H13*'Conversion Tables'!N12)</f>
        <v>NA</v>
      </c>
      <c r="Q13" s="7"/>
    </row>
    <row r="14" spans="1:17" x14ac:dyDescent="0.25">
      <c r="A14" s="1207"/>
      <c r="B14" s="1" t="s">
        <v>504</v>
      </c>
      <c r="C14" s="294"/>
      <c r="D14" s="294"/>
      <c r="E14" s="294"/>
      <c r="F14" s="294"/>
      <c r="G14" s="294"/>
      <c r="H14" s="294"/>
      <c r="I14" s="16"/>
      <c r="J14" s="16"/>
      <c r="K14" s="16"/>
      <c r="L14" s="16"/>
      <c r="M14" s="16"/>
      <c r="N14" s="16"/>
      <c r="O14" s="16"/>
      <c r="P14" s="16"/>
      <c r="Q14" s="7"/>
    </row>
    <row r="15" spans="1:17" x14ac:dyDescent="0.25">
      <c r="A15" s="1207"/>
      <c r="B15" s="11" t="str">
        <f>IF('Prac. Rec. Assumptions'!$B$56='Prac. Rec. Assumptions'!$V$3,A81,IF('Prac. Rec. Assumptions'!B57="No",A81,"Sweet Corn- Converted to Energy Crop"))</f>
        <v>Sweet Corn</v>
      </c>
      <c r="C15" s="294">
        <f>IF('Prac. Rec. Assumptions'!$B$56='Prac. Rec. Assumptions'!$V$3,D81,IF('Prac. Rec. Assumptions'!B58="No",D81,0))</f>
        <v>320.45</v>
      </c>
      <c r="D15" s="294">
        <f>E15*'Conversion Tables'!C14</f>
        <v>4033.0555199999999</v>
      </c>
      <c r="E15" s="294">
        <f>C15*'Prac. Rec. Assumptions'!B11</f>
        <v>256.36</v>
      </c>
      <c r="F15" s="294">
        <f>$E15</f>
        <v>256.36</v>
      </c>
      <c r="G15" s="294">
        <f>$E15</f>
        <v>256.36</v>
      </c>
      <c r="H15" s="294">
        <f>$E15</f>
        <v>256.36</v>
      </c>
      <c r="I15" s="16" t="str">
        <f>IF('Conversion Tables'!F14="NA","NA",(E15*'Conversion Tables'!$C14)/'Conversion Tables'!F14)</f>
        <v>NA</v>
      </c>
      <c r="J15" s="16" t="str">
        <f>IF('Conversion Tables'!G14="NA","NA",(F15*'Conversion Tables'!$C14)/'Conversion Tables'!G14)</f>
        <v>NA</v>
      </c>
      <c r="K15" s="16" t="str">
        <f>IF('Conversion Tables'!H14="NA","NA",(G15*'Conversion Tables'!$C14)/'Conversion Tables'!H14)</f>
        <v>NA</v>
      </c>
      <c r="L15" s="16" t="str">
        <f>IF('Conversion Tables'!I14="NA","NA",(H15*'Conversion Tables'!$C14)/'Conversion Tables'!I14)</f>
        <v>NA</v>
      </c>
      <c r="M15" s="16" t="str">
        <f>IF('Conversion Tables'!K14="NA","NA",E15*'Conversion Tables'!K14)</f>
        <v>NA</v>
      </c>
      <c r="N15" s="16" t="str">
        <f>IF('Conversion Tables'!L14="NA","NA",F15*'Conversion Tables'!L14)</f>
        <v>NA</v>
      </c>
      <c r="O15" s="16" t="str">
        <f>IF('Conversion Tables'!M14="NA","NA",G15*'Conversion Tables'!M14)</f>
        <v>NA</v>
      </c>
      <c r="P15" s="16" t="str">
        <f>IF('Conversion Tables'!N14="NA","NA",H15*'Conversion Tables'!N14)</f>
        <v>NA</v>
      </c>
      <c r="Q15" s="15"/>
    </row>
    <row r="16" spans="1:17" x14ac:dyDescent="0.25">
      <c r="A16" s="1207"/>
      <c r="B16" s="11" t="str">
        <f>IF('Prac. Rec. Assumptions'!$B$56='Prac. Rec. Assumptions'!$V$3,A82,IF('Prac. Rec. Assumptions'!B58="No",A82,"Rye- Converted to Energy Crop"))</f>
        <v>Rye</v>
      </c>
      <c r="C16" s="294">
        <f>IF('Prac. Rec. Assumptions'!$B$56='Prac. Rec. Assumptions'!$V$3,D82,IF('Prac. Rec. Assumptions'!B59="No",D82,0))</f>
        <v>5945.9624999999996</v>
      </c>
      <c r="D16" s="294">
        <f>E16*'Conversion Tables'!C15</f>
        <v>0</v>
      </c>
      <c r="E16" s="294">
        <f>C16*'Prac. Rec. Assumptions'!B12</f>
        <v>0</v>
      </c>
      <c r="F16" s="294">
        <f t="shared" ref="F16:H23" si="2">$E16</f>
        <v>0</v>
      </c>
      <c r="G16" s="294">
        <f t="shared" si="2"/>
        <v>0</v>
      </c>
      <c r="H16" s="294">
        <f t="shared" si="2"/>
        <v>0</v>
      </c>
      <c r="I16" s="16" t="str">
        <f>IF('Conversion Tables'!F15="NA","NA",(E16*'Conversion Tables'!$C15)/'Conversion Tables'!F15)</f>
        <v>NA</v>
      </c>
      <c r="J16" s="16" t="str">
        <f>IF('Conversion Tables'!G15="NA","NA",(F16*'Conversion Tables'!$C15)/'Conversion Tables'!G15)</f>
        <v>NA</v>
      </c>
      <c r="K16" s="16" t="str">
        <f>IF('Conversion Tables'!H15="NA","NA",(G16*'Conversion Tables'!$C15)/'Conversion Tables'!H15)</f>
        <v>NA</v>
      </c>
      <c r="L16" s="16" t="str">
        <f>IF('Conversion Tables'!I15="NA","NA",(H16*'Conversion Tables'!$C15)/'Conversion Tables'!I15)</f>
        <v>NA</v>
      </c>
      <c r="M16" s="16" t="str">
        <f>IF('Conversion Tables'!K15="NA","NA",E16*'Conversion Tables'!K15)</f>
        <v>NA</v>
      </c>
      <c r="N16" s="16" t="str">
        <f>IF('Conversion Tables'!L15="NA","NA",F16*'Conversion Tables'!L15)</f>
        <v>NA</v>
      </c>
      <c r="O16" s="16" t="str">
        <f>IF('Conversion Tables'!M15="NA","NA",G16*'Conversion Tables'!M15)</f>
        <v>NA</v>
      </c>
      <c r="P16" s="16" t="str">
        <f>IF('Conversion Tables'!N15="NA","NA",H16*'Conversion Tables'!N15)</f>
        <v>NA</v>
      </c>
      <c r="Q16" s="15"/>
    </row>
    <row r="17" spans="1:17" x14ac:dyDescent="0.25">
      <c r="A17" s="1207"/>
      <c r="B17" s="11" t="str">
        <f>IF('Prac. Rec. Assumptions'!$B$56='Prac. Rec. Assumptions'!$V$3,A83,IF('Prac. Rec. Assumptions'!B59="No",A83,"Corn for Grain- Converted to Energy Crop"))</f>
        <v>Corn for Grain</v>
      </c>
      <c r="C17" s="294">
        <f>IF('Prac. Rec. Assumptions'!$B$56='Prac. Rec. Assumptions'!$V$3,D83,IF('Prac. Rec. Assumptions'!B60="No",D83,0))</f>
        <v>4594.25</v>
      </c>
      <c r="D17" s="294">
        <f>E17*'Conversion Tables'!C16</f>
        <v>61435.229849999996</v>
      </c>
      <c r="E17" s="294">
        <f>C17*'Prac. Rec. Assumptions'!B13</f>
        <v>3905.1124999999997</v>
      </c>
      <c r="F17" s="294">
        <f t="shared" si="2"/>
        <v>3905.1124999999997</v>
      </c>
      <c r="G17" s="294">
        <f t="shared" si="2"/>
        <v>3905.1124999999997</v>
      </c>
      <c r="H17" s="294">
        <f t="shared" si="2"/>
        <v>3905.1124999999997</v>
      </c>
      <c r="I17" s="16" t="str">
        <f>IF('Conversion Tables'!F16="NA","NA",(E17*'Conversion Tables'!$C16)/'Conversion Tables'!F16)</f>
        <v>NA</v>
      </c>
      <c r="J17" s="16" t="str">
        <f>IF('Conversion Tables'!G16="NA","NA",(F17*'Conversion Tables'!$C16)/'Conversion Tables'!G16)</f>
        <v>NA</v>
      </c>
      <c r="K17" s="16" t="str">
        <f>IF('Conversion Tables'!H16="NA","NA",(G17*'Conversion Tables'!$C16)/'Conversion Tables'!H16)</f>
        <v>NA</v>
      </c>
      <c r="L17" s="16" t="str">
        <f>IF('Conversion Tables'!I16="NA","NA",(H17*'Conversion Tables'!$C16)/'Conversion Tables'!I16)</f>
        <v>NA</v>
      </c>
      <c r="M17" s="16" t="str">
        <f>IF('Conversion Tables'!K16="NA","NA",E17*'Conversion Tables'!K16)</f>
        <v>NA</v>
      </c>
      <c r="N17" s="16" t="str">
        <f>IF('Conversion Tables'!L16="NA","NA",F17*'Conversion Tables'!L16)</f>
        <v>NA</v>
      </c>
      <c r="O17" s="16" t="str">
        <f>IF('Conversion Tables'!M16="NA","NA",G17*'Conversion Tables'!M16)</f>
        <v>NA</v>
      </c>
      <c r="P17" s="16" t="str">
        <f>IF('Conversion Tables'!N16="NA","NA",H17*'Conversion Tables'!N16)</f>
        <v>NA</v>
      </c>
      <c r="Q17" s="15"/>
    </row>
    <row r="18" spans="1:17" x14ac:dyDescent="0.25">
      <c r="A18" s="1207"/>
      <c r="B18" s="11" t="str">
        <f>IF('Prac. Rec. Assumptions'!$B$56='Prac. Rec. Assumptions'!$V$3,A84,IF('Prac. Rec. Assumptions'!B60="No",A84,"Corn for Silage- Converted to Energy Crop"))</f>
        <v>Corn for Silage</v>
      </c>
      <c r="C18" s="294">
        <f>IF('Prac. Rec. Assumptions'!$B$56='Prac. Rec. Assumptions'!$V$3,D84,IF('Prac. Rec. Assumptions'!B61="No",D84,0))</f>
        <v>1130.7799999999997</v>
      </c>
      <c r="D18" s="294">
        <f>E18*'Conversion Tables'!C17</f>
        <v>13342.073219999997</v>
      </c>
      <c r="E18" s="294">
        <f>C18*'Prac. Rec. Assumptions'!B14</f>
        <v>848.08499999999981</v>
      </c>
      <c r="F18" s="294">
        <f t="shared" si="2"/>
        <v>848.08499999999981</v>
      </c>
      <c r="G18" s="294">
        <f t="shared" si="2"/>
        <v>848.08499999999981</v>
      </c>
      <c r="H18" s="294">
        <f t="shared" si="2"/>
        <v>848.08499999999981</v>
      </c>
      <c r="I18" s="16" t="str">
        <f>IF('Conversion Tables'!F17="NA","NA",(E18*'Conversion Tables'!$C17)/'Conversion Tables'!F17)</f>
        <v>NA</v>
      </c>
      <c r="J18" s="16" t="str">
        <f>IF('Conversion Tables'!G17="NA","NA",(F18*'Conversion Tables'!$C17)/'Conversion Tables'!G17)</f>
        <v>NA</v>
      </c>
      <c r="K18" s="16" t="str">
        <f>IF('Conversion Tables'!H17="NA","NA",(G18*'Conversion Tables'!$C17)/'Conversion Tables'!H17)</f>
        <v>NA</v>
      </c>
      <c r="L18" s="16" t="str">
        <f>IF('Conversion Tables'!I17="NA","NA",(H18*'Conversion Tables'!$C17)/'Conversion Tables'!I17)</f>
        <v>NA</v>
      </c>
      <c r="M18" s="16" t="str">
        <f>IF('Conversion Tables'!K17="NA","NA",E18*'Conversion Tables'!K17)</f>
        <v>NA</v>
      </c>
      <c r="N18" s="16" t="str">
        <f>IF('Conversion Tables'!L17="NA","NA",F18*'Conversion Tables'!L17)</f>
        <v>NA</v>
      </c>
      <c r="O18" s="16" t="str">
        <f>IF('Conversion Tables'!M17="NA","NA",G18*'Conversion Tables'!M17)</f>
        <v>NA</v>
      </c>
      <c r="P18" s="16" t="str">
        <f>IF('Conversion Tables'!N17="NA","NA",H18*'Conversion Tables'!N17)</f>
        <v>NA</v>
      </c>
      <c r="Q18" s="15"/>
    </row>
    <row r="19" spans="1:17" x14ac:dyDescent="0.25">
      <c r="A19" s="1207"/>
      <c r="B19" s="11" t="str">
        <f>IF('Prac. Rec. Assumptions'!$B$56='Prac. Rec. Assumptions'!$V$3,A85,IF('Prac. Rec. Assumptions'!B61="No",A85,"Alfalfa Hay- Converted to Energy Crop"))</f>
        <v>Alfalfa Hay</v>
      </c>
      <c r="C19" s="294">
        <f>IF('Prac. Rec. Assumptions'!$B$56='Prac. Rec. Assumptions'!$V$3,D85,IF('Prac. Rec. Assumptions'!B62="No",D85,0))</f>
        <v>4966.72</v>
      </c>
      <c r="D19" s="294">
        <f>E19*'Conversion Tables'!C18</f>
        <v>0</v>
      </c>
      <c r="E19" s="294">
        <f>C19*'Prac. Rec. Assumptions'!B15</f>
        <v>0</v>
      </c>
      <c r="F19" s="294">
        <f t="shared" si="2"/>
        <v>0</v>
      </c>
      <c r="G19" s="294">
        <f t="shared" si="2"/>
        <v>0</v>
      </c>
      <c r="H19" s="294">
        <f t="shared" si="2"/>
        <v>0</v>
      </c>
      <c r="I19" s="16" t="str">
        <f>IF('Conversion Tables'!F18="NA","NA",(E19*'Conversion Tables'!$C18)/'Conversion Tables'!F18)</f>
        <v>NA</v>
      </c>
      <c r="J19" s="16" t="str">
        <f>IF('Conversion Tables'!G18="NA","NA",(F19*'Conversion Tables'!$C18)/'Conversion Tables'!G18)</f>
        <v>NA</v>
      </c>
      <c r="K19" s="16" t="str">
        <f>IF('Conversion Tables'!H18="NA","NA",(G19*'Conversion Tables'!$C18)/'Conversion Tables'!H18)</f>
        <v>NA</v>
      </c>
      <c r="L19" s="16" t="str">
        <f>IF('Conversion Tables'!I18="NA","NA",(H19*'Conversion Tables'!$C18)/'Conversion Tables'!I18)</f>
        <v>NA</v>
      </c>
      <c r="M19" s="16" t="str">
        <f>IF('Conversion Tables'!K18="NA","NA",E19*'Conversion Tables'!K18)</f>
        <v>NA</v>
      </c>
      <c r="N19" s="16" t="str">
        <f>IF('Conversion Tables'!L18="NA","NA",F19*'Conversion Tables'!L18)</f>
        <v>NA</v>
      </c>
      <c r="O19" s="16" t="str">
        <f>IF('Conversion Tables'!M18="NA","NA",G19*'Conversion Tables'!M18)</f>
        <v>NA</v>
      </c>
      <c r="P19" s="16" t="str">
        <f>IF('Conversion Tables'!N18="NA","NA",H19*'Conversion Tables'!N18)</f>
        <v>NA</v>
      </c>
      <c r="Q19" s="15"/>
    </row>
    <row r="20" spans="1:17" x14ac:dyDescent="0.25">
      <c r="A20" s="1207"/>
      <c r="B20" s="11" t="str">
        <f>IF('Prac. Rec. Assumptions'!$B$56='Prac. Rec. Assumptions'!$V$3,A86,IF('Prac. Rec. Assumptions'!B62="No",A86,"Other Hay- Converted to Energy Crop"))</f>
        <v>Other Hay</v>
      </c>
      <c r="C20" s="294">
        <f>IF('Prac. Rec. Assumptions'!$B$56='Prac. Rec. Assumptions'!$V$3,D86,IF('Prac. Rec. Assumptions'!B63="No",D86,0))</f>
        <v>4619.665</v>
      </c>
      <c r="D20" s="294">
        <f>E20*'Conversion Tables'!C19</f>
        <v>36033.387000000002</v>
      </c>
      <c r="E20" s="294">
        <f>C20*'Prac. Rec. Assumptions'!B16</f>
        <v>2309.8325</v>
      </c>
      <c r="F20" s="294">
        <f t="shared" si="2"/>
        <v>2309.8325</v>
      </c>
      <c r="G20" s="294">
        <f t="shared" si="2"/>
        <v>2309.8325</v>
      </c>
      <c r="H20" s="294">
        <f t="shared" si="2"/>
        <v>2309.8325</v>
      </c>
      <c r="I20" s="16" t="str">
        <f>IF('Conversion Tables'!F19="NA","NA",(E20*'Conversion Tables'!$C19)/'Conversion Tables'!F19)</f>
        <v>NA</v>
      </c>
      <c r="J20" s="16" t="str">
        <f>IF('Conversion Tables'!G19="NA","NA",(F20*'Conversion Tables'!$C19)/'Conversion Tables'!G19)</f>
        <v>NA</v>
      </c>
      <c r="K20" s="16" t="str">
        <f>IF('Conversion Tables'!H19="NA","NA",(G20*'Conversion Tables'!$C19)/'Conversion Tables'!H19)</f>
        <v>NA</v>
      </c>
      <c r="L20" s="16" t="str">
        <f>IF('Conversion Tables'!I19="NA","NA",(H20*'Conversion Tables'!$C19)/'Conversion Tables'!I19)</f>
        <v>NA</v>
      </c>
      <c r="M20" s="16" t="str">
        <f>IF('Conversion Tables'!K19="NA","NA",E20*'Conversion Tables'!K19)</f>
        <v>NA</v>
      </c>
      <c r="N20" s="16" t="str">
        <f>IF('Conversion Tables'!L19="NA","NA",F20*'Conversion Tables'!L19)</f>
        <v>NA</v>
      </c>
      <c r="O20" s="16" t="str">
        <f>IF('Conversion Tables'!M19="NA","NA",G20*'Conversion Tables'!M19)</f>
        <v>NA</v>
      </c>
      <c r="P20" s="16" t="str">
        <f>IF('Conversion Tables'!N19="NA","NA",H20*'Conversion Tables'!N19)</f>
        <v>NA</v>
      </c>
      <c r="Q20" s="15"/>
    </row>
    <row r="21" spans="1:17" x14ac:dyDescent="0.25">
      <c r="A21" s="1207"/>
      <c r="B21" s="11" t="str">
        <f>IF('Prac. Rec. Assumptions'!$B$56='Prac. Rec. Assumptions'!$V$3,A87,IF('Prac. Rec. Assumptions'!B63="No",A87,"Wheat- Converted to Energy Crop"))</f>
        <v>Wheat</v>
      </c>
      <c r="C21" s="294">
        <f>IF('Prac. Rec. Assumptions'!$B$56='Prac. Rec. Assumptions'!$V$3,D87,IF('Prac. Rec. Assumptions'!B64="No",D87,0))</f>
        <v>1084.3875</v>
      </c>
      <c r="D21" s="294">
        <f>E21*'Conversion Tables'!C20</f>
        <v>0</v>
      </c>
      <c r="E21" s="294">
        <f>C21*'Prac. Rec. Assumptions'!B17</f>
        <v>0</v>
      </c>
      <c r="F21" s="294">
        <f t="shared" si="2"/>
        <v>0</v>
      </c>
      <c r="G21" s="294">
        <f t="shared" si="2"/>
        <v>0</v>
      </c>
      <c r="H21" s="294">
        <f t="shared" si="2"/>
        <v>0</v>
      </c>
      <c r="I21" s="16" t="str">
        <f>IF('Conversion Tables'!F20="NA","NA",(E21*'Conversion Tables'!$C20)/'Conversion Tables'!F20)</f>
        <v>NA</v>
      </c>
      <c r="J21" s="16" t="str">
        <f>IF('Conversion Tables'!G20="NA","NA",(F21*'Conversion Tables'!$C20)/'Conversion Tables'!G20)</f>
        <v>NA</v>
      </c>
      <c r="K21" s="16" t="str">
        <f>IF('Conversion Tables'!H20="NA","NA",(G21*'Conversion Tables'!$C20)/'Conversion Tables'!H20)</f>
        <v>NA</v>
      </c>
      <c r="L21" s="16" t="str">
        <f>IF('Conversion Tables'!I20="NA","NA",(H21*'Conversion Tables'!$C20)/'Conversion Tables'!I20)</f>
        <v>NA</v>
      </c>
      <c r="M21" s="16" t="str">
        <f>IF('Conversion Tables'!K20="NA","NA",E21*'Conversion Tables'!K20)</f>
        <v>NA</v>
      </c>
      <c r="N21" s="16" t="str">
        <f>IF('Conversion Tables'!L20="NA","NA",F21*'Conversion Tables'!L20)</f>
        <v>NA</v>
      </c>
      <c r="O21" s="16" t="str">
        <f>IF('Conversion Tables'!M20="NA","NA",G21*'Conversion Tables'!M20)</f>
        <v>NA</v>
      </c>
      <c r="P21" s="16" t="str">
        <f>IF('Conversion Tables'!N20="NA","NA",H21*'Conversion Tables'!N20)</f>
        <v>NA</v>
      </c>
      <c r="Q21" s="15"/>
    </row>
    <row r="22" spans="1:17" x14ac:dyDescent="0.25">
      <c r="A22" s="1207"/>
      <c r="B22" s="148" t="s">
        <v>205</v>
      </c>
      <c r="C22" s="294">
        <f>'Biomass Data Assumptions'!P19*1000*'Energy Content Assumptions'!C18</f>
        <v>39485.5</v>
      </c>
      <c r="D22" s="294">
        <f>E22*'Conversion Tables'!C21</f>
        <v>307986.89999999997</v>
      </c>
      <c r="E22" s="294">
        <f>C22*'Prac. Rec. Assumptions'!B18</f>
        <v>19742.75</v>
      </c>
      <c r="F22" s="294">
        <f t="shared" si="2"/>
        <v>19742.75</v>
      </c>
      <c r="G22" s="294">
        <f t="shared" si="2"/>
        <v>19742.75</v>
      </c>
      <c r="H22" s="294">
        <f t="shared" si="2"/>
        <v>19742.75</v>
      </c>
      <c r="I22" s="16" t="str">
        <f>IF('Conversion Tables'!F21="NA","NA",(E22*'Conversion Tables'!$C21)/'Conversion Tables'!F21)</f>
        <v>NA</v>
      </c>
      <c r="J22" s="16" t="str">
        <f>IF('Conversion Tables'!G21="NA","NA",(F22*'Conversion Tables'!$C21)/'Conversion Tables'!G21)</f>
        <v>NA</v>
      </c>
      <c r="K22" s="16" t="str">
        <f>IF('Conversion Tables'!H21="NA","NA",(G22*'Conversion Tables'!$C21)/'Conversion Tables'!H21)</f>
        <v>NA</v>
      </c>
      <c r="L22" s="16" t="str">
        <f>IF('Conversion Tables'!I21="NA","NA",(H22*'Conversion Tables'!$C21)/'Conversion Tables'!I21)</f>
        <v>NA</v>
      </c>
      <c r="M22" s="16" t="str">
        <f>IF('Conversion Tables'!K21="NA","NA",E22*'Conversion Tables'!K21)</f>
        <v>NA</v>
      </c>
      <c r="N22" s="16" t="str">
        <f>IF('Conversion Tables'!L21="NA","NA",F22*'Conversion Tables'!L21)</f>
        <v>NA</v>
      </c>
      <c r="O22" s="16" t="str">
        <f>IF('Conversion Tables'!M21="NA","NA",G22*'Conversion Tables'!M21)</f>
        <v>NA</v>
      </c>
      <c r="P22" s="16" t="str">
        <f>IF('Conversion Tables'!N21="NA","NA",H22*'Conversion Tables'!N21)</f>
        <v>NA</v>
      </c>
      <c r="Q22" s="15"/>
    </row>
    <row r="23" spans="1:17" x14ac:dyDescent="0.25">
      <c r="A23" s="1207"/>
      <c r="B23" s="2" t="s">
        <v>302</v>
      </c>
      <c r="C23" s="294">
        <f>B133</f>
        <v>8.33</v>
      </c>
      <c r="D23" s="294">
        <f>E23*'Conversion Tables'!C22</f>
        <v>136.07888</v>
      </c>
      <c r="E23" s="294">
        <f>C23*'Prac. Rec. Assumptions'!B19</f>
        <v>8.33</v>
      </c>
      <c r="F23" s="297">
        <f t="shared" si="2"/>
        <v>8.33</v>
      </c>
      <c r="G23" s="297">
        <f t="shared" si="2"/>
        <v>8.33</v>
      </c>
      <c r="H23" s="297">
        <f t="shared" si="2"/>
        <v>8.33</v>
      </c>
      <c r="I23" s="16" t="str">
        <f>IF('Conversion Tables'!F22="NA","NA",(E23*'Conversion Tables'!$C22)/'Conversion Tables'!F22)</f>
        <v>NA</v>
      </c>
      <c r="J23" s="16" t="str">
        <f>IF('Conversion Tables'!G22="NA","NA",(F23*'Conversion Tables'!$C22)/'Conversion Tables'!G22)</f>
        <v>NA</v>
      </c>
      <c r="K23" s="16" t="str">
        <f>IF('Conversion Tables'!H22="NA","NA",(G23*'Conversion Tables'!$C22)/'Conversion Tables'!H22)</f>
        <v>NA</v>
      </c>
      <c r="L23" s="16" t="str">
        <f>IF('Conversion Tables'!I22="NA","NA",(H23*'Conversion Tables'!$C22)/'Conversion Tables'!I22)</f>
        <v>NA</v>
      </c>
      <c r="M23" s="16" t="str">
        <f>IF('Conversion Tables'!K22="NA","NA",E23*'Conversion Tables'!K22)</f>
        <v>NA</v>
      </c>
      <c r="N23" s="16" t="str">
        <f>IF('Conversion Tables'!L22="NA","NA",F23*'Conversion Tables'!L22)</f>
        <v>NA</v>
      </c>
      <c r="O23" s="16" t="str">
        <f>IF('Conversion Tables'!M22="NA","NA",G23*'Conversion Tables'!M22)</f>
        <v>NA</v>
      </c>
      <c r="P23" s="16" t="str">
        <f>IF('Conversion Tables'!N22="NA","NA",H23*'Conversion Tables'!N22)</f>
        <v>NA</v>
      </c>
      <c r="Q23" s="7"/>
    </row>
    <row r="24" spans="1:17" x14ac:dyDescent="0.25">
      <c r="A24" s="1207"/>
      <c r="B24" s="1" t="s">
        <v>518</v>
      </c>
      <c r="C24" s="294"/>
      <c r="D24" s="294"/>
      <c r="E24" s="294"/>
      <c r="F24" s="294"/>
      <c r="G24" s="294"/>
      <c r="H24" s="294"/>
      <c r="I24" s="16"/>
      <c r="J24" s="16"/>
      <c r="K24" s="16"/>
      <c r="L24" s="16"/>
      <c r="M24" s="16"/>
      <c r="N24" s="16"/>
      <c r="O24" s="16"/>
      <c r="P24" s="16"/>
      <c r="Q24" s="7"/>
    </row>
    <row r="25" spans="1:17" x14ac:dyDescent="0.25">
      <c r="A25" s="1207"/>
      <c r="B25" s="11" t="s">
        <v>559</v>
      </c>
      <c r="C25" s="294">
        <f>C128</f>
        <v>30611.919999999998</v>
      </c>
      <c r="D25" s="294">
        <f>E25*'Conversion Tables'!C24</f>
        <v>541830.98399999994</v>
      </c>
      <c r="E25" s="294">
        <f>C25*'Prac. Rec. Assumptions'!B21</f>
        <v>30611.919999999998</v>
      </c>
      <c r="F25" s="294">
        <f>($C25*(1+'Biomass Data Assumptions'!G$104))*'Prac. Rec. Assumptions'!$B21</f>
        <v>31227.11515189282</v>
      </c>
      <c r="G25" s="294">
        <f>($C25*(1+'Biomass Data Assumptions'!H$104))*'Prac. Rec. Assumptions'!$B21</f>
        <v>31994.916853092382</v>
      </c>
      <c r="H25" s="294">
        <f>($C25*(1+'Biomass Data Assumptions'!I$104))*'Prac. Rec. Assumptions'!$B21</f>
        <v>32676.877370306902</v>
      </c>
      <c r="I25" s="16" t="str">
        <f>IF('Conversion Tables'!F24="NA","NA",(E25*'Conversion Tables'!$C24)/'Conversion Tables'!F24)</f>
        <v>NA</v>
      </c>
      <c r="J25" s="16" t="str">
        <f>IF('Conversion Tables'!G24="NA","NA",(F25*'Conversion Tables'!$C24)/'Conversion Tables'!G24)</f>
        <v>NA</v>
      </c>
      <c r="K25" s="16" t="str">
        <f>IF('Conversion Tables'!H24="NA","NA",(G25*'Conversion Tables'!$C24)/'Conversion Tables'!H24)</f>
        <v>NA</v>
      </c>
      <c r="L25" s="16" t="str">
        <f>IF('Conversion Tables'!I24="NA","NA",(H25*'Conversion Tables'!$C24)/'Conversion Tables'!I24)</f>
        <v>NA</v>
      </c>
      <c r="M25" s="16" t="str">
        <f>IF('Conversion Tables'!K24="NA","NA",E25*'Conversion Tables'!K24)</f>
        <v>NA</v>
      </c>
      <c r="N25" s="16" t="str">
        <f>IF('Conversion Tables'!L24="NA","NA",F25*'Conversion Tables'!L24)</f>
        <v>NA</v>
      </c>
      <c r="O25" s="16" t="str">
        <f>IF('Conversion Tables'!M24="NA","NA",G25*'Conversion Tables'!M24)</f>
        <v>NA</v>
      </c>
      <c r="P25" s="16" t="str">
        <f>IF('Conversion Tables'!N24="NA","NA",H25*'Conversion Tables'!N24)</f>
        <v>NA</v>
      </c>
      <c r="Q25" s="13"/>
    </row>
    <row r="26" spans="1:17" x14ac:dyDescent="0.25">
      <c r="A26" s="1207"/>
      <c r="B26" s="11" t="s">
        <v>560</v>
      </c>
      <c r="C26" s="294">
        <f>C129</f>
        <v>30.886666666666663</v>
      </c>
      <c r="D26" s="294">
        <f>E26*'Conversion Tables'!C25</f>
        <v>481.83199999999994</v>
      </c>
      <c r="E26" s="294">
        <f>C26*'Prac. Rec. Assumptions'!B22</f>
        <v>30.886666666666663</v>
      </c>
      <c r="F26" s="294">
        <f>($C26*(1+'Biomass Data Assumptions'!G$104))*'Prac. Rec. Assumptions'!$B22</f>
        <v>31.507383289193537</v>
      </c>
      <c r="G26" s="294">
        <f>($C26*(1+'Biomass Data Assumptions'!H$104))*'Prac. Rec. Assumptions'!$B22</f>
        <v>32.282076128161187</v>
      </c>
      <c r="H26" s="294">
        <f>($C26*(1+'Biomass Data Assumptions'!I$104))*'Prac. Rec. Assumptions'!$B22</f>
        <v>32.970157345380898</v>
      </c>
      <c r="I26" s="16" t="str">
        <f>IF('Conversion Tables'!F25="NA","NA",(E26*'Conversion Tables'!$C25)/'Conversion Tables'!F25)</f>
        <v>NA</v>
      </c>
      <c r="J26" s="16" t="str">
        <f>IF('Conversion Tables'!G25="NA","NA",(F26*'Conversion Tables'!$C25)/'Conversion Tables'!G25)</f>
        <v>NA</v>
      </c>
      <c r="K26" s="16" t="str">
        <f>IF('Conversion Tables'!H25="NA","NA",(G26*'Conversion Tables'!$C25)/'Conversion Tables'!H25)</f>
        <v>NA</v>
      </c>
      <c r="L26" s="16" t="str">
        <f>IF('Conversion Tables'!I25="NA","NA",(H26*'Conversion Tables'!$C25)/'Conversion Tables'!I25)</f>
        <v>NA</v>
      </c>
      <c r="M26" s="16" t="str">
        <f>IF('Conversion Tables'!K25="NA","NA",E26*'Conversion Tables'!K25)</f>
        <v>NA</v>
      </c>
      <c r="N26" s="16" t="str">
        <f>IF('Conversion Tables'!L25="NA","NA",F26*'Conversion Tables'!L25)</f>
        <v>NA</v>
      </c>
      <c r="O26" s="16" t="str">
        <f>IF('Conversion Tables'!M25="NA","NA",G26*'Conversion Tables'!M25)</f>
        <v>NA</v>
      </c>
      <c r="P26" s="16" t="str">
        <f>IF('Conversion Tables'!N25="NA","NA",H26*'Conversion Tables'!N25)</f>
        <v>NA</v>
      </c>
      <c r="Q26" s="13"/>
    </row>
    <row r="27" spans="1:17" x14ac:dyDescent="0.25">
      <c r="A27" s="1207"/>
      <c r="B27" s="11" t="s">
        <v>561</v>
      </c>
      <c r="C27" s="294">
        <f>C130</f>
        <v>30994.22</v>
      </c>
      <c r="D27" s="294">
        <f>E27*'Conversion Tables'!C26</f>
        <v>483509.83199999999</v>
      </c>
      <c r="E27" s="294">
        <f>C27*'Prac. Rec. Assumptions'!B23</f>
        <v>30994.22</v>
      </c>
      <c r="F27" s="294">
        <f>($C27*(1+'Biomass Data Assumptions'!G$104))*'Prac. Rec. Assumptions'!$B23</f>
        <v>31617.098077582181</v>
      </c>
      <c r="G27" s="294">
        <f>($C27*(1+'Biomass Data Assumptions'!H$104))*'Prac. Rec. Assumptions'!$B23</f>
        <v>32394.488546502573</v>
      </c>
      <c r="H27" s="294">
        <f>($C27*(1+'Biomass Data Assumptions'!I$104))*'Prac. Rec. Assumptions'!$B23</f>
        <v>33084.965795295218</v>
      </c>
      <c r="I27" s="16" t="str">
        <f>IF('Conversion Tables'!F26="NA","NA",(E27*'Conversion Tables'!$C26)/'Conversion Tables'!F26)</f>
        <v>NA</v>
      </c>
      <c r="J27" s="16" t="str">
        <f>IF('Conversion Tables'!G26="NA","NA",(F27*'Conversion Tables'!$C26)/'Conversion Tables'!G26)</f>
        <v>NA</v>
      </c>
      <c r="K27" s="16" t="str">
        <f>IF('Conversion Tables'!H26="NA","NA",(G27*'Conversion Tables'!$C26)/'Conversion Tables'!H26)</f>
        <v>NA</v>
      </c>
      <c r="L27" s="16" t="str">
        <f>IF('Conversion Tables'!I26="NA","NA",(H27*'Conversion Tables'!$C26)/'Conversion Tables'!I26)</f>
        <v>NA</v>
      </c>
      <c r="M27" s="16" t="str">
        <f>IF('Conversion Tables'!K26="NA","NA",E27*'Conversion Tables'!K26)</f>
        <v>NA</v>
      </c>
      <c r="N27" s="16" t="str">
        <f>IF('Conversion Tables'!L26="NA","NA",F27*'Conversion Tables'!L26)</f>
        <v>NA</v>
      </c>
      <c r="O27" s="16" t="str">
        <f>IF('Conversion Tables'!M26="NA","NA",G27*'Conversion Tables'!M26)</f>
        <v>NA</v>
      </c>
      <c r="P27" s="16" t="str">
        <f>IF('Conversion Tables'!N26="NA","NA",H27*'Conversion Tables'!N26)</f>
        <v>NA</v>
      </c>
      <c r="Q27" s="13"/>
    </row>
    <row r="28" spans="1:17" x14ac:dyDescent="0.25">
      <c r="A28" s="1207"/>
      <c r="B28" s="11" t="s">
        <v>562</v>
      </c>
      <c r="C28" s="294">
        <f>C131</f>
        <v>1490.0550000000001</v>
      </c>
      <c r="D28" s="294">
        <f>E28*'Conversion Tables'!C27</f>
        <v>26373.9735</v>
      </c>
      <c r="E28" s="294">
        <f>C28*'Prac. Rec. Assumptions'!B24</f>
        <v>1490.0550000000001</v>
      </c>
      <c r="F28" s="294">
        <f>($C28*(1+'Biomass Data Assumptions'!G$104))*'Prac. Rec. Assumptions'!$B24</f>
        <v>1520.0000218102509</v>
      </c>
      <c r="G28" s="294">
        <f>($C28*(1+'Biomass Data Assumptions'!H$104))*'Prac. Rec. Assumptions'!$B24</f>
        <v>1557.3732660850601</v>
      </c>
      <c r="H28" s="294">
        <f>($C28*(1+'Biomass Data Assumptions'!I$104))*'Prac. Rec. Assumptions'!$B24</f>
        <v>1590.5681352235551</v>
      </c>
      <c r="I28" s="16" t="str">
        <f>IF('Conversion Tables'!F27="NA","NA",(E28*'Conversion Tables'!$C27)/'Conversion Tables'!F27)</f>
        <v>NA</v>
      </c>
      <c r="J28" s="16" t="str">
        <f>IF('Conversion Tables'!G27="NA","NA",(F28*'Conversion Tables'!$C27)/'Conversion Tables'!G27)</f>
        <v>NA</v>
      </c>
      <c r="K28" s="16" t="str">
        <f>IF('Conversion Tables'!H27="NA","NA",(G28*'Conversion Tables'!$C27)/'Conversion Tables'!H27)</f>
        <v>NA</v>
      </c>
      <c r="L28" s="16" t="str">
        <f>IF('Conversion Tables'!I27="NA","NA",(H28*'Conversion Tables'!$C27)/'Conversion Tables'!I27)</f>
        <v>NA</v>
      </c>
      <c r="M28" s="16" t="str">
        <f>IF('Conversion Tables'!K27="NA","NA",E28*'Conversion Tables'!K27)</f>
        <v>NA</v>
      </c>
      <c r="N28" s="16" t="str">
        <f>IF('Conversion Tables'!L27="NA","NA",F28*'Conversion Tables'!L27)</f>
        <v>NA</v>
      </c>
      <c r="O28" s="16" t="str">
        <f>IF('Conversion Tables'!M27="NA","NA",G28*'Conversion Tables'!M27)</f>
        <v>NA</v>
      </c>
      <c r="P28" s="16" t="str">
        <f>IF('Conversion Tables'!N27="NA","NA",H28*'Conversion Tables'!N27)</f>
        <v>NA</v>
      </c>
      <c r="Q28" s="13"/>
    </row>
    <row r="29" spans="1:17" x14ac:dyDescent="0.25">
      <c r="A29" s="1208"/>
      <c r="B29" s="9" t="s">
        <v>524</v>
      </c>
      <c r="C29" s="295">
        <f t="shared" ref="C29:P29" si="3">SUM(C13:C28)</f>
        <v>125283.12666666666</v>
      </c>
      <c r="D29" s="295">
        <f>SUM(D13:D28)</f>
        <v>1475163.3459700001</v>
      </c>
      <c r="E29" s="295">
        <f t="shared" si="3"/>
        <v>90197.551666666666</v>
      </c>
      <c r="F29" s="295">
        <f>SUM(F13:F28)</f>
        <v>91466.19063457445</v>
      </c>
      <c r="G29" s="295">
        <f>SUM(G13:G28)</f>
        <v>93049.530741808179</v>
      </c>
      <c r="H29" s="295">
        <f>SUM(H13:H28)</f>
        <v>94455.851458171062</v>
      </c>
      <c r="I29" s="19">
        <f t="shared" si="3"/>
        <v>0</v>
      </c>
      <c r="J29" s="19">
        <f t="shared" si="3"/>
        <v>0</v>
      </c>
      <c r="K29" s="19">
        <f t="shared" si="3"/>
        <v>0</v>
      </c>
      <c r="L29" s="19">
        <f t="shared" si="3"/>
        <v>0</v>
      </c>
      <c r="M29" s="19">
        <f t="shared" si="3"/>
        <v>0</v>
      </c>
      <c r="N29" s="19">
        <f t="shared" si="3"/>
        <v>0</v>
      </c>
      <c r="O29" s="19">
        <f t="shared" si="3"/>
        <v>0</v>
      </c>
      <c r="P29" s="19">
        <f t="shared" si="3"/>
        <v>0</v>
      </c>
      <c r="Q29" s="19"/>
    </row>
    <row r="30" spans="1:17" x14ac:dyDescent="0.25">
      <c r="A30" s="8"/>
      <c r="C30" s="296"/>
      <c r="D30" s="296"/>
      <c r="E30" s="296"/>
      <c r="F30" s="296"/>
      <c r="G30" s="296"/>
      <c r="H30" s="296"/>
      <c r="I30" s="28"/>
      <c r="J30" s="28"/>
      <c r="K30" s="28"/>
      <c r="L30" s="28"/>
      <c r="M30" s="28"/>
      <c r="N30" s="28"/>
      <c r="O30" s="28"/>
      <c r="P30" s="28"/>
    </row>
    <row r="31" spans="1:17" x14ac:dyDescent="0.25">
      <c r="A31" s="1064" t="s">
        <v>516</v>
      </c>
      <c r="B31" s="130" t="str">
        <f>'Bioenergy Calculator'!B34</f>
        <v>Solid wastes - Landfilled</v>
      </c>
      <c r="C31" s="294"/>
      <c r="D31" s="294"/>
      <c r="E31" s="294"/>
      <c r="F31" s="294"/>
      <c r="G31" s="294"/>
      <c r="H31" s="294"/>
      <c r="I31" s="16"/>
      <c r="J31" s="16"/>
      <c r="K31" s="16"/>
      <c r="L31" s="16"/>
      <c r="M31" s="16"/>
      <c r="N31" s="16"/>
      <c r="O31" s="16"/>
      <c r="P31" s="16"/>
      <c r="Q31" s="7"/>
    </row>
    <row r="32" spans="1:17" x14ac:dyDescent="0.25">
      <c r="A32" s="1064"/>
      <c r="B32" s="11" t="str">
        <f>'Bioenergy Calculator'!B35</f>
        <v>Food waste, Landfilled</v>
      </c>
      <c r="C32" s="294">
        <f>C141</f>
        <v>20395.677292200002</v>
      </c>
      <c r="D32" s="294">
        <f>E32*'Conversion Tables'!C29</f>
        <v>195798.50200512004</v>
      </c>
      <c r="E32" s="294">
        <f>C32*'Prac. Rec. Assumptions'!B26</f>
        <v>12237.406375320003</v>
      </c>
      <c r="F32" s="294">
        <f>($C32*(1+'Biomass Data Assumptions'!G$104)*(1+'Biomass Data Assumptions'!C$82))*'Prac. Rec. Assumptions'!$B26</f>
        <v>12474.860562887779</v>
      </c>
      <c r="G32" s="294">
        <f>($C32*(1+'Biomass Data Assumptions'!H$104)*(1+'Biomass Data Assumptions'!D$82))*'Prac. Rec. Assumptions'!$B26</f>
        <v>12772.909760930796</v>
      </c>
      <c r="H32" s="294">
        <f>($C32*(1+'Biomass Data Assumptions'!I$104)*(1+'Biomass Data Assumptions'!E$82))*'Prac. Rec. Assumptions'!$B26</f>
        <v>13036.3024907819</v>
      </c>
      <c r="I32" s="16" t="str">
        <f>IF('Conversion Tables'!F29="NA","NA",(E32*'Conversion Tables'!$C29)/'Conversion Tables'!F29)</f>
        <v>NA</v>
      </c>
      <c r="J32" s="16" t="str">
        <f>IF('Conversion Tables'!G29="NA","NA",(F32*'Conversion Tables'!$C29)/'Conversion Tables'!G29)</f>
        <v>NA</v>
      </c>
      <c r="K32" s="16" t="str">
        <f>IF('Conversion Tables'!H29="NA","NA",(G32*'Conversion Tables'!$C29)/'Conversion Tables'!H29)</f>
        <v>NA</v>
      </c>
      <c r="L32" s="16" t="str">
        <f>IF('Conversion Tables'!I29="NA","NA",(H32*'Conversion Tables'!$C29)/'Conversion Tables'!I29)</f>
        <v>NA</v>
      </c>
      <c r="M32" s="16" t="str">
        <f>IF('Conversion Tables'!K29="NA","NA",E32*'Conversion Tables'!K29)</f>
        <v>NA</v>
      </c>
      <c r="N32" s="16" t="str">
        <f>IF('Conversion Tables'!L29="NA","NA",F32*'Conversion Tables'!L29)</f>
        <v>NA</v>
      </c>
      <c r="O32" s="16" t="str">
        <f>IF('Conversion Tables'!M29="NA","NA",G32*'Conversion Tables'!M29)</f>
        <v>NA</v>
      </c>
      <c r="P32" s="16" t="str">
        <f>IF('Conversion Tables'!N29="NA","NA",H32*'Conversion Tables'!N29)</f>
        <v>NA</v>
      </c>
      <c r="Q32" s="7"/>
    </row>
    <row r="33" spans="1:17" x14ac:dyDescent="0.25">
      <c r="A33" s="1064"/>
      <c r="B33" s="11" t="str">
        <f>'Bioenergy Calculator'!B36</f>
        <v>Waste paper, Landfilled</v>
      </c>
      <c r="C33" s="294">
        <f>C142</f>
        <v>75226.786978500008</v>
      </c>
      <c r="D33" s="294">
        <f>E33*'Conversion Tables'!C30</f>
        <v>873954.72040142177</v>
      </c>
      <c r="E33" s="294">
        <f>C33*'Prac. Rec. Assumptions'!B27</f>
        <v>60181.42958280001</v>
      </c>
      <c r="F33" s="294">
        <f>($C33*(1+'Biomass Data Assumptions'!G$104)*(1+'Biomass Data Assumptions'!C$82))*'Prac. Rec. Assumptions'!$B27</f>
        <v>61349.187850358343</v>
      </c>
      <c r="G33" s="294">
        <f>($C33*(1+'Biomass Data Assumptions'!H$104)*(1+'Biomass Data Assumptions'!D$82))*'Prac. Rec. Assumptions'!$B27</f>
        <v>62814.941807864467</v>
      </c>
      <c r="H33" s="294">
        <f>($C33*(1+'Biomass Data Assumptions'!I$104)*(1+'Biomass Data Assumptions'!E$82))*'Prac. Rec. Assumptions'!$B27</f>
        <v>64110.261301063947</v>
      </c>
      <c r="I33" s="16" t="str">
        <f>IF('Conversion Tables'!F30="NA","NA",(E33*'Conversion Tables'!$C30)/'Conversion Tables'!F30)</f>
        <v>NA</v>
      </c>
      <c r="J33" s="16" t="str">
        <f>IF('Conversion Tables'!G30="NA","NA",(F33*'Conversion Tables'!$C30)/'Conversion Tables'!G30)</f>
        <v>NA</v>
      </c>
      <c r="K33" s="16" t="str">
        <f>IF('Conversion Tables'!H30="NA","NA",(G33*'Conversion Tables'!$C30)/'Conversion Tables'!H30)</f>
        <v>NA</v>
      </c>
      <c r="L33" s="16" t="str">
        <f>IF('Conversion Tables'!I30="NA","NA",(H33*'Conversion Tables'!$C30)/'Conversion Tables'!I30)</f>
        <v>NA</v>
      </c>
      <c r="M33" s="16" t="str">
        <f>IF('Conversion Tables'!K30="NA","NA",E33*'Conversion Tables'!K30)</f>
        <v>NA</v>
      </c>
      <c r="N33" s="16" t="str">
        <f>IF('Conversion Tables'!L30="NA","NA",F33*'Conversion Tables'!L30)</f>
        <v>NA</v>
      </c>
      <c r="O33" s="16" t="str">
        <f>IF('Conversion Tables'!M30="NA","NA",G33*'Conversion Tables'!M30)</f>
        <v>NA</v>
      </c>
      <c r="P33" s="16" t="str">
        <f>IF('Conversion Tables'!N30="NA","NA",H33*'Conversion Tables'!N30)</f>
        <v>NA</v>
      </c>
      <c r="Q33" s="7"/>
    </row>
    <row r="34" spans="1:17" x14ac:dyDescent="0.25">
      <c r="A34" s="1064"/>
      <c r="B34" s="11" t="str">
        <f>'Bioenergy Calculator'!B37</f>
        <v>Other Biomass, Landfilled</v>
      </c>
      <c r="C34" s="294">
        <f>C143</f>
        <v>57865.106350499998</v>
      </c>
      <c r="D34" s="294">
        <f>E34*'Conversion Tables'!C31</f>
        <v>605028.29358381196</v>
      </c>
      <c r="E34" s="294">
        <f>C34*'Prac. Rec. Assumptions'!B28</f>
        <v>41662.876572360001</v>
      </c>
      <c r="F34" s="294">
        <f>($C34*(1+'Biomass Data Assumptions'!G$104)*(1+'Biomass Data Assumptions'!C$82))*'Prac. Rec. Assumptions'!$B28</f>
        <v>42471.301511829057</v>
      </c>
      <c r="G34" s="294">
        <f>($C34*(1+'Biomass Data Assumptions'!H$104)*(1+'Biomass Data Assumptions'!D$82))*'Prac. Rec. Assumptions'!$B28</f>
        <v>43486.025266986886</v>
      </c>
      <c r="H34" s="294">
        <f>($C34*(1+'Biomass Data Assumptions'!I$104)*(1+'Biomass Data Assumptions'!E$82))*'Prac. Rec. Assumptions'!$B28</f>
        <v>44382.759301739126</v>
      </c>
      <c r="I34" s="16" t="str">
        <f>IF('Conversion Tables'!F31="NA","NA",(E34*'Conversion Tables'!$C31)/'Conversion Tables'!F31)</f>
        <v>NA</v>
      </c>
      <c r="J34" s="16" t="str">
        <f>IF('Conversion Tables'!G31="NA","NA",(F34*'Conversion Tables'!$C31)/'Conversion Tables'!G31)</f>
        <v>NA</v>
      </c>
      <c r="K34" s="16" t="str">
        <f>IF('Conversion Tables'!H31="NA","NA",(G34*'Conversion Tables'!$C31)/'Conversion Tables'!H31)</f>
        <v>NA</v>
      </c>
      <c r="L34" s="16" t="str">
        <f>IF('Conversion Tables'!I31="NA","NA",(H34*'Conversion Tables'!$C31)/'Conversion Tables'!I31)</f>
        <v>NA</v>
      </c>
      <c r="M34" s="16" t="str">
        <f>IF('Conversion Tables'!K31="NA","NA",E34*'Conversion Tables'!K31)</f>
        <v>NA</v>
      </c>
      <c r="N34" s="16" t="str">
        <f>IF('Conversion Tables'!L31="NA","NA",F34*'Conversion Tables'!L31)</f>
        <v>NA</v>
      </c>
      <c r="O34" s="16" t="str">
        <f>IF('Conversion Tables'!M31="NA","NA",G34*'Conversion Tables'!M31)</f>
        <v>NA</v>
      </c>
      <c r="P34" s="16" t="str">
        <f>IF('Conversion Tables'!N31="NA","NA",H34*'Conversion Tables'!N31)</f>
        <v>NA</v>
      </c>
      <c r="Q34" s="7"/>
    </row>
    <row r="35" spans="1:17" x14ac:dyDescent="0.25">
      <c r="A35" s="1065"/>
      <c r="B35" s="11" t="str">
        <f>'Bioenergy Calculator'!B38</f>
        <v>C&amp;D (Non-recycled wood)</v>
      </c>
      <c r="C35" s="294">
        <f>C145</f>
        <v>64421.347200000011</v>
      </c>
      <c r="D35" s="294">
        <f>E35*'Conversion Tables'!C32</f>
        <v>729765.02108160022</v>
      </c>
      <c r="E35" s="294">
        <f>C35*'Prac. Rec. Assumptions'!B29</f>
        <v>41229.662208000016</v>
      </c>
      <c r="F35" s="294">
        <f>($C35*(1+'Biomass Data Assumptions'!G$104)*(1+'Biomass Data Assumptions'!C$83))*'Prac. Rec. Assumptions'!$B29</f>
        <v>44170.027849007878</v>
      </c>
      <c r="G35" s="294">
        <f>($C35*(1+'Biomass Data Assumptions'!H$104)*(1+'Biomass Data Assumptions'!D$83))*'Prac. Rec. Assumptions'!$B29</f>
        <v>47528.422013995449</v>
      </c>
      <c r="H35" s="294">
        <f>($C35*(1+'Biomass Data Assumptions'!I$104)*(1+'Biomass Data Assumptions'!E$83))*'Prac. Rec. Assumptions'!$B29</f>
        <v>50978.794251982014</v>
      </c>
      <c r="I35" s="16" t="str">
        <f>IF('Conversion Tables'!F32="NA","NA",(E35*'Conversion Tables'!$C32)/'Conversion Tables'!F32)</f>
        <v>NA</v>
      </c>
      <c r="J35" s="16" t="str">
        <f>IF('Conversion Tables'!G32="NA","NA",(F35*'Conversion Tables'!$C32)/'Conversion Tables'!G32)</f>
        <v>NA</v>
      </c>
      <c r="K35" s="16" t="str">
        <f>IF('Conversion Tables'!H32="NA","NA",(G35*'Conversion Tables'!$C32)/'Conversion Tables'!H32)</f>
        <v>NA</v>
      </c>
      <c r="L35" s="16" t="str">
        <f>IF('Conversion Tables'!I32="NA","NA",(H35*'Conversion Tables'!$C32)/'Conversion Tables'!I32)</f>
        <v>NA</v>
      </c>
      <c r="M35" s="16" t="str">
        <f>IF('Conversion Tables'!K32="NA","NA",E35*'Conversion Tables'!K32)</f>
        <v>NA</v>
      </c>
      <c r="N35" s="16" t="str">
        <f>IF('Conversion Tables'!L32="NA","NA",F35*'Conversion Tables'!L32)</f>
        <v>NA</v>
      </c>
      <c r="O35" s="16" t="str">
        <f>IF('Conversion Tables'!M32="NA","NA",G35*'Conversion Tables'!M32)</f>
        <v>NA</v>
      </c>
      <c r="P35" s="16" t="str">
        <f>IF('Conversion Tables'!N32="NA","NA",H35*'Conversion Tables'!N32)</f>
        <v>NA</v>
      </c>
      <c r="Q35" s="7"/>
    </row>
    <row r="36" spans="1:17" x14ac:dyDescent="0.25">
      <c r="A36" s="1065"/>
      <c r="B36" s="4" t="s">
        <v>280</v>
      </c>
      <c r="C36" s="294"/>
      <c r="D36" s="294"/>
      <c r="E36" s="294"/>
      <c r="F36" s="294"/>
      <c r="G36" s="294"/>
      <c r="H36" s="294"/>
      <c r="I36" s="16"/>
      <c r="J36" s="16"/>
      <c r="K36" s="16"/>
      <c r="L36" s="16"/>
      <c r="M36" s="16"/>
      <c r="N36" s="16"/>
      <c r="O36" s="16"/>
      <c r="P36" s="16"/>
      <c r="Q36" s="7"/>
    </row>
    <row r="37" spans="1:17" x14ac:dyDescent="0.25">
      <c r="A37" s="1065"/>
      <c r="B37" s="677" t="s">
        <v>563</v>
      </c>
      <c r="C37" s="299">
        <f>C132</f>
        <v>637.01</v>
      </c>
      <c r="D37" s="294">
        <f>E37*'Conversion Tables'!C34</f>
        <v>10192.16</v>
      </c>
      <c r="E37" s="294">
        <f>C37*'Prac. Rec. Assumptions'!B31</f>
        <v>637.01</v>
      </c>
      <c r="F37" s="294">
        <f>($C37*(1+'Biomass Data Assumptions'!G$104)*(1+'Biomass Data Assumptions'!C$84))*'Prac. Rec. Assumptions'!$B31</f>
        <v>710.55364907654211</v>
      </c>
      <c r="G37" s="294">
        <f>($C37*(1+'Biomass Data Assumptions'!H$104)*(1+'Biomass Data Assumptions'!D$84))*'Prac. Rec. Assumptions'!$B31</f>
        <v>796.07745392636173</v>
      </c>
      <c r="H37" s="294">
        <f>($C37*(1+'Biomass Data Assumptions'!I$104)*(1+'Biomass Data Assumptions'!E$84))*'Prac. Rec. Assumptions'!$B31</f>
        <v>889.04596584960996</v>
      </c>
      <c r="I37" s="16" t="str">
        <f>IF('Conversion Tables'!F34="NA","NA",(E37*'Conversion Tables'!$C34)/'Conversion Tables'!F34)</f>
        <v>NA</v>
      </c>
      <c r="J37" s="16" t="str">
        <f>IF('Conversion Tables'!G34="NA","NA",(F37*'Conversion Tables'!$C34)/'Conversion Tables'!G34)</f>
        <v>NA</v>
      </c>
      <c r="K37" s="16" t="str">
        <f>IF('Conversion Tables'!H34="NA","NA",(G37*'Conversion Tables'!$C34)/'Conversion Tables'!H34)</f>
        <v>NA</v>
      </c>
      <c r="L37" s="16" t="str">
        <f>IF('Conversion Tables'!I34="NA","NA",(H37*'Conversion Tables'!$C34)/'Conversion Tables'!I34)</f>
        <v>NA</v>
      </c>
      <c r="M37" s="16" t="str">
        <f>IF('Conversion Tables'!K34="NA","NA",E37*'Conversion Tables'!K34)</f>
        <v>NA</v>
      </c>
      <c r="N37" s="16" t="str">
        <f>IF('Conversion Tables'!L34="NA","NA",F37*'Conversion Tables'!L34)</f>
        <v>NA</v>
      </c>
      <c r="O37" s="16" t="str">
        <f>IF('Conversion Tables'!M34="NA","NA",G37*'Conversion Tables'!M34)</f>
        <v>NA</v>
      </c>
      <c r="P37" s="16" t="str">
        <f>IF('Conversion Tables'!N34="NA","NA",H37*'Conversion Tables'!N34)</f>
        <v>NA</v>
      </c>
      <c r="Q37" s="18"/>
    </row>
    <row r="38" spans="1:17" x14ac:dyDescent="0.25">
      <c r="A38" s="1065"/>
      <c r="B38" s="11" t="s">
        <v>565</v>
      </c>
      <c r="C38" s="294">
        <f>C134</f>
        <v>13349.304000000002</v>
      </c>
      <c r="D38" s="294">
        <f>E38*'Conversion Tables'!C35</f>
        <v>118141.34040000002</v>
      </c>
      <c r="E38" s="294">
        <f>C38*'Prac. Rec. Assumptions'!B32</f>
        <v>6674.652000000001</v>
      </c>
      <c r="F38" s="294">
        <f>($C38*(1+'Biomass Data Assumptions'!G$104)*(1+'Biomass Data Assumptions'!C$84))*'Prac. Rec. Assumptions'!$B32</f>
        <v>7445.2494229541771</v>
      </c>
      <c r="G38" s="294">
        <f>($C38*(1+'Biomass Data Assumptions'!H$104)*(1+'Biomass Data Assumptions'!D$84))*'Prac. Rec. Assumptions'!$B32</f>
        <v>8341.3760694565208</v>
      </c>
      <c r="H38" s="294">
        <f>($C38*(1+'Biomass Data Assumptions'!I$104)*(1+'Biomass Data Assumptions'!E$84))*'Prac. Rec. Assumptions'!$B32</f>
        <v>9315.5090721496235</v>
      </c>
      <c r="I38" s="16" t="str">
        <f>IF('Conversion Tables'!F35="NA","NA",(E38*'Conversion Tables'!$C35)/'Conversion Tables'!F35)</f>
        <v>NA</v>
      </c>
      <c r="J38" s="16" t="str">
        <f>IF('Conversion Tables'!G35="NA","NA",(F38*'Conversion Tables'!$C35)/'Conversion Tables'!G35)</f>
        <v>NA</v>
      </c>
      <c r="K38" s="16" t="str">
        <f>IF('Conversion Tables'!H35="NA","NA",(G38*'Conversion Tables'!$C35)/'Conversion Tables'!H35)</f>
        <v>NA</v>
      </c>
      <c r="L38" s="16" t="str">
        <f>IF('Conversion Tables'!I35="NA","NA",(H38*'Conversion Tables'!$C35)/'Conversion Tables'!I35)</f>
        <v>NA</v>
      </c>
      <c r="M38" s="16" t="str">
        <f>IF('Conversion Tables'!K35="NA","NA",E38*'Conversion Tables'!K35)</f>
        <v>NA</v>
      </c>
      <c r="N38" s="16" t="str">
        <f>IF('Conversion Tables'!L35="NA","NA",F38*'Conversion Tables'!L35)</f>
        <v>NA</v>
      </c>
      <c r="O38" s="16" t="str">
        <f>IF('Conversion Tables'!M35="NA","NA",G38*'Conversion Tables'!M35)</f>
        <v>NA</v>
      </c>
      <c r="P38" s="16" t="str">
        <f>IF('Conversion Tables'!N35="NA","NA",H38*'Conversion Tables'!N35)</f>
        <v>NA</v>
      </c>
      <c r="Q38" s="13"/>
    </row>
    <row r="39" spans="1:17" x14ac:dyDescent="0.25">
      <c r="A39" s="1065"/>
      <c r="B39" s="17" t="s">
        <v>555</v>
      </c>
      <c r="C39" s="294">
        <f>C124</f>
        <v>44154.927000000003</v>
      </c>
      <c r="D39" s="299">
        <f>E39*'Conversion Tables'!C36</f>
        <v>0</v>
      </c>
      <c r="E39" s="299">
        <f>C39*'Prac. Rec. Assumptions'!B33</f>
        <v>0</v>
      </c>
      <c r="F39" s="294">
        <f>($C39*(1+'Biomass Data Assumptions'!G$104)*(1+'Biomass Data Assumptions'!C$82))*'Prac. Rec. Assumptions'!$B33</f>
        <v>0</v>
      </c>
      <c r="G39" s="294">
        <f>($C39*(1+'Biomass Data Assumptions'!H$104)*(1+'Biomass Data Assumptions'!D$82))*'Prac. Rec. Assumptions'!$B33</f>
        <v>0</v>
      </c>
      <c r="H39" s="294">
        <f>($C39*(1+'Biomass Data Assumptions'!I$104)*(1+'Biomass Data Assumptions'!E$82))*'Prac. Rec. Assumptions'!$B33</f>
        <v>0</v>
      </c>
      <c r="I39" s="16" t="str">
        <f>IF('Conversion Tables'!F36="NA","NA",(E39*'Conversion Tables'!$C36)/'Conversion Tables'!F36)</f>
        <v>NA</v>
      </c>
      <c r="J39" s="16" t="str">
        <f>IF('Conversion Tables'!G36="NA","NA",(F39*'Conversion Tables'!$C36)/'Conversion Tables'!G36)</f>
        <v>NA</v>
      </c>
      <c r="K39" s="16" t="str">
        <f>IF('Conversion Tables'!H36="NA","NA",(G39*'Conversion Tables'!$C36)/'Conversion Tables'!H36)</f>
        <v>NA</v>
      </c>
      <c r="L39" s="16" t="str">
        <f>IF('Conversion Tables'!I36="NA","NA",(H39*'Conversion Tables'!$C36)/'Conversion Tables'!I36)</f>
        <v>NA</v>
      </c>
      <c r="M39" s="16" t="str">
        <f>IF('Conversion Tables'!K36="NA","NA",E39*'Conversion Tables'!K36)</f>
        <v>NA</v>
      </c>
      <c r="N39" s="16" t="str">
        <f>IF('Conversion Tables'!L36="NA","NA",F39*'Conversion Tables'!L36)</f>
        <v>NA</v>
      </c>
      <c r="O39" s="16" t="str">
        <f>IF('Conversion Tables'!M36="NA","NA",G39*'Conversion Tables'!M36)</f>
        <v>NA</v>
      </c>
      <c r="P39" s="16" t="str">
        <f>IF('Conversion Tables'!N36="NA","NA",H39*'Conversion Tables'!N36)</f>
        <v>NA</v>
      </c>
      <c r="Q39" s="27"/>
    </row>
    <row r="40" spans="1:17" x14ac:dyDescent="0.25">
      <c r="A40" s="1065"/>
      <c r="B40" s="17" t="s">
        <v>556</v>
      </c>
      <c r="C40" s="294">
        <f>C125</f>
        <v>14193.198</v>
      </c>
      <c r="D40" s="299">
        <f>E40*'Conversion Tables'!C37</f>
        <v>0</v>
      </c>
      <c r="E40" s="299">
        <f>C40*'Prac. Rec. Assumptions'!B34</f>
        <v>0</v>
      </c>
      <c r="F40" s="294">
        <f>($C40*(1+'Biomass Data Assumptions'!G$104)*(1+'Biomass Data Assumptions'!C$84))*'Prac. Rec. Assumptions'!$B34</f>
        <v>0</v>
      </c>
      <c r="G40" s="294">
        <f>($C40*(1+'Biomass Data Assumptions'!H$104)*(1+'Biomass Data Assumptions'!D$84))*'Prac. Rec. Assumptions'!$B34</f>
        <v>0</v>
      </c>
      <c r="H40" s="294">
        <f>($C40*(1+'Biomass Data Assumptions'!I$104)*(1+'Biomass Data Assumptions'!E$84))*'Prac. Rec. Assumptions'!$B34</f>
        <v>0</v>
      </c>
      <c r="I40" s="16" t="str">
        <f>IF('Conversion Tables'!F37="NA","NA",(E40*'Conversion Tables'!$C37)/'Conversion Tables'!F37)</f>
        <v>NA</v>
      </c>
      <c r="J40" s="16" t="str">
        <f>IF('Conversion Tables'!G37="NA","NA",(F40*'Conversion Tables'!$C37)/'Conversion Tables'!G37)</f>
        <v>NA</v>
      </c>
      <c r="K40" s="16" t="str">
        <f>IF('Conversion Tables'!H37="NA","NA",(G40*'Conversion Tables'!$C37)/'Conversion Tables'!H37)</f>
        <v>NA</v>
      </c>
      <c r="L40" s="16" t="str">
        <f>IF('Conversion Tables'!I37="NA","NA",(H40*'Conversion Tables'!$C37)/'Conversion Tables'!I37)</f>
        <v>NA</v>
      </c>
      <c r="M40" s="16" t="str">
        <f>IF('Conversion Tables'!K37="NA","NA",E40*'Conversion Tables'!K37)</f>
        <v>NA</v>
      </c>
      <c r="N40" s="16" t="str">
        <f>IF('Conversion Tables'!L37="NA","NA",F40*'Conversion Tables'!L37)</f>
        <v>NA</v>
      </c>
      <c r="O40" s="16" t="str">
        <f>IF('Conversion Tables'!M37="NA","NA",G40*'Conversion Tables'!M37)</f>
        <v>NA</v>
      </c>
      <c r="P40" s="16" t="str">
        <f>IF('Conversion Tables'!N37="NA","NA",H40*'Conversion Tables'!N37)</f>
        <v>NA</v>
      </c>
      <c r="Q40" s="27"/>
    </row>
    <row r="41" spans="1:17" x14ac:dyDescent="0.25">
      <c r="A41" s="1065"/>
      <c r="B41" s="17" t="s">
        <v>557</v>
      </c>
      <c r="C41" s="294">
        <f>C126</f>
        <v>17430.021000000001</v>
      </c>
      <c r="D41" s="299">
        <f>E41*'Conversion Tables'!C38</f>
        <v>0</v>
      </c>
      <c r="E41" s="299">
        <f>C41*'Prac. Rec. Assumptions'!B35</f>
        <v>0</v>
      </c>
      <c r="F41" s="294">
        <f>($C41*(1+'Biomass Data Assumptions'!G$104)*(1+'Biomass Data Assumptions'!C$84))*'Prac. Rec. Assumptions'!$B35</f>
        <v>0</v>
      </c>
      <c r="G41" s="294">
        <f>($C41*(1+'Biomass Data Assumptions'!H$104)*(1+'Biomass Data Assumptions'!D$84))*'Prac. Rec. Assumptions'!$B35</f>
        <v>0</v>
      </c>
      <c r="H41" s="294">
        <f>($C41*(1+'Biomass Data Assumptions'!I$104)*(1+'Biomass Data Assumptions'!E$84))*'Prac. Rec. Assumptions'!$B35</f>
        <v>0</v>
      </c>
      <c r="I41" s="16" t="str">
        <f>IF('Conversion Tables'!F38="NA","NA",(E41*'Conversion Tables'!$C38)/'Conversion Tables'!F38)</f>
        <v>NA</v>
      </c>
      <c r="J41" s="16" t="str">
        <f>IF('Conversion Tables'!G38="NA","NA",(F41*'Conversion Tables'!$C38)/'Conversion Tables'!G38)</f>
        <v>NA</v>
      </c>
      <c r="K41" s="16" t="str">
        <f>IF('Conversion Tables'!H38="NA","NA",(G41*'Conversion Tables'!$C38)/'Conversion Tables'!H38)</f>
        <v>NA</v>
      </c>
      <c r="L41" s="16" t="str">
        <f>IF('Conversion Tables'!I38="NA","NA",(H41*'Conversion Tables'!$C38)/'Conversion Tables'!I38)</f>
        <v>NA</v>
      </c>
      <c r="M41" s="16" t="str">
        <f>IF('Conversion Tables'!K38="NA","NA",E41*'Conversion Tables'!K38)</f>
        <v>NA</v>
      </c>
      <c r="N41" s="16" t="str">
        <f>IF('Conversion Tables'!L38="NA","NA",F41*'Conversion Tables'!L38)</f>
        <v>NA</v>
      </c>
      <c r="O41" s="16" t="str">
        <f>IF('Conversion Tables'!M38="NA","NA",G41*'Conversion Tables'!M38)</f>
        <v>NA</v>
      </c>
      <c r="P41" s="16" t="str">
        <f>IF('Conversion Tables'!N38="NA","NA",H41*'Conversion Tables'!N38)</f>
        <v>NA</v>
      </c>
      <c r="Q41" s="27"/>
    </row>
    <row r="42" spans="1:17" x14ac:dyDescent="0.25">
      <c r="A42" s="1065"/>
      <c r="B42" s="17" t="s">
        <v>558</v>
      </c>
      <c r="C42" s="294">
        <f>C127</f>
        <v>10212.687</v>
      </c>
      <c r="D42" s="299">
        <f>E42*'Conversion Tables'!C39</f>
        <v>148308.640614</v>
      </c>
      <c r="E42" s="299">
        <f>C42*'Prac. Rec. Assumptions'!B36</f>
        <v>10212.687</v>
      </c>
      <c r="F42" s="294">
        <f>($C42*(1+'Biomass Data Assumptions'!G$104)*(1+'Biomass Data Assumptions'!C$84))*'Prac. Rec. Assumptions'!$B36</f>
        <v>11391.755254590294</v>
      </c>
      <c r="G42" s="294">
        <f>($C42*(1+'Biomass Data Assumptions'!H$104)*(1+'Biomass Data Assumptions'!D$84))*'Prac. Rec. Assumptions'!$B36</f>
        <v>12762.892049900085</v>
      </c>
      <c r="H42" s="294">
        <f>($C42*(1+'Biomass Data Assumptions'!I$104)*(1+'Biomass Data Assumptions'!E$84))*'Prac. Rec. Assumptions'!$B36</f>
        <v>14253.384056505793</v>
      </c>
      <c r="I42" s="16" t="str">
        <f>IF('Conversion Tables'!F39="NA","NA",(E42*'Conversion Tables'!$C39)/'Conversion Tables'!F39)</f>
        <v>NA</v>
      </c>
      <c r="J42" s="16" t="str">
        <f>IF('Conversion Tables'!G39="NA","NA",(F42*'Conversion Tables'!$C39)/'Conversion Tables'!G39)</f>
        <v>NA</v>
      </c>
      <c r="K42" s="16" t="str">
        <f>IF('Conversion Tables'!H39="NA","NA",(G42*'Conversion Tables'!$C39)/'Conversion Tables'!H39)</f>
        <v>NA</v>
      </c>
      <c r="L42" s="16" t="str">
        <f>IF('Conversion Tables'!I39="NA","NA",(H42*'Conversion Tables'!$C39)/'Conversion Tables'!I39)</f>
        <v>NA</v>
      </c>
      <c r="M42" s="16" t="str">
        <f>IF('Conversion Tables'!K39="NA","NA",E42*'Conversion Tables'!K39)</f>
        <v>NA</v>
      </c>
      <c r="N42" s="16" t="str">
        <f>IF('Conversion Tables'!L39="NA","NA",F42*'Conversion Tables'!L39)</f>
        <v>NA</v>
      </c>
      <c r="O42" s="16" t="str">
        <f>IF('Conversion Tables'!M39="NA","NA",G42*'Conversion Tables'!M39)</f>
        <v>NA</v>
      </c>
      <c r="P42" s="16" t="str">
        <f>IF('Conversion Tables'!N39="NA","NA",H42*'Conversion Tables'!N39)</f>
        <v>NA</v>
      </c>
      <c r="Q42" s="27"/>
    </row>
    <row r="43" spans="1:17" x14ac:dyDescent="0.25">
      <c r="A43" s="1065"/>
      <c r="B43" s="9" t="s">
        <v>524</v>
      </c>
      <c r="C43" s="295">
        <f t="shared" ref="C43:P43" si="4">SUM(C31:C42)</f>
        <v>317886.06482119998</v>
      </c>
      <c r="D43" s="295">
        <f t="shared" si="4"/>
        <v>2681188.6780859544</v>
      </c>
      <c r="E43" s="295">
        <f t="shared" si="4"/>
        <v>172835.72373848004</v>
      </c>
      <c r="F43" s="295">
        <f t="shared" si="4"/>
        <v>180012.93610070407</v>
      </c>
      <c r="G43" s="295">
        <f t="shared" si="4"/>
        <v>188502.64442306053</v>
      </c>
      <c r="H43" s="295">
        <f t="shared" si="4"/>
        <v>196966.05644007202</v>
      </c>
      <c r="I43" s="19">
        <f t="shared" si="4"/>
        <v>0</v>
      </c>
      <c r="J43" s="19">
        <f t="shared" si="4"/>
        <v>0</v>
      </c>
      <c r="K43" s="19">
        <f t="shared" si="4"/>
        <v>0</v>
      </c>
      <c r="L43" s="19">
        <f t="shared" si="4"/>
        <v>0</v>
      </c>
      <c r="M43" s="19">
        <f t="shared" si="4"/>
        <v>0</v>
      </c>
      <c r="N43" s="19">
        <f t="shared" si="4"/>
        <v>0</v>
      </c>
      <c r="O43" s="19">
        <f t="shared" si="4"/>
        <v>0</v>
      </c>
      <c r="P43" s="19">
        <f t="shared" si="4"/>
        <v>0</v>
      </c>
      <c r="Q43" s="19"/>
    </row>
    <row r="44" spans="1:17" x14ac:dyDescent="0.25">
      <c r="A44" s="8"/>
      <c r="C44" s="296"/>
      <c r="D44" s="296"/>
      <c r="E44" s="296"/>
      <c r="F44" s="296"/>
      <c r="G44" s="296"/>
      <c r="H44" s="296"/>
      <c r="I44" s="28"/>
      <c r="J44" s="28"/>
      <c r="K44" s="28"/>
      <c r="L44" s="28"/>
      <c r="M44" s="28"/>
      <c r="N44" s="28"/>
      <c r="O44" s="28"/>
      <c r="P44" s="28"/>
    </row>
    <row r="45" spans="1:17" x14ac:dyDescent="0.25">
      <c r="A45" s="1064" t="s">
        <v>515</v>
      </c>
      <c r="B45" s="2" t="s">
        <v>510</v>
      </c>
      <c r="C45" s="294"/>
      <c r="D45" s="294"/>
      <c r="E45" s="294"/>
      <c r="F45" s="294"/>
      <c r="G45" s="294"/>
      <c r="H45" s="294"/>
      <c r="I45" s="16"/>
      <c r="J45" s="16"/>
      <c r="K45" s="16"/>
      <c r="L45" s="16"/>
      <c r="M45" s="16"/>
      <c r="N45" s="16"/>
      <c r="O45" s="16"/>
      <c r="P45" s="16"/>
      <c r="Q45" s="7"/>
    </row>
    <row r="46" spans="1:17" x14ac:dyDescent="0.25">
      <c r="A46" s="1064"/>
      <c r="B46" s="12" t="s">
        <v>525</v>
      </c>
      <c r="C46" s="294">
        <f>D77</f>
        <v>4920.96</v>
      </c>
      <c r="D46" s="294">
        <f>E46*'Conversion Tables'!C41</f>
        <v>0</v>
      </c>
      <c r="E46" s="294">
        <f>C46*'Prac. Rec. Assumptions'!B38</f>
        <v>4920.96</v>
      </c>
      <c r="F46" s="294">
        <f>$E46</f>
        <v>4920.96</v>
      </c>
      <c r="G46" s="294">
        <f>$E46</f>
        <v>4920.96</v>
      </c>
      <c r="H46" s="294">
        <f>$E46</f>
        <v>4920.96</v>
      </c>
      <c r="I46" s="16" t="str">
        <f>IF('Conversion Tables'!F41="NA","NA",(E46*'Conversion Tables'!$C41)/'Conversion Tables'!F41)</f>
        <v>NA</v>
      </c>
      <c r="J46" s="16" t="str">
        <f>IF('Conversion Tables'!G41="NA","NA",(F46*'Conversion Tables'!$C41)/'Conversion Tables'!G41)</f>
        <v>NA</v>
      </c>
      <c r="K46" s="16" t="str">
        <f>IF('Conversion Tables'!H41="NA","NA",(G46*'Conversion Tables'!$C41)/'Conversion Tables'!H41)</f>
        <v>NA</v>
      </c>
      <c r="L46" s="16" t="str">
        <f>IF('Conversion Tables'!I41="NA","NA",(H46*'Conversion Tables'!$C41)/'Conversion Tables'!I41)</f>
        <v>NA</v>
      </c>
      <c r="M46" s="16" t="str">
        <f>IF('Conversion Tables'!K41="NA","NA",E46*'Conversion Tables'!K41)</f>
        <v>NA</v>
      </c>
      <c r="N46" s="16" t="str">
        <f>IF('Conversion Tables'!L41="NA","NA",F46*'Conversion Tables'!L41)</f>
        <v>NA</v>
      </c>
      <c r="O46" s="16" t="str">
        <f>IF('Conversion Tables'!M41="NA","NA",G46*'Conversion Tables'!M41)</f>
        <v>NA</v>
      </c>
      <c r="P46" s="16" t="str">
        <f>IF('Conversion Tables'!N41="NA","NA",H46*'Conversion Tables'!N41)</f>
        <v>NA</v>
      </c>
      <c r="Q46" s="15"/>
    </row>
    <row r="47" spans="1:17" x14ac:dyDescent="0.25">
      <c r="A47" s="1065"/>
      <c r="B47" s="2" t="s">
        <v>508</v>
      </c>
      <c r="C47" s="294">
        <f t="shared" ref="C47:C48" si="5">C148</f>
        <v>2357.6212</v>
      </c>
      <c r="D47" s="294"/>
      <c r="E47" s="294">
        <f>C47*'Prac. Rec. Assumptions'!B39</f>
        <v>1178.8106</v>
      </c>
      <c r="F47" s="294">
        <f>($C47*(1+'Biomass Data Assumptions'!G$104))*'Prac. Rec. Assumptions'!$B39</f>
        <v>1202.5006712572053</v>
      </c>
      <c r="G47" s="294">
        <f>($C47*(1+'Biomass Data Assumptions'!H$104))*'Prac. Rec. Assumptions'!$B39</f>
        <v>1232.0673493379031</v>
      </c>
      <c r="H47" s="294">
        <f>($C47*(1+'Biomass Data Assumptions'!I$104))*'Prac. Rec. Assumptions'!$B39</f>
        <v>1258.3284360803864</v>
      </c>
      <c r="I47" s="16" t="str">
        <f>IF('Conversion Tables'!F42="NA","NA",(E47*'Conversion Tables'!$C42)/'Conversion Tables'!F42)</f>
        <v>NA</v>
      </c>
      <c r="J47" s="16" t="str">
        <f>IF('Conversion Tables'!G42="NA","NA",(F47*'Conversion Tables'!$C42)/'Conversion Tables'!G42)</f>
        <v>NA</v>
      </c>
      <c r="K47" s="16" t="str">
        <f>IF('Conversion Tables'!H42="NA","NA",(G47*'Conversion Tables'!$C42)/'Conversion Tables'!H42)</f>
        <v>NA</v>
      </c>
      <c r="L47" s="16" t="str">
        <f>IF('Conversion Tables'!I42="NA","NA",(H47*'Conversion Tables'!$C42)/'Conversion Tables'!I42)</f>
        <v>NA</v>
      </c>
      <c r="M47" s="16" t="str">
        <f>IF('Conversion Tables'!K42="NA","NA",E47*'Conversion Tables'!K42)</f>
        <v>NA</v>
      </c>
      <c r="N47" s="16" t="str">
        <f>IF('Conversion Tables'!L42="NA","NA",F47*'Conversion Tables'!L42)</f>
        <v>NA</v>
      </c>
      <c r="O47" s="16" t="str">
        <f>IF('Conversion Tables'!M42="NA","NA",G47*'Conversion Tables'!M42)</f>
        <v>NA</v>
      </c>
      <c r="P47" s="16" t="str">
        <f>IF('Conversion Tables'!N42="NA","NA",H47*'Conversion Tables'!N42)</f>
        <v>NA</v>
      </c>
      <c r="Q47" s="7"/>
    </row>
    <row r="48" spans="1:17" x14ac:dyDescent="0.25">
      <c r="A48" s="1065"/>
      <c r="B48" s="1" t="s">
        <v>509</v>
      </c>
      <c r="C48" s="294">
        <f t="shared" si="5"/>
        <v>210.70451500000001</v>
      </c>
      <c r="D48" s="294"/>
      <c r="E48" s="294">
        <f>C48*'Prac. Rec. Assumptions'!B40</f>
        <v>210.70451500000001</v>
      </c>
      <c r="F48" s="294">
        <f>($C48*(1+'Biomass Data Assumptions'!G$104))*'Prac. Rec. Assumptions'!$B40</f>
        <v>214.93895688113417</v>
      </c>
      <c r="G48" s="294">
        <f>($C48*(1+'Biomass Data Assumptions'!H$104))*'Prac. Rec. Assumptions'!$B40</f>
        <v>220.22380294983643</v>
      </c>
      <c r="H48" s="294">
        <f>($C48*(1+'Biomass Data Assumptions'!I$104))*'Prac. Rec. Assumptions'!$B40</f>
        <v>224.91779666303165</v>
      </c>
      <c r="I48" s="16" t="str">
        <f>IF('Conversion Tables'!F43="NA","NA",(E48*'Conversion Tables'!$C43)/'Conversion Tables'!F43)</f>
        <v>NA</v>
      </c>
      <c r="J48" s="16" t="str">
        <f>IF('Conversion Tables'!G43="NA","NA",(F48*'Conversion Tables'!$C43)/'Conversion Tables'!G43)</f>
        <v>NA</v>
      </c>
      <c r="K48" s="16" t="str">
        <f>IF('Conversion Tables'!H43="NA","NA",(G48*'Conversion Tables'!$C43)/'Conversion Tables'!H43)</f>
        <v>NA</v>
      </c>
      <c r="L48" s="16" t="str">
        <f>IF('Conversion Tables'!I43="NA","NA",(H48*'Conversion Tables'!$C43)/'Conversion Tables'!I43)</f>
        <v>NA</v>
      </c>
      <c r="M48" s="16" t="str">
        <f>IF('Conversion Tables'!K43="NA","NA",E48*'Conversion Tables'!K43)</f>
        <v>NA</v>
      </c>
      <c r="N48" s="16" t="str">
        <f>IF('Conversion Tables'!L43="NA","NA",F48*'Conversion Tables'!L43)</f>
        <v>NA</v>
      </c>
      <c r="O48" s="16" t="str">
        <f>IF('Conversion Tables'!M43="NA","NA",G48*'Conversion Tables'!M43)</f>
        <v>NA</v>
      </c>
      <c r="P48" s="16" t="str">
        <f>IF('Conversion Tables'!N43="NA","NA",H48*'Conversion Tables'!N43)</f>
        <v>NA</v>
      </c>
      <c r="Q48" s="7"/>
    </row>
    <row r="49" spans="1:17" x14ac:dyDescent="0.25">
      <c r="A49" s="1065"/>
      <c r="B49" s="9" t="s">
        <v>524</v>
      </c>
      <c r="C49" s="295">
        <f t="shared" ref="C49:P49" si="6">SUM(C45:C48)</f>
        <v>7489.2857150000009</v>
      </c>
      <c r="D49" s="295">
        <f>SUM(D45:D48)</f>
        <v>0</v>
      </c>
      <c r="E49" s="295">
        <f t="shared" si="6"/>
        <v>6310.4751150000002</v>
      </c>
      <c r="F49" s="295">
        <f>SUM(F45:F48)</f>
        <v>6338.3996281383397</v>
      </c>
      <c r="G49" s="295">
        <f>SUM(G45:G48)</f>
        <v>6373.2511522877394</v>
      </c>
      <c r="H49" s="295">
        <f>SUM(H45:H48)</f>
        <v>6404.2062327434178</v>
      </c>
      <c r="I49" s="19">
        <f t="shared" si="6"/>
        <v>0</v>
      </c>
      <c r="J49" s="19">
        <f t="shared" si="6"/>
        <v>0</v>
      </c>
      <c r="K49" s="19">
        <f t="shared" si="6"/>
        <v>0</v>
      </c>
      <c r="L49" s="19">
        <f t="shared" si="6"/>
        <v>0</v>
      </c>
      <c r="M49" s="19">
        <f t="shared" si="6"/>
        <v>0</v>
      </c>
      <c r="N49" s="19">
        <f t="shared" si="6"/>
        <v>0</v>
      </c>
      <c r="O49" s="19">
        <f t="shared" si="6"/>
        <v>0</v>
      </c>
      <c r="P49" s="19">
        <f t="shared" si="6"/>
        <v>0</v>
      </c>
      <c r="Q49" s="19"/>
    </row>
    <row r="50" spans="1:17" x14ac:dyDescent="0.25">
      <c r="A50" s="8"/>
      <c r="C50" s="296"/>
      <c r="D50" s="296"/>
      <c r="E50" s="296"/>
      <c r="F50" s="296"/>
      <c r="G50" s="296"/>
      <c r="H50" s="296"/>
      <c r="I50" s="28"/>
      <c r="J50" s="28"/>
      <c r="K50" s="28"/>
      <c r="L50" s="28"/>
      <c r="M50" s="28"/>
      <c r="N50" s="28"/>
      <c r="O50" s="28"/>
      <c r="P50" s="28"/>
    </row>
    <row r="51" spans="1:17" x14ac:dyDescent="0.25">
      <c r="A51" s="1200" t="s">
        <v>517</v>
      </c>
      <c r="B51" s="2" t="s">
        <v>505</v>
      </c>
      <c r="C51" s="294"/>
      <c r="D51" s="294"/>
      <c r="E51" s="294"/>
      <c r="F51" s="294"/>
      <c r="G51" s="294"/>
      <c r="H51" s="294"/>
      <c r="I51" s="16"/>
      <c r="J51" s="16"/>
      <c r="K51" s="16"/>
      <c r="L51" s="16"/>
      <c r="M51" s="16"/>
      <c r="N51" s="16"/>
      <c r="O51" s="16"/>
      <c r="P51" s="16"/>
      <c r="Q51" s="7"/>
    </row>
    <row r="52" spans="1:17" x14ac:dyDescent="0.25">
      <c r="A52" s="1201"/>
      <c r="B52" s="12" t="s">
        <v>535</v>
      </c>
      <c r="C52" s="294">
        <f>G97</f>
        <v>821.39599999999996</v>
      </c>
      <c r="D52" s="299">
        <f>E52*'Conversion Tables'!C45</f>
        <v>2425.4181088</v>
      </c>
      <c r="E52" s="299">
        <f>C52*'Prac. Rec. Assumptions'!B42</f>
        <v>164.2792</v>
      </c>
      <c r="F52" s="294">
        <f t="shared" ref="F52:H59" si="7">$E52</f>
        <v>164.2792</v>
      </c>
      <c r="G52" s="294">
        <f t="shared" si="7"/>
        <v>164.2792</v>
      </c>
      <c r="H52" s="294">
        <f t="shared" si="7"/>
        <v>164.2792</v>
      </c>
      <c r="I52" s="16" t="str">
        <f>IF('Conversion Tables'!F45="NA","NA",(E52*'Conversion Tables'!$C45)/'Conversion Tables'!F45)</f>
        <v>NA</v>
      </c>
      <c r="J52" s="16" t="str">
        <f>IF('Conversion Tables'!G45="NA","NA",(F52*'Conversion Tables'!$C45)/'Conversion Tables'!G45)</f>
        <v>NA</v>
      </c>
      <c r="K52" s="16" t="str">
        <f>IF('Conversion Tables'!H45="NA","NA",(G52*'Conversion Tables'!$C45)/'Conversion Tables'!H45)</f>
        <v>NA</v>
      </c>
      <c r="L52" s="16" t="str">
        <f>IF('Conversion Tables'!I45="NA","NA",(H52*'Conversion Tables'!$C45)/'Conversion Tables'!I45)</f>
        <v>NA</v>
      </c>
      <c r="M52" s="16" t="str">
        <f>IF('Conversion Tables'!K45="NA","NA",E52*'Conversion Tables'!K45)</f>
        <v>NA</v>
      </c>
      <c r="N52" s="16" t="str">
        <f>IF('Conversion Tables'!L45="NA","NA",F52*'Conversion Tables'!L45)</f>
        <v>NA</v>
      </c>
      <c r="O52" s="16" t="str">
        <f>IF('Conversion Tables'!M45="NA","NA",G52*'Conversion Tables'!M45)</f>
        <v>NA</v>
      </c>
      <c r="P52" s="16" t="str">
        <f>IF('Conversion Tables'!N45="NA","NA",H52*'Conversion Tables'!N45)</f>
        <v>NA</v>
      </c>
      <c r="Q52" s="27"/>
    </row>
    <row r="53" spans="1:17" x14ac:dyDescent="0.25">
      <c r="A53" s="1201"/>
      <c r="B53" s="12" t="s">
        <v>539</v>
      </c>
      <c r="C53" s="294">
        <f>G104</f>
        <v>57.542250000000003</v>
      </c>
      <c r="D53" s="299">
        <f>E53*'Conversion Tables'!C46</f>
        <v>509.73226740000001</v>
      </c>
      <c r="E53" s="299">
        <f>C53*'Prac. Rec. Assumptions'!B43</f>
        <v>34.525350000000003</v>
      </c>
      <c r="F53" s="294">
        <f t="shared" si="7"/>
        <v>34.525350000000003</v>
      </c>
      <c r="G53" s="294">
        <f t="shared" si="7"/>
        <v>34.525350000000003</v>
      </c>
      <c r="H53" s="294">
        <f t="shared" si="7"/>
        <v>34.525350000000003</v>
      </c>
      <c r="I53" s="16" t="str">
        <f>IF('Conversion Tables'!F46="NA","NA",(E53*'Conversion Tables'!$C46)/'Conversion Tables'!F46)</f>
        <v>NA</v>
      </c>
      <c r="J53" s="16" t="str">
        <f>IF('Conversion Tables'!G46="NA","NA",(F53*'Conversion Tables'!$C46)/'Conversion Tables'!G46)</f>
        <v>NA</v>
      </c>
      <c r="K53" s="16" t="str">
        <f>IF('Conversion Tables'!H46="NA","NA",(G53*'Conversion Tables'!$C46)/'Conversion Tables'!H46)</f>
        <v>NA</v>
      </c>
      <c r="L53" s="16" t="str">
        <f>IF('Conversion Tables'!I46="NA","NA",(H53*'Conversion Tables'!$C46)/'Conversion Tables'!I46)</f>
        <v>NA</v>
      </c>
      <c r="M53" s="16" t="str">
        <f>IF('Conversion Tables'!K46="NA","NA",E53*'Conversion Tables'!K46)</f>
        <v>NA</v>
      </c>
      <c r="N53" s="16" t="str">
        <f>IF('Conversion Tables'!L46="NA","NA",F53*'Conversion Tables'!L46)</f>
        <v>NA</v>
      </c>
      <c r="O53" s="16" t="str">
        <f>IF('Conversion Tables'!M46="NA","NA",G53*'Conversion Tables'!M46)</f>
        <v>NA</v>
      </c>
      <c r="P53" s="16" t="str">
        <f>IF('Conversion Tables'!N46="NA","NA",H53*'Conversion Tables'!N46)</f>
        <v>NA</v>
      </c>
      <c r="Q53" s="27"/>
    </row>
    <row r="54" spans="1:17" x14ac:dyDescent="0.25">
      <c r="A54" s="1201"/>
      <c r="B54" s="12" t="s">
        <v>545</v>
      </c>
      <c r="C54" s="294">
        <f>G106</f>
        <v>25545.550649999997</v>
      </c>
      <c r="D54" s="299">
        <f>E54*'Conversion Tables'!C47</f>
        <v>226292.70587795996</v>
      </c>
      <c r="E54" s="299">
        <f>C54*'Prac. Rec. Assumptions'!B44</f>
        <v>15327.330389999997</v>
      </c>
      <c r="F54" s="294">
        <f t="shared" si="7"/>
        <v>15327.330389999997</v>
      </c>
      <c r="G54" s="294">
        <f t="shared" si="7"/>
        <v>15327.330389999997</v>
      </c>
      <c r="H54" s="294">
        <f t="shared" si="7"/>
        <v>15327.330389999997</v>
      </c>
      <c r="I54" s="16" t="str">
        <f>IF('Conversion Tables'!F47="NA","NA",(E54*'Conversion Tables'!$C47)/'Conversion Tables'!F47)</f>
        <v>NA</v>
      </c>
      <c r="J54" s="16" t="str">
        <f>IF('Conversion Tables'!G47="NA","NA",(F54*'Conversion Tables'!$C47)/'Conversion Tables'!G47)</f>
        <v>NA</v>
      </c>
      <c r="K54" s="16" t="str">
        <f>IF('Conversion Tables'!H47="NA","NA",(G54*'Conversion Tables'!$C47)/'Conversion Tables'!H47)</f>
        <v>NA</v>
      </c>
      <c r="L54" s="16" t="str">
        <f>IF('Conversion Tables'!I47="NA","NA",(H54*'Conversion Tables'!$C47)/'Conversion Tables'!I47)</f>
        <v>NA</v>
      </c>
      <c r="M54" s="16" t="str">
        <f>IF('Conversion Tables'!K47="NA","NA",E54*'Conversion Tables'!K47)</f>
        <v>NA</v>
      </c>
      <c r="N54" s="16" t="str">
        <f>IF('Conversion Tables'!L47="NA","NA",F54*'Conversion Tables'!L47)</f>
        <v>NA</v>
      </c>
      <c r="O54" s="16" t="str">
        <f>IF('Conversion Tables'!M47="NA","NA",G54*'Conversion Tables'!M47)</f>
        <v>NA</v>
      </c>
      <c r="P54" s="16" t="str">
        <f>IF('Conversion Tables'!N47="NA","NA",H54*'Conversion Tables'!N47)</f>
        <v>NA</v>
      </c>
      <c r="Q54" s="27"/>
    </row>
    <row r="55" spans="1:17" x14ac:dyDescent="0.25">
      <c r="A55" s="1201"/>
      <c r="B55" s="12" t="s">
        <v>546</v>
      </c>
      <c r="C55" s="294">
        <f>G108</f>
        <v>225.597375</v>
      </c>
      <c r="D55" s="299">
        <f>E55*'Conversion Tables'!C48</f>
        <v>666.14392889999999</v>
      </c>
      <c r="E55" s="299">
        <f>C55*'Prac. Rec. Assumptions'!B45</f>
        <v>45.119475000000001</v>
      </c>
      <c r="F55" s="294">
        <f t="shared" si="7"/>
        <v>45.119475000000001</v>
      </c>
      <c r="G55" s="294">
        <f t="shared" si="7"/>
        <v>45.119475000000001</v>
      </c>
      <c r="H55" s="294">
        <f t="shared" si="7"/>
        <v>45.119475000000001</v>
      </c>
      <c r="I55" s="16" t="str">
        <f>IF('Conversion Tables'!F48="NA","NA",(E55*'Conversion Tables'!$C48)/'Conversion Tables'!F48)</f>
        <v>NA</v>
      </c>
      <c r="J55" s="16" t="str">
        <f>IF('Conversion Tables'!G48="NA","NA",(F55*'Conversion Tables'!$C48)/'Conversion Tables'!G48)</f>
        <v>NA</v>
      </c>
      <c r="K55" s="16" t="str">
        <f>IF('Conversion Tables'!H48="NA","NA",(G55*'Conversion Tables'!$C48)/'Conversion Tables'!H48)</f>
        <v>NA</v>
      </c>
      <c r="L55" s="16" t="str">
        <f>IF('Conversion Tables'!I48="NA","NA",(H55*'Conversion Tables'!$C48)/'Conversion Tables'!I48)</f>
        <v>NA</v>
      </c>
      <c r="M55" s="16" t="str">
        <f>IF('Conversion Tables'!K48="NA","NA",E55*'Conversion Tables'!K48)</f>
        <v>NA</v>
      </c>
      <c r="N55" s="16" t="str">
        <f>IF('Conversion Tables'!L48="NA","NA",F55*'Conversion Tables'!L48)</f>
        <v>NA</v>
      </c>
      <c r="O55" s="16" t="str">
        <f>IF('Conversion Tables'!M48="NA","NA",G55*'Conversion Tables'!M48)</f>
        <v>NA</v>
      </c>
      <c r="P55" s="16" t="str">
        <f>IF('Conversion Tables'!N48="NA","NA",H55*'Conversion Tables'!N48)</f>
        <v>NA</v>
      </c>
      <c r="Q55" s="27"/>
    </row>
    <row r="56" spans="1:17" x14ac:dyDescent="0.25">
      <c r="A56" s="1201"/>
      <c r="B56" s="12" t="s">
        <v>547</v>
      </c>
      <c r="C56" s="294">
        <f>G110</f>
        <v>323.63637499999999</v>
      </c>
      <c r="D56" s="299">
        <f>E56*'Conversion Tables'!C49</f>
        <v>955.63348810000002</v>
      </c>
      <c r="E56" s="299">
        <f>C56*'Prac. Rec. Assumptions'!B46</f>
        <v>64.727275000000006</v>
      </c>
      <c r="F56" s="294">
        <f t="shared" si="7"/>
        <v>64.727275000000006</v>
      </c>
      <c r="G56" s="294">
        <f t="shared" si="7"/>
        <v>64.727275000000006</v>
      </c>
      <c r="H56" s="294">
        <f t="shared" si="7"/>
        <v>64.727275000000006</v>
      </c>
      <c r="I56" s="16" t="str">
        <f>IF('Conversion Tables'!F49="NA","NA",(E56*'Conversion Tables'!$C49)/'Conversion Tables'!F49)</f>
        <v>NA</v>
      </c>
      <c r="J56" s="16" t="str">
        <f>IF('Conversion Tables'!G49="NA","NA",(F56*'Conversion Tables'!$C49)/'Conversion Tables'!G49)</f>
        <v>NA</v>
      </c>
      <c r="K56" s="16" t="str">
        <f>IF('Conversion Tables'!H49="NA","NA",(G56*'Conversion Tables'!$C49)/'Conversion Tables'!H49)</f>
        <v>NA</v>
      </c>
      <c r="L56" s="16" t="str">
        <f>IF('Conversion Tables'!I49="NA","NA",(H56*'Conversion Tables'!$C49)/'Conversion Tables'!I49)</f>
        <v>NA</v>
      </c>
      <c r="M56" s="16" t="str">
        <f>IF('Conversion Tables'!K49="NA","NA",E56*'Conversion Tables'!K49)</f>
        <v>NA</v>
      </c>
      <c r="N56" s="16" t="str">
        <f>IF('Conversion Tables'!L49="NA","NA",F56*'Conversion Tables'!L49)</f>
        <v>NA</v>
      </c>
      <c r="O56" s="16" t="str">
        <f>IF('Conversion Tables'!M49="NA","NA",G56*'Conversion Tables'!M49)</f>
        <v>NA</v>
      </c>
      <c r="P56" s="16" t="str">
        <f>IF('Conversion Tables'!N49="NA","NA",H56*'Conversion Tables'!N49)</f>
        <v>NA</v>
      </c>
      <c r="Q56" s="27"/>
    </row>
    <row r="57" spans="1:17" x14ac:dyDescent="0.25">
      <c r="A57" s="1201"/>
      <c r="B57" s="133" t="s">
        <v>605</v>
      </c>
      <c r="C57" s="294">
        <f>G115</f>
        <v>38.169874999999998</v>
      </c>
      <c r="D57" s="299">
        <f>E57*'Conversion Tables'!C50</f>
        <v>281.77001724999997</v>
      </c>
      <c r="E57" s="299">
        <f>C57*'Prac. Rec. Assumptions'!B47</f>
        <v>19.084937499999999</v>
      </c>
      <c r="F57" s="294">
        <f t="shared" si="7"/>
        <v>19.084937499999999</v>
      </c>
      <c r="G57" s="294">
        <f t="shared" si="7"/>
        <v>19.084937499999999</v>
      </c>
      <c r="H57" s="294">
        <f t="shared" si="7"/>
        <v>19.084937499999999</v>
      </c>
      <c r="I57" s="16" t="str">
        <f>IF('Conversion Tables'!F50="NA","NA",(E57*'Conversion Tables'!$C50)/'Conversion Tables'!F50)</f>
        <v>NA</v>
      </c>
      <c r="J57" s="16" t="str">
        <f>IF('Conversion Tables'!G50="NA","NA",(F57*'Conversion Tables'!$C50)/'Conversion Tables'!G50)</f>
        <v>NA</v>
      </c>
      <c r="K57" s="16" t="str">
        <f>IF('Conversion Tables'!H50="NA","NA",(G57*'Conversion Tables'!$C50)/'Conversion Tables'!H50)</f>
        <v>NA</v>
      </c>
      <c r="L57" s="16" t="str">
        <f>IF('Conversion Tables'!I50="NA","NA",(H57*'Conversion Tables'!$C50)/'Conversion Tables'!I50)</f>
        <v>NA</v>
      </c>
      <c r="M57" s="16" t="str">
        <f>IF('Conversion Tables'!K50="NA","NA",E57*'Conversion Tables'!K50)</f>
        <v>NA</v>
      </c>
      <c r="N57" s="16" t="str">
        <f>IF('Conversion Tables'!L50="NA","NA",F57*'Conversion Tables'!L50)</f>
        <v>NA</v>
      </c>
      <c r="O57" s="16" t="str">
        <f>IF('Conversion Tables'!M50="NA","NA",G57*'Conversion Tables'!M50)</f>
        <v>NA</v>
      </c>
      <c r="P57" s="16" t="str">
        <f>IF('Conversion Tables'!N50="NA","NA",H57*'Conversion Tables'!N50)</f>
        <v>NA</v>
      </c>
      <c r="Q57" s="27"/>
    </row>
    <row r="58" spans="1:17" x14ac:dyDescent="0.25">
      <c r="A58" s="1201"/>
      <c r="B58" s="12" t="s">
        <v>551</v>
      </c>
      <c r="C58" s="294">
        <f>G117</f>
        <v>1418.161875</v>
      </c>
      <c r="D58" s="299">
        <f>E58*'Conversion Tables'!C51</f>
        <v>17017.942500000001</v>
      </c>
      <c r="E58" s="299">
        <f>C58*'Prac. Rec. Assumptions'!B48</f>
        <v>1418.161875</v>
      </c>
      <c r="F58" s="294">
        <f t="shared" si="7"/>
        <v>1418.161875</v>
      </c>
      <c r="G58" s="294">
        <f t="shared" si="7"/>
        <v>1418.161875</v>
      </c>
      <c r="H58" s="294">
        <f t="shared" si="7"/>
        <v>1418.161875</v>
      </c>
      <c r="I58" s="16" t="str">
        <f>IF('Conversion Tables'!F51="NA","NA",(E58*'Conversion Tables'!$C51)/'Conversion Tables'!F51)</f>
        <v>NA</v>
      </c>
      <c r="J58" s="16" t="str">
        <f>IF('Conversion Tables'!G51="NA","NA",(F58*'Conversion Tables'!$C51)/'Conversion Tables'!G51)</f>
        <v>NA</v>
      </c>
      <c r="K58" s="16" t="str">
        <f>IF('Conversion Tables'!H51="NA","NA",(G58*'Conversion Tables'!$C51)/'Conversion Tables'!H51)</f>
        <v>NA</v>
      </c>
      <c r="L58" s="16" t="str">
        <f>IF('Conversion Tables'!I51="NA","NA",(H58*'Conversion Tables'!$C51)/'Conversion Tables'!I51)</f>
        <v>NA</v>
      </c>
      <c r="M58" s="16" t="str">
        <f>IF('Conversion Tables'!K51="NA","NA",E58*'Conversion Tables'!K51)</f>
        <v>NA</v>
      </c>
      <c r="N58" s="16" t="str">
        <f>IF('Conversion Tables'!L51="NA","NA",F58*'Conversion Tables'!L51)</f>
        <v>NA</v>
      </c>
      <c r="O58" s="16" t="str">
        <f>IF('Conversion Tables'!M51="NA","NA",G58*'Conversion Tables'!M51)</f>
        <v>NA</v>
      </c>
      <c r="P58" s="16" t="str">
        <f>IF('Conversion Tables'!N51="NA","NA",H58*'Conversion Tables'!N51)</f>
        <v>NA</v>
      </c>
      <c r="Q58" s="27"/>
    </row>
    <row r="59" spans="1:17" x14ac:dyDescent="0.25">
      <c r="A59" s="1201"/>
      <c r="B59" s="12" t="s">
        <v>552</v>
      </c>
      <c r="C59" s="294">
        <f>G119</f>
        <v>316.09684375000001</v>
      </c>
      <c r="D59" s="299">
        <f>E59*'Conversion Tables'!C52</f>
        <v>4666.8538011250002</v>
      </c>
      <c r="E59" s="299">
        <f>C59*'Prac. Rec. Assumptions'!B49</f>
        <v>316.09684375000001</v>
      </c>
      <c r="F59" s="294">
        <f t="shared" si="7"/>
        <v>316.09684375000001</v>
      </c>
      <c r="G59" s="294">
        <f t="shared" si="7"/>
        <v>316.09684375000001</v>
      </c>
      <c r="H59" s="294">
        <f t="shared" si="7"/>
        <v>316.09684375000001</v>
      </c>
      <c r="I59" s="16" t="str">
        <f>IF('Conversion Tables'!F52="NA","NA",(E59*'Conversion Tables'!$C52)/'Conversion Tables'!F52)</f>
        <v>NA</v>
      </c>
      <c r="J59" s="16" t="str">
        <f>IF('Conversion Tables'!G52="NA","NA",(F59*'Conversion Tables'!$C52)/'Conversion Tables'!G52)</f>
        <v>NA</v>
      </c>
      <c r="K59" s="16" t="str">
        <f>IF('Conversion Tables'!H52="NA","NA",(G59*'Conversion Tables'!$C52)/'Conversion Tables'!H52)</f>
        <v>NA</v>
      </c>
      <c r="L59" s="16" t="str">
        <f>IF('Conversion Tables'!I52="NA","NA",(H59*'Conversion Tables'!$C52)/'Conversion Tables'!I52)</f>
        <v>NA</v>
      </c>
      <c r="M59" s="16" t="str">
        <f>IF('Conversion Tables'!K52="NA","NA",E59*'Conversion Tables'!K52)</f>
        <v>NA</v>
      </c>
      <c r="N59" s="16" t="str">
        <f>IF('Conversion Tables'!L52="NA","NA",F59*'Conversion Tables'!L52)</f>
        <v>NA</v>
      </c>
      <c r="O59" s="16" t="str">
        <f>IF('Conversion Tables'!M52="NA","NA",G59*'Conversion Tables'!M52)</f>
        <v>NA</v>
      </c>
      <c r="P59" s="16" t="str">
        <f>IF('Conversion Tables'!N52="NA","NA",H59*'Conversion Tables'!N52)</f>
        <v>NA</v>
      </c>
      <c r="Q59" s="27"/>
    </row>
    <row r="60" spans="1:17" x14ac:dyDescent="0.25">
      <c r="A60" s="1202"/>
      <c r="B60" s="129" t="s">
        <v>305</v>
      </c>
      <c r="C60" s="294">
        <f>'Biomass Data Assumptions'!AE19</f>
        <v>7739.7594339999987</v>
      </c>
      <c r="D60" s="299">
        <f>E60*'Conversion Tables'!C53</f>
        <v>92877.113207999981</v>
      </c>
      <c r="E60" s="299">
        <f>C60*'Prac. Rec. Assumptions'!B50</f>
        <v>7739.7594339999987</v>
      </c>
      <c r="F60" s="294">
        <f>($C60*(1+'Biomass Data Assumptions'!G$104*(4/5)))*'Prac. Rec. Assumptions'!$B50</f>
        <v>7864.1936408217462</v>
      </c>
      <c r="G60" s="294">
        <f>($C60*(1+'Biomass Data Assumptions'!H$104*(9/10)))*'Prac. Rec. Assumptions'!$B50</f>
        <v>8054.4622245084893</v>
      </c>
      <c r="H60" s="294">
        <f>($C60*(1+'Biomass Data Assumptions'!I$104*(14/15)))*'Prac. Rec. Assumptions'!$B50</f>
        <v>8227.0463601973079</v>
      </c>
      <c r="I60" s="16" t="str">
        <f>IF('Conversion Tables'!F53="NA","NA",(E60*'Conversion Tables'!$C53)/'Conversion Tables'!F53)</f>
        <v>NA</v>
      </c>
      <c r="J60" s="16" t="str">
        <f>IF('Conversion Tables'!G53="NA","NA",(F60*'Conversion Tables'!$C53)/'Conversion Tables'!G53)</f>
        <v>NA</v>
      </c>
      <c r="K60" s="16" t="str">
        <f>IF('Conversion Tables'!H53="NA","NA",(G60*'Conversion Tables'!$C53)/'Conversion Tables'!H53)</f>
        <v>NA</v>
      </c>
      <c r="L60" s="16" t="str">
        <f>IF('Conversion Tables'!I53="NA","NA",(H60*'Conversion Tables'!$C53)/'Conversion Tables'!I53)</f>
        <v>NA</v>
      </c>
      <c r="M60" s="16" t="str">
        <f>IF('Conversion Tables'!K53="NA","NA",E60*'Conversion Tables'!K53)</f>
        <v>NA</v>
      </c>
      <c r="N60" s="16" t="str">
        <f>IF('Conversion Tables'!L53="NA","NA",F60*'Conversion Tables'!L53)</f>
        <v>NA</v>
      </c>
      <c r="O60" s="16" t="str">
        <f>IF('Conversion Tables'!M53="NA","NA",G60*'Conversion Tables'!M53)</f>
        <v>NA</v>
      </c>
      <c r="P60" s="16" t="str">
        <f>IF('Conversion Tables'!N53="NA","NA",H60*'Conversion Tables'!N53)</f>
        <v>NA</v>
      </c>
      <c r="Q60" s="7"/>
    </row>
    <row r="61" spans="1:17" x14ac:dyDescent="0.25">
      <c r="A61" s="1202"/>
      <c r="B61" s="9" t="s">
        <v>257</v>
      </c>
      <c r="C61" s="295">
        <f>SUM(C52:C60)</f>
        <v>36485.910677749998</v>
      </c>
      <c r="D61" s="295">
        <f>SUM(D52:D60)</f>
        <v>345693.31319753494</v>
      </c>
      <c r="E61" s="295">
        <f t="shared" ref="E61:P61" si="8">SUM(E52:E60)</f>
        <v>25129.084780249999</v>
      </c>
      <c r="F61" s="295">
        <f>SUM(F52:F60)</f>
        <v>25253.518987071744</v>
      </c>
      <c r="G61" s="295">
        <f>SUM(G52:G60)</f>
        <v>25443.78757075849</v>
      </c>
      <c r="H61" s="295">
        <f>SUM(H52:H60)</f>
        <v>25616.371706447309</v>
      </c>
      <c r="I61" s="19">
        <f t="shared" si="8"/>
        <v>0</v>
      </c>
      <c r="J61" s="19">
        <f t="shared" si="8"/>
        <v>0</v>
      </c>
      <c r="K61" s="19">
        <f t="shared" si="8"/>
        <v>0</v>
      </c>
      <c r="L61" s="19">
        <f t="shared" si="8"/>
        <v>0</v>
      </c>
      <c r="M61" s="19">
        <f t="shared" si="8"/>
        <v>0</v>
      </c>
      <c r="N61" s="19">
        <f t="shared" si="8"/>
        <v>0</v>
      </c>
      <c r="O61" s="19">
        <f t="shared" si="8"/>
        <v>0</v>
      </c>
      <c r="P61" s="19">
        <f t="shared" si="8"/>
        <v>0</v>
      </c>
      <c r="Q61" s="7"/>
    </row>
    <row r="62" spans="1:17" x14ac:dyDescent="0.25">
      <c r="A62" s="1202"/>
      <c r="B62" s="7" t="s">
        <v>256</v>
      </c>
      <c r="C62" s="298" t="s">
        <v>251</v>
      </c>
      <c r="D62" s="13"/>
      <c r="E62" s="298" t="s">
        <v>251</v>
      </c>
      <c r="F62" s="298"/>
      <c r="G62" s="298"/>
      <c r="H62" s="298"/>
      <c r="I62" s="7"/>
      <c r="J62" s="7"/>
      <c r="K62" s="7"/>
      <c r="L62" s="7"/>
      <c r="M62" s="7"/>
      <c r="N62" s="7"/>
      <c r="O62" s="7"/>
      <c r="P62" s="7"/>
      <c r="Q62" s="7"/>
    </row>
    <row r="63" spans="1:17" x14ac:dyDescent="0.25">
      <c r="A63" s="1203"/>
      <c r="B63" s="133" t="s">
        <v>304</v>
      </c>
      <c r="C63" s="294">
        <f>'Biomass Data Assumptions'!AB19</f>
        <v>175.17615090000001</v>
      </c>
      <c r="D63" s="300">
        <f>E63*'Conversion Tables'!C55</f>
        <v>108434.03740710001</v>
      </c>
      <c r="E63" s="299">
        <f>C63*'Prac. Rec. Assumptions'!B51</f>
        <v>175.17615090000001</v>
      </c>
      <c r="F63" s="294">
        <f>($C63*(1+'Biomass Data Assumptions'!G$104*(4/5)))*'Prac. Rec. Assumptions'!$B51</f>
        <v>177.99250528119333</v>
      </c>
      <c r="G63" s="294">
        <f>($C63*(1+'Biomass Data Assumptions'!H$104*(9/10)))*'Prac. Rec. Assumptions'!$B51</f>
        <v>182.29890761987852</v>
      </c>
      <c r="H63" s="294">
        <f>($C63*(1+'Biomass Data Assumptions'!I$104*(14/15)))*'Prac. Rec. Assumptions'!$B51</f>
        <v>186.20505287596509</v>
      </c>
      <c r="I63" s="16" t="str">
        <f>IF('Conversion Tables'!F55="NA","NA",(E63*'Conversion Tables'!$C55)/'Conversion Tables'!F55)</f>
        <v>NA</v>
      </c>
      <c r="J63" s="16" t="str">
        <f>IF('Conversion Tables'!G55="NA","NA",(F63*'Conversion Tables'!$C55)/'Conversion Tables'!G55)</f>
        <v>NA</v>
      </c>
      <c r="K63" s="16" t="str">
        <f>IF('Conversion Tables'!H55="NA","NA",(G63*'Conversion Tables'!$C55)/'Conversion Tables'!H55)</f>
        <v>NA</v>
      </c>
      <c r="L63" s="16" t="str">
        <f>IF('Conversion Tables'!I55="NA","NA",(H63*'Conversion Tables'!$C55)/'Conversion Tables'!I55)</f>
        <v>NA</v>
      </c>
      <c r="M63" s="16" t="str">
        <f>IF('Conversion Tables'!K55="NA","NA",E63*'Conversion Tables'!K55)</f>
        <v>NA</v>
      </c>
      <c r="N63" s="16" t="str">
        <f>IF('Conversion Tables'!L55="NA","NA",F63*'Conversion Tables'!L55)</f>
        <v>NA</v>
      </c>
      <c r="O63" s="16" t="str">
        <f>IF('Conversion Tables'!M55="NA","NA",G63*'Conversion Tables'!M55)</f>
        <v>NA</v>
      </c>
      <c r="P63" s="16" t="str">
        <f>IF('Conversion Tables'!N55="NA","NA",H63*'Conversion Tables'!N55)</f>
        <v>NA</v>
      </c>
      <c r="Q63" s="7"/>
    </row>
    <row r="64" spans="1:17" x14ac:dyDescent="0.25">
      <c r="A64" s="1204"/>
      <c r="B64" s="17" t="s">
        <v>512</v>
      </c>
      <c r="C64" s="294">
        <f>'Biomass Data Assumptions'!X19</f>
        <v>222.25059699999997</v>
      </c>
      <c r="D64" s="300">
        <f>E64*'Conversion Tables'!C56</f>
        <v>112458.80208199998</v>
      </c>
      <c r="E64" s="299">
        <f>C64*'Prac. Rec. Assumptions'!B52</f>
        <v>222.25059699999997</v>
      </c>
      <c r="F64" s="545">
        <f>($C64*(1+'Biomass Data Assumptions'!G$104*(3/5))*(1+('Biomass Data Assumptions'!C$82-((1+'Biomass Data Assumptions'!$B$82)^2 - 1))))*'Prac. Rec. Assumptions'!$B52</f>
        <v>224.83886277674424</v>
      </c>
      <c r="G64" s="545">
        <f>($C64*(1+'Biomass Data Assumptions'!H$104*(4/5))*(1+('Biomass Data Assumptions'!D$82-((1+'Biomass Data Assumptions'!$B$82)^2 - 1))))*'Prac. Rec. Assumptions'!$B52</f>
        <v>230.03328059826993</v>
      </c>
      <c r="H64" s="545">
        <f>($C64*(1+'Biomass Data Assumptions'!I$104*(13/15))*(1+('Biomass Data Assumptions'!E$82-((1+'Biomass Data Assumptions'!$B$82)^2 - 1))))*'Prac. Rec. Assumptions'!$B52</f>
        <v>234.82883131017658</v>
      </c>
      <c r="I64" s="16" t="str">
        <f>IF('Conversion Tables'!F56="NA","NA",(E64*'Conversion Tables'!$C56)/'Conversion Tables'!F56)</f>
        <v>NA</v>
      </c>
      <c r="J64" s="16" t="str">
        <f>IF('Conversion Tables'!G56="NA","NA",(F64*'Conversion Tables'!$C56)/'Conversion Tables'!G56)</f>
        <v>NA</v>
      </c>
      <c r="K64" s="16" t="str">
        <f>IF('Conversion Tables'!H56="NA","NA",(G64*'Conversion Tables'!$C56)/'Conversion Tables'!H56)</f>
        <v>NA</v>
      </c>
      <c r="L64" s="16" t="str">
        <f>IF('Conversion Tables'!I56="NA","NA",(H64*'Conversion Tables'!$C56)/'Conversion Tables'!I56)</f>
        <v>NA</v>
      </c>
      <c r="M64" s="16" t="str">
        <f>IF('Conversion Tables'!K56="NA","NA",E64*'Conversion Tables'!K56)</f>
        <v>NA</v>
      </c>
      <c r="N64" s="16" t="str">
        <f>IF('Conversion Tables'!L56="NA","NA",F64*'Conversion Tables'!L56)</f>
        <v>NA</v>
      </c>
      <c r="O64" s="16" t="str">
        <f>IF('Conversion Tables'!M56="NA","NA",G64*'Conversion Tables'!M56)</f>
        <v>NA</v>
      </c>
      <c r="P64" s="16" t="str">
        <f>IF('Conversion Tables'!N56="NA","NA",H64*'Conversion Tables'!N56)</f>
        <v>NA</v>
      </c>
      <c r="Q64" s="7"/>
    </row>
    <row r="65" spans="1:19" x14ac:dyDescent="0.25">
      <c r="A65" s="1204"/>
      <c r="B65" s="9" t="s">
        <v>248</v>
      </c>
      <c r="C65" s="295">
        <f>SUM(C63:C64)</f>
        <v>397.42674790000001</v>
      </c>
      <c r="D65" s="295">
        <f>SUM(D63:D64)</f>
        <v>220892.83948909998</v>
      </c>
      <c r="E65" s="295">
        <f t="shared" ref="E65:P65" si="9">SUM(E63:E64)</f>
        <v>397.42674790000001</v>
      </c>
      <c r="F65" s="295">
        <f>SUM(F63:F64)</f>
        <v>402.83136805793754</v>
      </c>
      <c r="G65" s="295">
        <f>SUM(G63:G64)</f>
        <v>412.33218821814842</v>
      </c>
      <c r="H65" s="295">
        <f>SUM(H63:H64)</f>
        <v>421.03388418614168</v>
      </c>
      <c r="I65" s="19">
        <f t="shared" si="9"/>
        <v>0</v>
      </c>
      <c r="J65" s="19">
        <f t="shared" si="9"/>
        <v>0</v>
      </c>
      <c r="K65" s="19">
        <f t="shared" si="9"/>
        <v>0</v>
      </c>
      <c r="L65" s="19">
        <f t="shared" si="9"/>
        <v>0</v>
      </c>
      <c r="M65" s="19">
        <f t="shared" si="9"/>
        <v>0</v>
      </c>
      <c r="N65" s="19">
        <f t="shared" si="9"/>
        <v>0</v>
      </c>
      <c r="O65" s="19">
        <f t="shared" si="9"/>
        <v>0</v>
      </c>
      <c r="P65" s="19">
        <f t="shared" si="9"/>
        <v>0</v>
      </c>
      <c r="Q65" s="19">
        <f>SUM(Q51:Q64)</f>
        <v>0</v>
      </c>
    </row>
    <row r="66" spans="1:19" x14ac:dyDescent="0.25">
      <c r="A66" s="1204"/>
      <c r="B66" s="9"/>
      <c r="C66" s="295"/>
      <c r="D66" s="295"/>
      <c r="E66" s="295"/>
      <c r="F66" s="295"/>
      <c r="G66" s="295"/>
      <c r="H66" s="295"/>
      <c r="I66" s="19"/>
      <c r="J66" s="19"/>
      <c r="K66" s="19"/>
      <c r="L66" s="19"/>
      <c r="M66" s="19"/>
      <c r="N66" s="19"/>
      <c r="O66" s="19"/>
      <c r="P66" s="19"/>
      <c r="Q66" s="19"/>
    </row>
    <row r="67" spans="1:19" x14ac:dyDescent="0.25">
      <c r="A67" s="1205"/>
      <c r="B67" s="9" t="s">
        <v>258</v>
      </c>
      <c r="C67" s="295">
        <f>C61+(C63*1000000/29487.1582406855)+(C64*1000000/25364.5039539246)</f>
        <v>51188.939997831229</v>
      </c>
      <c r="D67" s="295">
        <f t="shared" ref="D67" si="10">D61+D65</f>
        <v>566586.15268663492</v>
      </c>
      <c r="E67" s="295">
        <f>E61+(E63*1000000/29487.1582406855)+(E64*1000000/25364.5039539246)</f>
        <v>39832.114100331222</v>
      </c>
      <c r="F67" s="295">
        <f t="shared" ref="F67:H67" si="11">F61+(F63*1000000/29487.1582406855)+(F64*1000000/25364.5039539246)</f>
        <v>40154.102355014416</v>
      </c>
      <c r="G67" s="295">
        <f t="shared" si="11"/>
        <v>40695.205083845023</v>
      </c>
      <c r="H67" s="295">
        <f t="shared" si="11"/>
        <v>41189.324013566875</v>
      </c>
      <c r="I67" s="19">
        <f t="shared" ref="I67:P67" si="12">I61+I65</f>
        <v>0</v>
      </c>
      <c r="J67" s="19">
        <f t="shared" si="12"/>
        <v>0</v>
      </c>
      <c r="K67" s="19">
        <f t="shared" si="12"/>
        <v>0</v>
      </c>
      <c r="L67" s="19">
        <f t="shared" si="12"/>
        <v>0</v>
      </c>
      <c r="M67" s="19">
        <f t="shared" si="12"/>
        <v>0</v>
      </c>
      <c r="N67" s="19">
        <f t="shared" si="12"/>
        <v>0</v>
      </c>
      <c r="O67" s="19">
        <f t="shared" si="12"/>
        <v>0</v>
      </c>
      <c r="P67" s="19">
        <f t="shared" si="12"/>
        <v>0</v>
      </c>
      <c r="Q67" s="19"/>
    </row>
    <row r="68" spans="1:19" customFormat="1" x14ac:dyDescent="0.25">
      <c r="B68" s="270" t="s">
        <v>162</v>
      </c>
      <c r="C68" s="132">
        <f>C11+C29+C43+C49+C67</f>
        <v>511275.51720069791</v>
      </c>
      <c r="D68" s="132"/>
      <c r="E68" s="132">
        <f>E11+E29+E43+E49+E67</f>
        <v>309175.86462047789</v>
      </c>
      <c r="F68" s="132">
        <f>F11+F29+F43+F49+F67</f>
        <v>317971.62871843128</v>
      </c>
      <c r="G68" s="132">
        <f>G11+G29+G43+G49+G67</f>
        <v>328620.63140100148</v>
      </c>
      <c r="H68" s="132">
        <f>H11+H29+H43+H49+H67</f>
        <v>339015.43814455334</v>
      </c>
      <c r="I68" s="264"/>
    </row>
    <row r="69" spans="1:19" ht="13.8" thickBot="1" x14ac:dyDescent="0.3">
      <c r="A69" s="10"/>
      <c r="B69" s="10"/>
      <c r="C69" s="10"/>
      <c r="D69" s="10"/>
      <c r="E69" s="10"/>
      <c r="F69" s="10"/>
      <c r="G69" s="10"/>
      <c r="H69" s="10"/>
      <c r="I69" s="1003">
        <f>SUM(I8:I66)/2</f>
        <v>0</v>
      </c>
      <c r="J69" s="1003">
        <f>SUM(J8:J66)/2</f>
        <v>0</v>
      </c>
      <c r="K69" s="1003">
        <f>SUM(K8:K66)/2</f>
        <v>0</v>
      </c>
      <c r="L69" s="1003">
        <f>SUM(L8:L66)/2</f>
        <v>0</v>
      </c>
      <c r="M69" s="1003">
        <f>SUM(M8:M66)/2</f>
        <v>0</v>
      </c>
      <c r="N69" s="1003">
        <f t="shared" ref="N69:P69" si="13">SUM(N8:N66)/2</f>
        <v>0</v>
      </c>
      <c r="O69" s="1003">
        <f t="shared" si="13"/>
        <v>0</v>
      </c>
      <c r="P69" s="1003">
        <f t="shared" si="13"/>
        <v>0</v>
      </c>
      <c r="Q69" s="10"/>
      <c r="R69" s="10"/>
      <c r="S69" s="10"/>
    </row>
    <row r="70" spans="1:19" x14ac:dyDescent="0.25">
      <c r="A70" s="35" t="s">
        <v>23</v>
      </c>
      <c r="B70" s="36"/>
      <c r="C70" s="36"/>
      <c r="D70" s="36"/>
      <c r="E70" s="36"/>
      <c r="F70" s="36"/>
      <c r="G70" s="36"/>
      <c r="H70" s="36"/>
      <c r="I70" s="36"/>
      <c r="J70" s="36"/>
      <c r="K70" s="36"/>
      <c r="L70" s="36"/>
      <c r="M70" s="36"/>
      <c r="N70" s="36"/>
      <c r="O70" s="36"/>
      <c r="P70" s="36"/>
      <c r="Q70" s="36"/>
      <c r="R70" s="36"/>
    </row>
    <row r="71" spans="1:19" x14ac:dyDescent="0.25">
      <c r="A71" s="36"/>
      <c r="B71" s="36"/>
      <c r="C71" s="36"/>
      <c r="D71" s="36"/>
      <c r="E71" s="36"/>
      <c r="F71" s="36"/>
      <c r="G71" s="36"/>
      <c r="H71" s="36"/>
      <c r="I71" s="36"/>
      <c r="J71" s="36"/>
      <c r="K71" s="36"/>
      <c r="L71" s="36"/>
      <c r="M71" s="36"/>
      <c r="N71" s="36"/>
      <c r="O71" s="36"/>
      <c r="P71" s="36"/>
      <c r="Q71" s="36"/>
      <c r="R71" s="36"/>
    </row>
    <row r="72" spans="1:19" x14ac:dyDescent="0.25">
      <c r="A72" s="36"/>
      <c r="B72" s="36"/>
      <c r="C72" s="36"/>
      <c r="D72" s="36"/>
      <c r="E72" s="36"/>
      <c r="F72" s="36"/>
      <c r="G72" s="36"/>
      <c r="H72" s="36"/>
      <c r="I72" s="36"/>
      <c r="J72" s="36"/>
      <c r="K72" s="36"/>
      <c r="L72" s="36"/>
      <c r="M72" s="36"/>
      <c r="N72" s="36"/>
      <c r="O72" s="36"/>
      <c r="P72" s="36"/>
      <c r="Q72" s="36"/>
      <c r="R72" s="36"/>
    </row>
    <row r="73" spans="1:19" ht="26.4" x14ac:dyDescent="0.25">
      <c r="A73" s="37" t="s">
        <v>1037</v>
      </c>
      <c r="B73" s="454" t="s">
        <v>297</v>
      </c>
      <c r="C73" s="37" t="s">
        <v>1042</v>
      </c>
      <c r="D73" s="37" t="s">
        <v>1041</v>
      </c>
      <c r="E73" s="36" t="s">
        <v>598</v>
      </c>
      <c r="F73" s="38"/>
      <c r="G73" s="38"/>
      <c r="H73" s="36"/>
      <c r="I73" s="36"/>
      <c r="J73" s="36"/>
      <c r="K73" s="36"/>
      <c r="L73" s="36"/>
      <c r="M73" s="36"/>
      <c r="N73" s="36"/>
      <c r="O73" s="36"/>
      <c r="P73" s="36"/>
      <c r="Q73" s="36"/>
      <c r="R73" s="36"/>
    </row>
    <row r="74" spans="1:19" x14ac:dyDescent="0.25">
      <c r="A74" s="39" t="s">
        <v>519</v>
      </c>
      <c r="B74" s="21">
        <v>408</v>
      </c>
      <c r="C74" s="40">
        <f>'Biomass Data Assumptions'!B38*B74</f>
        <v>26642.399999999998</v>
      </c>
      <c r="D74" s="40">
        <f>(C74*'Biomass Data Assumptions'!C38)/2000</f>
        <v>745.98719999999992</v>
      </c>
      <c r="E74" s="41"/>
      <c r="F74" s="41"/>
      <c r="G74" s="41"/>
      <c r="H74" s="36"/>
      <c r="I74" s="36"/>
      <c r="J74" s="36"/>
      <c r="K74" s="36"/>
      <c r="L74" s="36"/>
      <c r="M74" s="36"/>
      <c r="N74" s="36"/>
      <c r="O74" s="36"/>
      <c r="P74" s="36"/>
      <c r="Q74" s="36"/>
      <c r="R74" s="36"/>
    </row>
    <row r="75" spans="1:19" x14ac:dyDescent="0.25">
      <c r="A75" s="39" t="s">
        <v>520</v>
      </c>
      <c r="B75" s="21">
        <v>2162</v>
      </c>
      <c r="C75" s="40">
        <f>'Biomass Data Assumptions'!B39*B75</f>
        <v>59022.6</v>
      </c>
      <c r="D75" s="40">
        <f>(C75*'Biomass Data Assumptions'!C39)/2000</f>
        <v>1652.6328000000001</v>
      </c>
      <c r="E75" s="41"/>
      <c r="F75" s="41"/>
      <c r="G75" s="41"/>
      <c r="H75" s="36"/>
      <c r="I75" s="36"/>
      <c r="J75" s="36"/>
      <c r="K75" s="36"/>
      <c r="L75" s="36"/>
      <c r="M75" s="36"/>
      <c r="N75" s="36"/>
      <c r="O75" s="36"/>
      <c r="P75" s="36"/>
      <c r="Q75" s="36"/>
      <c r="R75" s="36"/>
    </row>
    <row r="76" spans="1:19" x14ac:dyDescent="0.25">
      <c r="A76" s="39" t="s">
        <v>521</v>
      </c>
      <c r="B76" s="21">
        <v>1671</v>
      </c>
      <c r="C76" s="40">
        <f>'Biomass Data Assumptions'!B40*B76</f>
        <v>208875</v>
      </c>
      <c r="D76" s="40">
        <f>(C76*'Biomass Data Assumptions'!C40)/2000</f>
        <v>5848.5</v>
      </c>
      <c r="E76" s="41"/>
      <c r="F76" s="41"/>
      <c r="G76" s="41"/>
      <c r="H76" s="36"/>
      <c r="I76" s="36"/>
      <c r="J76" s="36"/>
      <c r="K76" s="36"/>
      <c r="L76" s="36"/>
      <c r="M76" s="36"/>
      <c r="N76" s="36"/>
      <c r="O76" s="36"/>
      <c r="P76" s="36"/>
      <c r="Q76" s="36"/>
      <c r="R76" s="36"/>
    </row>
    <row r="77" spans="1:19" x14ac:dyDescent="0.25">
      <c r="A77" s="39" t="s">
        <v>525</v>
      </c>
      <c r="B77" s="21">
        <v>5126</v>
      </c>
      <c r="C77" s="40">
        <f>'Biomass Data Assumptions'!B41*B77</f>
        <v>164032</v>
      </c>
      <c r="D77" s="40">
        <f>(C77*'Biomass Data Assumptions'!C41)/2000</f>
        <v>4920.96</v>
      </c>
      <c r="E77" s="41"/>
      <c r="F77" s="41"/>
      <c r="G77" s="41"/>
      <c r="H77" s="36"/>
      <c r="I77" s="36"/>
      <c r="J77" s="36"/>
      <c r="K77" s="36"/>
      <c r="L77" s="36"/>
      <c r="M77" s="36"/>
      <c r="N77" s="36"/>
      <c r="O77" s="36"/>
      <c r="P77" s="36"/>
      <c r="Q77" s="36"/>
      <c r="R77" s="36"/>
    </row>
    <row r="78" spans="1:19" x14ac:dyDescent="0.25">
      <c r="A78" s="39" t="s">
        <v>522</v>
      </c>
      <c r="B78" s="21">
        <v>729</v>
      </c>
      <c r="C78" s="40">
        <f>'Biomass Data Assumptions'!B42*B78</f>
        <v>39366</v>
      </c>
      <c r="D78" s="40">
        <f>(C78*'Biomass Data Assumptions'!C42)/2000</f>
        <v>1180.98</v>
      </c>
      <c r="E78" s="41"/>
      <c r="F78" s="41"/>
      <c r="G78" s="41"/>
      <c r="H78" s="36"/>
      <c r="I78" s="36"/>
      <c r="J78" s="36"/>
      <c r="K78" s="36"/>
      <c r="L78" s="36"/>
      <c r="M78" s="36"/>
      <c r="N78" s="36"/>
      <c r="O78" s="36"/>
      <c r="P78" s="36"/>
      <c r="Q78" s="36"/>
      <c r="R78" s="36"/>
    </row>
    <row r="79" spans="1:19" x14ac:dyDescent="0.25">
      <c r="A79" s="36"/>
      <c r="B79" s="36"/>
      <c r="C79" s="36"/>
      <c r="D79" s="36"/>
      <c r="E79" s="36"/>
      <c r="F79" s="36"/>
      <c r="G79" s="36"/>
      <c r="H79" s="36"/>
      <c r="I79" s="36"/>
      <c r="J79" s="36"/>
      <c r="K79" s="36"/>
      <c r="L79" s="36"/>
      <c r="M79" s="36"/>
      <c r="N79" s="36"/>
      <c r="O79" s="36"/>
      <c r="P79" s="36"/>
      <c r="Q79" s="36"/>
      <c r="R79" s="36"/>
    </row>
    <row r="80" spans="1:19" ht="39.6" x14ac:dyDescent="0.25">
      <c r="A80" s="37" t="s">
        <v>1038</v>
      </c>
      <c r="B80" s="454" t="s">
        <v>297</v>
      </c>
      <c r="C80" s="37" t="s">
        <v>1041</v>
      </c>
      <c r="D80" s="37" t="s">
        <v>1036</v>
      </c>
      <c r="E80" s="36" t="s">
        <v>598</v>
      </c>
      <c r="F80" s="38"/>
      <c r="G80" s="38"/>
      <c r="H80" s="36"/>
      <c r="I80" s="36"/>
      <c r="J80" s="36"/>
      <c r="K80" s="36"/>
      <c r="L80" s="36"/>
      <c r="M80" s="36"/>
      <c r="N80" s="36"/>
      <c r="O80" s="36"/>
      <c r="P80" s="36"/>
      <c r="Q80" s="36"/>
      <c r="R80" s="36"/>
    </row>
    <row r="81" spans="1:18" x14ac:dyDescent="0.25">
      <c r="A81" s="39" t="s">
        <v>527</v>
      </c>
      <c r="B81" s="21">
        <v>377</v>
      </c>
      <c r="C81" s="40">
        <f>'Biomass Data Assumptions'!B49*B81</f>
        <v>377</v>
      </c>
      <c r="D81" s="40">
        <f>C81*'Energy Content Assumptions'!C11</f>
        <v>320.45</v>
      </c>
      <c r="E81" s="41"/>
      <c r="F81" s="41"/>
      <c r="G81" s="41"/>
      <c r="H81" s="36"/>
      <c r="I81" s="36"/>
      <c r="J81" s="36"/>
      <c r="K81" s="36"/>
      <c r="L81" s="36"/>
      <c r="M81" s="36"/>
      <c r="N81" s="36"/>
      <c r="O81" s="36"/>
      <c r="P81" s="36"/>
      <c r="Q81" s="36"/>
      <c r="R81" s="36"/>
    </row>
    <row r="82" spans="1:18" x14ac:dyDescent="0.25">
      <c r="A82" s="39" t="s">
        <v>520</v>
      </c>
      <c r="B82" s="21">
        <f>2162+947</f>
        <v>3109</v>
      </c>
      <c r="C82" s="40">
        <f>'Biomass Data Assumptions'!B50*B82</f>
        <v>6995.25</v>
      </c>
      <c r="D82" s="40">
        <f>C82*'Energy Content Assumptions'!C12</f>
        <v>5945.9624999999996</v>
      </c>
      <c r="E82" s="41"/>
      <c r="F82" s="41"/>
      <c r="G82" s="41"/>
      <c r="H82" s="36"/>
      <c r="I82" s="36"/>
      <c r="J82" s="36"/>
      <c r="K82" s="36"/>
      <c r="L82" s="36"/>
      <c r="M82" s="36"/>
      <c r="N82" s="36"/>
      <c r="O82" s="36"/>
      <c r="P82" s="36"/>
      <c r="Q82" s="36"/>
      <c r="R82" s="36"/>
    </row>
    <row r="83" spans="1:18" x14ac:dyDescent="0.25">
      <c r="A83" s="39" t="s">
        <v>521</v>
      </c>
      <c r="B83" s="21">
        <v>2162</v>
      </c>
      <c r="C83" s="40">
        <f>'Biomass Data Assumptions'!B51*B83</f>
        <v>5405</v>
      </c>
      <c r="D83" s="40">
        <f>C83*'Energy Content Assumptions'!C13</f>
        <v>4594.25</v>
      </c>
      <c r="E83" s="41"/>
      <c r="F83" s="41"/>
      <c r="G83" s="41"/>
      <c r="H83" s="36"/>
      <c r="I83" s="36"/>
      <c r="J83" s="36"/>
      <c r="K83" s="36"/>
      <c r="L83" s="36"/>
      <c r="M83" s="36"/>
      <c r="N83" s="36"/>
      <c r="O83" s="36"/>
      <c r="P83" s="36"/>
      <c r="Q83" s="36"/>
      <c r="R83" s="36"/>
    </row>
    <row r="84" spans="1:18" x14ac:dyDescent="0.25">
      <c r="A84" s="39" t="s">
        <v>528</v>
      </c>
      <c r="B84" s="21">
        <v>197</v>
      </c>
      <c r="C84" s="40">
        <f>'Biomass Data Assumptions'!B52*B84</f>
        <v>3230.7999999999997</v>
      </c>
      <c r="D84" s="40">
        <f>C84*'Energy Content Assumptions'!C14</f>
        <v>1130.7799999999997</v>
      </c>
      <c r="E84" s="41"/>
      <c r="F84" s="41"/>
      <c r="G84" s="41"/>
      <c r="H84" s="36"/>
      <c r="I84" s="36"/>
      <c r="J84" s="36"/>
      <c r="K84" s="36"/>
      <c r="L84" s="36"/>
      <c r="M84" s="36"/>
      <c r="N84" s="36"/>
      <c r="O84" s="36"/>
      <c r="P84" s="36"/>
      <c r="Q84" s="36"/>
      <c r="R84" s="36"/>
    </row>
    <row r="85" spans="1:18" x14ac:dyDescent="0.25">
      <c r="A85" s="39" t="s">
        <v>529</v>
      </c>
      <c r="B85" s="21">
        <v>1826</v>
      </c>
      <c r="C85" s="40">
        <f>'Biomass Data Assumptions'!B53*B85</f>
        <v>5843.2000000000007</v>
      </c>
      <c r="D85" s="40">
        <f>C85*'Energy Content Assumptions'!C15</f>
        <v>4966.72</v>
      </c>
      <c r="E85" s="41"/>
      <c r="F85" s="41"/>
      <c r="G85" s="41"/>
      <c r="H85" s="36"/>
      <c r="I85" s="36"/>
      <c r="J85" s="36"/>
      <c r="K85" s="36"/>
      <c r="L85" s="36"/>
      <c r="M85" s="36"/>
      <c r="N85" s="36"/>
      <c r="O85" s="36"/>
      <c r="P85" s="36"/>
      <c r="Q85" s="36"/>
      <c r="R85" s="36"/>
    </row>
    <row r="86" spans="1:18" x14ac:dyDescent="0.25">
      <c r="A86" s="39" t="s">
        <v>530</v>
      </c>
      <c r="B86" s="21">
        <v>3197</v>
      </c>
      <c r="C86" s="40">
        <f>'Biomass Data Assumptions'!B54*B86</f>
        <v>5434.9</v>
      </c>
      <c r="D86" s="40">
        <f>C86*'Energy Content Assumptions'!C16</f>
        <v>4619.665</v>
      </c>
      <c r="E86" s="41"/>
      <c r="F86" s="41"/>
      <c r="G86" s="41"/>
      <c r="H86" s="36"/>
      <c r="I86" s="36"/>
      <c r="J86" s="36"/>
      <c r="K86" s="36"/>
      <c r="L86" s="36"/>
      <c r="M86" s="36"/>
      <c r="N86" s="36"/>
      <c r="O86" s="36"/>
      <c r="P86" s="36"/>
      <c r="Q86" s="36"/>
      <c r="R86" s="36"/>
    </row>
    <row r="87" spans="1:18" x14ac:dyDescent="0.25">
      <c r="A87" s="39" t="s">
        <v>522</v>
      </c>
      <c r="B87" s="21">
        <f>729+0</f>
        <v>729</v>
      </c>
      <c r="C87" s="40">
        <f>'Biomass Data Assumptions'!B55*B87</f>
        <v>1275.75</v>
      </c>
      <c r="D87" s="40">
        <f>C87*'Energy Content Assumptions'!C17</f>
        <v>1084.3875</v>
      </c>
      <c r="E87" s="41"/>
      <c r="F87" s="41"/>
      <c r="G87" s="41"/>
      <c r="H87" s="36"/>
      <c r="I87" s="36"/>
      <c r="J87" s="36"/>
      <c r="K87" s="36"/>
      <c r="L87" s="36"/>
      <c r="M87" s="36"/>
      <c r="N87" s="36"/>
      <c r="O87" s="36"/>
      <c r="P87" s="36"/>
      <c r="Q87" s="36"/>
      <c r="R87" s="36"/>
    </row>
    <row r="88" spans="1:18" x14ac:dyDescent="0.25">
      <c r="A88" s="43"/>
      <c r="B88" s="41"/>
      <c r="C88" s="41"/>
      <c r="D88" s="41"/>
      <c r="E88" s="41"/>
      <c r="F88" s="41"/>
      <c r="G88" s="41"/>
      <c r="H88" s="36"/>
      <c r="I88" s="36"/>
      <c r="J88" s="36"/>
      <c r="K88" s="36"/>
      <c r="L88" s="36"/>
      <c r="M88" s="36"/>
      <c r="N88" s="36"/>
      <c r="O88" s="36"/>
      <c r="P88" s="36"/>
      <c r="Q88" s="36"/>
      <c r="R88" s="36"/>
    </row>
    <row r="89" spans="1:18" x14ac:dyDescent="0.25">
      <c r="A89" s="43"/>
      <c r="B89" s="640" t="s">
        <v>297</v>
      </c>
      <c r="C89" s="122" t="s">
        <v>299</v>
      </c>
      <c r="D89" s="122" t="s">
        <v>300</v>
      </c>
      <c r="E89" s="41"/>
      <c r="F89" s="41"/>
      <c r="G89" s="41"/>
      <c r="H89" s="36"/>
      <c r="I89" s="36"/>
      <c r="J89" s="36"/>
      <c r="K89" s="36"/>
      <c r="L89" s="36"/>
      <c r="M89" s="36"/>
      <c r="N89" s="36"/>
      <c r="O89" s="36"/>
      <c r="P89" s="36"/>
      <c r="Q89" s="36"/>
      <c r="R89" s="36"/>
    </row>
    <row r="90" spans="1:18" x14ac:dyDescent="0.25">
      <c r="A90" s="43" t="s">
        <v>296</v>
      </c>
      <c r="B90" s="85">
        <f>IF('Prac. Rec. Assumptions'!B56='Prac. Rec. Assumptions'!V3,0,SUM(IF('Prac. Rec. Assumptions'!B57="Yes",B74,0),IF('Prac. Rec. Assumptions'!B58="Yes",B81,0),IF('Prac. Rec. Assumptions'!B59="Yes",B82,0),IF('Prac. Rec. Assumptions'!B60="Yes",B83,0),IF('Prac. Rec. Assumptions'!B61="Yes",B84,0),IF('Prac. Rec. Assumptions'!B62="Yes",B85,0),IF('Prac. Rec. Assumptions'!B63="Yes",B86,0),IF('Prac. Rec. Assumptions'!B64="Yes",B87,0)))</f>
        <v>0</v>
      </c>
      <c r="C90" s="123">
        <f>IF('Prac. Rec. Assumptions'!B56='Prac. Rec. Assumptions'!V1,'Biomass Data Assumptions'!C46,IF('Prac. Rec. Assumptions'!B56='Prac. Rec. Assumptions'!V2,'Biomass Data Assumptions'!C45,0))</f>
        <v>0</v>
      </c>
      <c r="D90" s="41">
        <f>(C90*'Energy Content Assumptions'!C9)*B90</f>
        <v>0</v>
      </c>
      <c r="E90" s="41"/>
      <c r="F90" s="41"/>
      <c r="G90" s="41"/>
      <c r="H90" s="36"/>
      <c r="I90" s="36"/>
      <c r="J90" s="36"/>
      <c r="K90" s="36"/>
      <c r="L90" s="36"/>
      <c r="M90" s="36"/>
      <c r="N90" s="36"/>
      <c r="O90" s="36"/>
      <c r="P90" s="36"/>
      <c r="Q90" s="36"/>
      <c r="R90" s="36"/>
    </row>
    <row r="91" spans="1:18" x14ac:dyDescent="0.25">
      <c r="A91" s="36"/>
      <c r="B91" s="36"/>
      <c r="C91" s="36"/>
      <c r="D91" s="36"/>
      <c r="E91" s="36"/>
      <c r="F91" s="36"/>
      <c r="G91" s="36"/>
      <c r="H91" s="36"/>
      <c r="I91" s="36"/>
      <c r="J91" s="36"/>
      <c r="K91" s="36"/>
      <c r="L91" s="36"/>
      <c r="M91" s="36"/>
      <c r="N91" s="36"/>
      <c r="O91" s="36"/>
      <c r="P91" s="36"/>
      <c r="Q91" s="36"/>
      <c r="R91" s="36"/>
    </row>
    <row r="92" spans="1:18" ht="39.6" x14ac:dyDescent="0.25">
      <c r="A92" s="42" t="s">
        <v>531</v>
      </c>
      <c r="B92" s="455" t="s">
        <v>298</v>
      </c>
      <c r="C92" s="38" t="s">
        <v>1050</v>
      </c>
      <c r="D92" s="38" t="s">
        <v>1045</v>
      </c>
      <c r="E92" s="38" t="s">
        <v>1048</v>
      </c>
      <c r="F92" s="38" t="s">
        <v>1047</v>
      </c>
      <c r="G92" s="38" t="s">
        <v>1046</v>
      </c>
      <c r="H92" s="36" t="s">
        <v>599</v>
      </c>
      <c r="I92" s="36"/>
      <c r="J92" s="38"/>
      <c r="K92" s="38"/>
      <c r="L92" s="38"/>
      <c r="M92" s="38"/>
      <c r="N92" s="36"/>
      <c r="O92" s="36"/>
      <c r="P92" s="36"/>
      <c r="Q92" s="36"/>
      <c r="R92" s="36"/>
    </row>
    <row r="93" spans="1:18" x14ac:dyDescent="0.25">
      <c r="A93" s="42"/>
      <c r="B93" s="38"/>
      <c r="C93" s="38"/>
      <c r="D93" s="38"/>
      <c r="E93" s="38"/>
      <c r="F93" s="36"/>
      <c r="G93" s="36"/>
      <c r="H93" s="36"/>
      <c r="I93" s="36"/>
      <c r="J93" s="38"/>
      <c r="K93" s="38"/>
      <c r="L93" s="38"/>
      <c r="M93" s="38"/>
      <c r="N93" s="36"/>
      <c r="O93" s="36"/>
      <c r="P93" s="36"/>
      <c r="Q93" s="36"/>
      <c r="R93" s="36"/>
    </row>
    <row r="94" spans="1:18" hidden="1" x14ac:dyDescent="0.25">
      <c r="A94" s="43"/>
      <c r="B94" s="36"/>
      <c r="C94" s="41"/>
      <c r="D94" s="41"/>
      <c r="E94" s="44"/>
      <c r="F94" s="36"/>
      <c r="G94" s="36"/>
      <c r="H94" s="36"/>
      <c r="I94" s="36"/>
      <c r="J94" s="44"/>
      <c r="K94" s="44"/>
      <c r="L94" s="44"/>
      <c r="M94" s="44"/>
      <c r="N94" s="36"/>
      <c r="O94" s="36"/>
      <c r="P94" s="36"/>
      <c r="Q94" s="36"/>
      <c r="R94" s="36"/>
    </row>
    <row r="95" spans="1:18" hidden="1" x14ac:dyDescent="0.25">
      <c r="A95" s="45"/>
      <c r="B95" s="85"/>
      <c r="C95" s="41"/>
      <c r="D95" s="41"/>
      <c r="E95" s="41"/>
      <c r="F95" s="41"/>
      <c r="G95" s="41"/>
      <c r="H95" s="36"/>
      <c r="I95" s="36"/>
      <c r="J95" s="41"/>
      <c r="K95" s="41"/>
      <c r="L95" s="41"/>
      <c r="M95" s="41"/>
      <c r="N95" s="36"/>
      <c r="O95" s="36"/>
      <c r="P95" s="36"/>
      <c r="Q95" s="36"/>
      <c r="R95" s="36"/>
    </row>
    <row r="96" spans="1:18" hidden="1" x14ac:dyDescent="0.25">
      <c r="A96" s="45"/>
      <c r="B96" s="85"/>
      <c r="C96" s="41"/>
      <c r="D96" s="41"/>
      <c r="E96" s="41"/>
      <c r="F96" s="41"/>
      <c r="G96" s="41"/>
      <c r="H96" s="36"/>
      <c r="I96" s="36"/>
      <c r="J96" s="41"/>
      <c r="K96" s="41"/>
      <c r="L96" s="41"/>
      <c r="M96" s="41"/>
      <c r="N96" s="36"/>
      <c r="O96" s="36"/>
      <c r="P96" s="36"/>
      <c r="Q96" s="36"/>
      <c r="R96" s="36"/>
    </row>
    <row r="97" spans="1:18" x14ac:dyDescent="0.25">
      <c r="A97" s="467" t="s">
        <v>535</v>
      </c>
      <c r="B97" s="85">
        <v>725</v>
      </c>
      <c r="C97" s="41">
        <f>ROUND('Biomass Data Assumptions'!$B$60/1000*B97,0)</f>
        <v>725</v>
      </c>
      <c r="D97" s="41">
        <f>'Biomass Data Assumptions'!$C$60*C97</f>
        <v>24345500</v>
      </c>
      <c r="E97" s="41">
        <f>('Biomass Data Assumptions'!$D$60*'Energy Content Assumptions'!$C$44*D97)/2000</f>
        <v>292.14600000000002</v>
      </c>
      <c r="F97" s="41">
        <f>('Biomass Data Assumptions'!$E$60*B97*365)/2000</f>
        <v>529.25</v>
      </c>
      <c r="G97" s="41">
        <f>F97+E97</f>
        <v>821.39599999999996</v>
      </c>
      <c r="H97" s="36"/>
      <c r="I97" s="36"/>
      <c r="J97" s="41"/>
      <c r="K97" s="41"/>
      <c r="L97" s="41"/>
      <c r="M97" s="41"/>
      <c r="N97" s="36"/>
      <c r="O97" s="36"/>
      <c r="P97" s="36"/>
      <c r="Q97" s="36"/>
      <c r="R97" s="36"/>
    </row>
    <row r="98" spans="1:18" x14ac:dyDescent="0.25">
      <c r="A98" s="46"/>
      <c r="B98" s="41"/>
      <c r="C98" s="41"/>
      <c r="D98" s="41"/>
      <c r="E98" s="41"/>
      <c r="F98" s="41"/>
      <c r="G98" s="41"/>
      <c r="H98" s="36"/>
      <c r="I98" s="36"/>
      <c r="J98" s="41"/>
      <c r="K98" s="41"/>
      <c r="L98" s="41"/>
      <c r="M98" s="41"/>
      <c r="N98" s="36"/>
      <c r="O98" s="36"/>
      <c r="P98" s="36"/>
      <c r="Q98" s="36"/>
      <c r="R98" s="36"/>
    </row>
    <row r="99" spans="1:18" x14ac:dyDescent="0.25">
      <c r="A99" s="43" t="s">
        <v>539</v>
      </c>
      <c r="B99" s="47"/>
      <c r="C99" s="41"/>
      <c r="D99" s="41"/>
      <c r="E99" s="41"/>
      <c r="F99" s="41"/>
      <c r="G99" s="41"/>
      <c r="H99" s="36"/>
      <c r="I99" s="36"/>
      <c r="J99" s="41"/>
      <c r="K99" s="41"/>
      <c r="L99" s="41"/>
      <c r="M99" s="41"/>
      <c r="N99" s="36"/>
      <c r="O99" s="36"/>
      <c r="P99" s="36"/>
      <c r="Q99" s="36"/>
      <c r="R99" s="36"/>
    </row>
    <row r="100" spans="1:18" ht="11.25" customHeight="1" x14ac:dyDescent="0.25">
      <c r="A100" s="460" t="s">
        <v>603</v>
      </c>
      <c r="B100" s="85">
        <v>19</v>
      </c>
      <c r="C100" s="41">
        <f>ROUND('Biomass Data Assumptions'!B62/1000*B100,0)</f>
        <v>7</v>
      </c>
      <c r="D100" s="41">
        <f>'Biomass Data Assumptions'!C62*C100</f>
        <v>204400</v>
      </c>
      <c r="E100" s="41">
        <f>('Biomass Data Assumptions'!D62*'Energy Content Assumptions'!C46*D100)/2000</f>
        <v>9.1980000000000004</v>
      </c>
      <c r="F100" s="41">
        <f>('Biomass Data Assumptions'!E62*B100*365)/2000</f>
        <v>17.337499999999999</v>
      </c>
      <c r="G100" s="41">
        <f>F100+E100</f>
        <v>26.535499999999999</v>
      </c>
      <c r="H100" s="36"/>
      <c r="I100" s="36"/>
      <c r="J100" s="41"/>
      <c r="K100" s="41"/>
      <c r="L100" s="41"/>
      <c r="M100" s="41"/>
      <c r="N100" s="36"/>
      <c r="O100" s="36"/>
      <c r="P100" s="36"/>
      <c r="Q100" s="36"/>
      <c r="R100" s="36"/>
    </row>
    <row r="101" spans="1:18" hidden="1" x14ac:dyDescent="0.25">
      <c r="A101" s="45"/>
      <c r="B101" s="85"/>
      <c r="C101" s="41"/>
      <c r="D101" s="41"/>
      <c r="E101" s="41"/>
      <c r="F101" s="41"/>
      <c r="G101" s="41"/>
      <c r="H101" s="36"/>
      <c r="I101" s="36"/>
      <c r="J101" s="41"/>
      <c r="K101" s="41"/>
      <c r="L101" s="41"/>
      <c r="M101" s="41"/>
      <c r="N101" s="36"/>
      <c r="O101" s="36"/>
      <c r="P101" s="36"/>
      <c r="Q101" s="36"/>
      <c r="R101" s="36"/>
    </row>
    <row r="102" spans="1:18" x14ac:dyDescent="0.25">
      <c r="A102" s="460" t="s">
        <v>604</v>
      </c>
      <c r="B102" s="85">
        <v>7</v>
      </c>
      <c r="C102" s="41">
        <f>ROUND('Biomass Data Assumptions'!B64/1000*B102,0)</f>
        <v>10</v>
      </c>
      <c r="D102" s="41">
        <f>'Biomass Data Assumptions'!C64*C102</f>
        <v>405150</v>
      </c>
      <c r="E102" s="41">
        <f>('Biomass Data Assumptions'!D64*'Energy Content Assumptions'!C48*D102)/2000</f>
        <v>18.231750000000002</v>
      </c>
      <c r="F102" s="41">
        <f>'Biomass Data Assumptions'!E64*B102*365/2000</f>
        <v>12.775</v>
      </c>
      <c r="G102" s="41">
        <f>F102+E102</f>
        <v>31.006750000000004</v>
      </c>
      <c r="H102" s="36"/>
      <c r="I102" s="36"/>
      <c r="J102" s="41"/>
      <c r="K102" s="41"/>
      <c r="L102" s="41"/>
      <c r="M102" s="41"/>
      <c r="N102" s="36"/>
      <c r="O102" s="36"/>
      <c r="P102" s="36"/>
      <c r="Q102" s="36"/>
      <c r="R102" s="36"/>
    </row>
    <row r="103" spans="1:18" hidden="1" x14ac:dyDescent="0.25">
      <c r="A103" s="45"/>
      <c r="B103" s="85"/>
      <c r="C103" s="41"/>
      <c r="D103" s="41"/>
      <c r="E103" s="41"/>
      <c r="F103" s="41"/>
      <c r="G103" s="41"/>
      <c r="H103" s="36"/>
      <c r="I103" s="36"/>
      <c r="J103" s="41"/>
      <c r="K103" s="41"/>
      <c r="L103" s="41"/>
      <c r="M103" s="41"/>
      <c r="N103" s="36"/>
      <c r="O103" s="36"/>
      <c r="P103" s="36"/>
      <c r="Q103" s="36"/>
      <c r="R103" s="36"/>
    </row>
    <row r="104" spans="1:18" x14ac:dyDescent="0.25">
      <c r="A104" s="467" t="s">
        <v>544</v>
      </c>
      <c r="B104" s="85">
        <v>26</v>
      </c>
      <c r="C104" s="41">
        <f>SUM(C100:C103)</f>
        <v>17</v>
      </c>
      <c r="D104" s="41">
        <f>SUM(D100:D103)</f>
        <v>609550</v>
      </c>
      <c r="E104" s="41">
        <f>SUM(E100:E103)</f>
        <v>27.429750000000002</v>
      </c>
      <c r="F104" s="41">
        <f>SUM(F100:F103)</f>
        <v>30.112499999999997</v>
      </c>
      <c r="G104" s="41">
        <f>SUM(G100:G103)</f>
        <v>57.542250000000003</v>
      </c>
      <c r="H104" s="36"/>
      <c r="I104" s="36"/>
      <c r="J104" s="41"/>
      <c r="K104" s="41"/>
      <c r="L104" s="41"/>
      <c r="M104" s="41"/>
      <c r="N104" s="36"/>
      <c r="O104" s="36"/>
      <c r="P104" s="36"/>
      <c r="Q104" s="36"/>
      <c r="R104" s="36"/>
    </row>
    <row r="105" spans="1:18" x14ac:dyDescent="0.25">
      <c r="A105" s="46"/>
      <c r="B105" s="41"/>
      <c r="C105" s="41"/>
      <c r="D105" s="41"/>
      <c r="E105" s="41"/>
      <c r="F105" s="41"/>
      <c r="G105" s="41"/>
      <c r="H105" s="36"/>
      <c r="I105" s="36"/>
      <c r="J105" s="41"/>
      <c r="K105" s="41"/>
      <c r="L105" s="41"/>
      <c r="M105" s="41"/>
      <c r="N105" s="36"/>
      <c r="O105" s="36"/>
      <c r="P105" s="36"/>
      <c r="Q105" s="36"/>
      <c r="R105" s="36"/>
    </row>
    <row r="106" spans="1:18" x14ac:dyDescent="0.25">
      <c r="A106" s="43" t="s">
        <v>545</v>
      </c>
      <c r="B106" s="85">
        <v>7412</v>
      </c>
      <c r="C106" s="41">
        <f>ROUND('Biomass Data Assumptions'!B66/1000*B106,0)</f>
        <v>7412</v>
      </c>
      <c r="D106" s="41">
        <f>'Biomass Data Assumptions'!C66*C106</f>
        <v>150148590</v>
      </c>
      <c r="E106" s="41">
        <f>('Biomass Data Assumptions'!D66*'Energy Content Assumptions'!C50*D106)/2000</f>
        <v>5255.2006500000007</v>
      </c>
      <c r="F106" s="41">
        <f>'Biomass Data Assumptions'!E66*B106*365/2000</f>
        <v>20290.349999999999</v>
      </c>
      <c r="G106" s="41">
        <f>F106+E106</f>
        <v>25545.550649999997</v>
      </c>
      <c r="H106" s="36"/>
      <c r="I106" s="36"/>
      <c r="J106" s="41"/>
      <c r="K106" s="41"/>
      <c r="L106" s="41"/>
      <c r="M106" s="41"/>
      <c r="N106" s="36"/>
      <c r="O106" s="36"/>
      <c r="P106" s="36"/>
      <c r="Q106" s="36"/>
      <c r="R106" s="36"/>
    </row>
    <row r="107" spans="1:18" x14ac:dyDescent="0.25">
      <c r="A107" s="43"/>
      <c r="B107" s="41"/>
      <c r="C107" s="41"/>
      <c r="D107" s="41"/>
      <c r="E107" s="41"/>
      <c r="F107" s="41"/>
      <c r="G107" s="41"/>
      <c r="H107" s="36"/>
      <c r="I107" s="36"/>
      <c r="J107" s="41"/>
      <c r="K107" s="41"/>
      <c r="L107" s="41"/>
      <c r="M107" s="41"/>
      <c r="N107" s="36"/>
      <c r="O107" s="36"/>
      <c r="P107" s="36"/>
      <c r="Q107" s="36"/>
      <c r="R107" s="36"/>
    </row>
    <row r="108" spans="1:18" x14ac:dyDescent="0.25">
      <c r="A108" s="43" t="s">
        <v>546</v>
      </c>
      <c r="B108" s="85">
        <v>1025</v>
      </c>
      <c r="C108" s="41">
        <f>ROUND('Biomass Data Assumptions'!B67/1000*B108,0)</f>
        <v>103</v>
      </c>
      <c r="D108" s="41">
        <f>'Biomass Data Assumptions'!C67*C108</f>
        <v>1541395</v>
      </c>
      <c r="E108" s="41">
        <f>('Biomass Data Assumptions'!D67*'Energy Content Assumptions'!C51*D108)/2000</f>
        <v>38.534875</v>
      </c>
      <c r="F108" s="41">
        <f>'Biomass Data Assumptions'!E67*B108*365/2000</f>
        <v>187.0625</v>
      </c>
      <c r="G108" s="41">
        <f>F108+E108</f>
        <v>225.597375</v>
      </c>
      <c r="H108" s="36"/>
      <c r="I108" s="36"/>
      <c r="J108" s="41"/>
      <c r="K108" s="41"/>
      <c r="L108" s="41"/>
      <c r="M108" s="41"/>
      <c r="N108" s="36"/>
      <c r="O108" s="36"/>
      <c r="P108" s="36"/>
      <c r="Q108" s="36"/>
      <c r="R108" s="36"/>
    </row>
    <row r="109" spans="1:18" x14ac:dyDescent="0.25">
      <c r="A109" s="43"/>
      <c r="B109" s="41"/>
      <c r="C109" s="41"/>
      <c r="D109" s="41"/>
      <c r="E109" s="41"/>
      <c r="F109" s="41"/>
      <c r="G109" s="41"/>
      <c r="H109" s="36"/>
      <c r="I109" s="36"/>
      <c r="J109" s="41"/>
      <c r="K109" s="41"/>
      <c r="L109" s="41"/>
      <c r="M109" s="41"/>
      <c r="N109" s="36"/>
      <c r="O109" s="36"/>
      <c r="P109" s="36"/>
      <c r="Q109" s="36"/>
      <c r="R109" s="36"/>
    </row>
    <row r="110" spans="1:18" x14ac:dyDescent="0.25">
      <c r="A110" s="43" t="s">
        <v>547</v>
      </c>
      <c r="B110" s="85">
        <v>1472</v>
      </c>
      <c r="C110" s="41">
        <f>ROUND('Biomass Data Assumptions'!B68/1000*B110,0)</f>
        <v>147</v>
      </c>
      <c r="D110" s="41">
        <f>'Biomass Data Assumptions'!C68*C110</f>
        <v>2199855</v>
      </c>
      <c r="E110" s="41">
        <f>('Biomass Data Assumptions'!D68*'Energy Content Assumptions'!C52*D110)/2000</f>
        <v>54.996375</v>
      </c>
      <c r="F110" s="41">
        <f>'Biomass Data Assumptions'!E68*B110*365/2000</f>
        <v>268.64</v>
      </c>
      <c r="G110" s="41">
        <f>F110+E110</f>
        <v>323.63637499999999</v>
      </c>
      <c r="H110" s="36"/>
      <c r="I110" s="36"/>
      <c r="J110" s="41"/>
      <c r="K110" s="41"/>
      <c r="L110" s="41"/>
      <c r="M110" s="41"/>
      <c r="N110" s="36"/>
      <c r="O110" s="36"/>
      <c r="P110" s="36"/>
      <c r="Q110" s="36"/>
      <c r="R110" s="36"/>
    </row>
    <row r="111" spans="1:18" x14ac:dyDescent="0.25">
      <c r="A111" s="43"/>
      <c r="B111" s="41"/>
      <c r="C111" s="41"/>
      <c r="D111" s="41"/>
      <c r="E111" s="41"/>
      <c r="F111" s="41"/>
      <c r="G111" s="41"/>
      <c r="H111" s="36"/>
      <c r="I111" s="36"/>
      <c r="J111" s="41"/>
      <c r="K111" s="41"/>
      <c r="L111" s="41"/>
      <c r="M111" s="41"/>
      <c r="N111" s="36"/>
      <c r="O111" s="36"/>
      <c r="P111" s="36"/>
      <c r="Q111" s="36"/>
      <c r="R111" s="36"/>
    </row>
    <row r="112" spans="1:18" hidden="1" x14ac:dyDescent="0.25">
      <c r="A112" s="43" t="s">
        <v>548</v>
      </c>
      <c r="B112" s="36"/>
      <c r="C112" s="41"/>
      <c r="D112" s="41"/>
      <c r="E112" s="41"/>
      <c r="F112" s="41"/>
      <c r="G112" s="41"/>
      <c r="H112" s="36"/>
      <c r="I112" s="36"/>
      <c r="J112" s="41"/>
      <c r="K112" s="41"/>
      <c r="L112" s="41"/>
      <c r="M112" s="41"/>
      <c r="N112" s="36"/>
      <c r="O112" s="36"/>
      <c r="P112" s="36"/>
      <c r="Q112" s="36"/>
      <c r="R112" s="36"/>
    </row>
    <row r="113" spans="1:18" hidden="1" x14ac:dyDescent="0.25">
      <c r="A113" s="45"/>
      <c r="B113" s="85"/>
      <c r="C113" s="41"/>
      <c r="D113" s="41"/>
      <c r="E113" s="41"/>
      <c r="F113" s="41"/>
      <c r="G113" s="41"/>
      <c r="H113" s="36"/>
      <c r="I113" s="36"/>
      <c r="J113" s="41"/>
      <c r="K113" s="41"/>
      <c r="L113" s="41"/>
      <c r="M113" s="41"/>
      <c r="N113" s="36"/>
      <c r="O113" s="36"/>
      <c r="P113" s="36"/>
      <c r="Q113" s="36"/>
      <c r="R113" s="36"/>
    </row>
    <row r="114" spans="1:18" hidden="1" x14ac:dyDescent="0.25">
      <c r="A114" s="45"/>
      <c r="B114" s="85"/>
      <c r="C114" s="41"/>
      <c r="D114" s="41"/>
      <c r="E114" s="41"/>
      <c r="F114" s="41"/>
      <c r="G114" s="41"/>
      <c r="H114" s="36"/>
      <c r="I114" s="36"/>
      <c r="J114" s="41"/>
      <c r="K114" s="41"/>
      <c r="L114" s="41"/>
      <c r="M114" s="41"/>
      <c r="N114" s="36"/>
      <c r="O114" s="36"/>
      <c r="P114" s="36"/>
      <c r="Q114" s="36"/>
      <c r="R114" s="36"/>
    </row>
    <row r="115" spans="1:18" x14ac:dyDescent="0.25">
      <c r="A115" s="467" t="s">
        <v>605</v>
      </c>
      <c r="B115" s="85">
        <v>223</v>
      </c>
      <c r="C115" s="41">
        <f>ROUND('Biomass Data Assumptions'!$B$71/1000*B115,0)</f>
        <v>89</v>
      </c>
      <c r="D115" s="41">
        <f>'Biomass Data Assumptions'!$C$71*C115</f>
        <v>1526795</v>
      </c>
      <c r="E115" s="41">
        <f>('Biomass Data Assumptions'!$D$71*'Energy Content Assumptions'!$C$55*D115)/2000</f>
        <v>38.169874999999998</v>
      </c>
      <c r="F115" s="41">
        <f>'Biomass Data Assumptions'!$E$71*B115*365/2000</f>
        <v>0</v>
      </c>
      <c r="G115" s="41">
        <f>F115+E115</f>
        <v>38.169874999999998</v>
      </c>
      <c r="H115" s="36"/>
      <c r="I115" s="36"/>
      <c r="J115" s="41"/>
      <c r="K115" s="41"/>
      <c r="L115" s="41"/>
      <c r="M115" s="41"/>
      <c r="N115" s="36"/>
      <c r="O115" s="36"/>
      <c r="P115" s="36"/>
      <c r="Q115" s="36"/>
      <c r="R115" s="36"/>
    </row>
    <row r="116" spans="1:18" x14ac:dyDescent="0.25">
      <c r="A116" s="46"/>
      <c r="B116" s="41"/>
      <c r="C116" s="41"/>
      <c r="D116" s="41"/>
      <c r="E116" s="41"/>
      <c r="F116" s="41"/>
      <c r="G116" s="41"/>
      <c r="H116" s="36"/>
      <c r="I116" s="36"/>
      <c r="J116" s="41"/>
      <c r="K116" s="41"/>
      <c r="L116" s="41"/>
      <c r="M116" s="41"/>
      <c r="N116" s="36"/>
      <c r="O116" s="36"/>
      <c r="P116" s="36"/>
      <c r="Q116" s="36"/>
      <c r="R116" s="36"/>
    </row>
    <row r="117" spans="1:18" x14ac:dyDescent="0.25">
      <c r="A117" s="43" t="s">
        <v>551</v>
      </c>
      <c r="B117" s="85">
        <f>710+2473+156150</f>
        <v>159333</v>
      </c>
      <c r="C117" s="41">
        <f>ROUND('Biomass Data Assumptions'!B72/1000*B117,0)</f>
        <v>797</v>
      </c>
      <c r="D117" s="41">
        <f>'Biomass Data Assumptions'!C72*C117</f>
        <v>14545250</v>
      </c>
      <c r="E117" s="41">
        <f>('Biomass Data Assumptions'!D72*'Energy Content Assumptions'!C56*D117)/2000</f>
        <v>1418.161875</v>
      </c>
      <c r="F117" s="41">
        <f>'Biomass Data Assumptions'!E72*B117*365/2000</f>
        <v>0</v>
      </c>
      <c r="G117" s="41">
        <f>F117+E117</f>
        <v>1418.161875</v>
      </c>
      <c r="H117" s="150" t="s">
        <v>610</v>
      </c>
      <c r="I117" s="36"/>
      <c r="J117" s="41"/>
      <c r="K117" s="41"/>
      <c r="L117" s="41"/>
      <c r="M117" s="41"/>
      <c r="N117" s="36"/>
      <c r="O117" s="36"/>
      <c r="P117" s="36"/>
      <c r="Q117" s="36"/>
      <c r="R117" s="36"/>
    </row>
    <row r="118" spans="1:18" x14ac:dyDescent="0.25">
      <c r="A118" s="43"/>
      <c r="B118" s="41"/>
      <c r="C118" s="41"/>
      <c r="D118" s="41"/>
      <c r="E118" s="41"/>
      <c r="F118" s="41"/>
      <c r="G118" s="41"/>
      <c r="H118" s="36"/>
      <c r="I118" s="36"/>
      <c r="J118" s="41"/>
      <c r="K118" s="41"/>
      <c r="L118" s="41"/>
      <c r="M118" s="41"/>
      <c r="N118" s="36"/>
      <c r="O118" s="36"/>
      <c r="P118" s="36"/>
      <c r="Q118" s="36"/>
      <c r="R118" s="36"/>
    </row>
    <row r="119" spans="1:18" x14ac:dyDescent="0.25">
      <c r="A119" s="43" t="s">
        <v>552</v>
      </c>
      <c r="B119" s="85">
        <v>7261</v>
      </c>
      <c r="C119" s="41">
        <f>ROUND('Biomass Data Assumptions'!B73/1000*B119,0)</f>
        <v>145</v>
      </c>
      <c r="D119" s="41">
        <f>'Biomass Data Assumptions'!C73*C119</f>
        <v>1958225</v>
      </c>
      <c r="E119" s="41">
        <f>('Biomass Data Assumptions'!D73*'Energy Content Assumptions'!C57*D119)/2000</f>
        <v>183.58359375000001</v>
      </c>
      <c r="F119" s="41">
        <f>'Biomass Data Assumptions'!E73*B119*365/2000</f>
        <v>132.51325</v>
      </c>
      <c r="G119" s="41">
        <f>F119+E119</f>
        <v>316.09684375000001</v>
      </c>
      <c r="H119" s="36"/>
      <c r="I119" s="36"/>
      <c r="J119" s="41"/>
      <c r="K119" s="41"/>
      <c r="L119" s="41"/>
      <c r="M119" s="41"/>
      <c r="N119" s="36"/>
      <c r="O119" s="36"/>
      <c r="P119" s="36"/>
      <c r="Q119" s="36"/>
      <c r="R119" s="36"/>
    </row>
    <row r="120" spans="1:18" x14ac:dyDescent="0.25">
      <c r="A120" s="43"/>
      <c r="B120" s="41"/>
      <c r="C120" s="41"/>
      <c r="D120" s="41"/>
      <c r="E120" s="41"/>
      <c r="F120" s="41"/>
      <c r="G120" s="41"/>
      <c r="H120" s="36"/>
      <c r="I120" s="36"/>
      <c r="J120" s="41"/>
      <c r="K120" s="41"/>
      <c r="L120" s="41"/>
      <c r="M120" s="41"/>
      <c r="N120" s="36"/>
      <c r="O120" s="36"/>
      <c r="P120" s="36"/>
      <c r="Q120" s="36"/>
      <c r="R120" s="36"/>
    </row>
    <row r="121" spans="1:18" x14ac:dyDescent="0.25">
      <c r="A121" s="43" t="s">
        <v>553</v>
      </c>
      <c r="B121" s="86">
        <f t="shared" ref="B121:G121" si="14">B97+B104+B106+B108+B110+B115+B117+B119</f>
        <v>177477</v>
      </c>
      <c r="C121" s="48">
        <f t="shared" si="14"/>
        <v>9435</v>
      </c>
      <c r="D121" s="48">
        <f t="shared" si="14"/>
        <v>196875160</v>
      </c>
      <c r="E121" s="48">
        <f t="shared" si="14"/>
        <v>7308.2229937499997</v>
      </c>
      <c r="F121" s="48">
        <f t="shared" si="14"/>
        <v>21437.928249999997</v>
      </c>
      <c r="G121" s="48">
        <f t="shared" si="14"/>
        <v>28746.151243749999</v>
      </c>
      <c r="H121" s="36"/>
      <c r="I121" s="36"/>
      <c r="J121" s="48"/>
      <c r="K121" s="48"/>
      <c r="L121" s="48"/>
      <c r="M121" s="48"/>
      <c r="N121" s="36"/>
      <c r="O121" s="36"/>
      <c r="P121" s="36"/>
      <c r="Q121" s="36"/>
      <c r="R121" s="36"/>
    </row>
    <row r="122" spans="1:18" x14ac:dyDescent="0.25">
      <c r="A122" s="36"/>
      <c r="B122" s="36"/>
      <c r="C122" s="36"/>
      <c r="D122" s="36"/>
      <c r="E122" s="36"/>
      <c r="F122" s="36"/>
      <c r="G122" s="36"/>
      <c r="H122" s="36"/>
      <c r="I122" s="36"/>
      <c r="J122" s="36"/>
      <c r="K122" s="36"/>
      <c r="L122" s="36"/>
      <c r="M122" s="36"/>
      <c r="N122" s="36"/>
      <c r="O122" s="36"/>
      <c r="P122" s="36"/>
      <c r="Q122" s="36"/>
      <c r="R122" s="36"/>
    </row>
    <row r="123" spans="1:18" x14ac:dyDescent="0.25">
      <c r="A123" s="49" t="s">
        <v>1014</v>
      </c>
      <c r="B123" s="49" t="s">
        <v>1043</v>
      </c>
      <c r="C123" s="49" t="s">
        <v>1044</v>
      </c>
      <c r="D123" s="546" t="s">
        <v>1013</v>
      </c>
      <c r="E123" s="36"/>
      <c r="F123" s="36"/>
      <c r="G123" s="36"/>
      <c r="H123" s="36"/>
      <c r="I123" s="36"/>
      <c r="J123" s="36"/>
      <c r="K123" s="36"/>
      <c r="L123" s="36"/>
      <c r="M123" s="36"/>
      <c r="N123" s="36"/>
      <c r="O123" s="36"/>
      <c r="P123" s="36"/>
      <c r="Q123" s="36"/>
      <c r="R123" s="36"/>
    </row>
    <row r="124" spans="1:18" x14ac:dyDescent="0.25">
      <c r="A124" s="50" t="s">
        <v>555</v>
      </c>
      <c r="B124" s="87">
        <v>49061.03</v>
      </c>
      <c r="C124" s="543">
        <f>B124*'Energy Content Assumptions'!C33</f>
        <v>44154.927000000003</v>
      </c>
      <c r="D124" s="36"/>
      <c r="E124" s="36"/>
      <c r="F124" s="36"/>
      <c r="G124" s="36"/>
      <c r="H124" s="36"/>
      <c r="I124" s="36"/>
      <c r="J124" s="36"/>
      <c r="K124" s="36"/>
      <c r="L124" s="36"/>
      <c r="M124" s="36"/>
      <c r="N124" s="36"/>
      <c r="O124" s="36"/>
      <c r="P124" s="36"/>
      <c r="Q124" s="36"/>
      <c r="R124" s="36"/>
    </row>
    <row r="125" spans="1:18" x14ac:dyDescent="0.25">
      <c r="A125" s="50" t="s">
        <v>556</v>
      </c>
      <c r="B125" s="87">
        <v>15770.22</v>
      </c>
      <c r="C125" s="543">
        <f>B125*'Energy Content Assumptions'!C34</f>
        <v>14193.198</v>
      </c>
      <c r="D125" s="36"/>
      <c r="E125" s="36"/>
      <c r="F125" s="36"/>
      <c r="G125" s="36"/>
      <c r="H125" s="36"/>
      <c r="I125" s="36"/>
      <c r="J125" s="36"/>
      <c r="K125" s="36"/>
      <c r="L125" s="36"/>
      <c r="M125" s="36"/>
      <c r="N125" s="36"/>
      <c r="O125" s="36"/>
      <c r="P125" s="36"/>
      <c r="Q125" s="36"/>
      <c r="R125" s="36"/>
    </row>
    <row r="126" spans="1:18" x14ac:dyDescent="0.25">
      <c r="A126" s="50" t="s">
        <v>557</v>
      </c>
      <c r="B126" s="87">
        <v>19366.689999999999</v>
      </c>
      <c r="C126" s="543">
        <f>B126*'Energy Content Assumptions'!C35</f>
        <v>17430.021000000001</v>
      </c>
      <c r="D126" s="36"/>
      <c r="E126" s="36"/>
      <c r="F126" s="36"/>
      <c r="G126" s="36"/>
      <c r="H126" s="36"/>
      <c r="I126" s="36"/>
      <c r="J126" s="36"/>
      <c r="K126" s="36"/>
      <c r="L126" s="36"/>
      <c r="M126" s="36"/>
      <c r="N126" s="36"/>
      <c r="O126" s="36"/>
      <c r="P126" s="36"/>
      <c r="Q126" s="36"/>
      <c r="R126" s="36"/>
    </row>
    <row r="127" spans="1:18" x14ac:dyDescent="0.25">
      <c r="A127" s="50" t="s">
        <v>558</v>
      </c>
      <c r="B127" s="87">
        <v>11347.43</v>
      </c>
      <c r="C127" s="543">
        <f>B127*'Energy Content Assumptions'!C36</f>
        <v>10212.687</v>
      </c>
      <c r="D127" s="36"/>
      <c r="E127" s="36"/>
      <c r="F127" s="36"/>
      <c r="G127" s="36"/>
      <c r="H127" s="36"/>
      <c r="I127" s="36"/>
      <c r="J127" s="36"/>
      <c r="K127" s="36"/>
      <c r="L127" s="36"/>
      <c r="M127" s="36"/>
      <c r="N127" s="36"/>
      <c r="O127" s="36"/>
      <c r="P127" s="36"/>
      <c r="Q127" s="36"/>
      <c r="R127" s="36"/>
    </row>
    <row r="128" spans="1:18" x14ac:dyDescent="0.25">
      <c r="A128" s="50" t="s">
        <v>559</v>
      </c>
      <c r="B128" s="87">
        <v>61223.839999999997</v>
      </c>
      <c r="C128" s="543">
        <f>B128*'Energy Content Assumptions'!C21</f>
        <v>30611.919999999998</v>
      </c>
      <c r="D128" s="36"/>
      <c r="E128" s="36"/>
      <c r="F128" s="36"/>
      <c r="G128" s="36"/>
      <c r="H128" s="36"/>
      <c r="I128" s="36"/>
      <c r="J128" s="36"/>
      <c r="K128" s="36"/>
      <c r="L128" s="36"/>
      <c r="M128" s="36"/>
      <c r="N128" s="36"/>
      <c r="O128" s="36"/>
      <c r="P128" s="36"/>
      <c r="Q128" s="36"/>
      <c r="R128" s="36"/>
    </row>
    <row r="129" spans="1:18" x14ac:dyDescent="0.25">
      <c r="A129" s="50" t="s">
        <v>560</v>
      </c>
      <c r="B129" s="87">
        <v>92.66</v>
      </c>
      <c r="C129" s="543">
        <f>B129*'Energy Content Assumptions'!C22</f>
        <v>30.886666666666663</v>
      </c>
      <c r="D129" s="36"/>
      <c r="E129" s="36"/>
      <c r="F129" s="36"/>
      <c r="G129" s="36"/>
      <c r="H129" s="36"/>
      <c r="I129" s="36"/>
      <c r="J129" s="36"/>
      <c r="K129" s="36"/>
      <c r="L129" s="36"/>
      <c r="M129" s="36"/>
      <c r="N129" s="36"/>
      <c r="O129" s="36"/>
      <c r="P129" s="36"/>
      <c r="Q129" s="36"/>
      <c r="R129" s="36"/>
    </row>
    <row r="130" spans="1:18" x14ac:dyDescent="0.25">
      <c r="A130" s="50" t="s">
        <v>561</v>
      </c>
      <c r="B130" s="87">
        <v>92982.66</v>
      </c>
      <c r="C130" s="543">
        <f>B130*'Energy Content Assumptions'!C23</f>
        <v>30994.22</v>
      </c>
      <c r="D130" s="36"/>
      <c r="E130" s="36"/>
      <c r="F130" s="36"/>
      <c r="G130" s="36"/>
      <c r="H130" s="36"/>
      <c r="I130" s="36"/>
      <c r="J130" s="36"/>
      <c r="K130" s="36"/>
      <c r="L130" s="36"/>
      <c r="M130" s="36"/>
      <c r="N130" s="36"/>
      <c r="O130" s="36"/>
      <c r="P130" s="36"/>
      <c r="Q130" s="36"/>
      <c r="R130" s="36"/>
    </row>
    <row r="131" spans="1:18" x14ac:dyDescent="0.25">
      <c r="A131" s="50" t="s">
        <v>562</v>
      </c>
      <c r="B131" s="87">
        <v>2980.11</v>
      </c>
      <c r="C131" s="543">
        <f>B131*'Energy Content Assumptions'!C24</f>
        <v>1490.0550000000001</v>
      </c>
      <c r="D131" s="36"/>
      <c r="E131" s="36"/>
      <c r="F131" s="36"/>
      <c r="G131" s="36"/>
      <c r="H131" s="36"/>
      <c r="I131" s="36"/>
      <c r="J131" s="36"/>
      <c r="K131" s="36"/>
      <c r="L131" s="36"/>
      <c r="M131" s="36"/>
      <c r="N131" s="36"/>
      <c r="O131" s="36"/>
      <c r="P131" s="36"/>
      <c r="Q131" s="36"/>
      <c r="R131" s="36"/>
    </row>
    <row r="132" spans="1:18" x14ac:dyDescent="0.25">
      <c r="A132" s="50" t="s">
        <v>563</v>
      </c>
      <c r="B132" s="87">
        <v>2548.04</v>
      </c>
      <c r="C132" s="543">
        <f>B132*'Energy Content Assumptions'!C31</f>
        <v>637.01</v>
      </c>
      <c r="D132" s="36"/>
      <c r="E132" s="36"/>
      <c r="F132" s="36"/>
      <c r="G132" s="36"/>
      <c r="H132" s="36"/>
      <c r="I132" s="36"/>
      <c r="J132" s="36"/>
      <c r="K132" s="36"/>
      <c r="L132" s="36"/>
      <c r="M132" s="36"/>
      <c r="N132" s="36"/>
      <c r="O132" s="36"/>
      <c r="P132" s="36"/>
      <c r="Q132" s="36"/>
      <c r="R132" s="36"/>
    </row>
    <row r="133" spans="1:18" x14ac:dyDescent="0.25">
      <c r="A133" s="50" t="s">
        <v>564</v>
      </c>
      <c r="B133" s="87">
        <v>8.33</v>
      </c>
      <c r="C133" s="543">
        <f>B133*'Energy Content Assumptions'!C19</f>
        <v>7.4969999999999999</v>
      </c>
      <c r="D133" s="36"/>
      <c r="E133" s="36"/>
      <c r="F133" s="36"/>
      <c r="G133" s="36"/>
      <c r="H133" s="36"/>
      <c r="I133" s="36"/>
      <c r="J133" s="36"/>
      <c r="K133" s="36"/>
      <c r="L133" s="36"/>
      <c r="M133" s="36"/>
      <c r="N133" s="36"/>
      <c r="O133" s="36"/>
      <c r="P133" s="36"/>
      <c r="Q133" s="36"/>
      <c r="R133" s="36"/>
    </row>
    <row r="134" spans="1:18" x14ac:dyDescent="0.25">
      <c r="A134" s="50" t="s">
        <v>565</v>
      </c>
      <c r="B134" s="87">
        <v>16686.63</v>
      </c>
      <c r="C134" s="543">
        <f>B134*'Energy Content Assumptions'!C32</f>
        <v>13349.304000000002</v>
      </c>
      <c r="D134" s="36"/>
      <c r="E134" s="36"/>
      <c r="F134" s="36"/>
      <c r="G134" s="36"/>
      <c r="H134" s="36"/>
      <c r="I134" s="36"/>
      <c r="J134" s="36"/>
      <c r="K134" s="36"/>
      <c r="L134" s="36"/>
      <c r="M134" s="36"/>
      <c r="N134" s="36"/>
      <c r="O134" s="36"/>
      <c r="P134" s="36"/>
      <c r="Q134" s="36"/>
      <c r="R134" s="36"/>
    </row>
    <row r="135" spans="1:18" x14ac:dyDescent="0.25">
      <c r="A135" s="36"/>
      <c r="B135" s="36"/>
      <c r="C135" s="36"/>
      <c r="D135" s="36"/>
      <c r="E135" s="36"/>
      <c r="F135" s="36"/>
      <c r="G135" s="36"/>
      <c r="H135" s="36"/>
      <c r="I135" s="36"/>
      <c r="J135" s="36"/>
      <c r="K135" s="36"/>
      <c r="L135" s="36"/>
      <c r="M135" s="36"/>
      <c r="N135" s="36"/>
      <c r="O135" s="36"/>
      <c r="P135" s="36"/>
      <c r="Q135" s="36"/>
      <c r="R135" s="36"/>
    </row>
    <row r="136" spans="1:18" x14ac:dyDescent="0.25">
      <c r="A136" s="49" t="s">
        <v>462</v>
      </c>
      <c r="B136" s="49" t="s">
        <v>1039</v>
      </c>
      <c r="C136" s="49" t="s">
        <v>1040</v>
      </c>
      <c r="D136" s="36"/>
      <c r="E136" s="36"/>
      <c r="F136" s="36"/>
      <c r="G136" s="36"/>
      <c r="H136" s="36"/>
      <c r="I136" s="36"/>
      <c r="J136" s="36"/>
      <c r="K136" s="36"/>
      <c r="L136" s="36"/>
      <c r="M136" s="36"/>
      <c r="N136" s="36"/>
      <c r="O136" s="36"/>
      <c r="P136" s="36"/>
      <c r="Q136" s="36"/>
      <c r="R136" s="36"/>
    </row>
    <row r="137" spans="1:18" x14ac:dyDescent="0.25">
      <c r="A137" s="50" t="s">
        <v>211</v>
      </c>
      <c r="B137" s="87">
        <f>'Biomass Data Assumptions'!$M$19</f>
        <v>746942.83</v>
      </c>
      <c r="C137" s="544"/>
      <c r="D137" s="546" t="s">
        <v>1016</v>
      </c>
      <c r="E137" s="36"/>
      <c r="F137" s="36"/>
      <c r="G137" s="36"/>
      <c r="H137" s="36"/>
      <c r="I137" s="36"/>
      <c r="J137" s="36"/>
      <c r="K137" s="36"/>
      <c r="L137" s="36"/>
      <c r="M137" s="36"/>
      <c r="N137" s="36"/>
      <c r="O137" s="36"/>
      <c r="P137" s="36"/>
      <c r="Q137" s="36"/>
      <c r="R137" s="36"/>
    </row>
    <row r="138" spans="1:18" x14ac:dyDescent="0.25">
      <c r="A138" s="50" t="s">
        <v>208</v>
      </c>
      <c r="B138" s="87">
        <f>'Biomass Data Assumptions'!$F$19</f>
        <v>430088.67</v>
      </c>
      <c r="C138" s="543">
        <f>B138*'Energy Content Assumptions'!$C$28</f>
        <v>215044.33499999999</v>
      </c>
      <c r="D138" s="546" t="s">
        <v>1016</v>
      </c>
      <c r="E138" s="36"/>
      <c r="F138" s="36"/>
      <c r="G138" s="36"/>
      <c r="H138" s="36"/>
      <c r="I138" s="36"/>
      <c r="J138" s="36"/>
      <c r="K138" s="36"/>
      <c r="L138" s="36"/>
      <c r="M138" s="36"/>
      <c r="N138" s="36"/>
      <c r="O138" s="36"/>
      <c r="P138" s="36"/>
      <c r="Q138" s="36"/>
      <c r="R138" s="36"/>
    </row>
    <row r="139" spans="1:18" x14ac:dyDescent="0.25">
      <c r="A139" s="50" t="s">
        <v>209</v>
      </c>
      <c r="B139" s="87">
        <f>'Biomass Data Assumptions'!$H$19</f>
        <v>344.1</v>
      </c>
      <c r="C139" s="543"/>
      <c r="D139" s="36" t="s">
        <v>1020</v>
      </c>
      <c r="E139" s="36"/>
      <c r="F139" s="36"/>
      <c r="G139" s="36"/>
      <c r="H139" s="36"/>
      <c r="I139" s="36"/>
      <c r="J139" s="36"/>
      <c r="K139" s="36"/>
      <c r="L139" s="36"/>
      <c r="M139" s="36"/>
      <c r="N139" s="36"/>
      <c r="O139" s="36"/>
      <c r="P139" s="36"/>
      <c r="Q139" s="36"/>
      <c r="R139" s="36"/>
    </row>
    <row r="140" spans="1:18" x14ac:dyDescent="0.25">
      <c r="A140" s="50" t="s">
        <v>210</v>
      </c>
      <c r="B140" s="87">
        <f>'Biomass Data Assumptions'!$I$19</f>
        <v>429744.57</v>
      </c>
      <c r="C140" s="543">
        <f>B140*'Energy Content Assumptions'!$C$28</f>
        <v>214872.285</v>
      </c>
      <c r="D140" s="36" t="s">
        <v>1021</v>
      </c>
      <c r="E140" s="36"/>
      <c r="F140" s="36"/>
      <c r="G140" s="36"/>
      <c r="H140" s="36"/>
      <c r="I140" s="36"/>
      <c r="J140" s="36"/>
      <c r="K140" s="36"/>
      <c r="L140" s="36"/>
      <c r="M140" s="36"/>
      <c r="N140" s="36"/>
      <c r="O140" s="36"/>
      <c r="P140" s="36"/>
      <c r="Q140" s="36"/>
      <c r="R140" s="36"/>
    </row>
    <row r="141" spans="1:18" x14ac:dyDescent="0.25">
      <c r="A141" s="50" t="str">
        <f>'Bioenergy Calculator'!B35</f>
        <v>Food waste, Landfilled</v>
      </c>
      <c r="B141" s="87">
        <f>IF('Bioenergy Calculator'!H75="No",'Biomass Data Assumptions'!J19,'Biomass Data Assumptions'!F19*'Biomass Data Assumptions'!I41)</f>
        <v>67985.590974000006</v>
      </c>
      <c r="C141" s="543">
        <f>B141*'Energy Content Assumptions'!C26</f>
        <v>20395.677292200002</v>
      </c>
      <c r="D141" s="36" t="s">
        <v>1063</v>
      </c>
      <c r="E141" s="36"/>
      <c r="F141" s="36"/>
      <c r="G141" s="36"/>
      <c r="H141" s="36"/>
      <c r="I141" s="36"/>
      <c r="J141" s="36"/>
      <c r="K141" s="36"/>
      <c r="L141" s="36"/>
      <c r="M141" s="36"/>
      <c r="N141" s="36"/>
      <c r="O141" s="36"/>
      <c r="P141" s="36"/>
      <c r="Q141" s="36"/>
      <c r="R141" s="36"/>
    </row>
    <row r="142" spans="1:18" x14ac:dyDescent="0.25">
      <c r="A142" s="50" t="str">
        <f>'Bioenergy Calculator'!B36</f>
        <v>Waste paper, Landfilled</v>
      </c>
      <c r="B142" s="87">
        <f>IF('Bioenergy Calculator'!H75="No",'Biomass Data Assumptions'!K19,'Biomass Data Assumptions'!F19*'Biomass Data Assumptions'!I42)</f>
        <v>83585.318865000008</v>
      </c>
      <c r="C142" s="543">
        <f>B142*'Energy Content Assumptions'!C27</f>
        <v>75226.786978500008</v>
      </c>
      <c r="D142" s="36" t="s">
        <v>1063</v>
      </c>
      <c r="E142" s="36"/>
      <c r="F142" s="36"/>
      <c r="G142" s="36"/>
      <c r="H142" s="36"/>
      <c r="I142" s="36"/>
      <c r="J142" s="36"/>
      <c r="K142" s="36"/>
      <c r="L142" s="36"/>
      <c r="M142" s="36"/>
      <c r="N142" s="36"/>
      <c r="O142" s="36"/>
      <c r="P142" s="36"/>
      <c r="Q142" s="36"/>
      <c r="R142" s="36"/>
    </row>
    <row r="143" spans="1:18" x14ac:dyDescent="0.25">
      <c r="A143" s="50" t="str">
        <f>'Bioenergy Calculator'!B37</f>
        <v>Other Biomass, Landfilled</v>
      </c>
      <c r="B143" s="87">
        <f>IF('Bioenergy Calculator'!H75="No",'Biomass Data Assumptions'!L19,'Biomass Data Assumptions'!F19*'Biomass Data Assumptions'!I43)</f>
        <v>115730.212701</v>
      </c>
      <c r="C143" s="543">
        <f>B143*'Energy Content Assumptions'!$C$28</f>
        <v>57865.106350499998</v>
      </c>
      <c r="D143" s="546" t="s">
        <v>1064</v>
      </c>
      <c r="E143" s="36"/>
      <c r="F143" s="36"/>
      <c r="G143" s="36"/>
      <c r="H143" s="36"/>
      <c r="I143" s="36"/>
      <c r="J143" s="36"/>
      <c r="K143" s="36"/>
      <c r="L143" s="36"/>
      <c r="M143" s="36"/>
      <c r="N143" s="36"/>
      <c r="O143" s="36"/>
      <c r="P143" s="36"/>
      <c r="Q143" s="36"/>
      <c r="R143" s="36"/>
    </row>
    <row r="144" spans="1:18" x14ac:dyDescent="0.25">
      <c r="A144" s="50" t="s">
        <v>463</v>
      </c>
      <c r="B144" s="87">
        <v>201316.71</v>
      </c>
      <c r="C144" s="543">
        <f>B144*'Energy Content Assumptions'!C29</f>
        <v>161053.36800000002</v>
      </c>
      <c r="D144" s="151" t="s">
        <v>206</v>
      </c>
      <c r="E144" s="36"/>
      <c r="F144" s="36"/>
      <c r="G144" s="36"/>
      <c r="H144" s="36"/>
      <c r="I144" s="36"/>
      <c r="J144" s="36"/>
      <c r="K144" s="36"/>
      <c r="L144" s="36"/>
      <c r="M144" s="36"/>
      <c r="N144" s="36"/>
      <c r="O144" s="36"/>
      <c r="P144" s="36"/>
      <c r="Q144" s="36"/>
      <c r="R144" s="36"/>
    </row>
    <row r="145" spans="1:18" x14ac:dyDescent="0.25">
      <c r="A145" s="709" t="s">
        <v>179</v>
      </c>
      <c r="B145" s="715">
        <v>0.4</v>
      </c>
      <c r="C145" s="716">
        <f>C144*B145</f>
        <v>64421.347200000011</v>
      </c>
      <c r="D145" s="36" t="s">
        <v>1202</v>
      </c>
      <c r="E145" s="36"/>
      <c r="F145" s="36"/>
      <c r="G145" s="36"/>
      <c r="H145" s="36"/>
      <c r="I145" s="36"/>
      <c r="J145" s="36"/>
      <c r="K145" s="36"/>
      <c r="L145" s="36"/>
      <c r="M145" s="36"/>
      <c r="N145" s="36"/>
      <c r="O145" s="36"/>
      <c r="P145" s="36"/>
      <c r="Q145" s="36"/>
      <c r="R145" s="36"/>
    </row>
    <row r="146" spans="1:18" x14ac:dyDescent="0.25">
      <c r="A146" s="712"/>
      <c r="B146" s="713"/>
      <c r="C146" s="714"/>
      <c r="D146" s="150" t="s">
        <v>1553</v>
      </c>
      <c r="E146" s="36"/>
      <c r="F146" s="36"/>
      <c r="G146" s="36"/>
      <c r="H146" s="36"/>
      <c r="I146" s="36"/>
      <c r="J146" s="36"/>
      <c r="K146" s="36"/>
      <c r="L146" s="36"/>
      <c r="M146" s="36"/>
      <c r="N146" s="36"/>
      <c r="O146" s="36"/>
      <c r="P146" s="36"/>
      <c r="Q146" s="36"/>
      <c r="R146" s="36"/>
    </row>
    <row r="147" spans="1:18" x14ac:dyDescent="0.25">
      <c r="A147" s="1238" t="s">
        <v>1568</v>
      </c>
      <c r="B147" s="49" t="s">
        <v>1039</v>
      </c>
      <c r="C147" s="49" t="s">
        <v>1571</v>
      </c>
      <c r="D147" s="150"/>
      <c r="E147" s="36"/>
      <c r="F147" s="36"/>
      <c r="G147" s="36"/>
      <c r="H147" s="36"/>
      <c r="I147" s="36"/>
      <c r="J147" s="36"/>
      <c r="K147" s="36"/>
      <c r="L147" s="36"/>
      <c r="M147" s="36"/>
      <c r="N147" s="36"/>
      <c r="O147" s="36"/>
      <c r="P147" s="36"/>
      <c r="Q147" s="36"/>
      <c r="R147" s="36"/>
    </row>
    <row r="148" spans="1:18" x14ac:dyDescent="0.25">
      <c r="A148" s="1236" t="s">
        <v>508</v>
      </c>
      <c r="B148" s="549">
        <f>'Biomass Data Assumptions'!R19/2000</f>
        <v>2773.672</v>
      </c>
      <c r="C148" s="1239">
        <f>B148*'Energy Content Assumptions'!C39</f>
        <v>2357.6212</v>
      </c>
      <c r="D148" s="150" t="s">
        <v>1569</v>
      </c>
      <c r="E148" s="36"/>
      <c r="F148" s="36"/>
      <c r="G148" s="36"/>
      <c r="H148" s="36"/>
      <c r="I148" s="36"/>
      <c r="J148" s="36"/>
      <c r="K148" s="36"/>
      <c r="L148" s="36"/>
      <c r="M148" s="36"/>
      <c r="N148" s="36"/>
      <c r="O148" s="36"/>
      <c r="P148" s="36"/>
      <c r="Q148" s="36"/>
      <c r="R148" s="36"/>
    </row>
    <row r="149" spans="1:18" x14ac:dyDescent="0.25">
      <c r="A149" s="1236" t="s">
        <v>509</v>
      </c>
      <c r="B149" s="549">
        <f>'Biomass Data Assumptions'!S19/2000</f>
        <v>4214.0902999999998</v>
      </c>
      <c r="C149" s="1239">
        <f>B149*'Energy Content Assumptions'!C40</f>
        <v>210.70451500000001</v>
      </c>
      <c r="D149" s="150" t="s">
        <v>1570</v>
      </c>
      <c r="E149" s="36"/>
      <c r="F149" s="36"/>
      <c r="G149" s="36"/>
      <c r="H149" s="36"/>
      <c r="I149" s="36"/>
      <c r="J149" s="36"/>
      <c r="K149" s="36"/>
      <c r="L149" s="36"/>
      <c r="M149" s="36"/>
      <c r="N149" s="36"/>
      <c r="O149" s="36"/>
      <c r="P149" s="36"/>
      <c r="Q149" s="36"/>
      <c r="R149" s="36"/>
    </row>
    <row r="150" spans="1:18" x14ac:dyDescent="0.25">
      <c r="A150" s="36"/>
      <c r="B150" s="36"/>
      <c r="C150" s="36"/>
      <c r="D150" s="36"/>
      <c r="E150" s="36"/>
      <c r="F150" s="36"/>
      <c r="G150" s="36"/>
      <c r="H150" s="36"/>
      <c r="I150" s="36"/>
      <c r="J150" s="36"/>
      <c r="K150" s="36"/>
      <c r="L150" s="36"/>
      <c r="M150" s="36"/>
      <c r="N150" s="36"/>
      <c r="O150" s="36"/>
      <c r="P150" s="36"/>
      <c r="Q150" s="36"/>
      <c r="R150" s="36"/>
    </row>
    <row r="151" spans="1:18" x14ac:dyDescent="0.25">
      <c r="A151" s="36"/>
      <c r="B151" s="36"/>
      <c r="C151" s="36"/>
      <c r="D151" s="36"/>
      <c r="E151" s="36"/>
      <c r="F151" s="36"/>
      <c r="G151" s="36"/>
      <c r="H151" s="36"/>
      <c r="I151" s="36"/>
      <c r="J151" s="36"/>
      <c r="K151" s="36"/>
      <c r="L151" s="36"/>
      <c r="M151" s="36"/>
      <c r="N151" s="36"/>
      <c r="O151" s="36"/>
      <c r="P151" s="36"/>
      <c r="Q151" s="36"/>
      <c r="R151" s="36"/>
    </row>
    <row r="152" spans="1:18" x14ac:dyDescent="0.25">
      <c r="A152" s="36"/>
      <c r="B152" s="36"/>
      <c r="C152" s="36"/>
      <c r="D152" s="36"/>
      <c r="E152" s="36"/>
      <c r="F152" s="36"/>
      <c r="G152" s="36"/>
      <c r="H152" s="36"/>
      <c r="I152" s="36"/>
      <c r="J152" s="36"/>
      <c r="K152" s="36"/>
      <c r="L152" s="36"/>
      <c r="M152" s="36"/>
      <c r="N152" s="36"/>
      <c r="O152" s="36"/>
      <c r="P152" s="36"/>
      <c r="Q152" s="36"/>
      <c r="R152" s="36"/>
    </row>
    <row r="153" spans="1:18" x14ac:dyDescent="0.25">
      <c r="A153" s="36"/>
      <c r="B153" s="36"/>
      <c r="C153" s="36"/>
      <c r="D153" s="36"/>
      <c r="E153" s="36"/>
      <c r="F153" s="36"/>
      <c r="G153" s="36"/>
      <c r="H153" s="36"/>
      <c r="I153" s="36"/>
      <c r="J153" s="36"/>
      <c r="K153" s="36"/>
      <c r="L153" s="36"/>
      <c r="M153" s="36"/>
      <c r="N153" s="36"/>
      <c r="O153" s="36"/>
      <c r="P153" s="36"/>
      <c r="Q153" s="36"/>
      <c r="R153" s="36"/>
    </row>
    <row r="154" spans="1:18" x14ac:dyDescent="0.25">
      <c r="A154" s="36"/>
      <c r="B154" s="36"/>
      <c r="C154" s="36"/>
      <c r="D154" s="36"/>
      <c r="E154" s="36"/>
      <c r="F154" s="36"/>
      <c r="G154" s="36"/>
      <c r="H154" s="36"/>
      <c r="I154" s="36"/>
      <c r="J154" s="36"/>
      <c r="K154" s="36"/>
      <c r="L154" s="36"/>
      <c r="M154" s="36"/>
      <c r="N154" s="36"/>
      <c r="O154" s="36"/>
      <c r="P154" s="36"/>
      <c r="Q154" s="36"/>
      <c r="R154" s="36"/>
    </row>
    <row r="155" spans="1:18" x14ac:dyDescent="0.25">
      <c r="A155" s="36"/>
      <c r="B155" s="36"/>
      <c r="C155" s="36"/>
      <c r="D155" s="36"/>
      <c r="E155" s="36"/>
      <c r="F155" s="36"/>
      <c r="G155" s="36"/>
      <c r="H155" s="36"/>
      <c r="I155" s="36"/>
      <c r="J155" s="36"/>
      <c r="K155" s="36"/>
      <c r="L155" s="36"/>
      <c r="M155" s="36"/>
      <c r="N155" s="36"/>
      <c r="O155" s="36"/>
      <c r="P155" s="36"/>
      <c r="Q155" s="36"/>
      <c r="R155" s="36"/>
    </row>
    <row r="156" spans="1:18" x14ac:dyDescent="0.25">
      <c r="A156" s="36"/>
      <c r="B156" s="36"/>
      <c r="C156" s="36"/>
      <c r="D156" s="36"/>
      <c r="E156" s="36"/>
      <c r="F156" s="36"/>
      <c r="G156" s="36"/>
      <c r="H156" s="36"/>
      <c r="I156" s="36"/>
      <c r="J156" s="36"/>
      <c r="K156" s="36"/>
      <c r="L156" s="36"/>
      <c r="M156" s="36"/>
      <c r="N156" s="36"/>
      <c r="O156" s="36"/>
      <c r="P156" s="36"/>
      <c r="Q156" s="36"/>
      <c r="R156" s="36"/>
    </row>
    <row r="157" spans="1:18" x14ac:dyDescent="0.25">
      <c r="A157" s="36"/>
      <c r="B157" s="36"/>
      <c r="C157" s="36"/>
      <c r="D157" s="36"/>
      <c r="E157" s="36"/>
      <c r="F157" s="36"/>
      <c r="G157" s="36"/>
      <c r="H157" s="36"/>
      <c r="I157" s="36"/>
      <c r="J157" s="36"/>
      <c r="K157" s="36"/>
      <c r="L157" s="36"/>
      <c r="M157" s="36"/>
      <c r="N157" s="36"/>
      <c r="O157" s="36"/>
      <c r="P157" s="36"/>
      <c r="Q157" s="36"/>
      <c r="R157" s="36"/>
    </row>
    <row r="158" spans="1:18" x14ac:dyDescent="0.25">
      <c r="A158" s="36"/>
      <c r="B158" s="36"/>
      <c r="C158" s="36"/>
      <c r="D158" s="36"/>
      <c r="E158" s="36"/>
      <c r="F158" s="36"/>
      <c r="G158" s="36"/>
      <c r="H158" s="36"/>
      <c r="I158" s="36"/>
      <c r="J158" s="36"/>
      <c r="K158" s="36"/>
      <c r="L158" s="36"/>
      <c r="M158" s="36"/>
      <c r="N158" s="36"/>
      <c r="O158" s="36"/>
      <c r="P158" s="36"/>
      <c r="Q158" s="36"/>
      <c r="R158" s="36"/>
    </row>
    <row r="159" spans="1:18" x14ac:dyDescent="0.25">
      <c r="A159" s="36"/>
      <c r="B159" s="36"/>
      <c r="C159" s="36"/>
      <c r="D159" s="36"/>
      <c r="E159" s="36"/>
      <c r="F159" s="36"/>
      <c r="G159" s="36"/>
      <c r="H159" s="36"/>
      <c r="I159" s="36"/>
      <c r="J159" s="36"/>
      <c r="K159" s="36"/>
      <c r="L159" s="36"/>
      <c r="M159" s="36"/>
      <c r="N159" s="36"/>
      <c r="O159" s="36"/>
      <c r="P159" s="36"/>
      <c r="Q159" s="36"/>
      <c r="R159" s="36"/>
    </row>
    <row r="160" spans="1:18" x14ac:dyDescent="0.25">
      <c r="A160" s="36"/>
      <c r="B160" s="36"/>
      <c r="C160" s="36"/>
      <c r="D160" s="36"/>
      <c r="E160" s="36"/>
      <c r="F160" s="36"/>
      <c r="G160" s="36"/>
      <c r="H160" s="36"/>
      <c r="I160" s="36"/>
      <c r="J160" s="36"/>
      <c r="K160" s="36"/>
      <c r="L160" s="36"/>
      <c r="M160" s="36"/>
      <c r="N160" s="36"/>
      <c r="O160" s="36"/>
      <c r="P160" s="36"/>
      <c r="Q160" s="36"/>
      <c r="R160" s="36"/>
    </row>
    <row r="161" spans="1:18" x14ac:dyDescent="0.25">
      <c r="A161" s="36"/>
      <c r="B161" s="36"/>
      <c r="C161" s="36"/>
      <c r="D161" s="36"/>
      <c r="E161" s="36"/>
      <c r="F161" s="36"/>
      <c r="G161" s="36"/>
      <c r="H161" s="36"/>
      <c r="I161" s="36"/>
      <c r="J161" s="36"/>
      <c r="K161" s="36"/>
      <c r="L161" s="36"/>
      <c r="M161" s="36"/>
      <c r="N161" s="36"/>
      <c r="O161" s="36"/>
      <c r="P161" s="36"/>
      <c r="Q161" s="36"/>
      <c r="R161" s="36"/>
    </row>
    <row r="162" spans="1:18" x14ac:dyDescent="0.25">
      <c r="A162" s="36"/>
      <c r="B162" s="36"/>
      <c r="C162" s="36"/>
      <c r="D162" s="36"/>
      <c r="E162" s="36"/>
      <c r="F162" s="36"/>
      <c r="G162" s="36"/>
      <c r="H162" s="36"/>
      <c r="I162" s="36"/>
      <c r="J162" s="36"/>
      <c r="K162" s="36"/>
      <c r="L162" s="36"/>
      <c r="M162" s="36"/>
      <c r="N162" s="36"/>
      <c r="O162" s="36"/>
      <c r="P162" s="36"/>
      <c r="Q162" s="36"/>
      <c r="R162" s="36"/>
    </row>
    <row r="163" spans="1:18" x14ac:dyDescent="0.25">
      <c r="A163" s="36"/>
      <c r="B163" s="36"/>
      <c r="C163" s="36"/>
      <c r="D163" s="36"/>
      <c r="E163" s="36"/>
      <c r="F163" s="36"/>
      <c r="G163" s="36"/>
      <c r="H163" s="36"/>
      <c r="I163" s="36"/>
      <c r="J163" s="36"/>
      <c r="K163" s="36"/>
      <c r="L163" s="36"/>
      <c r="M163" s="36"/>
      <c r="N163" s="36"/>
      <c r="O163" s="36"/>
      <c r="P163" s="36"/>
      <c r="Q163" s="36"/>
      <c r="R163" s="36"/>
    </row>
    <row r="164" spans="1:18" x14ac:dyDescent="0.25">
      <c r="A164" s="36"/>
      <c r="B164" s="36"/>
      <c r="C164" s="36"/>
      <c r="D164" s="36"/>
      <c r="E164" s="36"/>
      <c r="F164" s="36"/>
      <c r="G164" s="36"/>
      <c r="H164" s="36"/>
      <c r="I164" s="36"/>
      <c r="J164" s="36"/>
      <c r="K164" s="36"/>
      <c r="L164" s="36"/>
      <c r="M164" s="36"/>
      <c r="N164" s="36"/>
      <c r="O164" s="36"/>
      <c r="P164" s="36"/>
      <c r="Q164" s="36"/>
      <c r="R164" s="36"/>
    </row>
    <row r="165" spans="1:18" x14ac:dyDescent="0.25">
      <c r="A165" s="36"/>
      <c r="B165" s="36"/>
      <c r="C165" s="36"/>
      <c r="D165" s="36"/>
      <c r="E165" s="36"/>
      <c r="F165" s="36"/>
      <c r="G165" s="36"/>
      <c r="H165" s="36"/>
      <c r="I165" s="36"/>
      <c r="J165" s="36"/>
      <c r="K165" s="36"/>
      <c r="L165" s="36"/>
      <c r="M165" s="36"/>
      <c r="N165" s="36"/>
      <c r="O165" s="36"/>
      <c r="P165" s="36"/>
      <c r="Q165" s="36"/>
      <c r="R165" s="36"/>
    </row>
    <row r="166" spans="1:18" x14ac:dyDescent="0.25">
      <c r="A166" s="36"/>
      <c r="B166" s="36"/>
      <c r="C166" s="36"/>
      <c r="D166" s="36"/>
      <c r="E166" s="36"/>
      <c r="F166" s="36"/>
      <c r="G166" s="36"/>
      <c r="H166" s="36"/>
      <c r="I166" s="36"/>
      <c r="J166" s="36"/>
      <c r="K166" s="36"/>
      <c r="L166" s="36"/>
      <c r="M166" s="36"/>
      <c r="N166" s="36"/>
      <c r="O166" s="36"/>
      <c r="P166" s="36"/>
      <c r="Q166" s="36"/>
      <c r="R166" s="36"/>
    </row>
    <row r="167" spans="1:18" x14ac:dyDescent="0.25">
      <c r="A167" s="36"/>
      <c r="B167" s="36"/>
      <c r="C167" s="36"/>
      <c r="D167" s="36"/>
      <c r="E167" s="36"/>
      <c r="F167" s="36"/>
      <c r="G167" s="36"/>
      <c r="H167" s="36"/>
      <c r="I167" s="36"/>
      <c r="J167" s="36"/>
      <c r="K167" s="36"/>
      <c r="L167" s="36"/>
      <c r="M167" s="36"/>
      <c r="N167" s="36"/>
      <c r="O167" s="36"/>
      <c r="P167" s="36"/>
      <c r="Q167" s="36"/>
      <c r="R167" s="36"/>
    </row>
    <row r="168" spans="1:18" x14ac:dyDescent="0.25">
      <c r="A168" s="36"/>
      <c r="B168" s="36"/>
      <c r="C168" s="36"/>
      <c r="D168" s="36"/>
      <c r="E168" s="36"/>
      <c r="F168" s="36"/>
      <c r="G168" s="36"/>
      <c r="H168" s="36"/>
      <c r="I168" s="36"/>
      <c r="J168" s="36"/>
      <c r="K168" s="36"/>
      <c r="L168" s="36"/>
      <c r="M168" s="36"/>
      <c r="N168" s="36"/>
      <c r="O168" s="36"/>
      <c r="P168" s="36"/>
      <c r="Q168" s="36"/>
      <c r="R168" s="36"/>
    </row>
    <row r="169" spans="1:18" x14ac:dyDescent="0.25">
      <c r="A169" s="36"/>
      <c r="B169" s="36"/>
      <c r="C169" s="36"/>
      <c r="D169" s="36"/>
      <c r="E169" s="36"/>
      <c r="F169" s="36"/>
      <c r="G169" s="36"/>
      <c r="H169" s="36"/>
      <c r="I169" s="36"/>
      <c r="J169" s="36"/>
      <c r="K169" s="36"/>
      <c r="L169" s="36"/>
      <c r="M169" s="36"/>
      <c r="N169" s="36"/>
      <c r="O169" s="36"/>
      <c r="P169" s="36"/>
      <c r="Q169" s="36"/>
      <c r="R169" s="36"/>
    </row>
    <row r="170" spans="1:18" x14ac:dyDescent="0.25">
      <c r="A170" s="36"/>
      <c r="B170" s="36"/>
      <c r="C170" s="36"/>
      <c r="D170" s="36"/>
      <c r="E170" s="36"/>
      <c r="F170" s="36"/>
      <c r="G170" s="36"/>
      <c r="H170" s="36"/>
      <c r="I170" s="36"/>
      <c r="J170" s="36"/>
      <c r="K170" s="36"/>
      <c r="L170" s="36"/>
      <c r="M170" s="36"/>
      <c r="N170" s="36"/>
      <c r="O170" s="36"/>
      <c r="P170" s="36"/>
      <c r="Q170" s="36"/>
      <c r="R170" s="36"/>
    </row>
    <row r="171" spans="1:18" x14ac:dyDescent="0.25">
      <c r="P171" s="36"/>
      <c r="Q171" s="36"/>
      <c r="R171" s="36"/>
    </row>
    <row r="172" spans="1:18" x14ac:dyDescent="0.25">
      <c r="P172" s="36"/>
      <c r="Q172" s="36"/>
      <c r="R172" s="36"/>
    </row>
    <row r="173" spans="1:18" x14ac:dyDescent="0.25">
      <c r="P173" s="36"/>
      <c r="Q173" s="36"/>
      <c r="R173" s="36"/>
    </row>
    <row r="174" spans="1:18" x14ac:dyDescent="0.25">
      <c r="P174" s="36"/>
      <c r="Q174" s="36"/>
      <c r="R174" s="36"/>
    </row>
    <row r="175" spans="1:18" x14ac:dyDescent="0.25">
      <c r="P175" s="36"/>
      <c r="Q175" s="36"/>
      <c r="R175" s="36"/>
    </row>
    <row r="176" spans="1:18" x14ac:dyDescent="0.25">
      <c r="P176" s="36"/>
      <c r="Q176" s="36"/>
      <c r="R176" s="36"/>
    </row>
    <row r="177" spans="16:18" x14ac:dyDescent="0.25">
      <c r="P177" s="36"/>
      <c r="Q177" s="36"/>
      <c r="R177" s="36"/>
    </row>
    <row r="178" spans="16:18" x14ac:dyDescent="0.25">
      <c r="P178" s="36"/>
      <c r="Q178" s="36"/>
      <c r="R178" s="36"/>
    </row>
    <row r="179" spans="16:18" x14ac:dyDescent="0.25">
      <c r="P179" s="36"/>
      <c r="Q179" s="36"/>
      <c r="R179" s="36"/>
    </row>
    <row r="180" spans="16:18" x14ac:dyDescent="0.25">
      <c r="P180" s="36"/>
      <c r="Q180" s="36"/>
      <c r="R180" s="36"/>
    </row>
    <row r="181" spans="16:18" x14ac:dyDescent="0.25">
      <c r="P181" s="36"/>
      <c r="Q181" s="36"/>
      <c r="R181" s="36"/>
    </row>
    <row r="182" spans="16:18" x14ac:dyDescent="0.25">
      <c r="P182" s="36"/>
      <c r="Q182" s="36"/>
      <c r="R182" s="36"/>
    </row>
    <row r="183" spans="16:18" x14ac:dyDescent="0.25">
      <c r="P183" s="36"/>
      <c r="Q183" s="36"/>
      <c r="R183" s="36"/>
    </row>
    <row r="184" spans="16:18" x14ac:dyDescent="0.25">
      <c r="P184" s="36"/>
      <c r="Q184" s="36"/>
      <c r="R184" s="36"/>
    </row>
    <row r="185" spans="16:18" x14ac:dyDescent="0.25">
      <c r="P185" s="36"/>
      <c r="Q185" s="36"/>
      <c r="R185" s="36"/>
    </row>
    <row r="186" spans="16:18" x14ac:dyDescent="0.25">
      <c r="P186" s="36"/>
      <c r="Q186" s="36"/>
      <c r="R186" s="36"/>
    </row>
    <row r="187" spans="16:18" x14ac:dyDescent="0.25">
      <c r="P187" s="36"/>
      <c r="Q187" s="36"/>
      <c r="R187" s="36"/>
    </row>
    <row r="188" spans="16:18" x14ac:dyDescent="0.25">
      <c r="P188" s="36"/>
      <c r="Q188" s="36"/>
      <c r="R188" s="36"/>
    </row>
    <row r="189" spans="16:18" x14ac:dyDescent="0.25">
      <c r="P189" s="36"/>
      <c r="Q189" s="36"/>
      <c r="R189" s="36"/>
    </row>
    <row r="190" spans="16:18" x14ac:dyDescent="0.25">
      <c r="P190" s="36"/>
      <c r="Q190" s="36"/>
      <c r="R190" s="36"/>
    </row>
    <row r="191" spans="16:18" x14ac:dyDescent="0.25">
      <c r="P191" s="36"/>
      <c r="Q191" s="36"/>
      <c r="R191" s="36"/>
    </row>
    <row r="192" spans="16:18" x14ac:dyDescent="0.25">
      <c r="P192" s="36"/>
      <c r="Q192" s="36"/>
      <c r="R192" s="36"/>
    </row>
    <row r="193" spans="16:18" x14ac:dyDescent="0.25">
      <c r="P193" s="36"/>
      <c r="Q193" s="36"/>
      <c r="R193" s="36"/>
    </row>
    <row r="194" spans="16:18" x14ac:dyDescent="0.25">
      <c r="P194" s="36"/>
      <c r="Q194" s="36"/>
      <c r="R194" s="36"/>
    </row>
    <row r="195" spans="16:18" x14ac:dyDescent="0.25">
      <c r="P195" s="36"/>
      <c r="Q195" s="36"/>
      <c r="R195" s="36"/>
    </row>
    <row r="196" spans="16:18" x14ac:dyDescent="0.25">
      <c r="P196" s="36"/>
      <c r="Q196" s="36"/>
      <c r="R196" s="36"/>
    </row>
    <row r="197" spans="16:18" x14ac:dyDescent="0.25">
      <c r="P197" s="36"/>
      <c r="Q197" s="36"/>
      <c r="R197" s="36"/>
    </row>
    <row r="198" spans="16:18" x14ac:dyDescent="0.25">
      <c r="P198" s="36"/>
      <c r="Q198" s="36"/>
      <c r="R198" s="36"/>
    </row>
    <row r="199" spans="16:18" x14ac:dyDescent="0.25">
      <c r="P199" s="36"/>
      <c r="Q199" s="36"/>
      <c r="R199" s="36"/>
    </row>
  </sheetData>
  <mergeCells count="15">
    <mergeCell ref="A3:A4"/>
    <mergeCell ref="B3:B4"/>
    <mergeCell ref="C3:C4"/>
    <mergeCell ref="A51:A67"/>
    <mergeCell ref="A5:A11"/>
    <mergeCell ref="A13:A29"/>
    <mergeCell ref="A31:A43"/>
    <mergeCell ref="A45:A49"/>
    <mergeCell ref="I1:L1"/>
    <mergeCell ref="M1:P1"/>
    <mergeCell ref="Q3:Q4"/>
    <mergeCell ref="D3:D4"/>
    <mergeCell ref="I3:L3"/>
    <mergeCell ref="M3:P3"/>
    <mergeCell ref="E3:H3"/>
  </mergeCells>
  <phoneticPr fontId="0" type="noConversion"/>
  <pageMargins left="0.75" right="0.75" top="1" bottom="1" header="0.5" footer="0.5"/>
  <pageSetup paperSize="5" scale="50" orientation="landscape" r:id="rId1"/>
  <headerFooter alignWithMargins="0">
    <oddFooter>&amp;L&amp;"Arial,Italic" 7/02/07&amp;C&amp;"Arial,Italic"&amp;A&amp;R&amp;"Arial,Italic"NJAES Report 2007-1 ©2007
New Jersey Agricultural Experiment Station</oddFooter>
  </headerFooter>
  <ignoredErrors>
    <ignoredError sqref="D67" formula="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S199"/>
  <sheetViews>
    <sheetView topLeftCell="A93" zoomScale="70" zoomScaleNormal="70" workbookViewId="0">
      <selection activeCell="C147" sqref="C147"/>
    </sheetView>
  </sheetViews>
  <sheetFormatPr defaultColWidth="9.109375" defaultRowHeight="13.2" x14ac:dyDescent="0.25"/>
  <cols>
    <col min="1" max="1" width="28.6640625" style="5" customWidth="1"/>
    <col min="2" max="2" width="42.6640625" style="5" customWidth="1"/>
    <col min="3" max="3" width="23.6640625" style="5" customWidth="1"/>
    <col min="4" max="4" width="18.6640625" style="5" customWidth="1"/>
    <col min="5" max="16" width="14.6640625" style="5" customWidth="1"/>
    <col min="17" max="17" width="45.6640625" style="5" customWidth="1"/>
    <col min="18" max="18" width="34.44140625" style="5" customWidth="1"/>
    <col min="19" max="19" width="19.33203125" style="5" customWidth="1"/>
    <col min="20" max="20" width="14" style="5" customWidth="1"/>
    <col min="21" max="16384" width="9.109375" style="5"/>
  </cols>
  <sheetData>
    <row r="1" spans="1:17" ht="15.6" x14ac:dyDescent="0.3">
      <c r="A1" s="407" t="s">
        <v>578</v>
      </c>
      <c r="E1" s="412" t="s">
        <v>433</v>
      </c>
      <c r="I1" s="1195" t="str">
        <f>'Bioenergy Calculator'!B3</f>
        <v>None</v>
      </c>
      <c r="J1" s="1195"/>
      <c r="K1" s="1195"/>
      <c r="L1" s="1196"/>
      <c r="M1" s="1195" t="str">
        <f>'Bioenergy Calculator'!B4</f>
        <v>None</v>
      </c>
      <c r="N1" s="1195"/>
      <c r="O1" s="1195"/>
      <c r="P1" s="1196"/>
    </row>
    <row r="3" spans="1:17" s="6" customFormat="1" ht="24.75" customHeight="1" x14ac:dyDescent="0.25">
      <c r="A3" s="1062" t="s">
        <v>567</v>
      </c>
      <c r="B3" s="1062" t="s">
        <v>506</v>
      </c>
      <c r="C3" s="1062" t="s">
        <v>1035</v>
      </c>
      <c r="D3" s="1062" t="s">
        <v>1051</v>
      </c>
      <c r="E3" s="1072" t="s">
        <v>523</v>
      </c>
      <c r="F3" s="1210"/>
      <c r="G3" s="1210"/>
      <c r="H3" s="1075"/>
      <c r="I3" s="1072" t="s">
        <v>275</v>
      </c>
      <c r="J3" s="1073"/>
      <c r="K3" s="1074"/>
      <c r="L3" s="1075"/>
      <c r="M3" s="1083" t="s">
        <v>274</v>
      </c>
      <c r="N3" s="1084"/>
      <c r="O3" s="1197"/>
      <c r="P3" s="1198"/>
      <c r="Q3" s="1060" t="s">
        <v>570</v>
      </c>
    </row>
    <row r="4" spans="1:17" s="6" customFormat="1" x14ac:dyDescent="0.25">
      <c r="A4" s="1063"/>
      <c r="B4" s="1063"/>
      <c r="C4" s="1063"/>
      <c r="D4" s="1071"/>
      <c r="E4" s="22">
        <v>2010</v>
      </c>
      <c r="F4" s="22">
        <v>2015</v>
      </c>
      <c r="G4" s="22">
        <v>2020</v>
      </c>
      <c r="H4" s="22">
        <v>2025</v>
      </c>
      <c r="I4" s="22">
        <v>2010</v>
      </c>
      <c r="J4" s="22">
        <v>2015</v>
      </c>
      <c r="K4" s="22">
        <v>2020</v>
      </c>
      <c r="L4" s="22">
        <v>2025</v>
      </c>
      <c r="M4" s="22">
        <v>2010</v>
      </c>
      <c r="N4" s="22">
        <v>2015</v>
      </c>
      <c r="O4" s="22">
        <v>2020</v>
      </c>
      <c r="P4" s="22">
        <v>2025</v>
      </c>
      <c r="Q4" s="1061"/>
    </row>
    <row r="5" spans="1:17" x14ac:dyDescent="0.25">
      <c r="A5" s="1064" t="s">
        <v>513</v>
      </c>
      <c r="B5" s="1" t="s">
        <v>511</v>
      </c>
      <c r="C5" s="13"/>
      <c r="D5" s="13"/>
      <c r="E5" s="13"/>
      <c r="F5" s="13"/>
      <c r="G5" s="13"/>
      <c r="H5" s="13"/>
      <c r="I5" s="7"/>
      <c r="J5" s="7"/>
      <c r="K5" s="7"/>
      <c r="L5" s="7"/>
      <c r="M5" s="7"/>
      <c r="N5" s="7"/>
      <c r="O5" s="7"/>
      <c r="P5" s="7"/>
      <c r="Q5" s="7"/>
    </row>
    <row r="6" spans="1:17" x14ac:dyDescent="0.25">
      <c r="A6" s="1064"/>
      <c r="B6" s="11" t="str">
        <f>IF('Prac. Rec. Assumptions'!$B$56='Prac. Rec. Assumptions'!$V$3,A74,IF('Prac. Rec. Assumptions'!B57="No",A74,"Sorghum- Converted to Energy Crop"))</f>
        <v>Sorghum</v>
      </c>
      <c r="C6" s="294">
        <f>IF('Prac. Rec. Assumptions'!$B$56='Prac. Rec. Assumptions'!$V$3,D74,IF('Prac. Rec. Assumptions'!B57="No",D74,0))</f>
        <v>0</v>
      </c>
      <c r="D6" s="294" t="s">
        <v>431</v>
      </c>
      <c r="E6" s="294">
        <f>C6*'Prac. Rec. Assumptions'!B4</f>
        <v>0</v>
      </c>
      <c r="F6" s="294">
        <f>$E6</f>
        <v>0</v>
      </c>
      <c r="G6" s="294">
        <f>$E6</f>
        <v>0</v>
      </c>
      <c r="H6" s="294">
        <f>$E6</f>
        <v>0</v>
      </c>
      <c r="I6" s="16" t="str">
        <f>IF('Conversion Tables'!F7="NA","NA",$D6/'Conversion Tables'!F7)</f>
        <v>NA</v>
      </c>
      <c r="J6" s="16" t="str">
        <f>IF('Conversion Tables'!G7="NA","NA",$D6/'Conversion Tables'!G7)</f>
        <v>NA</v>
      </c>
      <c r="K6" s="16" t="str">
        <f>IF('Conversion Tables'!H7="NA","NA",$D6/'Conversion Tables'!H7)</f>
        <v>NA</v>
      </c>
      <c r="L6" s="16" t="str">
        <f>IF('Conversion Tables'!H7="NA","NA",$D6/'Conversion Tables'!H7)</f>
        <v>NA</v>
      </c>
      <c r="M6" s="16" t="str">
        <f>IF('Conversion Tables'!K7="NA","NA",$C74*'Conversion Tables'!K7)</f>
        <v>NA</v>
      </c>
      <c r="N6" s="16" t="str">
        <f>IF('Conversion Tables'!L7="NA","NA",$C74*'Conversion Tables'!L7)</f>
        <v>NA</v>
      </c>
      <c r="O6" s="16" t="str">
        <f>IF('Conversion Tables'!M7="NA","NA",$C74*'Conversion Tables'!M7)</f>
        <v>NA</v>
      </c>
      <c r="P6" s="16" t="str">
        <f>IF('Conversion Tables'!N7="NA","NA",$C74*'Conversion Tables'!N7)</f>
        <v>NA</v>
      </c>
      <c r="Q6" s="15"/>
    </row>
    <row r="7" spans="1:17" x14ac:dyDescent="0.25">
      <c r="A7" s="1064"/>
      <c r="B7" s="11" t="str">
        <f>IF('Prac. Rec. Assumptions'!$B$56='Prac. Rec. Assumptions'!$V$3,A75,IF('Prac. Rec. Assumptions'!B59="No",A75,"Rye- Converted to Energy Crop"))</f>
        <v>Rye</v>
      </c>
      <c r="C7" s="294">
        <f>IF('Prac. Rec. Assumptions'!$B$56='Prac. Rec. Assumptions'!$V$3,D75,IF('Prac. Rec. Assumptions'!B59="No",D75,0))</f>
        <v>101.6652</v>
      </c>
      <c r="D7" s="294" t="s">
        <v>431</v>
      </c>
      <c r="E7" s="294">
        <f>C7*'Prac. Rec. Assumptions'!B5</f>
        <v>0</v>
      </c>
      <c r="F7" s="294">
        <f t="shared" ref="F7:H10" si="0">$E7</f>
        <v>0</v>
      </c>
      <c r="G7" s="294">
        <f t="shared" si="0"/>
        <v>0</v>
      </c>
      <c r="H7" s="294">
        <f t="shared" si="0"/>
        <v>0</v>
      </c>
      <c r="I7" s="16" t="str">
        <f>IF('Conversion Tables'!F8="NA","NA",$D7/'Conversion Tables'!F8)</f>
        <v>NA</v>
      </c>
      <c r="J7" s="16" t="str">
        <f>IF('Conversion Tables'!G8="NA","NA",$D7/'Conversion Tables'!G8)</f>
        <v>NA</v>
      </c>
      <c r="K7" s="16" t="str">
        <f>IF('Conversion Tables'!H8="NA","NA",$D7/'Conversion Tables'!H8)</f>
        <v>NA</v>
      </c>
      <c r="L7" s="16" t="str">
        <f>IF('Conversion Tables'!H8="NA","NA",$D7/'Conversion Tables'!H8)</f>
        <v>NA</v>
      </c>
      <c r="M7" s="16" t="str">
        <f>IF('Conversion Tables'!K8="NA","NA",$C75*'Conversion Tables'!K8)</f>
        <v>NA</v>
      </c>
      <c r="N7" s="16" t="str">
        <f>IF('Conversion Tables'!L8="NA","NA",$C75*'Conversion Tables'!L8)</f>
        <v>NA</v>
      </c>
      <c r="O7" s="16" t="str">
        <f>IF('Conversion Tables'!M8="NA","NA",$C75*'Conversion Tables'!M8)</f>
        <v>NA</v>
      </c>
      <c r="P7" s="16" t="str">
        <f>IF('Conversion Tables'!N8="NA","NA",$C75*'Conversion Tables'!N8)</f>
        <v>NA</v>
      </c>
      <c r="Q7" s="15"/>
    </row>
    <row r="8" spans="1:17" x14ac:dyDescent="0.25">
      <c r="A8" s="1064"/>
      <c r="B8" s="11" t="str">
        <f>IF('Prac. Rec. Assumptions'!$B$56='Prac. Rec. Assumptions'!$V$3,A76,IF('Prac. Rec. Assumptions'!B60="No",A76,"Corn for Grain- Converted to Energy Crop"))</f>
        <v>Corn for Grain</v>
      </c>
      <c r="C8" s="294">
        <f>IF('Prac. Rec. Assumptions'!$B$56='Prac. Rec. Assumptions'!$V$3,D76,IF('Prac. Rec. Assumptions'!B60="No",D76,0))</f>
        <v>3122</v>
      </c>
      <c r="D8" s="294" t="s">
        <v>431</v>
      </c>
      <c r="E8" s="294">
        <f>C8*'Prac. Rec. Assumptions'!B6</f>
        <v>0</v>
      </c>
      <c r="F8" s="294">
        <f t="shared" si="0"/>
        <v>0</v>
      </c>
      <c r="G8" s="294">
        <f t="shared" si="0"/>
        <v>0</v>
      </c>
      <c r="H8" s="294">
        <f t="shared" si="0"/>
        <v>0</v>
      </c>
      <c r="I8" s="16" t="str">
        <f>IF('Conversion Tables'!F9="NA","NA",$D8/'Conversion Tables'!F9)</f>
        <v>NA</v>
      </c>
      <c r="J8" s="16" t="str">
        <f>IF('Conversion Tables'!G9="NA","NA",$D8/'Conversion Tables'!G9)</f>
        <v>NA</v>
      </c>
      <c r="K8" s="16" t="str">
        <f>IF('Conversion Tables'!H9="NA","NA",$D8/'Conversion Tables'!H9)</f>
        <v>NA</v>
      </c>
      <c r="L8" s="16" t="str">
        <f>IF('Conversion Tables'!H9="NA","NA",$D8/'Conversion Tables'!H9)</f>
        <v>NA</v>
      </c>
      <c r="M8" s="16" t="str">
        <f>IF('Conversion Tables'!K9="NA","NA",$C76*'Conversion Tables'!K9)</f>
        <v>NA</v>
      </c>
      <c r="N8" s="16" t="str">
        <f>IF('Conversion Tables'!L9="NA","NA",$C76*'Conversion Tables'!L9)</f>
        <v>NA</v>
      </c>
      <c r="O8" s="16" t="str">
        <f>IF('Conversion Tables'!M9="NA","NA",$C76*'Conversion Tables'!M9)</f>
        <v>NA</v>
      </c>
      <c r="P8" s="16" t="str">
        <f>IF('Conversion Tables'!N9="NA","NA",$C76*'Conversion Tables'!N9)</f>
        <v>NA</v>
      </c>
      <c r="Q8" s="15"/>
    </row>
    <row r="9" spans="1:17" x14ac:dyDescent="0.25">
      <c r="A9" s="1064"/>
      <c r="B9" s="11" t="str">
        <f>IF('Prac. Rec. Assumptions'!$B$56='Prac. Rec. Assumptions'!$V$3,A78,IF('Prac. Rec. Assumptions'!B64="No",A78,"Wheat- Converted to Energy Crop"))</f>
        <v>Wheat</v>
      </c>
      <c r="C9" s="294">
        <f>IF('Prac. Rec. Assumptions'!$B$56='Prac. Rec. Assumptions'!$V$3,D78,IF('Prac. Rec. Assumptions'!B64="No",D78,0))</f>
        <v>72.900000000000006</v>
      </c>
      <c r="D9" s="294" t="s">
        <v>431</v>
      </c>
      <c r="E9" s="294">
        <f>C9*'Prac. Rec. Assumptions'!B7</f>
        <v>0</v>
      </c>
      <c r="F9" s="294">
        <f t="shared" si="0"/>
        <v>0</v>
      </c>
      <c r="G9" s="294">
        <f t="shared" si="0"/>
        <v>0</v>
      </c>
      <c r="H9" s="294">
        <f t="shared" si="0"/>
        <v>0</v>
      </c>
      <c r="I9" s="16" t="str">
        <f>IF('Conversion Tables'!F10="NA","NA",$D9/'Conversion Tables'!F10)</f>
        <v>NA</v>
      </c>
      <c r="J9" s="16" t="str">
        <f>IF('Conversion Tables'!G10="NA","NA",$D9/'Conversion Tables'!G10)</f>
        <v>NA</v>
      </c>
      <c r="K9" s="16" t="str">
        <f>IF('Conversion Tables'!H10="NA","NA",$D9/'Conversion Tables'!H10)</f>
        <v>NA</v>
      </c>
      <c r="L9" s="16" t="str">
        <f>IF('Conversion Tables'!H10="NA","NA",$D9/'Conversion Tables'!H10)</f>
        <v>NA</v>
      </c>
      <c r="M9" s="16" t="str">
        <f>IF('Conversion Tables'!K10="NA","NA",$C78*'Conversion Tables'!K10)</f>
        <v>NA</v>
      </c>
      <c r="N9" s="16" t="str">
        <f>IF('Conversion Tables'!L10="NA","NA",$C78*'Conversion Tables'!L10)</f>
        <v>NA</v>
      </c>
      <c r="O9" s="16" t="str">
        <f>IF('Conversion Tables'!M10="NA","NA",$C78*'Conversion Tables'!M10)</f>
        <v>NA</v>
      </c>
      <c r="P9" s="16" t="str">
        <f>IF('Conversion Tables'!N10="NA","NA",$C78*'Conversion Tables'!N10)</f>
        <v>NA</v>
      </c>
      <c r="Q9" s="15"/>
    </row>
    <row r="10" spans="1:17" x14ac:dyDescent="0.25">
      <c r="A10" s="1064"/>
      <c r="B10" s="129" t="s">
        <v>301</v>
      </c>
      <c r="C10" s="294"/>
      <c r="D10" s="294" t="s">
        <v>431</v>
      </c>
      <c r="E10" s="294">
        <f>C10*'Prac. Rec. Assumptions'!B8</f>
        <v>0</v>
      </c>
      <c r="F10" s="294">
        <f t="shared" si="0"/>
        <v>0</v>
      </c>
      <c r="G10" s="294">
        <f t="shared" si="0"/>
        <v>0</v>
      </c>
      <c r="H10" s="294">
        <f t="shared" si="0"/>
        <v>0</v>
      </c>
      <c r="I10" s="16" t="str">
        <f>IF('Conversion Tables'!F11="NA","NA",$D10/'Conversion Tables'!F11)</f>
        <v>NA</v>
      </c>
      <c r="J10" s="16" t="str">
        <f>IF('Conversion Tables'!G11="NA","NA",$D10/'Conversion Tables'!G11)</f>
        <v>NA</v>
      </c>
      <c r="K10" s="16" t="str">
        <f>IF('Conversion Tables'!H11="NA","NA",$D10/'Conversion Tables'!H11)</f>
        <v>NA</v>
      </c>
      <c r="L10" s="16" t="str">
        <f>IF('Conversion Tables'!H11="NA","NA",$D10/'Conversion Tables'!H11)</f>
        <v>NA</v>
      </c>
      <c r="M10" s="16" t="str">
        <f>IF('Conversion Tables'!K11="NA","NA",E10*'Conversion Tables'!K11)</f>
        <v>NA</v>
      </c>
      <c r="N10" s="16" t="str">
        <f>IF('Conversion Tables'!L11="NA","NA",F10*'Conversion Tables'!L11)</f>
        <v>NA</v>
      </c>
      <c r="O10" s="16" t="str">
        <f>IF('Conversion Tables'!M11="NA","NA",G10*'Conversion Tables'!M11)</f>
        <v>NA</v>
      </c>
      <c r="P10" s="16" t="str">
        <f>IF('Conversion Tables'!N11="NA","NA",H10*'Conversion Tables'!N11)</f>
        <v>NA</v>
      </c>
      <c r="Q10" s="7"/>
    </row>
    <row r="11" spans="1:17" x14ac:dyDescent="0.25">
      <c r="A11" s="1065"/>
      <c r="B11" s="9" t="s">
        <v>524</v>
      </c>
      <c r="C11" s="295">
        <f t="shared" ref="C11:P11" si="1">SUM(C5:C10)</f>
        <v>3296.5652</v>
      </c>
      <c r="D11" s="295">
        <f t="shared" si="1"/>
        <v>0</v>
      </c>
      <c r="E11" s="295">
        <f t="shared" si="1"/>
        <v>0</v>
      </c>
      <c r="F11" s="295">
        <f t="shared" si="1"/>
        <v>0</v>
      </c>
      <c r="G11" s="295">
        <f t="shared" si="1"/>
        <v>0</v>
      </c>
      <c r="H11" s="295">
        <f t="shared" si="1"/>
        <v>0</v>
      </c>
      <c r="I11" s="19">
        <f t="shared" si="1"/>
        <v>0</v>
      </c>
      <c r="J11" s="19">
        <f t="shared" si="1"/>
        <v>0</v>
      </c>
      <c r="K11" s="19">
        <f t="shared" si="1"/>
        <v>0</v>
      </c>
      <c r="L11" s="19">
        <f t="shared" si="1"/>
        <v>0</v>
      </c>
      <c r="M11" s="19">
        <f t="shared" si="1"/>
        <v>0</v>
      </c>
      <c r="N11" s="19">
        <f t="shared" si="1"/>
        <v>0</v>
      </c>
      <c r="O11" s="19">
        <f t="shared" si="1"/>
        <v>0</v>
      </c>
      <c r="P11" s="19">
        <f t="shared" si="1"/>
        <v>0</v>
      </c>
      <c r="Q11" s="19"/>
    </row>
    <row r="12" spans="1:17" x14ac:dyDescent="0.25">
      <c r="A12" s="8"/>
      <c r="C12" s="296"/>
      <c r="D12" s="296"/>
      <c r="E12" s="296"/>
      <c r="F12" s="296"/>
      <c r="G12" s="296"/>
      <c r="H12" s="296"/>
      <c r="I12" s="28"/>
      <c r="J12" s="28"/>
      <c r="K12" s="28"/>
      <c r="L12" s="28"/>
      <c r="M12" s="28"/>
      <c r="N12" s="28"/>
      <c r="O12" s="28"/>
      <c r="P12" s="28"/>
    </row>
    <row r="13" spans="1:17" x14ac:dyDescent="0.25">
      <c r="A13" s="1206" t="s">
        <v>514</v>
      </c>
      <c r="B13" s="1" t="s">
        <v>507</v>
      </c>
      <c r="C13" s="294">
        <f>D90</f>
        <v>0</v>
      </c>
      <c r="D13" s="294">
        <f>E13*'Conversion Tables'!C12</f>
        <v>0</v>
      </c>
      <c r="E13" s="294">
        <f>C13*'Prac. Rec. Assumptions'!B9</f>
        <v>0</v>
      </c>
      <c r="F13" s="294">
        <f>$E13</f>
        <v>0</v>
      </c>
      <c r="G13" s="294">
        <f>$E13</f>
        <v>0</v>
      </c>
      <c r="H13" s="294">
        <f>$E13</f>
        <v>0</v>
      </c>
      <c r="I13" s="16" t="str">
        <f>IF('Conversion Tables'!F12="NA","NA",(E13*'Conversion Tables'!$C12)/'Conversion Tables'!F12)</f>
        <v>NA</v>
      </c>
      <c r="J13" s="16" t="str">
        <f>IF('Conversion Tables'!G12="NA","NA",(F13*'Conversion Tables'!$C12)/'Conversion Tables'!G12)</f>
        <v>NA</v>
      </c>
      <c r="K13" s="16" t="str">
        <f>IF('Conversion Tables'!H12="NA","NA",(G13*'Conversion Tables'!$C12)/'Conversion Tables'!H12)</f>
        <v>NA</v>
      </c>
      <c r="L13" s="16" t="str">
        <f>IF('Conversion Tables'!I12="NA","NA",(H13*'Conversion Tables'!$C12)/'Conversion Tables'!I12)</f>
        <v>NA</v>
      </c>
      <c r="M13" s="16" t="str">
        <f>IF('Conversion Tables'!K12="NA","NA",E13*'Conversion Tables'!K12)</f>
        <v>NA</v>
      </c>
      <c r="N13" s="16" t="str">
        <f>IF('Conversion Tables'!L12="NA","NA",F13*'Conversion Tables'!L12)</f>
        <v>NA</v>
      </c>
      <c r="O13" s="16" t="str">
        <f>IF('Conversion Tables'!M12="NA","NA",G13*'Conversion Tables'!M12)</f>
        <v>NA</v>
      </c>
      <c r="P13" s="16" t="str">
        <f>IF('Conversion Tables'!N12="NA","NA",H13*'Conversion Tables'!N12)</f>
        <v>NA</v>
      </c>
      <c r="Q13" s="7"/>
    </row>
    <row r="14" spans="1:17" x14ac:dyDescent="0.25">
      <c r="A14" s="1207"/>
      <c r="B14" s="1" t="s">
        <v>504</v>
      </c>
      <c r="C14" s="294"/>
      <c r="D14" s="294"/>
      <c r="E14" s="294"/>
      <c r="F14" s="294"/>
      <c r="G14" s="294"/>
      <c r="H14" s="294"/>
      <c r="I14" s="16"/>
      <c r="J14" s="16"/>
      <c r="K14" s="16"/>
      <c r="L14" s="16"/>
      <c r="M14" s="16"/>
      <c r="N14" s="16"/>
      <c r="O14" s="16"/>
      <c r="P14" s="16"/>
      <c r="Q14" s="7"/>
    </row>
    <row r="15" spans="1:17" x14ac:dyDescent="0.25">
      <c r="A15" s="1207"/>
      <c r="B15" s="11" t="str">
        <f>IF('Prac. Rec. Assumptions'!$B$56='Prac. Rec. Assumptions'!$V$3,A81,IF('Prac. Rec. Assumptions'!B57="No",A81,"Sweet Corn- Converted to Energy Crop"))</f>
        <v>Sweet Corn</v>
      </c>
      <c r="C15" s="294">
        <f>IF('Prac. Rec. Assumptions'!$B$56='Prac. Rec. Assumptions'!$V$3,D81,IF('Prac. Rec. Assumptions'!B58="No",D81,0))</f>
        <v>349.34999999999997</v>
      </c>
      <c r="D15" s="294">
        <f>E15*'Conversion Tables'!C14</f>
        <v>4396.7793599999995</v>
      </c>
      <c r="E15" s="294">
        <f>C15*'Prac. Rec. Assumptions'!B11</f>
        <v>279.47999999999996</v>
      </c>
      <c r="F15" s="294">
        <f>$E15</f>
        <v>279.47999999999996</v>
      </c>
      <c r="G15" s="294">
        <f>$E15</f>
        <v>279.47999999999996</v>
      </c>
      <c r="H15" s="294">
        <f>$E15</f>
        <v>279.47999999999996</v>
      </c>
      <c r="I15" s="16" t="str">
        <f>IF('Conversion Tables'!F14="NA","NA",(E15*'Conversion Tables'!$C14)/'Conversion Tables'!F14)</f>
        <v>NA</v>
      </c>
      <c r="J15" s="16" t="str">
        <f>IF('Conversion Tables'!G14="NA","NA",(F15*'Conversion Tables'!$C14)/'Conversion Tables'!G14)</f>
        <v>NA</v>
      </c>
      <c r="K15" s="16" t="str">
        <f>IF('Conversion Tables'!H14="NA","NA",(G15*'Conversion Tables'!$C14)/'Conversion Tables'!H14)</f>
        <v>NA</v>
      </c>
      <c r="L15" s="16" t="str">
        <f>IF('Conversion Tables'!I14="NA","NA",(H15*'Conversion Tables'!$C14)/'Conversion Tables'!I14)</f>
        <v>NA</v>
      </c>
      <c r="M15" s="16" t="str">
        <f>IF('Conversion Tables'!K14="NA","NA",E15*'Conversion Tables'!K14)</f>
        <v>NA</v>
      </c>
      <c r="N15" s="16" t="str">
        <f>IF('Conversion Tables'!L14="NA","NA",F15*'Conversion Tables'!L14)</f>
        <v>NA</v>
      </c>
      <c r="O15" s="16" t="str">
        <f>IF('Conversion Tables'!M14="NA","NA",G15*'Conversion Tables'!M14)</f>
        <v>NA</v>
      </c>
      <c r="P15" s="16" t="str">
        <f>IF('Conversion Tables'!N14="NA","NA",H15*'Conversion Tables'!N14)</f>
        <v>NA</v>
      </c>
      <c r="Q15" s="15"/>
    </row>
    <row r="16" spans="1:17" x14ac:dyDescent="0.25">
      <c r="A16" s="1207"/>
      <c r="B16" s="11" t="str">
        <f>IF('Prac. Rec. Assumptions'!$B$56='Prac. Rec. Assumptions'!$V$3,A82,IF('Prac. Rec. Assumptions'!B58="No",A82,"Rye- Converted to Energy Crop"))</f>
        <v>Rye</v>
      </c>
      <c r="C16" s="294">
        <f>IF('Prac. Rec. Assumptions'!$B$56='Prac. Rec. Assumptions'!$V$3,D82,IF('Prac. Rec. Assumptions'!B59="No",D82,0))</f>
        <v>397.8</v>
      </c>
      <c r="D16" s="294">
        <f>E16*'Conversion Tables'!C15</f>
        <v>0</v>
      </c>
      <c r="E16" s="294">
        <f>C16*'Prac. Rec. Assumptions'!B12</f>
        <v>0</v>
      </c>
      <c r="F16" s="294">
        <f t="shared" ref="F16:H23" si="2">$E16</f>
        <v>0</v>
      </c>
      <c r="G16" s="294">
        <f t="shared" si="2"/>
        <v>0</v>
      </c>
      <c r="H16" s="294">
        <f t="shared" si="2"/>
        <v>0</v>
      </c>
      <c r="I16" s="16" t="str">
        <f>IF('Conversion Tables'!F15="NA","NA",(E16*'Conversion Tables'!$C15)/'Conversion Tables'!F15)</f>
        <v>NA</v>
      </c>
      <c r="J16" s="16" t="str">
        <f>IF('Conversion Tables'!G15="NA","NA",(F16*'Conversion Tables'!$C15)/'Conversion Tables'!G15)</f>
        <v>NA</v>
      </c>
      <c r="K16" s="16" t="str">
        <f>IF('Conversion Tables'!H15="NA","NA",(G16*'Conversion Tables'!$C15)/'Conversion Tables'!H15)</f>
        <v>NA</v>
      </c>
      <c r="L16" s="16" t="str">
        <f>IF('Conversion Tables'!I15="NA","NA",(H16*'Conversion Tables'!$C15)/'Conversion Tables'!I15)</f>
        <v>NA</v>
      </c>
      <c r="M16" s="16" t="str">
        <f>IF('Conversion Tables'!K15="NA","NA",E16*'Conversion Tables'!K15)</f>
        <v>NA</v>
      </c>
      <c r="N16" s="16" t="str">
        <f>IF('Conversion Tables'!L15="NA","NA",F16*'Conversion Tables'!L15)</f>
        <v>NA</v>
      </c>
      <c r="O16" s="16" t="str">
        <f>IF('Conversion Tables'!M15="NA","NA",G16*'Conversion Tables'!M15)</f>
        <v>NA</v>
      </c>
      <c r="P16" s="16" t="str">
        <f>IF('Conversion Tables'!N15="NA","NA",H16*'Conversion Tables'!N15)</f>
        <v>NA</v>
      </c>
      <c r="Q16" s="15"/>
    </row>
    <row r="17" spans="1:17" x14ac:dyDescent="0.25">
      <c r="A17" s="1207"/>
      <c r="B17" s="11" t="str">
        <f>IF('Prac. Rec. Assumptions'!$B$56='Prac. Rec. Assumptions'!$V$3,A83,IF('Prac. Rec. Assumptions'!B59="No",A83,"Corn for Grain- Converted to Energy Crop"))</f>
        <v>Corn for Grain</v>
      </c>
      <c r="C17" s="294">
        <f>IF('Prac. Rec. Assumptions'!$B$56='Prac. Rec. Assumptions'!$V$3,D83,IF('Prac. Rec. Assumptions'!B60="No",D83,0))</f>
        <v>1895.5</v>
      </c>
      <c r="D17" s="294">
        <f>E17*'Conversion Tables'!C16</f>
        <v>25347.005099999998</v>
      </c>
      <c r="E17" s="294">
        <f>C17*'Prac. Rec. Assumptions'!B13</f>
        <v>1611.175</v>
      </c>
      <c r="F17" s="294">
        <f t="shared" si="2"/>
        <v>1611.175</v>
      </c>
      <c r="G17" s="294">
        <f t="shared" si="2"/>
        <v>1611.175</v>
      </c>
      <c r="H17" s="294">
        <f t="shared" si="2"/>
        <v>1611.175</v>
      </c>
      <c r="I17" s="16" t="str">
        <f>IF('Conversion Tables'!F16="NA","NA",(E17*'Conversion Tables'!$C16)/'Conversion Tables'!F16)</f>
        <v>NA</v>
      </c>
      <c r="J17" s="16" t="str">
        <f>IF('Conversion Tables'!G16="NA","NA",(F17*'Conversion Tables'!$C16)/'Conversion Tables'!G16)</f>
        <v>NA</v>
      </c>
      <c r="K17" s="16" t="str">
        <f>IF('Conversion Tables'!H16="NA","NA",(G17*'Conversion Tables'!$C16)/'Conversion Tables'!H16)</f>
        <v>NA</v>
      </c>
      <c r="L17" s="16" t="str">
        <f>IF('Conversion Tables'!I16="NA","NA",(H17*'Conversion Tables'!$C16)/'Conversion Tables'!I16)</f>
        <v>NA</v>
      </c>
      <c r="M17" s="16" t="str">
        <f>IF('Conversion Tables'!K16="NA","NA",E17*'Conversion Tables'!K16)</f>
        <v>NA</v>
      </c>
      <c r="N17" s="16" t="str">
        <f>IF('Conversion Tables'!L16="NA","NA",F17*'Conversion Tables'!L16)</f>
        <v>NA</v>
      </c>
      <c r="O17" s="16" t="str">
        <f>IF('Conversion Tables'!M16="NA","NA",G17*'Conversion Tables'!M16)</f>
        <v>NA</v>
      </c>
      <c r="P17" s="16" t="str">
        <f>IF('Conversion Tables'!N16="NA","NA",H17*'Conversion Tables'!N16)</f>
        <v>NA</v>
      </c>
      <c r="Q17" s="15"/>
    </row>
    <row r="18" spans="1:17" x14ac:dyDescent="0.25">
      <c r="A18" s="1207"/>
      <c r="B18" s="11" t="str">
        <f>IF('Prac. Rec. Assumptions'!$B$56='Prac. Rec. Assumptions'!$V$3,A84,IF('Prac. Rec. Assumptions'!B60="No",A84,"Corn for Silage- Converted to Energy Crop"))</f>
        <v>Corn for Silage</v>
      </c>
      <c r="C18" s="294">
        <f>IF('Prac. Rec. Assumptions'!$B$56='Prac. Rec. Assumptions'!$V$3,D84,IF('Prac. Rec. Assumptions'!B61="No",D84,0))</f>
        <v>1435</v>
      </c>
      <c r="D18" s="294">
        <f>E18*'Conversion Tables'!C17</f>
        <v>16931.564999999999</v>
      </c>
      <c r="E18" s="294">
        <f>C18*'Prac. Rec. Assumptions'!B14</f>
        <v>1076.25</v>
      </c>
      <c r="F18" s="294">
        <f t="shared" si="2"/>
        <v>1076.25</v>
      </c>
      <c r="G18" s="294">
        <f t="shared" si="2"/>
        <v>1076.25</v>
      </c>
      <c r="H18" s="294">
        <f t="shared" si="2"/>
        <v>1076.25</v>
      </c>
      <c r="I18" s="16" t="str">
        <f>IF('Conversion Tables'!F17="NA","NA",(E18*'Conversion Tables'!$C17)/'Conversion Tables'!F17)</f>
        <v>NA</v>
      </c>
      <c r="J18" s="16" t="str">
        <f>IF('Conversion Tables'!G17="NA","NA",(F18*'Conversion Tables'!$C17)/'Conversion Tables'!G17)</f>
        <v>NA</v>
      </c>
      <c r="K18" s="16" t="str">
        <f>IF('Conversion Tables'!H17="NA","NA",(G18*'Conversion Tables'!$C17)/'Conversion Tables'!H17)</f>
        <v>NA</v>
      </c>
      <c r="L18" s="16" t="str">
        <f>IF('Conversion Tables'!I17="NA","NA",(H18*'Conversion Tables'!$C17)/'Conversion Tables'!I17)</f>
        <v>NA</v>
      </c>
      <c r="M18" s="16" t="str">
        <f>IF('Conversion Tables'!K17="NA","NA",E18*'Conversion Tables'!K17)</f>
        <v>NA</v>
      </c>
      <c r="N18" s="16" t="str">
        <f>IF('Conversion Tables'!L17="NA","NA",F18*'Conversion Tables'!L17)</f>
        <v>NA</v>
      </c>
      <c r="O18" s="16" t="str">
        <f>IF('Conversion Tables'!M17="NA","NA",G18*'Conversion Tables'!M17)</f>
        <v>NA</v>
      </c>
      <c r="P18" s="16" t="str">
        <f>IF('Conversion Tables'!N17="NA","NA",H18*'Conversion Tables'!N17)</f>
        <v>NA</v>
      </c>
      <c r="Q18" s="15"/>
    </row>
    <row r="19" spans="1:17" x14ac:dyDescent="0.25">
      <c r="A19" s="1207"/>
      <c r="B19" s="11" t="str">
        <f>IF('Prac. Rec. Assumptions'!$B$56='Prac. Rec. Assumptions'!$V$3,A85,IF('Prac. Rec. Assumptions'!B61="No",A85,"Alfalfa Hay- Converted to Energy Crop"))</f>
        <v>Alfalfa Hay</v>
      </c>
      <c r="C19" s="294">
        <f>IF('Prac. Rec. Assumptions'!$B$56='Prac. Rec. Assumptions'!$V$3,D85,IF('Prac. Rec. Assumptions'!B62="No",D85,0))</f>
        <v>2698.24</v>
      </c>
      <c r="D19" s="294">
        <f>E19*'Conversion Tables'!C18</f>
        <v>0</v>
      </c>
      <c r="E19" s="294">
        <f>C19*'Prac. Rec. Assumptions'!B15</f>
        <v>0</v>
      </c>
      <c r="F19" s="294">
        <f t="shared" si="2"/>
        <v>0</v>
      </c>
      <c r="G19" s="294">
        <f t="shared" si="2"/>
        <v>0</v>
      </c>
      <c r="H19" s="294">
        <f t="shared" si="2"/>
        <v>0</v>
      </c>
      <c r="I19" s="16" t="str">
        <f>IF('Conversion Tables'!F18="NA","NA",(E19*'Conversion Tables'!$C18)/'Conversion Tables'!F18)</f>
        <v>NA</v>
      </c>
      <c r="J19" s="16" t="str">
        <f>IF('Conversion Tables'!G18="NA","NA",(F19*'Conversion Tables'!$C18)/'Conversion Tables'!G18)</f>
        <v>NA</v>
      </c>
      <c r="K19" s="16" t="str">
        <f>IF('Conversion Tables'!H18="NA","NA",(G19*'Conversion Tables'!$C18)/'Conversion Tables'!H18)</f>
        <v>NA</v>
      </c>
      <c r="L19" s="16" t="str">
        <f>IF('Conversion Tables'!I18="NA","NA",(H19*'Conversion Tables'!$C18)/'Conversion Tables'!I18)</f>
        <v>NA</v>
      </c>
      <c r="M19" s="16" t="str">
        <f>IF('Conversion Tables'!K18="NA","NA",E19*'Conversion Tables'!K18)</f>
        <v>NA</v>
      </c>
      <c r="N19" s="16" t="str">
        <f>IF('Conversion Tables'!L18="NA","NA",F19*'Conversion Tables'!L18)</f>
        <v>NA</v>
      </c>
      <c r="O19" s="16" t="str">
        <f>IF('Conversion Tables'!M18="NA","NA",G19*'Conversion Tables'!M18)</f>
        <v>NA</v>
      </c>
      <c r="P19" s="16" t="str">
        <f>IF('Conversion Tables'!N18="NA","NA",H19*'Conversion Tables'!N18)</f>
        <v>NA</v>
      </c>
      <c r="Q19" s="15"/>
    </row>
    <row r="20" spans="1:17" x14ac:dyDescent="0.25">
      <c r="A20" s="1207"/>
      <c r="B20" s="11" t="str">
        <f>IF('Prac. Rec. Assumptions'!$B$56='Prac. Rec. Assumptions'!$V$3,A86,IF('Prac. Rec. Assumptions'!B62="No",A86,"Other Hay- Converted to Energy Crop"))</f>
        <v>Other Hay</v>
      </c>
      <c r="C20" s="294">
        <f>IF('Prac. Rec. Assumptions'!$B$56='Prac. Rec. Assumptions'!$V$3,D86,IF('Prac. Rec. Assumptions'!B63="No",D86,0))</f>
        <v>4463.6050000000005</v>
      </c>
      <c r="D20" s="294">
        <f>E20*'Conversion Tables'!C19</f>
        <v>34816.119000000006</v>
      </c>
      <c r="E20" s="294">
        <f>C20*'Prac. Rec. Assumptions'!B16</f>
        <v>2231.8025000000002</v>
      </c>
      <c r="F20" s="294">
        <f t="shared" si="2"/>
        <v>2231.8025000000002</v>
      </c>
      <c r="G20" s="294">
        <f t="shared" si="2"/>
        <v>2231.8025000000002</v>
      </c>
      <c r="H20" s="294">
        <f t="shared" si="2"/>
        <v>2231.8025000000002</v>
      </c>
      <c r="I20" s="16" t="str">
        <f>IF('Conversion Tables'!F19="NA","NA",(E20*'Conversion Tables'!$C19)/'Conversion Tables'!F19)</f>
        <v>NA</v>
      </c>
      <c r="J20" s="16" t="str">
        <f>IF('Conversion Tables'!G19="NA","NA",(F20*'Conversion Tables'!$C19)/'Conversion Tables'!G19)</f>
        <v>NA</v>
      </c>
      <c r="K20" s="16" t="str">
        <f>IF('Conversion Tables'!H19="NA","NA",(G20*'Conversion Tables'!$C19)/'Conversion Tables'!H19)</f>
        <v>NA</v>
      </c>
      <c r="L20" s="16" t="str">
        <f>IF('Conversion Tables'!I19="NA","NA",(H20*'Conversion Tables'!$C19)/'Conversion Tables'!I19)</f>
        <v>NA</v>
      </c>
      <c r="M20" s="16" t="str">
        <f>IF('Conversion Tables'!K19="NA","NA",E20*'Conversion Tables'!K19)</f>
        <v>NA</v>
      </c>
      <c r="N20" s="16" t="str">
        <f>IF('Conversion Tables'!L19="NA","NA",F20*'Conversion Tables'!L19)</f>
        <v>NA</v>
      </c>
      <c r="O20" s="16" t="str">
        <f>IF('Conversion Tables'!M19="NA","NA",G20*'Conversion Tables'!M19)</f>
        <v>NA</v>
      </c>
      <c r="P20" s="16" t="str">
        <f>IF('Conversion Tables'!N19="NA","NA",H20*'Conversion Tables'!N19)</f>
        <v>NA</v>
      </c>
      <c r="Q20" s="15"/>
    </row>
    <row r="21" spans="1:17" x14ac:dyDescent="0.25">
      <c r="A21" s="1207"/>
      <c r="B21" s="11" t="str">
        <f>IF('Prac. Rec. Assumptions'!$B$56='Prac. Rec. Assumptions'!$V$3,A87,IF('Prac. Rec. Assumptions'!B63="No",A87,"Wheat- Converted to Energy Crop"))</f>
        <v>Wheat</v>
      </c>
      <c r="C21" s="294">
        <f>IF('Prac. Rec. Assumptions'!$B$56='Prac. Rec. Assumptions'!$V$3,D87,IF('Prac. Rec. Assumptions'!B64="No",D87,0))</f>
        <v>66.9375</v>
      </c>
      <c r="D21" s="294">
        <f>E21*'Conversion Tables'!C20</f>
        <v>0</v>
      </c>
      <c r="E21" s="294">
        <f>C21*'Prac. Rec. Assumptions'!B17</f>
        <v>0</v>
      </c>
      <c r="F21" s="294">
        <f t="shared" si="2"/>
        <v>0</v>
      </c>
      <c r="G21" s="294">
        <f t="shared" si="2"/>
        <v>0</v>
      </c>
      <c r="H21" s="294">
        <f t="shared" si="2"/>
        <v>0</v>
      </c>
      <c r="I21" s="16" t="str">
        <f>IF('Conversion Tables'!F20="NA","NA",(E21*'Conversion Tables'!$C20)/'Conversion Tables'!F20)</f>
        <v>NA</v>
      </c>
      <c r="J21" s="16" t="str">
        <f>IF('Conversion Tables'!G20="NA","NA",(F21*'Conversion Tables'!$C20)/'Conversion Tables'!G20)</f>
        <v>NA</v>
      </c>
      <c r="K21" s="16" t="str">
        <f>IF('Conversion Tables'!H20="NA","NA",(G21*'Conversion Tables'!$C20)/'Conversion Tables'!H20)</f>
        <v>NA</v>
      </c>
      <c r="L21" s="16" t="str">
        <f>IF('Conversion Tables'!I20="NA","NA",(H21*'Conversion Tables'!$C20)/'Conversion Tables'!I20)</f>
        <v>NA</v>
      </c>
      <c r="M21" s="16" t="str">
        <f>IF('Conversion Tables'!K20="NA","NA",E21*'Conversion Tables'!K20)</f>
        <v>NA</v>
      </c>
      <c r="N21" s="16" t="str">
        <f>IF('Conversion Tables'!L20="NA","NA",F21*'Conversion Tables'!L20)</f>
        <v>NA</v>
      </c>
      <c r="O21" s="16" t="str">
        <f>IF('Conversion Tables'!M20="NA","NA",G21*'Conversion Tables'!M20)</f>
        <v>NA</v>
      </c>
      <c r="P21" s="16" t="str">
        <f>IF('Conversion Tables'!N20="NA","NA",H21*'Conversion Tables'!N20)</f>
        <v>NA</v>
      </c>
      <c r="Q21" s="15"/>
    </row>
    <row r="22" spans="1:17" x14ac:dyDescent="0.25">
      <c r="A22" s="1207"/>
      <c r="B22" s="148" t="s">
        <v>205</v>
      </c>
      <c r="C22" s="294">
        <f>'Biomass Data Assumptions'!P20*1000*'Energy Content Assumptions'!C18</f>
        <v>66066</v>
      </c>
      <c r="D22" s="294">
        <f>E22*'Conversion Tables'!C21</f>
        <v>515314.8</v>
      </c>
      <c r="E22" s="294">
        <f>C22*'Prac. Rec. Assumptions'!B18</f>
        <v>33033</v>
      </c>
      <c r="F22" s="294">
        <f t="shared" si="2"/>
        <v>33033</v>
      </c>
      <c r="G22" s="294">
        <f t="shared" si="2"/>
        <v>33033</v>
      </c>
      <c r="H22" s="294">
        <f t="shared" si="2"/>
        <v>33033</v>
      </c>
      <c r="I22" s="16" t="str">
        <f>IF('Conversion Tables'!F21="NA","NA",(E22*'Conversion Tables'!$C21)/'Conversion Tables'!F21)</f>
        <v>NA</v>
      </c>
      <c r="J22" s="16" t="str">
        <f>IF('Conversion Tables'!G21="NA","NA",(F22*'Conversion Tables'!$C21)/'Conversion Tables'!G21)</f>
        <v>NA</v>
      </c>
      <c r="K22" s="16" t="str">
        <f>IF('Conversion Tables'!H21="NA","NA",(G22*'Conversion Tables'!$C21)/'Conversion Tables'!H21)</f>
        <v>NA</v>
      </c>
      <c r="L22" s="16" t="str">
        <f>IF('Conversion Tables'!I21="NA","NA",(H22*'Conversion Tables'!$C21)/'Conversion Tables'!I21)</f>
        <v>NA</v>
      </c>
      <c r="M22" s="16" t="str">
        <f>IF('Conversion Tables'!K21="NA","NA",E22*'Conversion Tables'!K21)</f>
        <v>NA</v>
      </c>
      <c r="N22" s="16" t="str">
        <f>IF('Conversion Tables'!L21="NA","NA",F22*'Conversion Tables'!L21)</f>
        <v>NA</v>
      </c>
      <c r="O22" s="16" t="str">
        <f>IF('Conversion Tables'!M21="NA","NA",G22*'Conversion Tables'!M21)</f>
        <v>NA</v>
      </c>
      <c r="P22" s="16" t="str">
        <f>IF('Conversion Tables'!N21="NA","NA",H22*'Conversion Tables'!N21)</f>
        <v>NA</v>
      </c>
      <c r="Q22" s="15"/>
    </row>
    <row r="23" spans="1:17" x14ac:dyDescent="0.25">
      <c r="A23" s="1207"/>
      <c r="B23" s="2" t="s">
        <v>302</v>
      </c>
      <c r="C23" s="294">
        <f>B133</f>
        <v>479.41</v>
      </c>
      <c r="D23" s="294">
        <f>E23*'Conversion Tables'!C22</f>
        <v>7831.6417599999995</v>
      </c>
      <c r="E23" s="294">
        <f>C23*'Prac. Rec. Assumptions'!B19</f>
        <v>479.41</v>
      </c>
      <c r="F23" s="297">
        <f t="shared" si="2"/>
        <v>479.41</v>
      </c>
      <c r="G23" s="297">
        <f t="shared" si="2"/>
        <v>479.41</v>
      </c>
      <c r="H23" s="297">
        <f t="shared" si="2"/>
        <v>479.41</v>
      </c>
      <c r="I23" s="16" t="str">
        <f>IF('Conversion Tables'!F22="NA","NA",(E23*'Conversion Tables'!$C22)/'Conversion Tables'!F22)</f>
        <v>NA</v>
      </c>
      <c r="J23" s="16" t="str">
        <f>IF('Conversion Tables'!G22="NA","NA",(F23*'Conversion Tables'!$C22)/'Conversion Tables'!G22)</f>
        <v>NA</v>
      </c>
      <c r="K23" s="16" t="str">
        <f>IF('Conversion Tables'!H22="NA","NA",(G23*'Conversion Tables'!$C22)/'Conversion Tables'!H22)</f>
        <v>NA</v>
      </c>
      <c r="L23" s="16" t="str">
        <f>IF('Conversion Tables'!I22="NA","NA",(H23*'Conversion Tables'!$C22)/'Conversion Tables'!I22)</f>
        <v>NA</v>
      </c>
      <c r="M23" s="16" t="str">
        <f>IF('Conversion Tables'!K22="NA","NA",E23*'Conversion Tables'!K22)</f>
        <v>NA</v>
      </c>
      <c r="N23" s="16" t="str">
        <f>IF('Conversion Tables'!L22="NA","NA",F23*'Conversion Tables'!L22)</f>
        <v>NA</v>
      </c>
      <c r="O23" s="16" t="str">
        <f>IF('Conversion Tables'!M22="NA","NA",G23*'Conversion Tables'!M22)</f>
        <v>NA</v>
      </c>
      <c r="P23" s="16" t="str">
        <f>IF('Conversion Tables'!N22="NA","NA",H23*'Conversion Tables'!N22)</f>
        <v>NA</v>
      </c>
      <c r="Q23" s="7"/>
    </row>
    <row r="24" spans="1:17" x14ac:dyDescent="0.25">
      <c r="A24" s="1207"/>
      <c r="B24" s="1" t="s">
        <v>518</v>
      </c>
      <c r="C24" s="294"/>
      <c r="D24" s="294"/>
      <c r="E24" s="294"/>
      <c r="F24" s="294"/>
      <c r="G24" s="294"/>
      <c r="H24" s="294"/>
      <c r="I24" s="16"/>
      <c r="J24" s="16"/>
      <c r="K24" s="16"/>
      <c r="L24" s="16"/>
      <c r="M24" s="16"/>
      <c r="N24" s="16"/>
      <c r="O24" s="16"/>
      <c r="P24" s="16"/>
      <c r="Q24" s="7"/>
    </row>
    <row r="25" spans="1:17" x14ac:dyDescent="0.25">
      <c r="A25" s="1207"/>
      <c r="B25" s="11" t="s">
        <v>559</v>
      </c>
      <c r="C25" s="294">
        <f>C128</f>
        <v>12407.92</v>
      </c>
      <c r="D25" s="294">
        <f>E25*'Conversion Tables'!C24</f>
        <v>219620.18399999998</v>
      </c>
      <c r="E25" s="294">
        <f>C25*'Prac. Rec. Assumptions'!B21</f>
        <v>12407.92</v>
      </c>
      <c r="F25" s="294">
        <f>($C25*(1+'Biomass Data Assumptions'!G$105))*'Prac. Rec. Assumptions'!$B21</f>
        <v>12647.464974327377</v>
      </c>
      <c r="G25" s="294">
        <f>($C25*(1+'Biomass Data Assumptions'!H$105))*'Prac. Rec. Assumptions'!$B21</f>
        <v>12955.815420004106</v>
      </c>
      <c r="H25" s="294">
        <f>($C25*(1+'Biomass Data Assumptions'!I$105))*'Prac. Rec. Assumptions'!$B21</f>
        <v>13246.327410145821</v>
      </c>
      <c r="I25" s="16" t="str">
        <f>IF('Conversion Tables'!F24="NA","NA",(E25*'Conversion Tables'!$C24)/'Conversion Tables'!F24)</f>
        <v>NA</v>
      </c>
      <c r="J25" s="16" t="str">
        <f>IF('Conversion Tables'!G24="NA","NA",(F25*'Conversion Tables'!$C24)/'Conversion Tables'!G24)</f>
        <v>NA</v>
      </c>
      <c r="K25" s="16" t="str">
        <f>IF('Conversion Tables'!H24="NA","NA",(G25*'Conversion Tables'!$C24)/'Conversion Tables'!H24)</f>
        <v>NA</v>
      </c>
      <c r="L25" s="16" t="str">
        <f>IF('Conversion Tables'!I24="NA","NA",(H25*'Conversion Tables'!$C24)/'Conversion Tables'!I24)</f>
        <v>NA</v>
      </c>
      <c r="M25" s="16" t="str">
        <f>IF('Conversion Tables'!K24="NA","NA",E25*'Conversion Tables'!K24)</f>
        <v>NA</v>
      </c>
      <c r="N25" s="16" t="str">
        <f>IF('Conversion Tables'!L24="NA","NA",F25*'Conversion Tables'!L24)</f>
        <v>NA</v>
      </c>
      <c r="O25" s="16" t="str">
        <f>IF('Conversion Tables'!M24="NA","NA",G25*'Conversion Tables'!M24)</f>
        <v>NA</v>
      </c>
      <c r="P25" s="16" t="str">
        <f>IF('Conversion Tables'!N24="NA","NA",H25*'Conversion Tables'!N24)</f>
        <v>NA</v>
      </c>
      <c r="Q25" s="13"/>
    </row>
    <row r="26" spans="1:17" x14ac:dyDescent="0.25">
      <c r="A26" s="1207"/>
      <c r="B26" s="11" t="s">
        <v>560</v>
      </c>
      <c r="C26" s="294">
        <f>C129</f>
        <v>4115.1033333333326</v>
      </c>
      <c r="D26" s="294">
        <f>E26*'Conversion Tables'!C25</f>
        <v>64195.611999999986</v>
      </c>
      <c r="E26" s="294">
        <f>C26*'Prac. Rec. Assumptions'!B22</f>
        <v>4115.1033333333326</v>
      </c>
      <c r="F26" s="294">
        <f>($C26*(1+'Biomass Data Assumptions'!G$105))*'Prac. Rec. Assumptions'!$B22</f>
        <v>4194.5487458068037</v>
      </c>
      <c r="G26" s="294">
        <f>($C26*(1+'Biomass Data Assumptions'!H$105))*'Prac. Rec. Assumptions'!$B22</f>
        <v>4296.8135852673367</v>
      </c>
      <c r="H26" s="294">
        <f>($C26*(1+'Biomass Data Assumptions'!I$105))*'Prac. Rec. Assumptions'!$B22</f>
        <v>4393.1622769904834</v>
      </c>
      <c r="I26" s="16" t="str">
        <f>IF('Conversion Tables'!F25="NA","NA",(E26*'Conversion Tables'!$C25)/'Conversion Tables'!F25)</f>
        <v>NA</v>
      </c>
      <c r="J26" s="16" t="str">
        <f>IF('Conversion Tables'!G25="NA","NA",(F26*'Conversion Tables'!$C25)/'Conversion Tables'!G25)</f>
        <v>NA</v>
      </c>
      <c r="K26" s="16" t="str">
        <f>IF('Conversion Tables'!H25="NA","NA",(G26*'Conversion Tables'!$C25)/'Conversion Tables'!H25)</f>
        <v>NA</v>
      </c>
      <c r="L26" s="16" t="str">
        <f>IF('Conversion Tables'!I25="NA","NA",(H26*'Conversion Tables'!$C25)/'Conversion Tables'!I25)</f>
        <v>NA</v>
      </c>
      <c r="M26" s="16" t="str">
        <f>IF('Conversion Tables'!K25="NA","NA",E26*'Conversion Tables'!K25)</f>
        <v>NA</v>
      </c>
      <c r="N26" s="16" t="str">
        <f>IF('Conversion Tables'!L25="NA","NA",F26*'Conversion Tables'!L25)</f>
        <v>NA</v>
      </c>
      <c r="O26" s="16" t="str">
        <f>IF('Conversion Tables'!M25="NA","NA",G26*'Conversion Tables'!M25)</f>
        <v>NA</v>
      </c>
      <c r="P26" s="16" t="str">
        <f>IF('Conversion Tables'!N25="NA","NA",H26*'Conversion Tables'!N25)</f>
        <v>NA</v>
      </c>
      <c r="Q26" s="13"/>
    </row>
    <row r="27" spans="1:17" x14ac:dyDescent="0.25">
      <c r="A27" s="1207"/>
      <c r="B27" s="11" t="s">
        <v>561</v>
      </c>
      <c r="C27" s="294">
        <f>C130</f>
        <v>17197.599999999999</v>
      </c>
      <c r="D27" s="294">
        <f>E27*'Conversion Tables'!C26</f>
        <v>268282.56</v>
      </c>
      <c r="E27" s="294">
        <f>C27*'Prac. Rec. Assumptions'!B23</f>
        <v>17197.599999999999</v>
      </c>
      <c r="F27" s="294">
        <f>($C27*(1+'Biomass Data Assumptions'!G$105))*'Prac. Rec. Assumptions'!$B23</f>
        <v>17529.613637297185</v>
      </c>
      <c r="G27" s="294">
        <f>($C27*(1+'Biomass Data Assumptions'!H$105))*'Prac. Rec. Assumptions'!$B23</f>
        <v>17956.992893818031</v>
      </c>
      <c r="H27" s="294">
        <f>($C27*(1+'Biomass Data Assumptions'!I$105))*'Prac. Rec. Assumptions'!$B23</f>
        <v>18359.647730540153</v>
      </c>
      <c r="I27" s="16" t="str">
        <f>IF('Conversion Tables'!F26="NA","NA",(E27*'Conversion Tables'!$C26)/'Conversion Tables'!F26)</f>
        <v>NA</v>
      </c>
      <c r="J27" s="16" t="str">
        <f>IF('Conversion Tables'!G26="NA","NA",(F27*'Conversion Tables'!$C26)/'Conversion Tables'!G26)</f>
        <v>NA</v>
      </c>
      <c r="K27" s="16" t="str">
        <f>IF('Conversion Tables'!H26="NA","NA",(G27*'Conversion Tables'!$C26)/'Conversion Tables'!H26)</f>
        <v>NA</v>
      </c>
      <c r="L27" s="16" t="str">
        <f>IF('Conversion Tables'!I26="NA","NA",(H27*'Conversion Tables'!$C26)/'Conversion Tables'!I26)</f>
        <v>NA</v>
      </c>
      <c r="M27" s="16" t="str">
        <f>IF('Conversion Tables'!K26="NA","NA",E27*'Conversion Tables'!K26)</f>
        <v>NA</v>
      </c>
      <c r="N27" s="16" t="str">
        <f>IF('Conversion Tables'!L26="NA","NA",F27*'Conversion Tables'!L26)</f>
        <v>NA</v>
      </c>
      <c r="O27" s="16" t="str">
        <f>IF('Conversion Tables'!M26="NA","NA",G27*'Conversion Tables'!M26)</f>
        <v>NA</v>
      </c>
      <c r="P27" s="16" t="str">
        <f>IF('Conversion Tables'!N26="NA","NA",H27*'Conversion Tables'!N26)</f>
        <v>NA</v>
      </c>
      <c r="Q27" s="13"/>
    </row>
    <row r="28" spans="1:17" x14ac:dyDescent="0.25">
      <c r="A28" s="1207"/>
      <c r="B28" s="11" t="s">
        <v>562</v>
      </c>
      <c r="C28" s="294">
        <f>C131</f>
        <v>1678.6849999999999</v>
      </c>
      <c r="D28" s="294">
        <f>E28*'Conversion Tables'!C27</f>
        <v>29712.724499999997</v>
      </c>
      <c r="E28" s="294">
        <f>C28*'Prac. Rec. Assumptions'!B24</f>
        <v>1678.6849999999999</v>
      </c>
      <c r="F28" s="294">
        <f>($C28*(1+'Biomass Data Assumptions'!G$105))*'Prac. Rec. Assumptions'!$B24</f>
        <v>1711.0933774902442</v>
      </c>
      <c r="G28" s="294">
        <f>($C28*(1+'Biomass Data Assumptions'!H$105))*'Prac. Rec. Assumptions'!$B24</f>
        <v>1752.8105442596013</v>
      </c>
      <c r="H28" s="294">
        <f>($C28*(1+'Biomass Data Assumptions'!I$105))*'Prac. Rec. Assumptions'!$B24</f>
        <v>1792.1143212158554</v>
      </c>
      <c r="I28" s="16" t="str">
        <f>IF('Conversion Tables'!F27="NA","NA",(E28*'Conversion Tables'!$C27)/'Conversion Tables'!F27)</f>
        <v>NA</v>
      </c>
      <c r="J28" s="16" t="str">
        <f>IF('Conversion Tables'!G27="NA","NA",(F28*'Conversion Tables'!$C27)/'Conversion Tables'!G27)</f>
        <v>NA</v>
      </c>
      <c r="K28" s="16" t="str">
        <f>IF('Conversion Tables'!H27="NA","NA",(G28*'Conversion Tables'!$C27)/'Conversion Tables'!H27)</f>
        <v>NA</v>
      </c>
      <c r="L28" s="16" t="str">
        <f>IF('Conversion Tables'!I27="NA","NA",(H28*'Conversion Tables'!$C27)/'Conversion Tables'!I27)</f>
        <v>NA</v>
      </c>
      <c r="M28" s="16" t="str">
        <f>IF('Conversion Tables'!K27="NA","NA",E28*'Conversion Tables'!K27)</f>
        <v>NA</v>
      </c>
      <c r="N28" s="16" t="str">
        <f>IF('Conversion Tables'!L27="NA","NA",F28*'Conversion Tables'!L27)</f>
        <v>NA</v>
      </c>
      <c r="O28" s="16" t="str">
        <f>IF('Conversion Tables'!M27="NA","NA",G28*'Conversion Tables'!M27)</f>
        <v>NA</v>
      </c>
      <c r="P28" s="16" t="str">
        <f>IF('Conversion Tables'!N27="NA","NA",H28*'Conversion Tables'!N27)</f>
        <v>NA</v>
      </c>
      <c r="Q28" s="13"/>
    </row>
    <row r="29" spans="1:17" x14ac:dyDescent="0.25">
      <c r="A29" s="1208"/>
      <c r="B29" s="9" t="s">
        <v>524</v>
      </c>
      <c r="C29" s="295">
        <f t="shared" ref="C29:P29" si="3">SUM(C13:C28)</f>
        <v>113251.15083333332</v>
      </c>
      <c r="D29" s="295">
        <f>SUM(D13:D28)</f>
        <v>1186448.9907199999</v>
      </c>
      <c r="E29" s="295">
        <f t="shared" si="3"/>
        <v>74110.425833333342</v>
      </c>
      <c r="F29" s="295">
        <f>SUM(F13:F28)</f>
        <v>74793.838234921626</v>
      </c>
      <c r="G29" s="295">
        <f>SUM(G13:G28)</f>
        <v>75673.549943349077</v>
      </c>
      <c r="H29" s="295">
        <f>SUM(H13:H28)</f>
        <v>76502.369238892323</v>
      </c>
      <c r="I29" s="19">
        <f t="shared" si="3"/>
        <v>0</v>
      </c>
      <c r="J29" s="19">
        <f t="shared" si="3"/>
        <v>0</v>
      </c>
      <c r="K29" s="19">
        <f t="shared" si="3"/>
        <v>0</v>
      </c>
      <c r="L29" s="19">
        <f t="shared" si="3"/>
        <v>0</v>
      </c>
      <c r="M29" s="19">
        <f t="shared" si="3"/>
        <v>0</v>
      </c>
      <c r="N29" s="19">
        <f t="shared" si="3"/>
        <v>0</v>
      </c>
      <c r="O29" s="19">
        <f t="shared" si="3"/>
        <v>0</v>
      </c>
      <c r="P29" s="19">
        <f t="shared" si="3"/>
        <v>0</v>
      </c>
      <c r="Q29" s="19"/>
    </row>
    <row r="30" spans="1:17" x14ac:dyDescent="0.25">
      <c r="A30" s="8"/>
      <c r="C30" s="296"/>
      <c r="D30" s="296"/>
      <c r="E30" s="296"/>
      <c r="F30" s="296"/>
      <c r="G30" s="296"/>
      <c r="H30" s="296"/>
      <c r="I30" s="28"/>
      <c r="J30" s="28"/>
      <c r="K30" s="28"/>
      <c r="L30" s="28"/>
      <c r="M30" s="28"/>
      <c r="N30" s="28"/>
      <c r="O30" s="28"/>
      <c r="P30" s="28"/>
    </row>
    <row r="31" spans="1:17" x14ac:dyDescent="0.25">
      <c r="A31" s="1064" t="s">
        <v>516</v>
      </c>
      <c r="B31" s="130" t="str">
        <f>'Bioenergy Calculator'!B34</f>
        <v>Solid wastes - Landfilled</v>
      </c>
      <c r="C31" s="294"/>
      <c r="D31" s="294"/>
      <c r="E31" s="294"/>
      <c r="F31" s="294"/>
      <c r="G31" s="294"/>
      <c r="H31" s="294"/>
      <c r="I31" s="16"/>
      <c r="J31" s="16"/>
      <c r="K31" s="16"/>
      <c r="L31" s="16"/>
      <c r="M31" s="16"/>
      <c r="N31" s="16"/>
      <c r="O31" s="16"/>
      <c r="P31" s="16"/>
      <c r="Q31" s="7"/>
    </row>
    <row r="32" spans="1:17" x14ac:dyDescent="0.25">
      <c r="A32" s="1064"/>
      <c r="B32" s="11" t="str">
        <f>'Bioenergy Calculator'!B35</f>
        <v>Food waste, Landfilled</v>
      </c>
      <c r="C32" s="294">
        <f>C141</f>
        <v>13441.5053976</v>
      </c>
      <c r="D32" s="294">
        <f>E32*'Conversion Tables'!C29</f>
        <v>129038.45181696002</v>
      </c>
      <c r="E32" s="294">
        <f>C32*'Prac. Rec. Assumptions'!B26</f>
        <v>8064.9032385600012</v>
      </c>
      <c r="F32" s="294">
        <f>($C32*(1+'Biomass Data Assumptions'!G$105)*(1+'Biomass Data Assumptions'!C$82))*'Prac. Rec. Assumptions'!$B26</f>
        <v>8215.0211257596402</v>
      </c>
      <c r="G32" s="294">
        <f>($C32*(1+'Biomass Data Assumptions'!H$105)*(1+'Biomass Data Assumptions'!D$82))*'Prac. Rec. Assumptions'!$B26</f>
        <v>8409.5929298037317</v>
      </c>
      <c r="H32" s="294">
        <f>($C32*(1+'Biomass Data Assumptions'!I$105)*(1+'Biomass Data Assumptions'!E$82))*'Prac. Rec. Assumptions'!$B26</f>
        <v>8592.3256834128188</v>
      </c>
      <c r="I32" s="16" t="str">
        <f>IF('Conversion Tables'!F29="NA","NA",(E32*'Conversion Tables'!$C29)/'Conversion Tables'!F29)</f>
        <v>NA</v>
      </c>
      <c r="J32" s="16" t="str">
        <f>IF('Conversion Tables'!G29="NA","NA",(F32*'Conversion Tables'!$C29)/'Conversion Tables'!G29)</f>
        <v>NA</v>
      </c>
      <c r="K32" s="16" t="str">
        <f>IF('Conversion Tables'!H29="NA","NA",(G32*'Conversion Tables'!$C29)/'Conversion Tables'!H29)</f>
        <v>NA</v>
      </c>
      <c r="L32" s="16" t="str">
        <f>IF('Conversion Tables'!I29="NA","NA",(H32*'Conversion Tables'!$C29)/'Conversion Tables'!I29)</f>
        <v>NA</v>
      </c>
      <c r="M32" s="16" t="str">
        <f>IF('Conversion Tables'!K29="NA","NA",E32*'Conversion Tables'!K29)</f>
        <v>NA</v>
      </c>
      <c r="N32" s="16" t="str">
        <f>IF('Conversion Tables'!L29="NA","NA",F32*'Conversion Tables'!L29)</f>
        <v>NA</v>
      </c>
      <c r="O32" s="16" t="str">
        <f>IF('Conversion Tables'!M29="NA","NA",G32*'Conversion Tables'!M29)</f>
        <v>NA</v>
      </c>
      <c r="P32" s="16" t="str">
        <f>IF('Conversion Tables'!N29="NA","NA",H32*'Conversion Tables'!N29)</f>
        <v>NA</v>
      </c>
      <c r="Q32" s="7"/>
    </row>
    <row r="33" spans="1:17" x14ac:dyDescent="0.25">
      <c r="A33" s="1064"/>
      <c r="B33" s="11" t="str">
        <f>'Bioenergy Calculator'!B36</f>
        <v>Waste paper, Landfilled</v>
      </c>
      <c r="C33" s="294">
        <f>C142</f>
        <v>49577.233877999999</v>
      </c>
      <c r="D33" s="294">
        <f>E33*'Conversion Tables'!C30</f>
        <v>575968.47230105288</v>
      </c>
      <c r="E33" s="294">
        <f>C33*'Prac. Rec. Assumptions'!B27</f>
        <v>39661.787102400005</v>
      </c>
      <c r="F33" s="294">
        <f>($C33*(1+'Biomass Data Assumptions'!G$105)*(1+'Biomass Data Assumptions'!C$82))*'Prac. Rec. Assumptions'!$B27</f>
        <v>40400.040681675098</v>
      </c>
      <c r="G33" s="294">
        <f>($C33*(1+'Biomass Data Assumptions'!H$105)*(1+'Biomass Data Assumptions'!D$82))*'Prac. Rec. Assumptions'!$B27</f>
        <v>41356.910868440609</v>
      </c>
      <c r="H33" s="294">
        <f>($C33*(1+'Biomass Data Assumptions'!I$105)*(1+'Biomass Data Assumptions'!E$82))*'Prac. Rec. Assumptions'!$B27</f>
        <v>42255.558670639526</v>
      </c>
      <c r="I33" s="16" t="str">
        <f>IF('Conversion Tables'!F30="NA","NA",(E33*'Conversion Tables'!$C30)/'Conversion Tables'!F30)</f>
        <v>NA</v>
      </c>
      <c r="J33" s="16" t="str">
        <f>IF('Conversion Tables'!G30="NA","NA",(F33*'Conversion Tables'!$C30)/'Conversion Tables'!G30)</f>
        <v>NA</v>
      </c>
      <c r="K33" s="16" t="str">
        <f>IF('Conversion Tables'!H30="NA","NA",(G33*'Conversion Tables'!$C30)/'Conversion Tables'!H30)</f>
        <v>NA</v>
      </c>
      <c r="L33" s="16" t="str">
        <f>IF('Conversion Tables'!I30="NA","NA",(H33*'Conversion Tables'!$C30)/'Conversion Tables'!I30)</f>
        <v>NA</v>
      </c>
      <c r="M33" s="16" t="str">
        <f>IF('Conversion Tables'!K30="NA","NA",E33*'Conversion Tables'!K30)</f>
        <v>NA</v>
      </c>
      <c r="N33" s="16" t="str">
        <f>IF('Conversion Tables'!L30="NA","NA",F33*'Conversion Tables'!L30)</f>
        <v>NA</v>
      </c>
      <c r="O33" s="16" t="str">
        <f>IF('Conversion Tables'!M30="NA","NA",G33*'Conversion Tables'!M30)</f>
        <v>NA</v>
      </c>
      <c r="P33" s="16" t="str">
        <f>IF('Conversion Tables'!N30="NA","NA",H33*'Conversion Tables'!N30)</f>
        <v>NA</v>
      </c>
      <c r="Q33" s="7"/>
    </row>
    <row r="34" spans="1:17" x14ac:dyDescent="0.25">
      <c r="A34" s="1064"/>
      <c r="B34" s="11" t="str">
        <f>'Bioenergy Calculator'!B37</f>
        <v>Other Biomass, Landfilled</v>
      </c>
      <c r="C34" s="294">
        <f>C143</f>
        <v>38135.244454</v>
      </c>
      <c r="D34" s="294">
        <f>E34*'Conversion Tables'!C31</f>
        <v>398736.01437191141</v>
      </c>
      <c r="E34" s="294">
        <f>C34*'Prac. Rec. Assumptions'!B28</f>
        <v>27457.376006880004</v>
      </c>
      <c r="F34" s="294">
        <f>($C34*(1+'Biomass Data Assumptions'!G$105)*(1+'Biomass Data Assumptions'!C$82))*'Prac. Rec. Assumptions'!$B28</f>
        <v>27968.460040038826</v>
      </c>
      <c r="G34" s="294">
        <f>($C34*(1+'Biomass Data Assumptions'!H$105)*(1+'Biomass Data Assumptions'!D$82))*'Prac. Rec. Assumptions'!$B28</f>
        <v>28630.889709180094</v>
      </c>
      <c r="H34" s="294">
        <f>($C34*(1+'Biomass Data Assumptions'!I$105)*(1+'Biomass Data Assumptions'!E$82))*'Prac. Rec. Assumptions'!$B28</f>
        <v>29253.012724944027</v>
      </c>
      <c r="I34" s="16" t="str">
        <f>IF('Conversion Tables'!F31="NA","NA",(E34*'Conversion Tables'!$C31)/'Conversion Tables'!F31)</f>
        <v>NA</v>
      </c>
      <c r="J34" s="16" t="str">
        <f>IF('Conversion Tables'!G31="NA","NA",(F34*'Conversion Tables'!$C31)/'Conversion Tables'!G31)</f>
        <v>NA</v>
      </c>
      <c r="K34" s="16" t="str">
        <f>IF('Conversion Tables'!H31="NA","NA",(G34*'Conversion Tables'!$C31)/'Conversion Tables'!H31)</f>
        <v>NA</v>
      </c>
      <c r="L34" s="16" t="str">
        <f>IF('Conversion Tables'!I31="NA","NA",(H34*'Conversion Tables'!$C31)/'Conversion Tables'!I31)</f>
        <v>NA</v>
      </c>
      <c r="M34" s="16" t="str">
        <f>IF('Conversion Tables'!K31="NA","NA",E34*'Conversion Tables'!K31)</f>
        <v>NA</v>
      </c>
      <c r="N34" s="16" t="str">
        <f>IF('Conversion Tables'!L31="NA","NA",F34*'Conversion Tables'!L31)</f>
        <v>NA</v>
      </c>
      <c r="O34" s="16" t="str">
        <f>IF('Conversion Tables'!M31="NA","NA",G34*'Conversion Tables'!M31)</f>
        <v>NA</v>
      </c>
      <c r="P34" s="16" t="str">
        <f>IF('Conversion Tables'!N31="NA","NA",H34*'Conversion Tables'!N31)</f>
        <v>NA</v>
      </c>
      <c r="Q34" s="7"/>
    </row>
    <row r="35" spans="1:17" x14ac:dyDescent="0.25">
      <c r="A35" s="1065"/>
      <c r="B35" s="11" t="str">
        <f>'Bioenergy Calculator'!B38</f>
        <v>C&amp;D (Non-recycled wood)</v>
      </c>
      <c r="C35" s="294">
        <f>C145</f>
        <v>19766.307200000003</v>
      </c>
      <c r="D35" s="294">
        <f>E35*'Conversion Tables'!C32</f>
        <v>223912.72796160006</v>
      </c>
      <c r="E35" s="294">
        <f>C35*'Prac. Rec. Assumptions'!B29</f>
        <v>12650.436608000004</v>
      </c>
      <c r="F35" s="294">
        <f>($C35*(1+'Biomass Data Assumptions'!G$105)*(1+'Biomass Data Assumptions'!C$83))*'Prac. Rec. Assumptions'!$B29</f>
        <v>13542.118716390372</v>
      </c>
      <c r="G35" s="294">
        <f>($C35*(1+'Biomass Data Assumptions'!H$105)*(1+'Biomass Data Assumptions'!D$83))*'Prac. Rec. Assumptions'!$B29</f>
        <v>14568.823595494563</v>
      </c>
      <c r="H35" s="294">
        <f>($C35*(1+'Biomass Data Assumptions'!I$105)*(1+'Biomass Data Assumptions'!E$83))*'Prac. Rec. Assumptions'!$B29</f>
        <v>15643.424100156362</v>
      </c>
      <c r="I35" s="16" t="str">
        <f>IF('Conversion Tables'!F32="NA","NA",(E35*'Conversion Tables'!$C32)/'Conversion Tables'!F32)</f>
        <v>NA</v>
      </c>
      <c r="J35" s="16" t="str">
        <f>IF('Conversion Tables'!G32="NA","NA",(F35*'Conversion Tables'!$C32)/'Conversion Tables'!G32)</f>
        <v>NA</v>
      </c>
      <c r="K35" s="16" t="str">
        <f>IF('Conversion Tables'!H32="NA","NA",(G35*'Conversion Tables'!$C32)/'Conversion Tables'!H32)</f>
        <v>NA</v>
      </c>
      <c r="L35" s="16" t="str">
        <f>IF('Conversion Tables'!I32="NA","NA",(H35*'Conversion Tables'!$C32)/'Conversion Tables'!I32)</f>
        <v>NA</v>
      </c>
      <c r="M35" s="16" t="str">
        <f>IF('Conversion Tables'!K32="NA","NA",E35*'Conversion Tables'!K32)</f>
        <v>NA</v>
      </c>
      <c r="N35" s="16" t="str">
        <f>IF('Conversion Tables'!L32="NA","NA",F35*'Conversion Tables'!L32)</f>
        <v>NA</v>
      </c>
      <c r="O35" s="16" t="str">
        <f>IF('Conversion Tables'!M32="NA","NA",G35*'Conversion Tables'!M32)</f>
        <v>NA</v>
      </c>
      <c r="P35" s="16" t="str">
        <f>IF('Conversion Tables'!N32="NA","NA",H35*'Conversion Tables'!N32)</f>
        <v>NA</v>
      </c>
      <c r="Q35" s="7"/>
    </row>
    <row r="36" spans="1:17" x14ac:dyDescent="0.25">
      <c r="A36" s="1065"/>
      <c r="B36" s="4" t="s">
        <v>280</v>
      </c>
      <c r="C36" s="294"/>
      <c r="D36" s="294"/>
      <c r="E36" s="294"/>
      <c r="F36" s="294"/>
      <c r="G36" s="294"/>
      <c r="H36" s="294"/>
      <c r="I36" s="16"/>
      <c r="J36" s="16"/>
      <c r="K36" s="16"/>
      <c r="L36" s="16"/>
      <c r="M36" s="16"/>
      <c r="N36" s="16"/>
      <c r="O36" s="16"/>
      <c r="P36" s="16"/>
      <c r="Q36" s="7"/>
    </row>
    <row r="37" spans="1:17" x14ac:dyDescent="0.25">
      <c r="A37" s="1065"/>
      <c r="B37" s="677" t="s">
        <v>563</v>
      </c>
      <c r="C37" s="299">
        <f>C132</f>
        <v>914.71749999999997</v>
      </c>
      <c r="D37" s="294">
        <f>E37*'Conversion Tables'!C34</f>
        <v>14635.48</v>
      </c>
      <c r="E37" s="294">
        <f>C37*'Prac. Rec. Assumptions'!B31</f>
        <v>914.71749999999997</v>
      </c>
      <c r="F37" s="294">
        <f>($C37*(1+'Biomass Data Assumptions'!G$105)*(1+'Biomass Data Assumptions'!C$84))*'Prac. Rec. Assumptions'!$B31</f>
        <v>1019.5318967807843</v>
      </c>
      <c r="G37" s="294">
        <f>($C37*(1+'Biomass Data Assumptions'!H$105)*(1+'Biomass Data Assumptions'!D$84))*'Prac. Rec. Assumptions'!$B31</f>
        <v>1142.0139611459979</v>
      </c>
      <c r="H37" s="294">
        <f>($C37*(1+'Biomass Data Assumptions'!I$105)*(1+'Biomass Data Assumptions'!E$84))*'Prac. Rec. Assumptions'!$B31</f>
        <v>1276.7664894000541</v>
      </c>
      <c r="I37" s="16" t="str">
        <f>IF('Conversion Tables'!F34="NA","NA",(E37*'Conversion Tables'!$C34)/'Conversion Tables'!F34)</f>
        <v>NA</v>
      </c>
      <c r="J37" s="16" t="str">
        <f>IF('Conversion Tables'!G34="NA","NA",(F37*'Conversion Tables'!$C34)/'Conversion Tables'!G34)</f>
        <v>NA</v>
      </c>
      <c r="K37" s="16" t="str">
        <f>IF('Conversion Tables'!H34="NA","NA",(G37*'Conversion Tables'!$C34)/'Conversion Tables'!H34)</f>
        <v>NA</v>
      </c>
      <c r="L37" s="16" t="str">
        <f>IF('Conversion Tables'!I34="NA","NA",(H37*'Conversion Tables'!$C34)/'Conversion Tables'!I34)</f>
        <v>NA</v>
      </c>
      <c r="M37" s="16" t="str">
        <f>IF('Conversion Tables'!K34="NA","NA",E37*'Conversion Tables'!K34)</f>
        <v>NA</v>
      </c>
      <c r="N37" s="16" t="str">
        <f>IF('Conversion Tables'!L34="NA","NA",F37*'Conversion Tables'!L34)</f>
        <v>NA</v>
      </c>
      <c r="O37" s="16" t="str">
        <f>IF('Conversion Tables'!M34="NA","NA",G37*'Conversion Tables'!M34)</f>
        <v>NA</v>
      </c>
      <c r="P37" s="16" t="str">
        <f>IF('Conversion Tables'!N34="NA","NA",H37*'Conversion Tables'!N34)</f>
        <v>NA</v>
      </c>
      <c r="Q37" s="18"/>
    </row>
    <row r="38" spans="1:17" x14ac:dyDescent="0.25">
      <c r="A38" s="1065"/>
      <c r="B38" s="11" t="s">
        <v>565</v>
      </c>
      <c r="C38" s="294">
        <f>C134</f>
        <v>3165.7360000000003</v>
      </c>
      <c r="D38" s="294">
        <f>E38*'Conversion Tables'!C35</f>
        <v>28016.763600000002</v>
      </c>
      <c r="E38" s="294">
        <f>C38*'Prac. Rec. Assumptions'!B32</f>
        <v>1582.8680000000002</v>
      </c>
      <c r="F38" s="294">
        <f>($C38*(1+'Biomass Data Assumptions'!G$105)*(1+'Biomass Data Assumptions'!C$84))*'Prac. Rec. Assumptions'!$B32</f>
        <v>1764.2435116783126</v>
      </c>
      <c r="G38" s="294">
        <f>($C38*(1+'Biomass Data Assumptions'!H$105)*(1+'Biomass Data Assumptions'!D$84))*'Prac. Rec. Assumptions'!$B32</f>
        <v>1976.1919441261848</v>
      </c>
      <c r="H38" s="294">
        <f>($C38*(1+'Biomass Data Assumptions'!I$105)*(1+'Biomass Data Assumptions'!E$84))*'Prac. Rec. Assumptions'!$B32</f>
        <v>2209.3737351080358</v>
      </c>
      <c r="I38" s="16" t="str">
        <f>IF('Conversion Tables'!F35="NA","NA",(E38*'Conversion Tables'!$C35)/'Conversion Tables'!F35)</f>
        <v>NA</v>
      </c>
      <c r="J38" s="16" t="str">
        <f>IF('Conversion Tables'!G35="NA","NA",(F38*'Conversion Tables'!$C35)/'Conversion Tables'!G35)</f>
        <v>NA</v>
      </c>
      <c r="K38" s="16" t="str">
        <f>IF('Conversion Tables'!H35="NA","NA",(G38*'Conversion Tables'!$C35)/'Conversion Tables'!H35)</f>
        <v>NA</v>
      </c>
      <c r="L38" s="16" t="str">
        <f>IF('Conversion Tables'!I35="NA","NA",(H38*'Conversion Tables'!$C35)/'Conversion Tables'!I35)</f>
        <v>NA</v>
      </c>
      <c r="M38" s="16" t="str">
        <f>IF('Conversion Tables'!K35="NA","NA",E38*'Conversion Tables'!K35)</f>
        <v>NA</v>
      </c>
      <c r="N38" s="16" t="str">
        <f>IF('Conversion Tables'!L35="NA","NA",F38*'Conversion Tables'!L35)</f>
        <v>NA</v>
      </c>
      <c r="O38" s="16" t="str">
        <f>IF('Conversion Tables'!M35="NA","NA",G38*'Conversion Tables'!M35)</f>
        <v>NA</v>
      </c>
      <c r="P38" s="16" t="str">
        <f>IF('Conversion Tables'!N35="NA","NA",H38*'Conversion Tables'!N35)</f>
        <v>NA</v>
      </c>
      <c r="Q38" s="13"/>
    </row>
    <row r="39" spans="1:17" x14ac:dyDescent="0.25">
      <c r="A39" s="1065"/>
      <c r="B39" s="17" t="s">
        <v>555</v>
      </c>
      <c r="C39" s="294">
        <f>C124</f>
        <v>55764.468000000001</v>
      </c>
      <c r="D39" s="299">
        <f>E39*'Conversion Tables'!C36</f>
        <v>0</v>
      </c>
      <c r="E39" s="299">
        <f>C39*'Prac. Rec. Assumptions'!B33</f>
        <v>0</v>
      </c>
      <c r="F39" s="294">
        <f>($C39*(1+'Biomass Data Assumptions'!G$105)*(1+'Biomass Data Assumptions'!C$84))*'Prac. Rec. Assumptions'!$B33</f>
        <v>0</v>
      </c>
      <c r="G39" s="294">
        <f>($C39*(1+'Biomass Data Assumptions'!H$105)*(1+'Biomass Data Assumptions'!D$84))*'Prac. Rec. Assumptions'!$B33</f>
        <v>0</v>
      </c>
      <c r="H39" s="294">
        <f>($C39*(1+'Biomass Data Assumptions'!I$105)*(1+'Biomass Data Assumptions'!E$84))*'Prac. Rec. Assumptions'!$B33</f>
        <v>0</v>
      </c>
      <c r="I39" s="16" t="str">
        <f>IF('Conversion Tables'!F36="NA","NA",(E39*'Conversion Tables'!$C36)/'Conversion Tables'!F36)</f>
        <v>NA</v>
      </c>
      <c r="J39" s="16" t="str">
        <f>IF('Conversion Tables'!G36="NA","NA",(F39*'Conversion Tables'!$C36)/'Conversion Tables'!G36)</f>
        <v>NA</v>
      </c>
      <c r="K39" s="16" t="str">
        <f>IF('Conversion Tables'!H36="NA","NA",(G39*'Conversion Tables'!$C36)/'Conversion Tables'!H36)</f>
        <v>NA</v>
      </c>
      <c r="L39" s="16" t="str">
        <f>IF('Conversion Tables'!I36="NA","NA",(H39*'Conversion Tables'!$C36)/'Conversion Tables'!I36)</f>
        <v>NA</v>
      </c>
      <c r="M39" s="16" t="str">
        <f>IF('Conversion Tables'!K36="NA","NA",E39*'Conversion Tables'!K36)</f>
        <v>NA</v>
      </c>
      <c r="N39" s="16" t="str">
        <f>IF('Conversion Tables'!L36="NA","NA",F39*'Conversion Tables'!L36)</f>
        <v>NA</v>
      </c>
      <c r="O39" s="16" t="str">
        <f>IF('Conversion Tables'!M36="NA","NA",G39*'Conversion Tables'!M36)</f>
        <v>NA</v>
      </c>
      <c r="P39" s="16" t="str">
        <f>IF('Conversion Tables'!N36="NA","NA",H39*'Conversion Tables'!N36)</f>
        <v>NA</v>
      </c>
      <c r="Q39" s="27"/>
    </row>
    <row r="40" spans="1:17" x14ac:dyDescent="0.25">
      <c r="A40" s="1065"/>
      <c r="B40" s="17" t="s">
        <v>556</v>
      </c>
      <c r="C40" s="294">
        <f>C125</f>
        <v>13186.800000000001</v>
      </c>
      <c r="D40" s="299">
        <f>E40*'Conversion Tables'!C37</f>
        <v>0</v>
      </c>
      <c r="E40" s="299">
        <f>C40*'Prac. Rec. Assumptions'!B34</f>
        <v>0</v>
      </c>
      <c r="F40" s="294">
        <f>($C40*(1+'Biomass Data Assumptions'!G$105)*(1+'Biomass Data Assumptions'!C$84))*'Prac. Rec. Assumptions'!$B34</f>
        <v>0</v>
      </c>
      <c r="G40" s="294">
        <f>($C40*(1+'Biomass Data Assumptions'!H$105)*(1+'Biomass Data Assumptions'!D$84))*'Prac. Rec. Assumptions'!$B34</f>
        <v>0</v>
      </c>
      <c r="H40" s="294">
        <f>($C40*(1+'Biomass Data Assumptions'!I$105)*(1+'Biomass Data Assumptions'!E$84))*'Prac. Rec. Assumptions'!$B34</f>
        <v>0</v>
      </c>
      <c r="I40" s="16" t="str">
        <f>IF('Conversion Tables'!F37="NA","NA",(E40*'Conversion Tables'!$C37)/'Conversion Tables'!F37)</f>
        <v>NA</v>
      </c>
      <c r="J40" s="16" t="str">
        <f>IF('Conversion Tables'!G37="NA","NA",(F40*'Conversion Tables'!$C37)/'Conversion Tables'!G37)</f>
        <v>NA</v>
      </c>
      <c r="K40" s="16" t="str">
        <f>IF('Conversion Tables'!H37="NA","NA",(G40*'Conversion Tables'!$C37)/'Conversion Tables'!H37)</f>
        <v>NA</v>
      </c>
      <c r="L40" s="16" t="str">
        <f>IF('Conversion Tables'!I37="NA","NA",(H40*'Conversion Tables'!$C37)/'Conversion Tables'!I37)</f>
        <v>NA</v>
      </c>
      <c r="M40" s="16" t="str">
        <f>IF('Conversion Tables'!K37="NA","NA",E40*'Conversion Tables'!K37)</f>
        <v>NA</v>
      </c>
      <c r="N40" s="16" t="str">
        <f>IF('Conversion Tables'!L37="NA","NA",F40*'Conversion Tables'!L37)</f>
        <v>NA</v>
      </c>
      <c r="O40" s="16" t="str">
        <f>IF('Conversion Tables'!M37="NA","NA",G40*'Conversion Tables'!M37)</f>
        <v>NA</v>
      </c>
      <c r="P40" s="16" t="str">
        <f>IF('Conversion Tables'!N37="NA","NA",H40*'Conversion Tables'!N37)</f>
        <v>NA</v>
      </c>
      <c r="Q40" s="27"/>
    </row>
    <row r="41" spans="1:17" x14ac:dyDescent="0.25">
      <c r="A41" s="1065"/>
      <c r="B41" s="17" t="s">
        <v>557</v>
      </c>
      <c r="C41" s="294">
        <f>C126</f>
        <v>16772.472000000002</v>
      </c>
      <c r="D41" s="299">
        <f>E41*'Conversion Tables'!C38</f>
        <v>0</v>
      </c>
      <c r="E41" s="299">
        <f>C41*'Prac. Rec. Assumptions'!B35</f>
        <v>0</v>
      </c>
      <c r="F41" s="294">
        <f>($C41*(1+'Biomass Data Assumptions'!G$105)*(1+'Biomass Data Assumptions'!C$84))*'Prac. Rec. Assumptions'!$B35</f>
        <v>0</v>
      </c>
      <c r="G41" s="294">
        <f>($C41*(1+'Biomass Data Assumptions'!H$105)*(1+'Biomass Data Assumptions'!D$84))*'Prac. Rec. Assumptions'!$B35</f>
        <v>0</v>
      </c>
      <c r="H41" s="294">
        <f>($C41*(1+'Biomass Data Assumptions'!I$105)*(1+'Biomass Data Assumptions'!E$84))*'Prac. Rec. Assumptions'!$B35</f>
        <v>0</v>
      </c>
      <c r="I41" s="16" t="str">
        <f>IF('Conversion Tables'!F38="NA","NA",(E41*'Conversion Tables'!$C38)/'Conversion Tables'!F38)</f>
        <v>NA</v>
      </c>
      <c r="J41" s="16" t="str">
        <f>IF('Conversion Tables'!G38="NA","NA",(F41*'Conversion Tables'!$C38)/'Conversion Tables'!G38)</f>
        <v>NA</v>
      </c>
      <c r="K41" s="16" t="str">
        <f>IF('Conversion Tables'!H38="NA","NA",(G41*'Conversion Tables'!$C38)/'Conversion Tables'!H38)</f>
        <v>NA</v>
      </c>
      <c r="L41" s="16" t="str">
        <f>IF('Conversion Tables'!I38="NA","NA",(H41*'Conversion Tables'!$C38)/'Conversion Tables'!I38)</f>
        <v>NA</v>
      </c>
      <c r="M41" s="16" t="str">
        <f>IF('Conversion Tables'!K38="NA","NA",E41*'Conversion Tables'!K38)</f>
        <v>NA</v>
      </c>
      <c r="N41" s="16" t="str">
        <f>IF('Conversion Tables'!L38="NA","NA",F41*'Conversion Tables'!L38)</f>
        <v>NA</v>
      </c>
      <c r="O41" s="16" t="str">
        <f>IF('Conversion Tables'!M38="NA","NA",G41*'Conversion Tables'!M38)</f>
        <v>NA</v>
      </c>
      <c r="P41" s="16" t="str">
        <f>IF('Conversion Tables'!N38="NA","NA",H41*'Conversion Tables'!N38)</f>
        <v>NA</v>
      </c>
      <c r="Q41" s="27"/>
    </row>
    <row r="42" spans="1:17" x14ac:dyDescent="0.25">
      <c r="A42" s="1065"/>
      <c r="B42" s="17" t="s">
        <v>558</v>
      </c>
      <c r="C42" s="294">
        <f>C127</f>
        <v>11673.702000000001</v>
      </c>
      <c r="D42" s="299">
        <f>E42*'Conversion Tables'!C39</f>
        <v>169525.500444</v>
      </c>
      <c r="E42" s="299">
        <f>C42*'Prac. Rec. Assumptions'!B36</f>
        <v>11673.702000000001</v>
      </c>
      <c r="F42" s="294">
        <f>($C42*(1+'Biomass Data Assumptions'!G$105)*(1+'Biomass Data Assumptions'!C$84))*'Prac. Rec. Assumptions'!$B36</f>
        <v>13011.352185252428</v>
      </c>
      <c r="G42" s="294">
        <f>($C42*(1+'Biomass Data Assumptions'!H$105)*(1+'Biomass Data Assumptions'!D$84))*'Prac. Rec. Assumptions'!$B36</f>
        <v>14574.478636582287</v>
      </c>
      <c r="H42" s="294">
        <f>($C42*(1+'Biomass Data Assumptions'!I$105)*(1+'Biomass Data Assumptions'!E$84))*'Prac. Rec. Assumptions'!$B36</f>
        <v>16294.201784531715</v>
      </c>
      <c r="I42" s="16" t="str">
        <f>IF('Conversion Tables'!F39="NA","NA",(E42*'Conversion Tables'!$C39)/'Conversion Tables'!F39)</f>
        <v>NA</v>
      </c>
      <c r="J42" s="16" t="str">
        <f>IF('Conversion Tables'!G39="NA","NA",(F42*'Conversion Tables'!$C39)/'Conversion Tables'!G39)</f>
        <v>NA</v>
      </c>
      <c r="K42" s="16" t="str">
        <f>IF('Conversion Tables'!H39="NA","NA",(G42*'Conversion Tables'!$C39)/'Conversion Tables'!H39)</f>
        <v>NA</v>
      </c>
      <c r="L42" s="16" t="str">
        <f>IF('Conversion Tables'!I39="NA","NA",(H42*'Conversion Tables'!$C39)/'Conversion Tables'!I39)</f>
        <v>NA</v>
      </c>
      <c r="M42" s="16" t="str">
        <f>IF('Conversion Tables'!K39="NA","NA",E42*'Conversion Tables'!K39)</f>
        <v>NA</v>
      </c>
      <c r="N42" s="16" t="str">
        <f>IF('Conversion Tables'!L39="NA","NA",F42*'Conversion Tables'!L39)</f>
        <v>NA</v>
      </c>
      <c r="O42" s="16" t="str">
        <f>IF('Conversion Tables'!M39="NA","NA",G42*'Conversion Tables'!M39)</f>
        <v>NA</v>
      </c>
      <c r="P42" s="16" t="str">
        <f>IF('Conversion Tables'!N39="NA","NA",H42*'Conversion Tables'!N39)</f>
        <v>NA</v>
      </c>
      <c r="Q42" s="27"/>
    </row>
    <row r="43" spans="1:17" x14ac:dyDescent="0.25">
      <c r="A43" s="1065"/>
      <c r="B43" s="9" t="s">
        <v>524</v>
      </c>
      <c r="C43" s="295">
        <f t="shared" ref="C43:P43" si="4">SUM(C31:C42)</f>
        <v>222398.1864296</v>
      </c>
      <c r="D43" s="295">
        <f t="shared" si="4"/>
        <v>1539833.4104955243</v>
      </c>
      <c r="E43" s="295">
        <f t="shared" si="4"/>
        <v>102005.79045584002</v>
      </c>
      <c r="F43" s="295">
        <f t="shared" si="4"/>
        <v>105920.76815757545</v>
      </c>
      <c r="G43" s="295">
        <f t="shared" si="4"/>
        <v>110658.90164477349</v>
      </c>
      <c r="H43" s="295">
        <f t="shared" si="4"/>
        <v>115524.66318819254</v>
      </c>
      <c r="I43" s="19">
        <f t="shared" si="4"/>
        <v>0</v>
      </c>
      <c r="J43" s="19">
        <f t="shared" si="4"/>
        <v>0</v>
      </c>
      <c r="K43" s="19">
        <f t="shared" si="4"/>
        <v>0</v>
      </c>
      <c r="L43" s="19">
        <f t="shared" si="4"/>
        <v>0</v>
      </c>
      <c r="M43" s="19">
        <f t="shared" si="4"/>
        <v>0</v>
      </c>
      <c r="N43" s="19">
        <f t="shared" si="4"/>
        <v>0</v>
      </c>
      <c r="O43" s="19">
        <f t="shared" si="4"/>
        <v>0</v>
      </c>
      <c r="P43" s="19">
        <f t="shared" si="4"/>
        <v>0</v>
      </c>
      <c r="Q43" s="19"/>
    </row>
    <row r="44" spans="1:17" x14ac:dyDescent="0.25">
      <c r="A44" s="8"/>
      <c r="C44" s="296"/>
      <c r="D44" s="296"/>
      <c r="E44" s="296"/>
      <c r="F44" s="296"/>
      <c r="G44" s="296"/>
      <c r="H44" s="296"/>
      <c r="I44" s="28"/>
      <c r="J44" s="28"/>
      <c r="K44" s="28"/>
      <c r="L44" s="28"/>
      <c r="M44" s="28"/>
      <c r="N44" s="28"/>
      <c r="O44" s="28"/>
      <c r="P44" s="28"/>
    </row>
    <row r="45" spans="1:17" x14ac:dyDescent="0.25">
      <c r="A45" s="1064" t="s">
        <v>515</v>
      </c>
      <c r="B45" s="2" t="s">
        <v>510</v>
      </c>
      <c r="C45" s="294"/>
      <c r="D45" s="294"/>
      <c r="E45" s="294"/>
      <c r="F45" s="294"/>
      <c r="G45" s="294"/>
      <c r="H45" s="294"/>
      <c r="I45" s="16"/>
      <c r="J45" s="16"/>
      <c r="K45" s="16"/>
      <c r="L45" s="16"/>
      <c r="M45" s="16"/>
      <c r="N45" s="16"/>
      <c r="O45" s="16"/>
      <c r="P45" s="16"/>
      <c r="Q45" s="7"/>
    </row>
    <row r="46" spans="1:17" x14ac:dyDescent="0.25">
      <c r="A46" s="1064"/>
      <c r="B46" s="12" t="s">
        <v>525</v>
      </c>
      <c r="C46" s="294">
        <f>D77</f>
        <v>233.28</v>
      </c>
      <c r="D46" s="294">
        <f>E46*'Conversion Tables'!C41</f>
        <v>0</v>
      </c>
      <c r="E46" s="294">
        <f>C46*'Prac. Rec. Assumptions'!B38</f>
        <v>233.28</v>
      </c>
      <c r="F46" s="294">
        <f>$E46</f>
        <v>233.28</v>
      </c>
      <c r="G46" s="294">
        <f>$E46</f>
        <v>233.28</v>
      </c>
      <c r="H46" s="294">
        <f>$E46</f>
        <v>233.28</v>
      </c>
      <c r="I46" s="16" t="str">
        <f>IF('Conversion Tables'!F41="NA","NA",(E46*'Conversion Tables'!$C41)/'Conversion Tables'!F41)</f>
        <v>NA</v>
      </c>
      <c r="J46" s="16" t="str">
        <f>IF('Conversion Tables'!G41="NA","NA",(F46*'Conversion Tables'!$C41)/'Conversion Tables'!G41)</f>
        <v>NA</v>
      </c>
      <c r="K46" s="16" t="str">
        <f>IF('Conversion Tables'!H41="NA","NA",(G46*'Conversion Tables'!$C41)/'Conversion Tables'!H41)</f>
        <v>NA</v>
      </c>
      <c r="L46" s="16" t="str">
        <f>IF('Conversion Tables'!I41="NA","NA",(H46*'Conversion Tables'!$C41)/'Conversion Tables'!I41)</f>
        <v>NA</v>
      </c>
      <c r="M46" s="16" t="str">
        <f>IF('Conversion Tables'!K41="NA","NA",E46*'Conversion Tables'!K41)</f>
        <v>NA</v>
      </c>
      <c r="N46" s="16" t="str">
        <f>IF('Conversion Tables'!L41="NA","NA",F46*'Conversion Tables'!L41)</f>
        <v>NA</v>
      </c>
      <c r="O46" s="16" t="str">
        <f>IF('Conversion Tables'!M41="NA","NA",G46*'Conversion Tables'!M41)</f>
        <v>NA</v>
      </c>
      <c r="P46" s="16" t="str">
        <f>IF('Conversion Tables'!N41="NA","NA",H46*'Conversion Tables'!N41)</f>
        <v>NA</v>
      </c>
      <c r="Q46" s="15"/>
    </row>
    <row r="47" spans="1:17" x14ac:dyDescent="0.25">
      <c r="A47" s="1065"/>
      <c r="B47" s="2" t="s">
        <v>508</v>
      </c>
      <c r="C47" s="294">
        <f t="shared" ref="C47:C48" si="5">C148</f>
        <v>1841.1122400000004</v>
      </c>
      <c r="D47" s="294"/>
      <c r="E47" s="294">
        <f>C47*'Prac. Rec. Assumptions'!B39</f>
        <v>920.55612000000019</v>
      </c>
      <c r="F47" s="294">
        <f>($C47*(1+'Biomass Data Assumptions'!G$105))*'Prac. Rec. Assumptions'!$B39</f>
        <v>938.3282036475664</v>
      </c>
      <c r="G47" s="294">
        <f>($C47*(1+'Biomass Data Assumptions'!H$105))*'Prac. Rec. Assumptions'!$B39</f>
        <v>961.20503472581652</v>
      </c>
      <c r="H47" s="294">
        <f>($C47*(1+'Biomass Data Assumptions'!I$105))*'Prac. Rec. Assumptions'!$B39</f>
        <v>982.75841276648214</v>
      </c>
      <c r="I47" s="16" t="str">
        <f>IF('Conversion Tables'!F42="NA","NA",(E47*'Conversion Tables'!$C42)/'Conversion Tables'!F42)</f>
        <v>NA</v>
      </c>
      <c r="J47" s="16" t="str">
        <f>IF('Conversion Tables'!G42="NA","NA",(F47*'Conversion Tables'!$C42)/'Conversion Tables'!G42)</f>
        <v>NA</v>
      </c>
      <c r="K47" s="16" t="str">
        <f>IF('Conversion Tables'!H42="NA","NA",(G47*'Conversion Tables'!$C42)/'Conversion Tables'!H42)</f>
        <v>NA</v>
      </c>
      <c r="L47" s="16" t="str">
        <f>IF('Conversion Tables'!I42="NA","NA",(H47*'Conversion Tables'!$C42)/'Conversion Tables'!I42)</f>
        <v>NA</v>
      </c>
      <c r="M47" s="16" t="str">
        <f>IF('Conversion Tables'!K42="NA","NA",E47*'Conversion Tables'!K42)</f>
        <v>NA</v>
      </c>
      <c r="N47" s="16" t="str">
        <f>IF('Conversion Tables'!L42="NA","NA",F47*'Conversion Tables'!L42)</f>
        <v>NA</v>
      </c>
      <c r="O47" s="16" t="str">
        <f>IF('Conversion Tables'!M42="NA","NA",G47*'Conversion Tables'!M42)</f>
        <v>NA</v>
      </c>
      <c r="P47" s="16" t="str">
        <f>IF('Conversion Tables'!N42="NA","NA",H47*'Conversion Tables'!N42)</f>
        <v>NA</v>
      </c>
      <c r="Q47" s="7"/>
    </row>
    <row r="48" spans="1:17" x14ac:dyDescent="0.25">
      <c r="A48" s="1065"/>
      <c r="B48" s="1" t="s">
        <v>509</v>
      </c>
      <c r="C48" s="294">
        <f t="shared" si="5"/>
        <v>164.54325299999999</v>
      </c>
      <c r="D48" s="294"/>
      <c r="E48" s="294">
        <f>C48*'Prac. Rec. Assumptions'!B40</f>
        <v>164.54325299999999</v>
      </c>
      <c r="F48" s="294">
        <f>($C48*(1+'Biomass Data Assumptions'!G$105))*'Prac. Rec. Assumptions'!$B40</f>
        <v>167.71989415465185</v>
      </c>
      <c r="G48" s="294">
        <f>($C48*(1+'Biomass Data Assumptions'!H$105))*'Prac. Rec. Assumptions'!$B40</f>
        <v>171.80897478989525</v>
      </c>
      <c r="H48" s="294">
        <f>($C48*(1+'Biomass Data Assumptions'!I$105))*'Prac. Rec. Assumptions'!$B40</f>
        <v>175.66149704128159</v>
      </c>
      <c r="I48" s="16" t="str">
        <f>IF('Conversion Tables'!F43="NA","NA",(E48*'Conversion Tables'!$C43)/'Conversion Tables'!F43)</f>
        <v>NA</v>
      </c>
      <c r="J48" s="16" t="str">
        <f>IF('Conversion Tables'!G43="NA","NA",(F48*'Conversion Tables'!$C43)/'Conversion Tables'!G43)</f>
        <v>NA</v>
      </c>
      <c r="K48" s="16" t="str">
        <f>IF('Conversion Tables'!H43="NA","NA",(G48*'Conversion Tables'!$C43)/'Conversion Tables'!H43)</f>
        <v>NA</v>
      </c>
      <c r="L48" s="16" t="str">
        <f>IF('Conversion Tables'!I43="NA","NA",(H48*'Conversion Tables'!$C43)/'Conversion Tables'!I43)</f>
        <v>NA</v>
      </c>
      <c r="M48" s="16" t="str">
        <f>IF('Conversion Tables'!K43="NA","NA",E48*'Conversion Tables'!K43)</f>
        <v>NA</v>
      </c>
      <c r="N48" s="16" t="str">
        <f>IF('Conversion Tables'!L43="NA","NA",F48*'Conversion Tables'!L43)</f>
        <v>NA</v>
      </c>
      <c r="O48" s="16" t="str">
        <f>IF('Conversion Tables'!M43="NA","NA",G48*'Conversion Tables'!M43)</f>
        <v>NA</v>
      </c>
      <c r="P48" s="16" t="str">
        <f>IF('Conversion Tables'!N43="NA","NA",H48*'Conversion Tables'!N43)</f>
        <v>NA</v>
      </c>
      <c r="Q48" s="7"/>
    </row>
    <row r="49" spans="1:17" x14ac:dyDescent="0.25">
      <c r="A49" s="1065"/>
      <c r="B49" s="9" t="s">
        <v>524</v>
      </c>
      <c r="C49" s="295">
        <f t="shared" ref="C49:P49" si="6">SUM(C45:C48)</f>
        <v>2238.9354930000004</v>
      </c>
      <c r="D49" s="295">
        <f>SUM(D45:D48)</f>
        <v>0</v>
      </c>
      <c r="E49" s="295">
        <f t="shared" si="6"/>
        <v>1318.3793730000002</v>
      </c>
      <c r="F49" s="295">
        <f>SUM(F45:F48)</f>
        <v>1339.3280978022183</v>
      </c>
      <c r="G49" s="295">
        <f>SUM(G45:G48)</f>
        <v>1366.2940095157119</v>
      </c>
      <c r="H49" s="295">
        <f>SUM(H45:H48)</f>
        <v>1391.6999098077638</v>
      </c>
      <c r="I49" s="19">
        <f t="shared" si="6"/>
        <v>0</v>
      </c>
      <c r="J49" s="19">
        <f t="shared" si="6"/>
        <v>0</v>
      </c>
      <c r="K49" s="19">
        <f t="shared" si="6"/>
        <v>0</v>
      </c>
      <c r="L49" s="19">
        <f t="shared" si="6"/>
        <v>0</v>
      </c>
      <c r="M49" s="19">
        <f t="shared" si="6"/>
        <v>0</v>
      </c>
      <c r="N49" s="19">
        <f t="shared" si="6"/>
        <v>0</v>
      </c>
      <c r="O49" s="19">
        <f t="shared" si="6"/>
        <v>0</v>
      </c>
      <c r="P49" s="19">
        <f t="shared" si="6"/>
        <v>0</v>
      </c>
      <c r="Q49" s="19"/>
    </row>
    <row r="50" spans="1:17" x14ac:dyDescent="0.25">
      <c r="A50" s="8"/>
      <c r="C50" s="296"/>
      <c r="D50" s="296"/>
      <c r="E50" s="296"/>
      <c r="F50" s="296"/>
      <c r="G50" s="296"/>
      <c r="H50" s="296"/>
      <c r="I50" s="28"/>
      <c r="J50" s="28"/>
      <c r="K50" s="28"/>
      <c r="L50" s="28"/>
      <c r="M50" s="28"/>
      <c r="N50" s="28"/>
      <c r="O50" s="28"/>
      <c r="P50" s="28"/>
    </row>
    <row r="51" spans="1:17" x14ac:dyDescent="0.25">
      <c r="A51" s="1200" t="s">
        <v>517</v>
      </c>
      <c r="B51" s="2" t="s">
        <v>505</v>
      </c>
      <c r="C51" s="294"/>
      <c r="D51" s="294"/>
      <c r="E51" s="294"/>
      <c r="F51" s="294"/>
      <c r="G51" s="294"/>
      <c r="H51" s="294"/>
      <c r="I51" s="16"/>
      <c r="J51" s="16"/>
      <c r="K51" s="16"/>
      <c r="L51" s="16"/>
      <c r="M51" s="16"/>
      <c r="N51" s="16"/>
      <c r="O51" s="16"/>
      <c r="P51" s="16"/>
      <c r="Q51" s="7"/>
    </row>
    <row r="52" spans="1:17" x14ac:dyDescent="0.25">
      <c r="A52" s="1201"/>
      <c r="B52" s="12" t="s">
        <v>535</v>
      </c>
      <c r="C52" s="294">
        <f>G97</f>
        <v>576.67664000000002</v>
      </c>
      <c r="D52" s="299">
        <f>E52*'Conversion Tables'!C45</f>
        <v>1702.8107825919999</v>
      </c>
      <c r="E52" s="299">
        <f>C52*'Prac. Rec. Assumptions'!B42</f>
        <v>115.335328</v>
      </c>
      <c r="F52" s="294">
        <f t="shared" ref="F52:H59" si="7">$E52</f>
        <v>115.335328</v>
      </c>
      <c r="G52" s="294">
        <f t="shared" si="7"/>
        <v>115.335328</v>
      </c>
      <c r="H52" s="294">
        <f t="shared" si="7"/>
        <v>115.335328</v>
      </c>
      <c r="I52" s="16" t="str">
        <f>IF('Conversion Tables'!F45="NA","NA",(E52*'Conversion Tables'!$C45)/'Conversion Tables'!F45)</f>
        <v>NA</v>
      </c>
      <c r="J52" s="16" t="str">
        <f>IF('Conversion Tables'!G45="NA","NA",(F52*'Conversion Tables'!$C45)/'Conversion Tables'!G45)</f>
        <v>NA</v>
      </c>
      <c r="K52" s="16" t="str">
        <f>IF('Conversion Tables'!H45="NA","NA",(G52*'Conversion Tables'!$C45)/'Conversion Tables'!H45)</f>
        <v>NA</v>
      </c>
      <c r="L52" s="16" t="str">
        <f>IF('Conversion Tables'!I45="NA","NA",(H52*'Conversion Tables'!$C45)/'Conversion Tables'!I45)</f>
        <v>NA</v>
      </c>
      <c r="M52" s="16" t="str">
        <f>IF('Conversion Tables'!K45="NA","NA",E52*'Conversion Tables'!K45)</f>
        <v>NA</v>
      </c>
      <c r="N52" s="16" t="str">
        <f>IF('Conversion Tables'!L45="NA","NA",F52*'Conversion Tables'!L45)</f>
        <v>NA</v>
      </c>
      <c r="O52" s="16" t="str">
        <f>IF('Conversion Tables'!M45="NA","NA",G52*'Conversion Tables'!M45)</f>
        <v>NA</v>
      </c>
      <c r="P52" s="16" t="str">
        <f>IF('Conversion Tables'!N45="NA","NA",H52*'Conversion Tables'!N45)</f>
        <v>NA</v>
      </c>
      <c r="Q52" s="27"/>
    </row>
    <row r="53" spans="1:17" x14ac:dyDescent="0.25">
      <c r="A53" s="1201"/>
      <c r="B53" s="12" t="s">
        <v>539</v>
      </c>
      <c r="C53" s="294">
        <f>G104</f>
        <v>283.09764999999999</v>
      </c>
      <c r="D53" s="299">
        <f>E53*'Conversion Tables'!C46</f>
        <v>2507.7922227599997</v>
      </c>
      <c r="E53" s="299">
        <f>C53*'Prac. Rec. Assumptions'!B43</f>
        <v>169.85858999999999</v>
      </c>
      <c r="F53" s="294">
        <f t="shared" si="7"/>
        <v>169.85858999999999</v>
      </c>
      <c r="G53" s="294">
        <f t="shared" si="7"/>
        <v>169.85858999999999</v>
      </c>
      <c r="H53" s="294">
        <f t="shared" si="7"/>
        <v>169.85858999999999</v>
      </c>
      <c r="I53" s="16" t="str">
        <f>IF('Conversion Tables'!F46="NA","NA",(E53*'Conversion Tables'!$C46)/'Conversion Tables'!F46)</f>
        <v>NA</v>
      </c>
      <c r="J53" s="16" t="str">
        <f>IF('Conversion Tables'!G46="NA","NA",(F53*'Conversion Tables'!$C46)/'Conversion Tables'!G46)</f>
        <v>NA</v>
      </c>
      <c r="K53" s="16" t="str">
        <f>IF('Conversion Tables'!H46="NA","NA",(G53*'Conversion Tables'!$C46)/'Conversion Tables'!H46)</f>
        <v>NA</v>
      </c>
      <c r="L53" s="16" t="str">
        <f>IF('Conversion Tables'!I46="NA","NA",(H53*'Conversion Tables'!$C46)/'Conversion Tables'!I46)</f>
        <v>NA</v>
      </c>
      <c r="M53" s="16" t="str">
        <f>IF('Conversion Tables'!K46="NA","NA",E53*'Conversion Tables'!K46)</f>
        <v>NA</v>
      </c>
      <c r="N53" s="16" t="str">
        <f>IF('Conversion Tables'!L46="NA","NA",F53*'Conversion Tables'!L46)</f>
        <v>NA</v>
      </c>
      <c r="O53" s="16" t="str">
        <f>IF('Conversion Tables'!M46="NA","NA",G53*'Conversion Tables'!M46)</f>
        <v>NA</v>
      </c>
      <c r="P53" s="16" t="str">
        <f>IF('Conversion Tables'!N46="NA","NA",H53*'Conversion Tables'!N46)</f>
        <v>NA</v>
      </c>
      <c r="Q53" s="27"/>
    </row>
    <row r="54" spans="1:17" x14ac:dyDescent="0.25">
      <c r="A54" s="1201"/>
      <c r="B54" s="12" t="s">
        <v>545</v>
      </c>
      <c r="C54" s="294">
        <f>G106</f>
        <v>4835.4570375000003</v>
      </c>
      <c r="D54" s="299">
        <f>E54*'Conversion Tables'!C47</f>
        <v>42834.412620989999</v>
      </c>
      <c r="E54" s="299">
        <f>C54*'Prac. Rec. Assumptions'!B44</f>
        <v>2901.2742225000002</v>
      </c>
      <c r="F54" s="294">
        <f t="shared" si="7"/>
        <v>2901.2742225000002</v>
      </c>
      <c r="G54" s="294">
        <f t="shared" si="7"/>
        <v>2901.2742225000002</v>
      </c>
      <c r="H54" s="294">
        <f t="shared" si="7"/>
        <v>2901.2742225000002</v>
      </c>
      <c r="I54" s="16" t="str">
        <f>IF('Conversion Tables'!F47="NA","NA",(E54*'Conversion Tables'!$C47)/'Conversion Tables'!F47)</f>
        <v>NA</v>
      </c>
      <c r="J54" s="16" t="str">
        <f>IF('Conversion Tables'!G47="NA","NA",(F54*'Conversion Tables'!$C47)/'Conversion Tables'!G47)</f>
        <v>NA</v>
      </c>
      <c r="K54" s="16" t="str">
        <f>IF('Conversion Tables'!H47="NA","NA",(G54*'Conversion Tables'!$C47)/'Conversion Tables'!H47)</f>
        <v>NA</v>
      </c>
      <c r="L54" s="16" t="str">
        <f>IF('Conversion Tables'!I47="NA","NA",(H54*'Conversion Tables'!$C47)/'Conversion Tables'!I47)</f>
        <v>NA</v>
      </c>
      <c r="M54" s="16" t="str">
        <f>IF('Conversion Tables'!K47="NA","NA",E54*'Conversion Tables'!K47)</f>
        <v>NA</v>
      </c>
      <c r="N54" s="16" t="str">
        <f>IF('Conversion Tables'!L47="NA","NA",F54*'Conversion Tables'!L47)</f>
        <v>NA</v>
      </c>
      <c r="O54" s="16" t="str">
        <f>IF('Conversion Tables'!M47="NA","NA",G54*'Conversion Tables'!M47)</f>
        <v>NA</v>
      </c>
      <c r="P54" s="16" t="str">
        <f>IF('Conversion Tables'!N47="NA","NA",H54*'Conversion Tables'!N47)</f>
        <v>NA</v>
      </c>
      <c r="Q54" s="27"/>
    </row>
    <row r="55" spans="1:17" x14ac:dyDescent="0.25">
      <c r="A55" s="1201"/>
      <c r="B55" s="12" t="s">
        <v>546</v>
      </c>
      <c r="C55" s="294">
        <f>G108</f>
        <v>400.78825000000001</v>
      </c>
      <c r="D55" s="299">
        <f>E55*'Conversion Tables'!C48</f>
        <v>1183.4475445999999</v>
      </c>
      <c r="E55" s="299">
        <f>C55*'Prac. Rec. Assumptions'!B45</f>
        <v>80.157650000000004</v>
      </c>
      <c r="F55" s="294">
        <f t="shared" si="7"/>
        <v>80.157650000000004</v>
      </c>
      <c r="G55" s="294">
        <f t="shared" si="7"/>
        <v>80.157650000000004</v>
      </c>
      <c r="H55" s="294">
        <f t="shared" si="7"/>
        <v>80.157650000000004</v>
      </c>
      <c r="I55" s="16" t="str">
        <f>IF('Conversion Tables'!F48="NA","NA",(E55*'Conversion Tables'!$C48)/'Conversion Tables'!F48)</f>
        <v>NA</v>
      </c>
      <c r="J55" s="16" t="str">
        <f>IF('Conversion Tables'!G48="NA","NA",(F55*'Conversion Tables'!$C48)/'Conversion Tables'!G48)</f>
        <v>NA</v>
      </c>
      <c r="K55" s="16" t="str">
        <f>IF('Conversion Tables'!H48="NA","NA",(G55*'Conversion Tables'!$C48)/'Conversion Tables'!H48)</f>
        <v>NA</v>
      </c>
      <c r="L55" s="16" t="str">
        <f>IF('Conversion Tables'!I48="NA","NA",(H55*'Conversion Tables'!$C48)/'Conversion Tables'!I48)</f>
        <v>NA</v>
      </c>
      <c r="M55" s="16" t="str">
        <f>IF('Conversion Tables'!K48="NA","NA",E55*'Conversion Tables'!K48)</f>
        <v>NA</v>
      </c>
      <c r="N55" s="16" t="str">
        <f>IF('Conversion Tables'!L48="NA","NA",F55*'Conversion Tables'!L48)</f>
        <v>NA</v>
      </c>
      <c r="O55" s="16" t="str">
        <f>IF('Conversion Tables'!M48="NA","NA",G55*'Conversion Tables'!M48)</f>
        <v>NA</v>
      </c>
      <c r="P55" s="16" t="str">
        <f>IF('Conversion Tables'!N48="NA","NA",H55*'Conversion Tables'!N48)</f>
        <v>NA</v>
      </c>
      <c r="Q55" s="27"/>
    </row>
    <row r="56" spans="1:17" x14ac:dyDescent="0.25">
      <c r="A56" s="1201"/>
      <c r="B56" s="12" t="s">
        <v>547</v>
      </c>
      <c r="C56" s="294">
        <f>G110</f>
        <v>176.11250000000001</v>
      </c>
      <c r="D56" s="299">
        <f>E56*'Conversion Tables'!C49</f>
        <v>520.02499</v>
      </c>
      <c r="E56" s="299">
        <f>C56*'Prac. Rec. Assumptions'!B46</f>
        <v>35.222500000000004</v>
      </c>
      <c r="F56" s="294">
        <f t="shared" si="7"/>
        <v>35.222500000000004</v>
      </c>
      <c r="G56" s="294">
        <f t="shared" si="7"/>
        <v>35.222500000000004</v>
      </c>
      <c r="H56" s="294">
        <f t="shared" si="7"/>
        <v>35.222500000000004</v>
      </c>
      <c r="I56" s="16" t="str">
        <f>IF('Conversion Tables'!F49="NA","NA",(E56*'Conversion Tables'!$C49)/'Conversion Tables'!F49)</f>
        <v>NA</v>
      </c>
      <c r="J56" s="16" t="str">
        <f>IF('Conversion Tables'!G49="NA","NA",(F56*'Conversion Tables'!$C49)/'Conversion Tables'!G49)</f>
        <v>NA</v>
      </c>
      <c r="K56" s="16" t="str">
        <f>IF('Conversion Tables'!H49="NA","NA",(G56*'Conversion Tables'!$C49)/'Conversion Tables'!H49)</f>
        <v>NA</v>
      </c>
      <c r="L56" s="16" t="str">
        <f>IF('Conversion Tables'!I49="NA","NA",(H56*'Conversion Tables'!$C49)/'Conversion Tables'!I49)</f>
        <v>NA</v>
      </c>
      <c r="M56" s="16" t="str">
        <f>IF('Conversion Tables'!K49="NA","NA",E56*'Conversion Tables'!K49)</f>
        <v>NA</v>
      </c>
      <c r="N56" s="16" t="str">
        <f>IF('Conversion Tables'!L49="NA","NA",F56*'Conversion Tables'!L49)</f>
        <v>NA</v>
      </c>
      <c r="O56" s="16" t="str">
        <f>IF('Conversion Tables'!M49="NA","NA",G56*'Conversion Tables'!M49)</f>
        <v>NA</v>
      </c>
      <c r="P56" s="16" t="str">
        <f>IF('Conversion Tables'!N49="NA","NA",H56*'Conversion Tables'!N49)</f>
        <v>NA</v>
      </c>
      <c r="Q56" s="27"/>
    </row>
    <row r="57" spans="1:17" x14ac:dyDescent="0.25">
      <c r="A57" s="1201"/>
      <c r="B57" s="133" t="s">
        <v>605</v>
      </c>
      <c r="C57" s="294">
        <f>G115</f>
        <v>29.592375000000001</v>
      </c>
      <c r="D57" s="299">
        <f>E57*'Conversion Tables'!C50</f>
        <v>218.45091224999999</v>
      </c>
      <c r="E57" s="299">
        <f>C57*'Prac. Rec. Assumptions'!B47</f>
        <v>14.7961875</v>
      </c>
      <c r="F57" s="294">
        <f t="shared" si="7"/>
        <v>14.7961875</v>
      </c>
      <c r="G57" s="294">
        <f t="shared" si="7"/>
        <v>14.7961875</v>
      </c>
      <c r="H57" s="294">
        <f t="shared" si="7"/>
        <v>14.7961875</v>
      </c>
      <c r="I57" s="16" t="str">
        <f>IF('Conversion Tables'!F50="NA","NA",(E57*'Conversion Tables'!$C50)/'Conversion Tables'!F50)</f>
        <v>NA</v>
      </c>
      <c r="J57" s="16" t="str">
        <f>IF('Conversion Tables'!G50="NA","NA",(F57*'Conversion Tables'!$C50)/'Conversion Tables'!G50)</f>
        <v>NA</v>
      </c>
      <c r="K57" s="16" t="str">
        <f>IF('Conversion Tables'!H50="NA","NA",(G57*'Conversion Tables'!$C50)/'Conversion Tables'!H50)</f>
        <v>NA</v>
      </c>
      <c r="L57" s="16" t="str">
        <f>IF('Conversion Tables'!I50="NA","NA",(H57*'Conversion Tables'!$C50)/'Conversion Tables'!I50)</f>
        <v>NA</v>
      </c>
      <c r="M57" s="16" t="str">
        <f>IF('Conversion Tables'!K50="NA","NA",E57*'Conversion Tables'!K50)</f>
        <v>NA</v>
      </c>
      <c r="N57" s="16" t="str">
        <f>IF('Conversion Tables'!L50="NA","NA",F57*'Conversion Tables'!L50)</f>
        <v>NA</v>
      </c>
      <c r="O57" s="16" t="str">
        <f>IF('Conversion Tables'!M50="NA","NA",G57*'Conversion Tables'!M50)</f>
        <v>NA</v>
      </c>
      <c r="P57" s="16" t="str">
        <f>IF('Conversion Tables'!N50="NA","NA",H57*'Conversion Tables'!N50)</f>
        <v>NA</v>
      </c>
      <c r="Q57" s="27"/>
    </row>
    <row r="58" spans="1:17" x14ac:dyDescent="0.25">
      <c r="A58" s="1201"/>
      <c r="B58" s="12" t="s">
        <v>551</v>
      </c>
      <c r="C58" s="294">
        <f>G117</f>
        <v>37.366875</v>
      </c>
      <c r="D58" s="299">
        <f>E58*'Conversion Tables'!C51</f>
        <v>448.40250000000003</v>
      </c>
      <c r="E58" s="299">
        <f>C58*'Prac. Rec. Assumptions'!B48</f>
        <v>37.366875</v>
      </c>
      <c r="F58" s="294">
        <f t="shared" si="7"/>
        <v>37.366875</v>
      </c>
      <c r="G58" s="294">
        <f t="shared" si="7"/>
        <v>37.366875</v>
      </c>
      <c r="H58" s="294">
        <f t="shared" si="7"/>
        <v>37.366875</v>
      </c>
      <c r="I58" s="16" t="str">
        <f>IF('Conversion Tables'!F51="NA","NA",(E58*'Conversion Tables'!$C51)/'Conversion Tables'!F51)</f>
        <v>NA</v>
      </c>
      <c r="J58" s="16" t="str">
        <f>IF('Conversion Tables'!G51="NA","NA",(F58*'Conversion Tables'!$C51)/'Conversion Tables'!G51)</f>
        <v>NA</v>
      </c>
      <c r="K58" s="16" t="str">
        <f>IF('Conversion Tables'!H51="NA","NA",(G58*'Conversion Tables'!$C51)/'Conversion Tables'!H51)</f>
        <v>NA</v>
      </c>
      <c r="L58" s="16" t="str">
        <f>IF('Conversion Tables'!I51="NA","NA",(H58*'Conversion Tables'!$C51)/'Conversion Tables'!I51)</f>
        <v>NA</v>
      </c>
      <c r="M58" s="16" t="str">
        <f>IF('Conversion Tables'!K51="NA","NA",E58*'Conversion Tables'!K51)</f>
        <v>NA</v>
      </c>
      <c r="N58" s="16" t="str">
        <f>IF('Conversion Tables'!L51="NA","NA",F58*'Conversion Tables'!L51)</f>
        <v>NA</v>
      </c>
      <c r="O58" s="16" t="str">
        <f>IF('Conversion Tables'!M51="NA","NA",G58*'Conversion Tables'!M51)</f>
        <v>NA</v>
      </c>
      <c r="P58" s="16" t="str">
        <f>IF('Conversion Tables'!N51="NA","NA",H58*'Conversion Tables'!N51)</f>
        <v>NA</v>
      </c>
      <c r="Q58" s="27"/>
    </row>
    <row r="59" spans="1:17" x14ac:dyDescent="0.25">
      <c r="A59" s="1201"/>
      <c r="B59" s="12" t="s">
        <v>552</v>
      </c>
      <c r="C59" s="294">
        <f>G119</f>
        <v>330.79949999999997</v>
      </c>
      <c r="D59" s="299">
        <f>E59*'Conversion Tables'!C52</f>
        <v>4883.9238179999993</v>
      </c>
      <c r="E59" s="299">
        <f>C59*'Prac. Rec. Assumptions'!B49</f>
        <v>330.79949999999997</v>
      </c>
      <c r="F59" s="294">
        <f t="shared" si="7"/>
        <v>330.79949999999997</v>
      </c>
      <c r="G59" s="294">
        <f t="shared" si="7"/>
        <v>330.79949999999997</v>
      </c>
      <c r="H59" s="294">
        <f t="shared" si="7"/>
        <v>330.79949999999997</v>
      </c>
      <c r="I59" s="16" t="str">
        <f>IF('Conversion Tables'!F52="NA","NA",(E59*'Conversion Tables'!$C52)/'Conversion Tables'!F52)</f>
        <v>NA</v>
      </c>
      <c r="J59" s="16" t="str">
        <f>IF('Conversion Tables'!G52="NA","NA",(F59*'Conversion Tables'!$C52)/'Conversion Tables'!G52)</f>
        <v>NA</v>
      </c>
      <c r="K59" s="16" t="str">
        <f>IF('Conversion Tables'!H52="NA","NA",(G59*'Conversion Tables'!$C52)/'Conversion Tables'!H52)</f>
        <v>NA</v>
      </c>
      <c r="L59" s="16" t="str">
        <f>IF('Conversion Tables'!I52="NA","NA",(H59*'Conversion Tables'!$C52)/'Conversion Tables'!I52)</f>
        <v>NA</v>
      </c>
      <c r="M59" s="16" t="str">
        <f>IF('Conversion Tables'!K52="NA","NA",E59*'Conversion Tables'!K52)</f>
        <v>NA</v>
      </c>
      <c r="N59" s="16" t="str">
        <f>IF('Conversion Tables'!L52="NA","NA",F59*'Conversion Tables'!L52)</f>
        <v>NA</v>
      </c>
      <c r="O59" s="16" t="str">
        <f>IF('Conversion Tables'!M52="NA","NA",G59*'Conversion Tables'!M52)</f>
        <v>NA</v>
      </c>
      <c r="P59" s="16" t="str">
        <f>IF('Conversion Tables'!N52="NA","NA",H59*'Conversion Tables'!N52)</f>
        <v>NA</v>
      </c>
      <c r="Q59" s="27"/>
    </row>
    <row r="60" spans="1:17" x14ac:dyDescent="0.25">
      <c r="A60" s="1202"/>
      <c r="B60" s="129" t="s">
        <v>305</v>
      </c>
      <c r="C60" s="294">
        <f>'Biomass Data Assumptions'!AE20</f>
        <v>10760.750219999998</v>
      </c>
      <c r="D60" s="299">
        <f>E60*'Conversion Tables'!C53</f>
        <v>129129.00263999998</v>
      </c>
      <c r="E60" s="299">
        <f>C60*'Prac. Rec. Assumptions'!B50</f>
        <v>10760.750219999998</v>
      </c>
      <c r="F60" s="294">
        <f>($C60*(1+'Biomass Data Assumptions'!G$105*(4/5)))*'Prac. Rec. Assumptions'!$B50</f>
        <v>10926.946239006775</v>
      </c>
      <c r="G60" s="294">
        <f>($C60*(1+'Biomass Data Assumptions'!H$105*(9/10)))*'Prac. Rec. Assumptions'!$B50</f>
        <v>11188.395561460256</v>
      </c>
      <c r="H60" s="294">
        <f>($C60*(1+'Biomass Data Assumptions'!I$105*(14/15)))*'Prac. Rec. Assumptions'!$B50</f>
        <v>11439.383964277673</v>
      </c>
      <c r="I60" s="16" t="str">
        <f>IF('Conversion Tables'!F53="NA","NA",(E60*'Conversion Tables'!$C53)/'Conversion Tables'!F53)</f>
        <v>NA</v>
      </c>
      <c r="J60" s="16" t="str">
        <f>IF('Conversion Tables'!G53="NA","NA",(F60*'Conversion Tables'!$C53)/'Conversion Tables'!G53)</f>
        <v>NA</v>
      </c>
      <c r="K60" s="16" t="str">
        <f>IF('Conversion Tables'!H53="NA","NA",(G60*'Conversion Tables'!$C53)/'Conversion Tables'!H53)</f>
        <v>NA</v>
      </c>
      <c r="L60" s="16" t="str">
        <f>IF('Conversion Tables'!I53="NA","NA",(H60*'Conversion Tables'!$C53)/'Conversion Tables'!I53)</f>
        <v>NA</v>
      </c>
      <c r="M60" s="16" t="str">
        <f>IF('Conversion Tables'!K53="NA","NA",E60*'Conversion Tables'!K53)</f>
        <v>NA</v>
      </c>
      <c r="N60" s="16" t="str">
        <f>IF('Conversion Tables'!L53="NA","NA",F60*'Conversion Tables'!L53)</f>
        <v>NA</v>
      </c>
      <c r="O60" s="16" t="str">
        <f>IF('Conversion Tables'!M53="NA","NA",G60*'Conversion Tables'!M53)</f>
        <v>NA</v>
      </c>
      <c r="P60" s="16" t="str">
        <f>IF('Conversion Tables'!N53="NA","NA",H60*'Conversion Tables'!N53)</f>
        <v>NA</v>
      </c>
      <c r="Q60" s="7"/>
    </row>
    <row r="61" spans="1:17" x14ac:dyDescent="0.25">
      <c r="A61" s="1202"/>
      <c r="B61" s="9" t="s">
        <v>257</v>
      </c>
      <c r="C61" s="295">
        <f>SUM(C52:C60)</f>
        <v>17430.641047499998</v>
      </c>
      <c r="D61" s="295">
        <f>SUM(D52:D60)</f>
        <v>183428.26803119195</v>
      </c>
      <c r="E61" s="295">
        <f t="shared" ref="E61:P61" si="8">SUM(E52:E60)</f>
        <v>14445.561072999999</v>
      </c>
      <c r="F61" s="295">
        <f>SUM(F52:F60)</f>
        <v>14611.757092006776</v>
      </c>
      <c r="G61" s="295">
        <f>SUM(G52:G60)</f>
        <v>14873.206414460257</v>
      </c>
      <c r="H61" s="295">
        <f>SUM(H52:H60)</f>
        <v>15124.194817277674</v>
      </c>
      <c r="I61" s="19">
        <f t="shared" si="8"/>
        <v>0</v>
      </c>
      <c r="J61" s="19">
        <f t="shared" si="8"/>
        <v>0</v>
      </c>
      <c r="K61" s="19">
        <f t="shared" si="8"/>
        <v>0</v>
      </c>
      <c r="L61" s="19">
        <f t="shared" si="8"/>
        <v>0</v>
      </c>
      <c r="M61" s="19">
        <f t="shared" si="8"/>
        <v>0</v>
      </c>
      <c r="N61" s="19">
        <f t="shared" si="8"/>
        <v>0</v>
      </c>
      <c r="O61" s="19">
        <f t="shared" si="8"/>
        <v>0</v>
      </c>
      <c r="P61" s="19">
        <f t="shared" si="8"/>
        <v>0</v>
      </c>
      <c r="Q61" s="7"/>
    </row>
    <row r="62" spans="1:17" x14ac:dyDescent="0.25">
      <c r="A62" s="1202"/>
      <c r="B62" s="7" t="s">
        <v>256</v>
      </c>
      <c r="C62" s="298" t="s">
        <v>251</v>
      </c>
      <c r="D62" s="13"/>
      <c r="E62" s="298" t="s">
        <v>251</v>
      </c>
      <c r="F62" s="298"/>
      <c r="G62" s="298"/>
      <c r="H62" s="298"/>
      <c r="I62" s="7"/>
      <c r="J62" s="7"/>
      <c r="K62" s="7"/>
      <c r="L62" s="7"/>
      <c r="M62" s="7"/>
      <c r="N62" s="7"/>
      <c r="O62" s="7"/>
      <c r="P62" s="7"/>
      <c r="Q62" s="7"/>
    </row>
    <row r="63" spans="1:17" x14ac:dyDescent="0.25">
      <c r="A63" s="1203"/>
      <c r="B63" s="133" t="s">
        <v>304</v>
      </c>
      <c r="C63" s="294">
        <f>'Biomass Data Assumptions'!AB20</f>
        <v>146.70699039999997</v>
      </c>
      <c r="D63" s="300">
        <f>E63*'Conversion Tables'!C55</f>
        <v>90811.627057599981</v>
      </c>
      <c r="E63" s="299">
        <f>C63*'Prac. Rec. Assumptions'!B51</f>
        <v>146.70699039999997</v>
      </c>
      <c r="F63" s="294">
        <f>($C63*(1+'Biomass Data Assumptions'!G$105*(4/5)))*'Prac. Rec. Assumptions'!$B51</f>
        <v>148.97282849367014</v>
      </c>
      <c r="G63" s="294">
        <f>($C63*(1+'Biomass Data Assumptions'!H$105*(9/10)))*'Prac. Rec. Assumptions'!$B51</f>
        <v>152.53730517560069</v>
      </c>
      <c r="H63" s="294">
        <f>($C63*(1+'Biomass Data Assumptions'!I$105*(14/15)))*'Prac. Rec. Assumptions'!$B51</f>
        <v>155.95916261581976</v>
      </c>
      <c r="I63" s="16" t="str">
        <f>IF('Conversion Tables'!F55="NA","NA",(E63*'Conversion Tables'!$C55)/'Conversion Tables'!F55)</f>
        <v>NA</v>
      </c>
      <c r="J63" s="16" t="str">
        <f>IF('Conversion Tables'!G55="NA","NA",(F63*'Conversion Tables'!$C55)/'Conversion Tables'!G55)</f>
        <v>NA</v>
      </c>
      <c r="K63" s="16" t="str">
        <f>IF('Conversion Tables'!H55="NA","NA",(G63*'Conversion Tables'!$C55)/'Conversion Tables'!H55)</f>
        <v>NA</v>
      </c>
      <c r="L63" s="16" t="str">
        <f>IF('Conversion Tables'!I55="NA","NA",(H63*'Conversion Tables'!$C55)/'Conversion Tables'!I55)</f>
        <v>NA</v>
      </c>
      <c r="M63" s="16" t="str">
        <f>IF('Conversion Tables'!K55="NA","NA",E63*'Conversion Tables'!K55)</f>
        <v>NA</v>
      </c>
      <c r="N63" s="16" t="str">
        <f>IF('Conversion Tables'!L55="NA","NA",F63*'Conversion Tables'!L55)</f>
        <v>NA</v>
      </c>
      <c r="O63" s="16" t="str">
        <f>IF('Conversion Tables'!M55="NA","NA",G63*'Conversion Tables'!M55)</f>
        <v>NA</v>
      </c>
      <c r="P63" s="16" t="str">
        <f>IF('Conversion Tables'!N55="NA","NA",H63*'Conversion Tables'!N55)</f>
        <v>NA</v>
      </c>
      <c r="Q63" s="7"/>
    </row>
    <row r="64" spans="1:17" x14ac:dyDescent="0.25">
      <c r="A64" s="1204"/>
      <c r="B64" s="17" t="s">
        <v>512</v>
      </c>
      <c r="C64" s="294">
        <f>'Biomass Data Assumptions'!X20</f>
        <v>446.87619649999999</v>
      </c>
      <c r="D64" s="300">
        <f>E64*'Conversion Tables'!C56</f>
        <v>226119.35542899999</v>
      </c>
      <c r="E64" s="299">
        <f>C64*'Prac. Rec. Assumptions'!B52</f>
        <v>446.87619649999999</v>
      </c>
      <c r="F64" s="545">
        <f>($C64*(1+'Biomass Data Assumptions'!G$105*(3/5))*(1+('Biomass Data Assumptions'!C$82-((1+'Biomass Data Assumptions'!$B$82)^2 - 1))))*'Prac. Rec. Assumptions'!$B52</f>
        <v>451.86844563193131</v>
      </c>
      <c r="G64" s="545">
        <f>($C64*(1+'Biomass Data Assumptions'!H$105*(4/5))*(1+('Biomass Data Assumptions'!D$82-((1+'Biomass Data Assumptions'!$B$82)^2 - 1))))*'Prac. Rec. Assumptions'!$B52</f>
        <v>462.15995218289851</v>
      </c>
      <c r="H64" s="545">
        <f>($C64*(1+'Biomass Data Assumptions'!I$105*(13/15))*(1+('Biomass Data Assumptions'!E$82-((1+'Biomass Data Assumptions'!$B$82)^2 - 1))))*'Prac. Rec. Assumptions'!$B52</f>
        <v>472.21128792398423</v>
      </c>
      <c r="I64" s="16" t="str">
        <f>IF('Conversion Tables'!F56="NA","NA",(E64*'Conversion Tables'!$C56)/'Conversion Tables'!F56)</f>
        <v>NA</v>
      </c>
      <c r="J64" s="16" t="str">
        <f>IF('Conversion Tables'!G56="NA","NA",(F64*'Conversion Tables'!$C56)/'Conversion Tables'!G56)</f>
        <v>NA</v>
      </c>
      <c r="K64" s="16" t="str">
        <f>IF('Conversion Tables'!H56="NA","NA",(G64*'Conversion Tables'!$C56)/'Conversion Tables'!H56)</f>
        <v>NA</v>
      </c>
      <c r="L64" s="16" t="str">
        <f>IF('Conversion Tables'!I56="NA","NA",(H64*'Conversion Tables'!$C56)/'Conversion Tables'!I56)</f>
        <v>NA</v>
      </c>
      <c r="M64" s="16" t="str">
        <f>IF('Conversion Tables'!K56="NA","NA",E64*'Conversion Tables'!K56)</f>
        <v>NA</v>
      </c>
      <c r="N64" s="16" t="str">
        <f>IF('Conversion Tables'!L56="NA","NA",F64*'Conversion Tables'!L56)</f>
        <v>NA</v>
      </c>
      <c r="O64" s="16" t="str">
        <f>IF('Conversion Tables'!M56="NA","NA",G64*'Conversion Tables'!M56)</f>
        <v>NA</v>
      </c>
      <c r="P64" s="16" t="str">
        <f>IF('Conversion Tables'!N56="NA","NA",H64*'Conversion Tables'!N56)</f>
        <v>NA</v>
      </c>
      <c r="Q64" s="7"/>
    </row>
    <row r="65" spans="1:19" x14ac:dyDescent="0.25">
      <c r="A65" s="1204"/>
      <c r="B65" s="9" t="s">
        <v>248</v>
      </c>
      <c r="C65" s="295">
        <f>SUM(C63:C64)</f>
        <v>593.58318689999999</v>
      </c>
      <c r="D65" s="295">
        <f>SUM(D63:D64)</f>
        <v>316930.98248659994</v>
      </c>
      <c r="E65" s="295">
        <f t="shared" ref="E65:P65" si="9">SUM(E63:E64)</f>
        <v>593.58318689999999</v>
      </c>
      <c r="F65" s="295">
        <f>SUM(F63:F64)</f>
        <v>600.84127412560144</v>
      </c>
      <c r="G65" s="295">
        <f>SUM(G63:G64)</f>
        <v>614.6972573584992</v>
      </c>
      <c r="H65" s="295">
        <f>SUM(H63:H64)</f>
        <v>628.17045053980405</v>
      </c>
      <c r="I65" s="19">
        <f t="shared" si="9"/>
        <v>0</v>
      </c>
      <c r="J65" s="19">
        <f t="shared" si="9"/>
        <v>0</v>
      </c>
      <c r="K65" s="19">
        <f t="shared" si="9"/>
        <v>0</v>
      </c>
      <c r="L65" s="19">
        <f t="shared" si="9"/>
        <v>0</v>
      </c>
      <c r="M65" s="19">
        <f t="shared" si="9"/>
        <v>0</v>
      </c>
      <c r="N65" s="19">
        <f t="shared" si="9"/>
        <v>0</v>
      </c>
      <c r="O65" s="19">
        <f t="shared" si="9"/>
        <v>0</v>
      </c>
      <c r="P65" s="19">
        <f t="shared" si="9"/>
        <v>0</v>
      </c>
      <c r="Q65" s="19">
        <f>SUM(Q51:Q64)</f>
        <v>0</v>
      </c>
    </row>
    <row r="66" spans="1:19" x14ac:dyDescent="0.25">
      <c r="A66" s="1204"/>
      <c r="B66" s="9"/>
      <c r="C66" s="295"/>
      <c r="D66" s="295"/>
      <c r="E66" s="295"/>
      <c r="F66" s="295"/>
      <c r="G66" s="295"/>
      <c r="H66" s="295"/>
      <c r="I66" s="19"/>
      <c r="J66" s="19"/>
      <c r="K66" s="19"/>
      <c r="L66" s="19"/>
      <c r="M66" s="19"/>
      <c r="N66" s="19"/>
      <c r="O66" s="19"/>
      <c r="P66" s="19"/>
      <c r="Q66" s="19"/>
    </row>
    <row r="67" spans="1:19" x14ac:dyDescent="0.25">
      <c r="A67" s="1205"/>
      <c r="B67" s="9" t="s">
        <v>258</v>
      </c>
      <c r="C67" s="295">
        <f>C61+(C63*1000000/29487.1582406855)+(C64*1000000/25364.5039539246)</f>
        <v>40024.097300352943</v>
      </c>
      <c r="D67" s="295">
        <f t="shared" ref="D67" si="10">D61+D65</f>
        <v>500359.25051779189</v>
      </c>
      <c r="E67" s="295">
        <f>E61+(E63*1000000/29487.1582406855)+(E64*1000000/25364.5039539246)</f>
        <v>37039.017325852947</v>
      </c>
      <c r="F67" s="295">
        <f t="shared" ref="F67:H67" si="11">F61+(F63*1000000/29487.1582406855)+(F64*1000000/25364.5039539246)</f>
        <v>37478.875160270392</v>
      </c>
      <c r="G67" s="295">
        <f t="shared" si="11"/>
        <v>38266.951266390839</v>
      </c>
      <c r="H67" s="295">
        <f t="shared" si="11"/>
        <v>39030.261020703692</v>
      </c>
      <c r="I67" s="19">
        <f t="shared" ref="I67:P67" si="12">I61+I65</f>
        <v>0</v>
      </c>
      <c r="J67" s="19">
        <f t="shared" si="12"/>
        <v>0</v>
      </c>
      <c r="K67" s="19">
        <f t="shared" si="12"/>
        <v>0</v>
      </c>
      <c r="L67" s="19">
        <f t="shared" si="12"/>
        <v>0</v>
      </c>
      <c r="M67" s="19">
        <f t="shared" si="12"/>
        <v>0</v>
      </c>
      <c r="N67" s="19">
        <f t="shared" si="12"/>
        <v>0</v>
      </c>
      <c r="O67" s="19">
        <f t="shared" si="12"/>
        <v>0</v>
      </c>
      <c r="P67" s="19">
        <f t="shared" si="12"/>
        <v>0</v>
      </c>
      <c r="Q67" s="19"/>
    </row>
    <row r="68" spans="1:19" customFormat="1" x14ac:dyDescent="0.25">
      <c r="B68" s="270" t="s">
        <v>162</v>
      </c>
      <c r="C68" s="132">
        <f>C11+C29+C43+C49+C67</f>
        <v>381208.93525628629</v>
      </c>
      <c r="D68" s="132"/>
      <c r="E68" s="132">
        <f>E11+E29+E43+E49+E67</f>
        <v>214473.61298802629</v>
      </c>
      <c r="F68" s="132">
        <f>F11+F29+F43+F49+F67</f>
        <v>219532.80965056969</v>
      </c>
      <c r="G68" s="132">
        <f>G11+G29+G43+G49+G67</f>
        <v>225965.69686402916</v>
      </c>
      <c r="H68" s="132">
        <f>H11+H29+H43+H49+H67</f>
        <v>232448.99335759634</v>
      </c>
      <c r="I68" s="264"/>
    </row>
    <row r="69" spans="1:19" ht="13.8" thickBot="1" x14ac:dyDescent="0.3">
      <c r="A69" s="10"/>
      <c r="B69" s="10"/>
      <c r="C69" s="10"/>
      <c r="D69" s="10"/>
      <c r="E69" s="10"/>
      <c r="F69" s="10"/>
      <c r="G69" s="10"/>
      <c r="H69" s="10"/>
      <c r="I69" s="1003">
        <f>SUM(I8:I66)/2</f>
        <v>0</v>
      </c>
      <c r="J69" s="1003">
        <f>SUM(J8:J66)/2</f>
        <v>0</v>
      </c>
      <c r="K69" s="1003">
        <f>SUM(K8:K66)/2</f>
        <v>0</v>
      </c>
      <c r="L69" s="1003">
        <f>SUM(L8:L66)/2</f>
        <v>0</v>
      </c>
      <c r="M69" s="1003">
        <f>SUM(M8:M66)/2</f>
        <v>0</v>
      </c>
      <c r="N69" s="1003">
        <f t="shared" ref="N69:P69" si="13">SUM(N8:N66)/2</f>
        <v>0</v>
      </c>
      <c r="O69" s="1003">
        <f t="shared" si="13"/>
        <v>0</v>
      </c>
      <c r="P69" s="1003">
        <f t="shared" si="13"/>
        <v>0</v>
      </c>
      <c r="Q69" s="10"/>
      <c r="R69" s="10"/>
      <c r="S69" s="10"/>
    </row>
    <row r="70" spans="1:19" x14ac:dyDescent="0.25">
      <c r="A70" s="35" t="s">
        <v>23</v>
      </c>
      <c r="B70" s="36"/>
      <c r="C70" s="36"/>
      <c r="D70" s="36"/>
      <c r="E70" s="36"/>
      <c r="F70" s="36"/>
      <c r="G70" s="36"/>
      <c r="H70" s="36"/>
      <c r="I70" s="36"/>
      <c r="J70" s="36"/>
      <c r="K70" s="36"/>
      <c r="L70" s="36"/>
      <c r="M70" s="36"/>
      <c r="N70" s="36"/>
      <c r="O70" s="36"/>
      <c r="P70" s="36"/>
      <c r="Q70" s="36"/>
      <c r="R70" s="36"/>
    </row>
    <row r="71" spans="1:19" x14ac:dyDescent="0.25">
      <c r="A71" s="36"/>
      <c r="B71" s="36"/>
      <c r="C71" s="36"/>
      <c r="D71" s="36"/>
      <c r="E71" s="36"/>
      <c r="F71" s="36"/>
      <c r="G71" s="36"/>
      <c r="H71" s="36"/>
      <c r="I71" s="36"/>
      <c r="J71" s="36"/>
      <c r="K71" s="36"/>
      <c r="L71" s="36"/>
      <c r="M71" s="36"/>
      <c r="N71" s="36"/>
      <c r="O71" s="36"/>
      <c r="P71" s="36"/>
      <c r="Q71" s="36"/>
      <c r="R71" s="36"/>
    </row>
    <row r="72" spans="1:19" x14ac:dyDescent="0.25">
      <c r="A72" s="36"/>
      <c r="B72" s="36"/>
      <c r="C72" s="36"/>
      <c r="D72" s="36"/>
      <c r="E72" s="36"/>
      <c r="F72" s="36"/>
      <c r="G72" s="36"/>
      <c r="H72" s="36"/>
      <c r="I72" s="36"/>
      <c r="J72" s="36"/>
      <c r="K72" s="36"/>
      <c r="L72" s="36"/>
      <c r="M72" s="36"/>
      <c r="N72" s="36"/>
      <c r="O72" s="36"/>
      <c r="P72" s="36"/>
      <c r="Q72" s="36"/>
      <c r="R72" s="36"/>
    </row>
    <row r="73" spans="1:19" ht="27" customHeight="1" x14ac:dyDescent="0.25">
      <c r="A73" s="37" t="s">
        <v>1037</v>
      </c>
      <c r="B73" s="454" t="s">
        <v>297</v>
      </c>
      <c r="C73" s="37" t="s">
        <v>1042</v>
      </c>
      <c r="D73" s="37" t="s">
        <v>1041</v>
      </c>
      <c r="E73" s="36" t="s">
        <v>598</v>
      </c>
      <c r="F73" s="38"/>
      <c r="G73" s="38"/>
      <c r="H73" s="36"/>
      <c r="I73" s="36"/>
      <c r="J73" s="36"/>
      <c r="K73" s="36"/>
      <c r="L73" s="36"/>
      <c r="M73" s="36"/>
      <c r="N73" s="36"/>
      <c r="O73" s="36"/>
      <c r="P73" s="36"/>
      <c r="Q73" s="36"/>
      <c r="R73" s="36"/>
    </row>
    <row r="74" spans="1:19" x14ac:dyDescent="0.25">
      <c r="A74" s="39" t="s">
        <v>519</v>
      </c>
      <c r="B74" s="21">
        <v>0</v>
      </c>
      <c r="C74" s="40">
        <f>'Biomass Data Assumptions'!B38*B74</f>
        <v>0</v>
      </c>
      <c r="D74" s="40">
        <f>(C74*'Biomass Data Assumptions'!C38)/2000</f>
        <v>0</v>
      </c>
      <c r="E74" s="41"/>
      <c r="F74" s="41"/>
      <c r="G74" s="41"/>
      <c r="H74" s="36"/>
      <c r="I74" s="36"/>
      <c r="J74" s="36"/>
      <c r="K74" s="36"/>
      <c r="L74" s="36"/>
      <c r="M74" s="36"/>
      <c r="N74" s="36"/>
      <c r="O74" s="36"/>
      <c r="P74" s="36"/>
      <c r="Q74" s="36"/>
      <c r="R74" s="36"/>
    </row>
    <row r="75" spans="1:19" x14ac:dyDescent="0.25">
      <c r="A75" s="39" t="s">
        <v>520</v>
      </c>
      <c r="B75" s="21">
        <v>133</v>
      </c>
      <c r="C75" s="40">
        <f>'Biomass Data Assumptions'!B39*B75</f>
        <v>3630.9</v>
      </c>
      <c r="D75" s="40">
        <f>(C75*'Biomass Data Assumptions'!C39)/2000</f>
        <v>101.6652</v>
      </c>
      <c r="E75" s="41"/>
      <c r="F75" s="41"/>
      <c r="G75" s="41"/>
      <c r="H75" s="36"/>
      <c r="I75" s="36"/>
      <c r="J75" s="36"/>
      <c r="K75" s="36"/>
      <c r="L75" s="36"/>
      <c r="M75" s="36"/>
      <c r="N75" s="36"/>
      <c r="O75" s="36"/>
      <c r="P75" s="36"/>
      <c r="Q75" s="36"/>
      <c r="R75" s="36"/>
    </row>
    <row r="76" spans="1:19" x14ac:dyDescent="0.25">
      <c r="A76" s="39" t="s">
        <v>521</v>
      </c>
      <c r="B76" s="21">
        <v>892</v>
      </c>
      <c r="C76" s="40">
        <f>'Biomass Data Assumptions'!B40*B76</f>
        <v>111500</v>
      </c>
      <c r="D76" s="40">
        <f>(C76*'Biomass Data Assumptions'!C40)/2000</f>
        <v>3122</v>
      </c>
      <c r="E76" s="41"/>
      <c r="F76" s="41"/>
      <c r="G76" s="41"/>
      <c r="H76" s="36"/>
      <c r="I76" s="36"/>
      <c r="J76" s="36"/>
      <c r="K76" s="36"/>
      <c r="L76" s="36"/>
      <c r="M76" s="36"/>
      <c r="N76" s="36"/>
      <c r="O76" s="36"/>
      <c r="P76" s="36"/>
      <c r="Q76" s="36"/>
      <c r="R76" s="36"/>
    </row>
    <row r="77" spans="1:19" x14ac:dyDescent="0.25">
      <c r="A77" s="39" t="s">
        <v>525</v>
      </c>
      <c r="B77" s="21">
        <v>243</v>
      </c>
      <c r="C77" s="40">
        <f>'Biomass Data Assumptions'!B41*B77</f>
        <v>7776</v>
      </c>
      <c r="D77" s="40">
        <f>(C77*'Biomass Data Assumptions'!C41)/2000</f>
        <v>233.28</v>
      </c>
      <c r="E77" s="41"/>
      <c r="F77" s="41"/>
      <c r="G77" s="41"/>
      <c r="H77" s="36"/>
      <c r="I77" s="36"/>
      <c r="J77" s="36"/>
      <c r="K77" s="36"/>
      <c r="L77" s="36"/>
      <c r="M77" s="36"/>
      <c r="N77" s="36"/>
      <c r="O77" s="36"/>
      <c r="P77" s="36"/>
      <c r="Q77" s="36"/>
      <c r="R77" s="36"/>
    </row>
    <row r="78" spans="1:19" x14ac:dyDescent="0.25">
      <c r="A78" s="39" t="s">
        <v>522</v>
      </c>
      <c r="B78" s="21">
        <v>45</v>
      </c>
      <c r="C78" s="40">
        <f>'Biomass Data Assumptions'!B42*B78</f>
        <v>2430</v>
      </c>
      <c r="D78" s="40">
        <f>(C78*'Biomass Data Assumptions'!C42)/2000</f>
        <v>72.900000000000006</v>
      </c>
      <c r="E78" s="41"/>
      <c r="F78" s="41"/>
      <c r="G78" s="41"/>
      <c r="H78" s="36"/>
      <c r="I78" s="36"/>
      <c r="J78" s="36"/>
      <c r="K78" s="36"/>
      <c r="L78" s="36"/>
      <c r="M78" s="36"/>
      <c r="N78" s="36"/>
      <c r="O78" s="36"/>
      <c r="P78" s="36"/>
      <c r="Q78" s="36"/>
      <c r="R78" s="36"/>
    </row>
    <row r="79" spans="1:19" x14ac:dyDescent="0.25">
      <c r="A79" s="36"/>
      <c r="B79" s="36"/>
      <c r="C79" s="36"/>
      <c r="D79" s="36"/>
      <c r="E79" s="36"/>
      <c r="F79" s="36"/>
      <c r="G79" s="36"/>
      <c r="H79" s="36"/>
      <c r="I79" s="36"/>
      <c r="J79" s="36"/>
      <c r="K79" s="36"/>
      <c r="L79" s="36"/>
      <c r="M79" s="36"/>
      <c r="N79" s="36"/>
      <c r="O79" s="36"/>
      <c r="P79" s="36"/>
      <c r="Q79" s="36"/>
      <c r="R79" s="36"/>
    </row>
    <row r="80" spans="1:19" ht="39.6" x14ac:dyDescent="0.25">
      <c r="A80" s="37" t="s">
        <v>1038</v>
      </c>
      <c r="B80" s="454" t="s">
        <v>297</v>
      </c>
      <c r="C80" s="37" t="s">
        <v>1041</v>
      </c>
      <c r="D80" s="37" t="s">
        <v>1036</v>
      </c>
      <c r="E80" s="36" t="s">
        <v>598</v>
      </c>
      <c r="F80" s="38"/>
      <c r="G80" s="38"/>
      <c r="H80" s="36"/>
      <c r="I80" s="36"/>
      <c r="J80" s="36"/>
      <c r="K80" s="36"/>
      <c r="L80" s="36"/>
      <c r="M80" s="36"/>
      <c r="N80" s="36"/>
      <c r="O80" s="36"/>
      <c r="P80" s="36"/>
      <c r="Q80" s="36"/>
      <c r="R80" s="36"/>
    </row>
    <row r="81" spans="1:18" x14ac:dyDescent="0.25">
      <c r="A81" s="39" t="s">
        <v>527</v>
      </c>
      <c r="B81" s="21">
        <v>411</v>
      </c>
      <c r="C81" s="40">
        <f>'Biomass Data Assumptions'!B49*B81</f>
        <v>411</v>
      </c>
      <c r="D81" s="40">
        <f>C81*'Energy Content Assumptions'!C11</f>
        <v>349.34999999999997</v>
      </c>
      <c r="E81" s="41"/>
      <c r="F81" s="41"/>
      <c r="G81" s="41"/>
      <c r="H81" s="36"/>
      <c r="I81" s="36"/>
      <c r="J81" s="36"/>
      <c r="K81" s="36"/>
      <c r="L81" s="36"/>
      <c r="M81" s="36"/>
      <c r="N81" s="36"/>
      <c r="O81" s="36"/>
      <c r="P81" s="36"/>
      <c r="Q81" s="36"/>
      <c r="R81" s="36"/>
    </row>
    <row r="82" spans="1:18" x14ac:dyDescent="0.25">
      <c r="A82" s="39" t="s">
        <v>520</v>
      </c>
      <c r="B82" s="21">
        <f>133+75</f>
        <v>208</v>
      </c>
      <c r="C82" s="40">
        <f>'Biomass Data Assumptions'!B50*B82</f>
        <v>468</v>
      </c>
      <c r="D82" s="40">
        <f>C82*'Energy Content Assumptions'!C12</f>
        <v>397.8</v>
      </c>
      <c r="E82" s="41"/>
      <c r="F82" s="41"/>
      <c r="G82" s="41"/>
      <c r="H82" s="36"/>
      <c r="I82" s="36"/>
      <c r="J82" s="36"/>
      <c r="K82" s="36"/>
      <c r="L82" s="36"/>
      <c r="M82" s="36"/>
      <c r="N82" s="36"/>
      <c r="O82" s="36"/>
      <c r="P82" s="36"/>
      <c r="Q82" s="36"/>
      <c r="R82" s="36"/>
    </row>
    <row r="83" spans="1:18" x14ac:dyDescent="0.25">
      <c r="A83" s="39" t="s">
        <v>521</v>
      </c>
      <c r="B83" s="21">
        <v>892</v>
      </c>
      <c r="C83" s="40">
        <f>'Biomass Data Assumptions'!B51*B83</f>
        <v>2230</v>
      </c>
      <c r="D83" s="40">
        <f>C83*'Energy Content Assumptions'!C13</f>
        <v>1895.5</v>
      </c>
      <c r="E83" s="41"/>
      <c r="F83" s="41"/>
      <c r="G83" s="41"/>
      <c r="H83" s="36"/>
      <c r="I83" s="36"/>
      <c r="J83" s="36"/>
      <c r="K83" s="36"/>
      <c r="L83" s="36"/>
      <c r="M83" s="36"/>
      <c r="N83" s="36"/>
      <c r="O83" s="36"/>
      <c r="P83" s="36"/>
      <c r="Q83" s="36"/>
      <c r="R83" s="36"/>
    </row>
    <row r="84" spans="1:18" x14ac:dyDescent="0.25">
      <c r="A84" s="39" t="s">
        <v>528</v>
      </c>
      <c r="B84" s="21">
        <v>250</v>
      </c>
      <c r="C84" s="40">
        <f>'Biomass Data Assumptions'!B52*B84</f>
        <v>4100</v>
      </c>
      <c r="D84" s="40">
        <f>C84*'Energy Content Assumptions'!C14</f>
        <v>1435</v>
      </c>
      <c r="E84" s="41"/>
      <c r="F84" s="41"/>
      <c r="G84" s="41"/>
      <c r="H84" s="36"/>
      <c r="I84" s="36"/>
      <c r="J84" s="36"/>
      <c r="K84" s="36"/>
      <c r="L84" s="36"/>
      <c r="M84" s="36"/>
      <c r="N84" s="36"/>
      <c r="O84" s="36"/>
      <c r="P84" s="36"/>
      <c r="Q84" s="36"/>
      <c r="R84" s="36"/>
    </row>
    <row r="85" spans="1:18" x14ac:dyDescent="0.25">
      <c r="A85" s="39" t="s">
        <v>529</v>
      </c>
      <c r="B85" s="21">
        <v>992</v>
      </c>
      <c r="C85" s="40">
        <f>'Biomass Data Assumptions'!B53*B85</f>
        <v>3174.4</v>
      </c>
      <c r="D85" s="40">
        <f>C85*'Energy Content Assumptions'!C15</f>
        <v>2698.24</v>
      </c>
      <c r="E85" s="41"/>
      <c r="F85" s="41"/>
      <c r="G85" s="41"/>
      <c r="H85" s="36"/>
      <c r="I85" s="36"/>
      <c r="J85" s="36"/>
      <c r="K85" s="36"/>
      <c r="L85" s="36"/>
      <c r="M85" s="36"/>
      <c r="N85" s="36"/>
      <c r="O85" s="36"/>
      <c r="P85" s="36"/>
      <c r="Q85" s="36"/>
      <c r="R85" s="36"/>
    </row>
    <row r="86" spans="1:18" x14ac:dyDescent="0.25">
      <c r="A86" s="39" t="s">
        <v>530</v>
      </c>
      <c r="B86" s="21">
        <v>3089</v>
      </c>
      <c r="C86" s="40">
        <f>'Biomass Data Assumptions'!B54*B86</f>
        <v>5251.3</v>
      </c>
      <c r="D86" s="40">
        <f>C86*'Energy Content Assumptions'!C16</f>
        <v>4463.6050000000005</v>
      </c>
      <c r="E86" s="41"/>
      <c r="F86" s="41"/>
      <c r="G86" s="41"/>
      <c r="H86" s="36"/>
      <c r="I86" s="36"/>
      <c r="J86" s="36"/>
      <c r="K86" s="36"/>
      <c r="L86" s="36"/>
      <c r="M86" s="36"/>
      <c r="N86" s="36"/>
      <c r="O86" s="36"/>
      <c r="P86" s="36"/>
      <c r="Q86" s="36"/>
      <c r="R86" s="36"/>
    </row>
    <row r="87" spans="1:18" x14ac:dyDescent="0.25">
      <c r="A87" s="39" t="s">
        <v>522</v>
      </c>
      <c r="B87" s="21">
        <v>45</v>
      </c>
      <c r="C87" s="40">
        <f>'Biomass Data Assumptions'!B55*B87</f>
        <v>78.75</v>
      </c>
      <c r="D87" s="40">
        <f>C87*'Energy Content Assumptions'!C17</f>
        <v>66.9375</v>
      </c>
      <c r="E87" s="41"/>
      <c r="F87" s="41"/>
      <c r="G87" s="41"/>
      <c r="H87" s="36"/>
      <c r="I87" s="36"/>
      <c r="J87" s="36"/>
      <c r="K87" s="36"/>
      <c r="L87" s="36"/>
      <c r="M87" s="36"/>
      <c r="N87" s="36"/>
      <c r="O87" s="36"/>
      <c r="P87" s="36"/>
      <c r="Q87" s="36"/>
      <c r="R87" s="36"/>
    </row>
    <row r="88" spans="1:18" x14ac:dyDescent="0.25">
      <c r="A88" s="43"/>
      <c r="B88" s="41"/>
      <c r="C88" s="41"/>
      <c r="D88" s="41"/>
      <c r="E88" s="41"/>
      <c r="F88" s="41"/>
      <c r="G88" s="41"/>
      <c r="H88" s="36"/>
      <c r="I88" s="36"/>
      <c r="J88" s="36"/>
      <c r="K88" s="36"/>
      <c r="L88" s="36"/>
      <c r="M88" s="36"/>
      <c r="N88" s="36"/>
      <c r="O88" s="36"/>
      <c r="P88" s="36"/>
      <c r="Q88" s="36"/>
      <c r="R88" s="36"/>
    </row>
    <row r="89" spans="1:18" x14ac:dyDescent="0.25">
      <c r="A89" s="43"/>
      <c r="B89" s="640" t="s">
        <v>297</v>
      </c>
      <c r="C89" s="122" t="s">
        <v>299</v>
      </c>
      <c r="D89" s="122" t="s">
        <v>300</v>
      </c>
      <c r="E89" s="41"/>
      <c r="F89" s="41"/>
      <c r="G89" s="41"/>
      <c r="H89" s="36"/>
      <c r="I89" s="36"/>
      <c r="J89" s="36"/>
      <c r="K89" s="36"/>
      <c r="L89" s="36"/>
      <c r="M89" s="36"/>
      <c r="N89" s="36"/>
      <c r="O89" s="36"/>
      <c r="P89" s="36"/>
      <c r="Q89" s="36"/>
      <c r="R89" s="36"/>
    </row>
    <row r="90" spans="1:18" x14ac:dyDescent="0.25">
      <c r="A90" s="43" t="s">
        <v>296</v>
      </c>
      <c r="B90" s="85">
        <f>IF('Prac. Rec. Assumptions'!B56='Prac. Rec. Assumptions'!V3,0,SUM(IF('Prac. Rec. Assumptions'!B57="Yes",B74,0),IF('Prac. Rec. Assumptions'!B58="Yes",B81,0),IF('Prac. Rec. Assumptions'!B59="Yes",B82,0),IF('Prac. Rec. Assumptions'!B60="Yes",B83,0),IF('Prac. Rec. Assumptions'!B61="Yes",B84,0),IF('Prac. Rec. Assumptions'!B62="Yes",B85,0),IF('Prac. Rec. Assumptions'!B63="Yes",B86,0),IF('Prac. Rec. Assumptions'!B64="Yes",B87,0)))</f>
        <v>0</v>
      </c>
      <c r="C90" s="41">
        <f>IF('Prac. Rec. Assumptions'!B56='Prac. Rec. Assumptions'!V1,'Biomass Data Assumptions'!C46,IF('Prac. Rec. Assumptions'!B56='Prac. Rec. Assumptions'!V2,'Biomass Data Assumptions'!C45,0))</f>
        <v>0</v>
      </c>
      <c r="D90" s="41">
        <f>(C90*'Energy Content Assumptions'!C9)*B90</f>
        <v>0</v>
      </c>
      <c r="E90" s="41"/>
      <c r="F90" s="41"/>
      <c r="G90" s="41"/>
      <c r="H90" s="36"/>
      <c r="I90" s="36"/>
      <c r="J90" s="36"/>
      <c r="K90" s="36"/>
      <c r="L90" s="36"/>
      <c r="M90" s="36"/>
      <c r="N90" s="36"/>
      <c r="O90" s="36"/>
      <c r="P90" s="36"/>
      <c r="Q90" s="36"/>
      <c r="R90" s="36"/>
    </row>
    <row r="91" spans="1:18" x14ac:dyDescent="0.25">
      <c r="A91" s="36"/>
      <c r="B91" s="36"/>
      <c r="C91" s="36"/>
      <c r="D91" s="36"/>
      <c r="E91" s="36"/>
      <c r="F91" s="36"/>
      <c r="G91" s="36"/>
      <c r="H91" s="36"/>
      <c r="I91" s="36"/>
      <c r="J91" s="36"/>
      <c r="K91" s="36"/>
      <c r="L91" s="36"/>
      <c r="M91" s="36"/>
      <c r="N91" s="36"/>
      <c r="O91" s="36"/>
      <c r="P91" s="36"/>
      <c r="Q91" s="36"/>
      <c r="R91" s="36"/>
    </row>
    <row r="92" spans="1:18" ht="39.6" x14ac:dyDescent="0.25">
      <c r="A92" s="42" t="s">
        <v>531</v>
      </c>
      <c r="B92" s="455" t="s">
        <v>298</v>
      </c>
      <c r="C92" s="38" t="s">
        <v>1050</v>
      </c>
      <c r="D92" s="38" t="s">
        <v>1045</v>
      </c>
      <c r="E92" s="38" t="s">
        <v>1048</v>
      </c>
      <c r="F92" s="38" t="s">
        <v>1047</v>
      </c>
      <c r="G92" s="38" t="s">
        <v>1046</v>
      </c>
      <c r="H92" s="36" t="s">
        <v>599</v>
      </c>
      <c r="I92" s="36"/>
      <c r="J92" s="38"/>
      <c r="K92" s="38"/>
      <c r="L92" s="38"/>
      <c r="M92" s="38"/>
      <c r="N92" s="36"/>
      <c r="O92" s="36"/>
      <c r="P92" s="36"/>
      <c r="Q92" s="36"/>
      <c r="R92" s="36"/>
    </row>
    <row r="93" spans="1:18" ht="12" customHeight="1" x14ac:dyDescent="0.25">
      <c r="A93" s="42"/>
      <c r="B93" s="38"/>
      <c r="C93" s="38"/>
      <c r="D93" s="38"/>
      <c r="E93" s="38"/>
      <c r="F93" s="36"/>
      <c r="G93" s="36"/>
      <c r="H93" s="36"/>
      <c r="I93" s="36"/>
      <c r="J93" s="38"/>
      <c r="K93" s="38"/>
      <c r="L93" s="38"/>
      <c r="M93" s="38"/>
      <c r="N93" s="36"/>
      <c r="O93" s="36"/>
      <c r="P93" s="36"/>
      <c r="Q93" s="36"/>
      <c r="R93" s="36"/>
    </row>
    <row r="94" spans="1:18" hidden="1" x14ac:dyDescent="0.25">
      <c r="A94" s="43"/>
      <c r="B94" s="36"/>
      <c r="C94" s="41"/>
      <c r="D94" s="41"/>
      <c r="E94" s="44"/>
      <c r="F94" s="36"/>
      <c r="G94" s="36"/>
      <c r="H94" s="36"/>
      <c r="I94" s="36"/>
      <c r="J94" s="44"/>
      <c r="K94" s="44"/>
      <c r="L94" s="44"/>
      <c r="M94" s="44"/>
      <c r="N94" s="36"/>
      <c r="O94" s="36"/>
      <c r="P94" s="36"/>
      <c r="Q94" s="36"/>
      <c r="R94" s="36"/>
    </row>
    <row r="95" spans="1:18" hidden="1" x14ac:dyDescent="0.25">
      <c r="A95" s="45"/>
      <c r="B95" s="85"/>
      <c r="C95" s="41"/>
      <c r="D95" s="41"/>
      <c r="E95" s="41"/>
      <c r="F95" s="41"/>
      <c r="G95" s="41"/>
      <c r="H95" s="36"/>
      <c r="I95" s="36"/>
      <c r="J95" s="41"/>
      <c r="K95" s="41"/>
      <c r="L95" s="41"/>
      <c r="M95" s="41"/>
      <c r="N95" s="36"/>
      <c r="O95" s="36"/>
      <c r="P95" s="36"/>
      <c r="Q95" s="36"/>
      <c r="R95" s="36"/>
    </row>
    <row r="96" spans="1:18" hidden="1" x14ac:dyDescent="0.25">
      <c r="A96" s="45"/>
      <c r="B96" s="85"/>
      <c r="C96" s="41"/>
      <c r="D96" s="41"/>
      <c r="E96" s="41"/>
      <c r="F96" s="41"/>
      <c r="G96" s="41"/>
      <c r="H96" s="36"/>
      <c r="I96" s="36"/>
      <c r="J96" s="41"/>
      <c r="K96" s="41"/>
      <c r="L96" s="41"/>
      <c r="M96" s="41"/>
      <c r="N96" s="36"/>
      <c r="O96" s="36"/>
      <c r="P96" s="36"/>
      <c r="Q96" s="36"/>
      <c r="R96" s="36"/>
    </row>
    <row r="97" spans="1:18" x14ac:dyDescent="0.25">
      <c r="A97" s="467" t="s">
        <v>535</v>
      </c>
      <c r="B97" s="85">
        <v>509</v>
      </c>
      <c r="C97" s="41">
        <f>ROUND('Biomass Data Assumptions'!$B$60/1000*B97,0)</f>
        <v>509</v>
      </c>
      <c r="D97" s="41">
        <f>'Biomass Data Assumptions'!$C$60*C97</f>
        <v>17092220</v>
      </c>
      <c r="E97" s="41">
        <f>('Biomass Data Assumptions'!$D$60*'Energy Content Assumptions'!$C$44*D97)/2000</f>
        <v>205.10664000000003</v>
      </c>
      <c r="F97" s="41">
        <f>('Biomass Data Assumptions'!$E$60*B97*365)/2000</f>
        <v>371.57</v>
      </c>
      <c r="G97" s="41">
        <f>F97+E97</f>
        <v>576.67664000000002</v>
      </c>
      <c r="H97" s="36"/>
      <c r="I97" s="36"/>
      <c r="J97" s="41"/>
      <c r="K97" s="41"/>
      <c r="L97" s="41"/>
      <c r="M97" s="41"/>
      <c r="N97" s="36"/>
      <c r="O97" s="36"/>
      <c r="P97" s="36"/>
      <c r="Q97" s="36"/>
      <c r="R97" s="36"/>
    </row>
    <row r="98" spans="1:18" x14ac:dyDescent="0.25">
      <c r="A98" s="46"/>
      <c r="B98" s="41"/>
      <c r="C98" s="41"/>
      <c r="D98" s="41"/>
      <c r="E98" s="41"/>
      <c r="F98" s="41"/>
      <c r="G98" s="41"/>
      <c r="H98" s="36"/>
      <c r="I98" s="36"/>
      <c r="J98" s="41"/>
      <c r="K98" s="41"/>
      <c r="L98" s="41"/>
      <c r="M98" s="41"/>
      <c r="N98" s="36"/>
      <c r="O98" s="36"/>
      <c r="P98" s="36"/>
      <c r="Q98" s="36"/>
      <c r="R98" s="36"/>
    </row>
    <row r="99" spans="1:18" x14ac:dyDescent="0.25">
      <c r="A99" s="43" t="s">
        <v>539</v>
      </c>
      <c r="B99" s="47"/>
      <c r="C99" s="41"/>
      <c r="D99" s="41"/>
      <c r="E99" s="41"/>
      <c r="F99" s="41"/>
      <c r="G99" s="41"/>
      <c r="H99" s="36"/>
      <c r="I99" s="36"/>
      <c r="J99" s="41"/>
      <c r="K99" s="41"/>
      <c r="L99" s="41"/>
      <c r="M99" s="41"/>
      <c r="N99" s="36"/>
      <c r="O99" s="36"/>
      <c r="P99" s="36"/>
      <c r="Q99" s="36"/>
      <c r="R99" s="36"/>
    </row>
    <row r="100" spans="1:18" x14ac:dyDescent="0.25">
      <c r="A100" s="460" t="s">
        <v>603</v>
      </c>
      <c r="B100" s="85">
        <v>28</v>
      </c>
      <c r="C100" s="41">
        <f>ROUND('Biomass Data Assumptions'!B62/1000*B100,0)</f>
        <v>10</v>
      </c>
      <c r="D100" s="41">
        <f>'Biomass Data Assumptions'!C62*C100</f>
        <v>292000</v>
      </c>
      <c r="E100" s="41">
        <f>('Biomass Data Assumptions'!D62*'Energy Content Assumptions'!C46*D100)/2000</f>
        <v>13.14</v>
      </c>
      <c r="F100" s="41">
        <f>('Biomass Data Assumptions'!E62*B100*365)/2000</f>
        <v>25.55</v>
      </c>
      <c r="G100" s="41">
        <f>F100+E100</f>
        <v>38.69</v>
      </c>
      <c r="H100" s="36"/>
      <c r="I100" s="36"/>
      <c r="J100" s="41"/>
      <c r="K100" s="41"/>
      <c r="L100" s="41"/>
      <c r="M100" s="41"/>
      <c r="N100" s="36"/>
      <c r="O100" s="36"/>
      <c r="P100" s="36"/>
      <c r="Q100" s="36"/>
      <c r="R100" s="36"/>
    </row>
    <row r="101" spans="1:18" hidden="1" x14ac:dyDescent="0.25">
      <c r="A101" s="45"/>
      <c r="B101" s="85"/>
      <c r="C101" s="41"/>
      <c r="D101" s="41"/>
      <c r="E101" s="41"/>
      <c r="F101" s="41"/>
      <c r="G101" s="41"/>
      <c r="H101" s="36"/>
      <c r="I101" s="36"/>
      <c r="J101" s="41"/>
      <c r="K101" s="41"/>
      <c r="L101" s="41"/>
      <c r="M101" s="41"/>
      <c r="N101" s="36"/>
      <c r="O101" s="36"/>
      <c r="P101" s="36"/>
      <c r="Q101" s="36"/>
      <c r="R101" s="36"/>
    </row>
    <row r="102" spans="1:18" x14ac:dyDescent="0.25">
      <c r="A102" s="460" t="s">
        <v>604</v>
      </c>
      <c r="B102" s="85">
        <v>56</v>
      </c>
      <c r="C102" s="41">
        <f>ROUND('Biomass Data Assumptions'!B64/1000*B102,0)</f>
        <v>78</v>
      </c>
      <c r="D102" s="41">
        <f>'Biomass Data Assumptions'!C64*C102</f>
        <v>3160170</v>
      </c>
      <c r="E102" s="41">
        <f>('Biomass Data Assumptions'!D64*'Energy Content Assumptions'!C48*D102)/2000</f>
        <v>142.20765</v>
      </c>
      <c r="F102" s="41">
        <f>'Biomass Data Assumptions'!E64*B102*365/2000</f>
        <v>102.2</v>
      </c>
      <c r="G102" s="41">
        <f>F102+E102</f>
        <v>244.40764999999999</v>
      </c>
      <c r="H102" s="36"/>
      <c r="I102" s="36"/>
      <c r="J102" s="41"/>
      <c r="K102" s="41"/>
      <c r="L102" s="41"/>
      <c r="M102" s="41"/>
      <c r="N102" s="36"/>
      <c r="O102" s="36"/>
      <c r="P102" s="36"/>
      <c r="Q102" s="36"/>
      <c r="R102" s="36"/>
    </row>
    <row r="103" spans="1:18" hidden="1" x14ac:dyDescent="0.25">
      <c r="A103" s="45"/>
      <c r="B103" s="85"/>
      <c r="C103" s="41"/>
      <c r="D103" s="41"/>
      <c r="E103" s="41"/>
      <c r="F103" s="41"/>
      <c r="G103" s="41"/>
      <c r="H103" s="36"/>
      <c r="I103" s="36"/>
      <c r="J103" s="41"/>
      <c r="K103" s="41"/>
      <c r="L103" s="41"/>
      <c r="M103" s="41"/>
      <c r="N103" s="36"/>
      <c r="O103" s="36"/>
      <c r="P103" s="36"/>
      <c r="Q103" s="36"/>
      <c r="R103" s="36"/>
    </row>
    <row r="104" spans="1:18" x14ac:dyDescent="0.25">
      <c r="A104" s="467" t="s">
        <v>544</v>
      </c>
      <c r="B104" s="85">
        <f>B102+B100</f>
        <v>84</v>
      </c>
      <c r="C104" s="41">
        <f>SUM(C100:C103)</f>
        <v>88</v>
      </c>
      <c r="D104" s="41">
        <f>SUM(D100:D103)</f>
        <v>3452170</v>
      </c>
      <c r="E104" s="41">
        <f>SUM(E100:E103)</f>
        <v>155.34764999999999</v>
      </c>
      <c r="F104" s="41">
        <f>SUM(F100:F103)</f>
        <v>127.75</v>
      </c>
      <c r="G104" s="41">
        <f>SUM(G100:G103)</f>
        <v>283.09764999999999</v>
      </c>
      <c r="H104" s="36"/>
      <c r="I104" s="36"/>
      <c r="J104" s="41"/>
      <c r="K104" s="41"/>
      <c r="L104" s="41"/>
      <c r="M104" s="41"/>
      <c r="N104" s="36"/>
      <c r="O104" s="36"/>
      <c r="P104" s="36"/>
      <c r="Q104" s="36"/>
      <c r="R104" s="36"/>
    </row>
    <row r="105" spans="1:18" x14ac:dyDescent="0.25">
      <c r="A105" s="46"/>
      <c r="B105" s="41"/>
      <c r="C105" s="41"/>
      <c r="D105" s="41"/>
      <c r="E105" s="41"/>
      <c r="F105" s="41"/>
      <c r="G105" s="41"/>
      <c r="H105" s="36"/>
      <c r="I105" s="36"/>
      <c r="J105" s="41"/>
      <c r="K105" s="41"/>
      <c r="L105" s="41"/>
      <c r="M105" s="41"/>
      <c r="N105" s="36"/>
      <c r="O105" s="36"/>
      <c r="P105" s="36"/>
      <c r="Q105" s="36"/>
      <c r="R105" s="36"/>
    </row>
    <row r="106" spans="1:18" x14ac:dyDescent="0.25">
      <c r="A106" s="43" t="s">
        <v>545</v>
      </c>
      <c r="B106" s="85">
        <v>1403</v>
      </c>
      <c r="C106" s="41">
        <f>ROUND('Biomass Data Assumptions'!B66/1000*B106,0)</f>
        <v>1403</v>
      </c>
      <c r="D106" s="41">
        <f>'Biomass Data Assumptions'!C66*C106</f>
        <v>28421272.5</v>
      </c>
      <c r="E106" s="41">
        <f>('Biomass Data Assumptions'!D66*'Energy Content Assumptions'!C50*D106)/2000</f>
        <v>994.74453750000009</v>
      </c>
      <c r="F106" s="41">
        <f>'Biomass Data Assumptions'!E66*B106*365/2000</f>
        <v>3840.7125000000001</v>
      </c>
      <c r="G106" s="41">
        <f>F106+E106</f>
        <v>4835.4570375000003</v>
      </c>
      <c r="H106" s="36"/>
      <c r="I106" s="36"/>
      <c r="J106" s="41"/>
      <c r="K106" s="41"/>
      <c r="L106" s="41"/>
      <c r="M106" s="41"/>
      <c r="N106" s="36"/>
      <c r="O106" s="36"/>
      <c r="P106" s="36"/>
      <c r="Q106" s="36"/>
      <c r="R106" s="36"/>
    </row>
    <row r="107" spans="1:18" x14ac:dyDescent="0.25">
      <c r="A107" s="43"/>
      <c r="B107" s="41"/>
      <c r="C107" s="41"/>
      <c r="D107" s="41"/>
      <c r="E107" s="41"/>
      <c r="F107" s="41"/>
      <c r="G107" s="41"/>
      <c r="H107" s="36"/>
      <c r="I107" s="36"/>
      <c r="J107" s="41"/>
      <c r="K107" s="41"/>
      <c r="L107" s="41"/>
      <c r="M107" s="41"/>
      <c r="N107" s="36"/>
      <c r="O107" s="36"/>
      <c r="P107" s="36"/>
      <c r="Q107" s="36"/>
      <c r="R107" s="36"/>
    </row>
    <row r="108" spans="1:18" x14ac:dyDescent="0.25">
      <c r="A108" s="43" t="s">
        <v>546</v>
      </c>
      <c r="B108" s="85">
        <v>1823</v>
      </c>
      <c r="C108" s="41">
        <f>ROUND('Biomass Data Assumptions'!B67/1000*B108,0)</f>
        <v>182</v>
      </c>
      <c r="D108" s="41">
        <f>'Biomass Data Assumptions'!C67*C108</f>
        <v>2723630</v>
      </c>
      <c r="E108" s="41">
        <f>('Biomass Data Assumptions'!D67*'Energy Content Assumptions'!C51*D108)/2000</f>
        <v>68.09075</v>
      </c>
      <c r="F108" s="41">
        <f>'Biomass Data Assumptions'!E67*B108*365/2000</f>
        <v>332.69749999999999</v>
      </c>
      <c r="G108" s="41">
        <f>F108+E108</f>
        <v>400.78825000000001</v>
      </c>
      <c r="H108" s="36"/>
      <c r="I108" s="36"/>
      <c r="J108" s="41"/>
      <c r="K108" s="41"/>
      <c r="L108" s="41"/>
      <c r="M108" s="41"/>
      <c r="N108" s="36"/>
      <c r="O108" s="36"/>
      <c r="P108" s="36"/>
      <c r="Q108" s="36"/>
      <c r="R108" s="36"/>
    </row>
    <row r="109" spans="1:18" x14ac:dyDescent="0.25">
      <c r="A109" s="43"/>
      <c r="B109" s="41"/>
      <c r="C109" s="41"/>
      <c r="D109" s="41"/>
      <c r="E109" s="41"/>
      <c r="F109" s="41"/>
      <c r="G109" s="41"/>
      <c r="H109" s="36"/>
      <c r="I109" s="36"/>
      <c r="J109" s="41"/>
      <c r="K109" s="41"/>
      <c r="L109" s="41"/>
      <c r="M109" s="41"/>
      <c r="N109" s="36"/>
      <c r="O109" s="36"/>
      <c r="P109" s="36"/>
      <c r="Q109" s="36"/>
      <c r="R109" s="36"/>
    </row>
    <row r="110" spans="1:18" x14ac:dyDescent="0.25">
      <c r="A110" s="43" t="s">
        <v>547</v>
      </c>
      <c r="B110" s="85">
        <v>801</v>
      </c>
      <c r="C110" s="41">
        <f>ROUND('Biomass Data Assumptions'!B68/1000*B110,0)</f>
        <v>80</v>
      </c>
      <c r="D110" s="41">
        <f>'Biomass Data Assumptions'!C68*C110</f>
        <v>1197200</v>
      </c>
      <c r="E110" s="41">
        <f>('Biomass Data Assumptions'!D68*'Energy Content Assumptions'!C52*D110)/2000</f>
        <v>29.93</v>
      </c>
      <c r="F110" s="41">
        <f>'Biomass Data Assumptions'!E68*B110*365/2000</f>
        <v>146.1825</v>
      </c>
      <c r="G110" s="41">
        <f>F110+E110</f>
        <v>176.11250000000001</v>
      </c>
      <c r="H110" s="36"/>
      <c r="I110" s="36"/>
      <c r="J110" s="41"/>
      <c r="K110" s="41"/>
      <c r="L110" s="41"/>
      <c r="M110" s="41"/>
      <c r="N110" s="36"/>
      <c r="O110" s="36"/>
      <c r="P110" s="36"/>
      <c r="Q110" s="36"/>
      <c r="R110" s="36"/>
    </row>
    <row r="111" spans="1:18" ht="9.75" customHeight="1" x14ac:dyDescent="0.25">
      <c r="A111" s="43"/>
      <c r="B111" s="41"/>
      <c r="C111" s="41"/>
      <c r="D111" s="41"/>
      <c r="E111" s="41"/>
      <c r="F111" s="41"/>
      <c r="G111" s="41"/>
      <c r="H111" s="36"/>
      <c r="I111" s="36"/>
      <c r="J111" s="41"/>
      <c r="K111" s="41"/>
      <c r="L111" s="41"/>
      <c r="M111" s="41"/>
      <c r="N111" s="36"/>
      <c r="O111" s="36"/>
      <c r="P111" s="36"/>
      <c r="Q111" s="36"/>
      <c r="R111" s="36"/>
    </row>
    <row r="112" spans="1:18" hidden="1" x14ac:dyDescent="0.25">
      <c r="A112" s="43" t="s">
        <v>548</v>
      </c>
      <c r="B112" s="36"/>
      <c r="C112" s="41"/>
      <c r="D112" s="41"/>
      <c r="E112" s="41"/>
      <c r="F112" s="41"/>
      <c r="G112" s="41"/>
      <c r="H112" s="36"/>
      <c r="I112" s="36"/>
      <c r="J112" s="41"/>
      <c r="K112" s="41"/>
      <c r="L112" s="41"/>
      <c r="M112" s="41"/>
      <c r="N112" s="36"/>
      <c r="O112" s="36"/>
      <c r="P112" s="36"/>
      <c r="Q112" s="36"/>
      <c r="R112" s="36"/>
    </row>
    <row r="113" spans="1:18" hidden="1" x14ac:dyDescent="0.25">
      <c r="A113" s="45"/>
      <c r="B113" s="85"/>
      <c r="C113" s="41"/>
      <c r="D113" s="41"/>
      <c r="E113" s="41"/>
      <c r="F113" s="41"/>
      <c r="G113" s="41"/>
      <c r="H113" s="36"/>
      <c r="I113" s="36"/>
      <c r="J113" s="41"/>
      <c r="K113" s="41"/>
      <c r="L113" s="41"/>
      <c r="M113" s="41"/>
      <c r="N113" s="36"/>
      <c r="O113" s="36"/>
      <c r="P113" s="36"/>
      <c r="Q113" s="36"/>
      <c r="R113" s="36"/>
    </row>
    <row r="114" spans="1:18" hidden="1" x14ac:dyDescent="0.25">
      <c r="A114" s="45"/>
      <c r="B114" s="85"/>
      <c r="C114" s="41"/>
      <c r="D114" s="41"/>
      <c r="E114" s="41"/>
      <c r="F114" s="41"/>
      <c r="G114" s="41"/>
      <c r="H114" s="36"/>
      <c r="I114" s="36"/>
      <c r="J114" s="41"/>
      <c r="K114" s="41"/>
      <c r="L114" s="41"/>
      <c r="M114" s="41"/>
      <c r="N114" s="36"/>
      <c r="O114" s="36"/>
      <c r="P114" s="36"/>
      <c r="Q114" s="36"/>
      <c r="R114" s="36"/>
    </row>
    <row r="115" spans="1:18" x14ac:dyDescent="0.25">
      <c r="A115" s="467" t="s">
        <v>605</v>
      </c>
      <c r="B115" s="85">
        <v>173</v>
      </c>
      <c r="C115" s="41">
        <f>ROUND('Biomass Data Assumptions'!$B$71/1000*B115,0)</f>
        <v>69</v>
      </c>
      <c r="D115" s="41">
        <f>'Biomass Data Assumptions'!$C$71*C115</f>
        <v>1183695</v>
      </c>
      <c r="E115" s="41">
        <f>('Biomass Data Assumptions'!$D$71*'Energy Content Assumptions'!$C$55*D115)/2000</f>
        <v>29.592375000000001</v>
      </c>
      <c r="F115" s="41">
        <f>'Biomass Data Assumptions'!$E$71*B115*365/2000</f>
        <v>0</v>
      </c>
      <c r="G115" s="41">
        <f>F115+E115</f>
        <v>29.592375000000001</v>
      </c>
      <c r="H115" s="36"/>
      <c r="I115" s="36"/>
      <c r="J115" s="41"/>
      <c r="K115" s="41"/>
      <c r="L115" s="41"/>
      <c r="M115" s="41"/>
      <c r="N115" s="36"/>
      <c r="O115" s="36"/>
      <c r="P115" s="36"/>
      <c r="Q115" s="36"/>
      <c r="R115" s="36"/>
    </row>
    <row r="116" spans="1:18" x14ac:dyDescent="0.25">
      <c r="A116" s="46"/>
      <c r="B116" s="41"/>
      <c r="C116" s="41"/>
      <c r="D116" s="41"/>
      <c r="E116" s="41"/>
      <c r="F116" s="41"/>
      <c r="G116" s="41"/>
      <c r="H116" s="36"/>
      <c r="I116" s="36"/>
      <c r="J116" s="41"/>
      <c r="K116" s="41"/>
      <c r="L116" s="41"/>
      <c r="M116" s="41"/>
      <c r="N116" s="36"/>
      <c r="O116" s="36"/>
      <c r="P116" s="36"/>
      <c r="Q116" s="36"/>
      <c r="R116" s="36"/>
    </row>
    <row r="117" spans="1:18" x14ac:dyDescent="0.25">
      <c r="A117" s="43" t="s">
        <v>551</v>
      </c>
      <c r="B117" s="85">
        <f>362+535+3299</f>
        <v>4196</v>
      </c>
      <c r="C117" s="41">
        <f>ROUND('Biomass Data Assumptions'!B72/1000*B117,0)</f>
        <v>21</v>
      </c>
      <c r="D117" s="41">
        <f>'Biomass Data Assumptions'!C72*C117</f>
        <v>383250</v>
      </c>
      <c r="E117" s="41">
        <f>('Biomass Data Assumptions'!D72*'Energy Content Assumptions'!C56*D117)/2000</f>
        <v>37.366875</v>
      </c>
      <c r="F117" s="41">
        <f>'Biomass Data Assumptions'!E72*B117*365/2000</f>
        <v>0</v>
      </c>
      <c r="G117" s="41">
        <f>F117+E117</f>
        <v>37.366875</v>
      </c>
      <c r="H117" s="150" t="s">
        <v>611</v>
      </c>
      <c r="I117" s="36"/>
      <c r="J117" s="41"/>
      <c r="K117" s="41"/>
      <c r="L117" s="41"/>
      <c r="M117" s="41"/>
      <c r="N117" s="36"/>
      <c r="O117" s="36"/>
      <c r="P117" s="36"/>
      <c r="Q117" s="36"/>
      <c r="R117" s="36"/>
    </row>
    <row r="118" spans="1:18" x14ac:dyDescent="0.25">
      <c r="A118" s="43"/>
      <c r="B118" s="41"/>
      <c r="C118" s="41"/>
      <c r="D118" s="41"/>
      <c r="E118" s="41"/>
      <c r="F118" s="41"/>
      <c r="G118" s="41"/>
      <c r="H118" s="36"/>
      <c r="I118" s="36"/>
      <c r="J118" s="41"/>
      <c r="K118" s="41"/>
      <c r="L118" s="41"/>
      <c r="M118" s="41"/>
      <c r="N118" s="36"/>
      <c r="O118" s="36"/>
      <c r="P118" s="36"/>
      <c r="Q118" s="36"/>
      <c r="R118" s="36"/>
    </row>
    <row r="119" spans="1:18" x14ac:dyDescent="0.25">
      <c r="A119" s="43" t="s">
        <v>552</v>
      </c>
      <c r="B119" s="85">
        <v>7581</v>
      </c>
      <c r="C119" s="41">
        <f>ROUND('Biomass Data Assumptions'!B73/1000*B119,0)</f>
        <v>152</v>
      </c>
      <c r="D119" s="41">
        <f>'Biomass Data Assumptions'!C73*C119</f>
        <v>2052760</v>
      </c>
      <c r="E119" s="41">
        <f>('Biomass Data Assumptions'!D73*'Energy Content Assumptions'!C57*D119)/2000</f>
        <v>192.44624999999999</v>
      </c>
      <c r="F119" s="41">
        <f>'Biomass Data Assumptions'!E73*B119*365/2000</f>
        <v>138.35325</v>
      </c>
      <c r="G119" s="41">
        <f>F119+E119</f>
        <v>330.79949999999997</v>
      </c>
      <c r="H119" s="36"/>
      <c r="I119" s="36"/>
      <c r="J119" s="41"/>
      <c r="K119" s="41"/>
      <c r="L119" s="41"/>
      <c r="M119" s="41"/>
      <c r="N119" s="36"/>
      <c r="O119" s="36"/>
      <c r="P119" s="36"/>
      <c r="Q119" s="36"/>
      <c r="R119" s="36"/>
    </row>
    <row r="120" spans="1:18" x14ac:dyDescent="0.25">
      <c r="A120" s="43"/>
      <c r="B120" s="41"/>
      <c r="C120" s="41"/>
      <c r="D120" s="41"/>
      <c r="E120" s="41"/>
      <c r="F120" s="41"/>
      <c r="G120" s="41"/>
      <c r="H120" s="36"/>
      <c r="I120" s="36"/>
      <c r="J120" s="41"/>
      <c r="K120" s="41"/>
      <c r="L120" s="41"/>
      <c r="M120" s="41"/>
      <c r="N120" s="36"/>
      <c r="O120" s="36"/>
      <c r="P120" s="36"/>
      <c r="Q120" s="36"/>
      <c r="R120" s="36"/>
    </row>
    <row r="121" spans="1:18" x14ac:dyDescent="0.25">
      <c r="A121" s="43" t="s">
        <v>553</v>
      </c>
      <c r="B121" s="86">
        <f t="shared" ref="B121:G121" si="14">B97+B104+B106+B108+B110+B115+B117+B119</f>
        <v>16570</v>
      </c>
      <c r="C121" s="48">
        <f t="shared" si="14"/>
        <v>2504</v>
      </c>
      <c r="D121" s="48">
        <f t="shared" si="14"/>
        <v>56506197.5</v>
      </c>
      <c r="E121" s="48">
        <f t="shared" si="14"/>
        <v>1712.6250775000001</v>
      </c>
      <c r="F121" s="48">
        <f t="shared" si="14"/>
        <v>4957.2657500000005</v>
      </c>
      <c r="G121" s="48">
        <f t="shared" si="14"/>
        <v>6669.8908275000003</v>
      </c>
      <c r="H121" s="36"/>
      <c r="I121" s="36"/>
      <c r="J121" s="48"/>
      <c r="K121" s="48"/>
      <c r="L121" s="48"/>
      <c r="M121" s="48"/>
      <c r="N121" s="36"/>
      <c r="O121" s="36"/>
      <c r="P121" s="36"/>
      <c r="Q121" s="36"/>
      <c r="R121" s="36"/>
    </row>
    <row r="122" spans="1:18" x14ac:dyDescent="0.25">
      <c r="A122" s="36"/>
      <c r="B122" s="36"/>
      <c r="C122" s="36"/>
      <c r="D122" s="36"/>
      <c r="E122" s="36"/>
      <c r="F122" s="36"/>
      <c r="G122" s="36"/>
      <c r="H122" s="36"/>
      <c r="I122" s="36"/>
      <c r="J122" s="36"/>
      <c r="K122" s="36"/>
      <c r="L122" s="36"/>
      <c r="M122" s="36"/>
      <c r="N122" s="36"/>
      <c r="O122" s="36"/>
      <c r="P122" s="36"/>
      <c r="Q122" s="36"/>
      <c r="R122" s="36"/>
    </row>
    <row r="123" spans="1:18" x14ac:dyDescent="0.25">
      <c r="A123" s="49" t="s">
        <v>1014</v>
      </c>
      <c r="B123" s="49" t="s">
        <v>1043</v>
      </c>
      <c r="C123" s="49" t="s">
        <v>1044</v>
      </c>
      <c r="D123" s="547" t="s">
        <v>1013</v>
      </c>
      <c r="E123" s="36"/>
      <c r="F123" s="36"/>
      <c r="G123" s="36"/>
      <c r="H123" s="36"/>
      <c r="I123" s="36"/>
      <c r="J123" s="36"/>
      <c r="K123" s="36"/>
      <c r="L123" s="36"/>
      <c r="M123" s="36"/>
      <c r="N123" s="36"/>
      <c r="O123" s="36"/>
      <c r="P123" s="36"/>
      <c r="Q123" s="36"/>
      <c r="R123" s="36"/>
    </row>
    <row r="124" spans="1:18" x14ac:dyDescent="0.25">
      <c r="A124" s="50" t="s">
        <v>555</v>
      </c>
      <c r="B124" s="87">
        <v>61960.52</v>
      </c>
      <c r="C124" s="543">
        <f>B124*'Energy Content Assumptions'!C33</f>
        <v>55764.468000000001</v>
      </c>
      <c r="D124" s="36"/>
      <c r="E124" s="36"/>
      <c r="F124" s="36"/>
      <c r="G124" s="36"/>
      <c r="H124" s="36"/>
      <c r="I124" s="36"/>
      <c r="J124" s="36"/>
      <c r="K124" s="36"/>
      <c r="L124" s="36"/>
      <c r="M124" s="36"/>
      <c r="N124" s="36"/>
      <c r="O124" s="36"/>
      <c r="P124" s="36"/>
      <c r="Q124" s="36"/>
      <c r="R124" s="36"/>
    </row>
    <row r="125" spans="1:18" x14ac:dyDescent="0.25">
      <c r="A125" s="50" t="s">
        <v>556</v>
      </c>
      <c r="B125" s="87">
        <v>14652</v>
      </c>
      <c r="C125" s="543">
        <f>B125*'Energy Content Assumptions'!C34</f>
        <v>13186.800000000001</v>
      </c>
      <c r="D125" s="36"/>
      <c r="E125" s="36"/>
      <c r="F125" s="36"/>
      <c r="G125" s="36"/>
      <c r="H125" s="36"/>
      <c r="I125" s="36"/>
      <c r="J125" s="36"/>
      <c r="K125" s="36"/>
      <c r="L125" s="36"/>
      <c r="M125" s="36"/>
      <c r="N125" s="36"/>
      <c r="O125" s="36"/>
      <c r="P125" s="36"/>
      <c r="Q125" s="36"/>
      <c r="R125" s="36"/>
    </row>
    <row r="126" spans="1:18" x14ac:dyDescent="0.25">
      <c r="A126" s="50" t="s">
        <v>557</v>
      </c>
      <c r="B126" s="87">
        <v>18636.080000000002</v>
      </c>
      <c r="C126" s="543">
        <f>B126*'Energy Content Assumptions'!C35</f>
        <v>16772.472000000002</v>
      </c>
      <c r="D126" s="36"/>
      <c r="E126" s="36"/>
      <c r="F126" s="36"/>
      <c r="G126" s="36"/>
      <c r="H126" s="36"/>
      <c r="I126" s="36"/>
      <c r="J126" s="36"/>
      <c r="K126" s="36"/>
      <c r="L126" s="36"/>
      <c r="M126" s="36"/>
      <c r="N126" s="36"/>
      <c r="O126" s="36"/>
      <c r="P126" s="36"/>
      <c r="Q126" s="36"/>
      <c r="R126" s="36"/>
    </row>
    <row r="127" spans="1:18" x14ac:dyDescent="0.25">
      <c r="A127" s="50" t="s">
        <v>558</v>
      </c>
      <c r="B127" s="87">
        <v>12970.78</v>
      </c>
      <c r="C127" s="543">
        <f>B127*'Energy Content Assumptions'!C36</f>
        <v>11673.702000000001</v>
      </c>
      <c r="D127" s="36"/>
      <c r="E127" s="36"/>
      <c r="F127" s="36"/>
      <c r="G127" s="36"/>
      <c r="H127" s="36"/>
      <c r="I127" s="36"/>
      <c r="J127" s="36"/>
      <c r="K127" s="36"/>
      <c r="L127" s="36"/>
      <c r="M127" s="36"/>
      <c r="N127" s="36"/>
      <c r="O127" s="36"/>
      <c r="P127" s="36"/>
      <c r="Q127" s="36"/>
      <c r="R127" s="36"/>
    </row>
    <row r="128" spans="1:18" x14ac:dyDescent="0.25">
      <c r="A128" s="50" t="s">
        <v>559</v>
      </c>
      <c r="B128" s="87">
        <v>24815.84</v>
      </c>
      <c r="C128" s="543">
        <f>B128*'Energy Content Assumptions'!C21</f>
        <v>12407.92</v>
      </c>
      <c r="D128" s="36"/>
      <c r="E128" s="36"/>
      <c r="F128" s="36"/>
      <c r="G128" s="36"/>
      <c r="H128" s="36"/>
      <c r="I128" s="36"/>
      <c r="J128" s="36"/>
      <c r="K128" s="36"/>
      <c r="L128" s="36"/>
      <c r="M128" s="36"/>
      <c r="N128" s="36"/>
      <c r="O128" s="36"/>
      <c r="P128" s="36"/>
      <c r="Q128" s="36"/>
      <c r="R128" s="36"/>
    </row>
    <row r="129" spans="1:18" x14ac:dyDescent="0.25">
      <c r="A129" s="50" t="s">
        <v>560</v>
      </c>
      <c r="B129" s="549">
        <v>12345.31</v>
      </c>
      <c r="C129" s="543">
        <f>B129*'Energy Content Assumptions'!C22</f>
        <v>4115.1033333333326</v>
      </c>
      <c r="D129" s="36"/>
      <c r="E129" s="36"/>
      <c r="F129" s="36"/>
      <c r="G129" s="36"/>
      <c r="H129" s="36"/>
      <c r="I129" s="36"/>
      <c r="J129" s="36"/>
      <c r="K129" s="36"/>
      <c r="L129" s="36"/>
      <c r="M129" s="36"/>
      <c r="N129" s="36"/>
      <c r="O129" s="36"/>
      <c r="P129" s="36"/>
      <c r="Q129" s="36"/>
      <c r="R129" s="36"/>
    </row>
    <row r="130" spans="1:18" x14ac:dyDescent="0.25">
      <c r="A130" s="50" t="s">
        <v>561</v>
      </c>
      <c r="B130" s="87">
        <v>51592.800000000003</v>
      </c>
      <c r="C130" s="543">
        <f>B130*'Energy Content Assumptions'!C23</f>
        <v>17197.599999999999</v>
      </c>
      <c r="D130" s="36"/>
      <c r="E130" s="36"/>
      <c r="F130" s="36"/>
      <c r="G130" s="36"/>
      <c r="H130" s="36"/>
      <c r="I130" s="36"/>
      <c r="J130" s="36"/>
      <c r="K130" s="36"/>
      <c r="L130" s="36"/>
      <c r="M130" s="36"/>
      <c r="N130" s="36"/>
      <c r="O130" s="36"/>
      <c r="P130" s="36"/>
      <c r="Q130" s="36"/>
      <c r="R130" s="36"/>
    </row>
    <row r="131" spans="1:18" x14ac:dyDescent="0.25">
      <c r="A131" s="50" t="s">
        <v>562</v>
      </c>
      <c r="B131" s="87">
        <v>3357.37</v>
      </c>
      <c r="C131" s="543">
        <f>B131*'Energy Content Assumptions'!C24</f>
        <v>1678.6849999999999</v>
      </c>
      <c r="D131" s="36"/>
      <c r="E131" s="36"/>
      <c r="F131" s="36"/>
      <c r="G131" s="36"/>
      <c r="H131" s="36"/>
      <c r="I131" s="36"/>
      <c r="J131" s="36"/>
      <c r="K131" s="36"/>
      <c r="L131" s="36"/>
      <c r="M131" s="36"/>
      <c r="N131" s="36"/>
      <c r="O131" s="36"/>
      <c r="P131" s="36"/>
      <c r="Q131" s="36"/>
      <c r="R131" s="36"/>
    </row>
    <row r="132" spans="1:18" x14ac:dyDescent="0.25">
      <c r="A132" s="50" t="s">
        <v>563</v>
      </c>
      <c r="B132" s="87">
        <v>3658.87</v>
      </c>
      <c r="C132" s="543">
        <f>B132*'Energy Content Assumptions'!C31</f>
        <v>914.71749999999997</v>
      </c>
      <c r="D132" s="36"/>
      <c r="E132" s="36"/>
      <c r="F132" s="36"/>
      <c r="G132" s="36"/>
      <c r="H132" s="36"/>
      <c r="I132" s="36"/>
      <c r="J132" s="36"/>
      <c r="K132" s="36"/>
      <c r="L132" s="36"/>
      <c r="M132" s="36"/>
      <c r="N132" s="36"/>
      <c r="O132" s="36"/>
      <c r="P132" s="36"/>
      <c r="Q132" s="36"/>
      <c r="R132" s="36"/>
    </row>
    <row r="133" spans="1:18" x14ac:dyDescent="0.25">
      <c r="A133" s="50" t="s">
        <v>564</v>
      </c>
      <c r="B133" s="87">
        <v>479.41</v>
      </c>
      <c r="C133" s="543">
        <f>B133*'Energy Content Assumptions'!C19</f>
        <v>431.46900000000005</v>
      </c>
      <c r="D133" s="36"/>
      <c r="E133" s="36"/>
      <c r="F133" s="36"/>
      <c r="G133" s="36"/>
      <c r="H133" s="36"/>
      <c r="I133" s="36"/>
      <c r="J133" s="36"/>
      <c r="K133" s="36"/>
      <c r="L133" s="36"/>
      <c r="M133" s="36"/>
      <c r="N133" s="36"/>
      <c r="O133" s="36"/>
      <c r="P133" s="36"/>
      <c r="Q133" s="36"/>
      <c r="R133" s="36"/>
    </row>
    <row r="134" spans="1:18" x14ac:dyDescent="0.25">
      <c r="A134" s="50" t="s">
        <v>565</v>
      </c>
      <c r="B134" s="87">
        <v>3957.17</v>
      </c>
      <c r="C134" s="543">
        <f>B134*'Energy Content Assumptions'!C32</f>
        <v>3165.7360000000003</v>
      </c>
      <c r="D134" s="36"/>
      <c r="E134" s="36"/>
      <c r="F134" s="36"/>
      <c r="G134" s="36"/>
      <c r="H134" s="36"/>
      <c r="I134" s="36"/>
      <c r="J134" s="36"/>
      <c r="K134" s="36"/>
      <c r="L134" s="36"/>
      <c r="M134" s="36"/>
      <c r="N134" s="36"/>
      <c r="O134" s="36"/>
      <c r="P134" s="36"/>
      <c r="Q134" s="36"/>
      <c r="R134" s="36"/>
    </row>
    <row r="135" spans="1:18" x14ac:dyDescent="0.25">
      <c r="A135" s="36"/>
      <c r="B135" s="36"/>
      <c r="C135" s="36"/>
      <c r="D135" s="36"/>
      <c r="E135" s="36"/>
      <c r="F135" s="36"/>
      <c r="G135" s="36"/>
      <c r="H135" s="36"/>
      <c r="I135" s="36"/>
      <c r="J135" s="36"/>
      <c r="K135" s="36"/>
      <c r="L135" s="36"/>
      <c r="M135" s="36"/>
      <c r="N135" s="36"/>
      <c r="O135" s="36"/>
      <c r="P135" s="36"/>
      <c r="Q135" s="36"/>
      <c r="R135" s="36"/>
    </row>
    <row r="136" spans="1:18" x14ac:dyDescent="0.25">
      <c r="A136" s="49" t="s">
        <v>462</v>
      </c>
      <c r="B136" s="49" t="s">
        <v>1039</v>
      </c>
      <c r="C136" s="49" t="s">
        <v>1040</v>
      </c>
      <c r="D136" s="36"/>
      <c r="E136" s="36"/>
      <c r="F136" s="36"/>
      <c r="G136" s="36"/>
      <c r="H136" s="36"/>
      <c r="I136" s="36"/>
      <c r="J136" s="36"/>
      <c r="K136" s="36"/>
      <c r="L136" s="36"/>
      <c r="M136" s="36"/>
      <c r="N136" s="36"/>
      <c r="O136" s="36"/>
      <c r="P136" s="36"/>
      <c r="Q136" s="36"/>
      <c r="R136" s="36"/>
    </row>
    <row r="137" spans="1:18" x14ac:dyDescent="0.25">
      <c r="A137" s="50" t="s">
        <v>211</v>
      </c>
      <c r="B137" s="87">
        <f>'Biomass Data Assumptions'!$M$20</f>
        <v>541380.71</v>
      </c>
      <c r="C137" s="544"/>
      <c r="D137" s="546" t="s">
        <v>1016</v>
      </c>
      <c r="E137" s="36"/>
      <c r="F137" s="36"/>
      <c r="G137" s="36"/>
      <c r="H137" s="36"/>
      <c r="I137" s="36"/>
      <c r="J137" s="36"/>
      <c r="K137" s="36"/>
      <c r="L137" s="36"/>
      <c r="M137" s="36"/>
      <c r="N137" s="36"/>
      <c r="O137" s="36"/>
      <c r="P137" s="36"/>
      <c r="Q137" s="36"/>
      <c r="R137" s="36"/>
    </row>
    <row r="138" spans="1:18" x14ac:dyDescent="0.25">
      <c r="A138" s="50" t="s">
        <v>208</v>
      </c>
      <c r="B138" s="87">
        <f>'Biomass Data Assumptions'!$F$20</f>
        <v>295927.15999999997</v>
      </c>
      <c r="C138" s="543">
        <f>B138*'Energy Content Assumptions'!$C$28</f>
        <v>147963.57999999999</v>
      </c>
      <c r="D138" s="546" t="s">
        <v>1016</v>
      </c>
      <c r="E138" s="36"/>
      <c r="F138" s="36"/>
      <c r="G138" s="36"/>
      <c r="H138" s="36"/>
      <c r="I138" s="36"/>
      <c r="J138" s="36"/>
      <c r="K138" s="36"/>
      <c r="L138" s="36"/>
      <c r="M138" s="36"/>
      <c r="N138" s="36"/>
      <c r="O138" s="36"/>
      <c r="P138" s="36"/>
      <c r="Q138" s="36"/>
      <c r="R138" s="36"/>
    </row>
    <row r="139" spans="1:18" x14ac:dyDescent="0.25">
      <c r="A139" s="50" t="s">
        <v>209</v>
      </c>
      <c r="B139" s="87">
        <f>'Biomass Data Assumptions'!$H$20</f>
        <v>12709.6</v>
      </c>
      <c r="C139" s="543"/>
      <c r="D139" s="36" t="s">
        <v>1020</v>
      </c>
      <c r="E139" s="36"/>
      <c r="F139" s="36"/>
      <c r="G139" s="36"/>
      <c r="H139" s="36"/>
      <c r="I139" s="36"/>
      <c r="J139" s="36"/>
      <c r="K139" s="36"/>
      <c r="L139" s="36"/>
      <c r="M139" s="36"/>
      <c r="N139" s="36"/>
      <c r="O139" s="36"/>
      <c r="P139" s="36"/>
      <c r="Q139" s="36"/>
      <c r="R139" s="36"/>
    </row>
    <row r="140" spans="1:18" x14ac:dyDescent="0.25">
      <c r="A140" s="50" t="s">
        <v>210</v>
      </c>
      <c r="B140" s="87">
        <f>'Biomass Data Assumptions'!$I$20</f>
        <v>283217.56</v>
      </c>
      <c r="C140" s="543">
        <f>B140*'Energy Content Assumptions'!$C$28</f>
        <v>141608.78</v>
      </c>
      <c r="D140" s="36" t="s">
        <v>1021</v>
      </c>
      <c r="E140" s="36"/>
      <c r="F140" s="36"/>
      <c r="G140" s="36"/>
      <c r="H140" s="36"/>
      <c r="I140" s="36"/>
      <c r="J140" s="36"/>
      <c r="K140" s="36"/>
      <c r="L140" s="36"/>
      <c r="M140" s="36"/>
      <c r="N140" s="36"/>
      <c r="O140" s="36"/>
      <c r="P140" s="36"/>
      <c r="Q140" s="36"/>
      <c r="R140" s="36"/>
    </row>
    <row r="141" spans="1:18" x14ac:dyDescent="0.25">
      <c r="A141" s="50" t="str">
        <f>'Bioenergy Calculator'!B35</f>
        <v>Food waste, Landfilled</v>
      </c>
      <c r="B141" s="87">
        <f>IF('Bioenergy Calculator'!H75="No",'Biomass Data Assumptions'!J20,'Biomass Data Assumptions'!F20*'Biomass Data Assumptions'!I41)</f>
        <v>44805.017992000001</v>
      </c>
      <c r="C141" s="543">
        <f>B141*'Energy Content Assumptions'!C26</f>
        <v>13441.5053976</v>
      </c>
      <c r="D141" s="36" t="s">
        <v>1063</v>
      </c>
      <c r="E141" s="36"/>
      <c r="F141" s="36"/>
      <c r="G141" s="36"/>
      <c r="H141" s="36"/>
      <c r="I141" s="36"/>
      <c r="J141" s="36"/>
      <c r="K141" s="36"/>
      <c r="L141" s="36"/>
      <c r="M141" s="36"/>
      <c r="N141" s="36"/>
      <c r="O141" s="36"/>
      <c r="P141" s="36"/>
      <c r="Q141" s="36"/>
      <c r="R141" s="36"/>
    </row>
    <row r="142" spans="1:18" x14ac:dyDescent="0.25">
      <c r="A142" s="50" t="str">
        <f>'Bioenergy Calculator'!B36</f>
        <v>Waste paper, Landfilled</v>
      </c>
      <c r="B142" s="87">
        <f>IF('Bioenergy Calculator'!H75="No",'Biomass Data Assumptions'!K20,'Biomass Data Assumptions'!F20*'Biomass Data Assumptions'!I42)</f>
        <v>55085.815419999999</v>
      </c>
      <c r="C142" s="543">
        <f>B142*'Energy Content Assumptions'!C27</f>
        <v>49577.233877999999</v>
      </c>
      <c r="D142" s="36" t="s">
        <v>1063</v>
      </c>
      <c r="E142" s="36"/>
      <c r="F142" s="36"/>
      <c r="G142" s="36"/>
      <c r="H142" s="36"/>
      <c r="I142" s="36"/>
      <c r="J142" s="36"/>
      <c r="K142" s="36"/>
      <c r="L142" s="36"/>
      <c r="M142" s="36"/>
      <c r="N142" s="36"/>
      <c r="O142" s="36"/>
      <c r="P142" s="36"/>
      <c r="Q142" s="36"/>
      <c r="R142" s="36"/>
    </row>
    <row r="143" spans="1:18" x14ac:dyDescent="0.25">
      <c r="A143" s="50" t="str">
        <f>'Bioenergy Calculator'!B37</f>
        <v>Other Biomass, Landfilled</v>
      </c>
      <c r="B143" s="87">
        <f>IF('Bioenergy Calculator'!H75="No",'Biomass Data Assumptions'!L20,'Biomass Data Assumptions'!F20*'Biomass Data Assumptions'!I43)</f>
        <v>76270.488907999999</v>
      </c>
      <c r="C143" s="543">
        <f>B143*'Energy Content Assumptions'!$C$28</f>
        <v>38135.244454</v>
      </c>
      <c r="D143" s="546" t="s">
        <v>1064</v>
      </c>
      <c r="E143" s="36"/>
      <c r="F143" s="36"/>
      <c r="G143" s="36"/>
      <c r="H143" s="36"/>
      <c r="I143" s="36"/>
      <c r="J143" s="36"/>
      <c r="K143" s="36"/>
      <c r="L143" s="36"/>
      <c r="M143" s="36"/>
      <c r="N143" s="36"/>
      <c r="O143" s="36"/>
      <c r="P143" s="36"/>
      <c r="Q143" s="36"/>
      <c r="R143" s="36"/>
    </row>
    <row r="144" spans="1:18" x14ac:dyDescent="0.25">
      <c r="A144" s="50" t="s">
        <v>463</v>
      </c>
      <c r="B144" s="87">
        <v>61769.71</v>
      </c>
      <c r="C144" s="543">
        <f>B144*'Energy Content Assumptions'!C29</f>
        <v>49415.768000000004</v>
      </c>
      <c r="D144" s="151" t="s">
        <v>206</v>
      </c>
      <c r="E144" s="36"/>
      <c r="F144" s="36"/>
      <c r="G144" s="36"/>
      <c r="H144" s="36"/>
      <c r="I144" s="36"/>
      <c r="J144" s="36"/>
      <c r="K144" s="36"/>
      <c r="L144" s="36"/>
      <c r="M144" s="36"/>
      <c r="N144" s="36"/>
      <c r="O144" s="36"/>
      <c r="P144" s="36"/>
      <c r="Q144" s="36"/>
      <c r="R144" s="36"/>
    </row>
    <row r="145" spans="1:18" x14ac:dyDescent="0.25">
      <c r="A145" s="709" t="s">
        <v>179</v>
      </c>
      <c r="B145" s="710">
        <v>0.4</v>
      </c>
      <c r="C145" s="543">
        <f>C144*B145</f>
        <v>19766.307200000003</v>
      </c>
      <c r="D145" s="36" t="s">
        <v>1202</v>
      </c>
      <c r="E145" s="36"/>
      <c r="F145" s="36"/>
      <c r="G145" s="36"/>
      <c r="H145" s="36"/>
      <c r="I145" s="36"/>
      <c r="J145" s="36"/>
      <c r="K145" s="36"/>
      <c r="L145" s="36"/>
      <c r="M145" s="36"/>
      <c r="N145" s="36"/>
      <c r="O145" s="36"/>
      <c r="P145" s="36"/>
      <c r="Q145" s="36"/>
      <c r="R145" s="36"/>
    </row>
    <row r="146" spans="1:18" x14ac:dyDescent="0.25">
      <c r="A146" s="712"/>
      <c r="B146" s="713"/>
      <c r="C146" s="543"/>
      <c r="D146" s="150" t="s">
        <v>1553</v>
      </c>
      <c r="E146" s="36"/>
      <c r="F146" s="36"/>
      <c r="G146" s="36"/>
      <c r="H146" s="36"/>
      <c r="I146" s="36"/>
      <c r="J146" s="36"/>
      <c r="K146" s="36"/>
      <c r="L146" s="36"/>
      <c r="M146" s="36"/>
      <c r="N146" s="36"/>
      <c r="O146" s="36"/>
      <c r="P146" s="36"/>
      <c r="Q146" s="36"/>
      <c r="R146" s="36"/>
    </row>
    <row r="147" spans="1:18" x14ac:dyDescent="0.25">
      <c r="A147" s="1238" t="s">
        <v>1568</v>
      </c>
      <c r="B147" s="49" t="s">
        <v>1039</v>
      </c>
      <c r="C147" s="49" t="s">
        <v>1571</v>
      </c>
      <c r="D147" s="150"/>
      <c r="E147" s="36"/>
      <c r="F147" s="36"/>
      <c r="G147" s="36"/>
      <c r="H147" s="36"/>
      <c r="I147" s="36"/>
      <c r="J147" s="36"/>
      <c r="K147" s="36"/>
      <c r="L147" s="36"/>
      <c r="M147" s="36"/>
      <c r="N147" s="36"/>
      <c r="O147" s="36"/>
      <c r="P147" s="36"/>
      <c r="Q147" s="36"/>
      <c r="R147" s="36"/>
    </row>
    <row r="148" spans="1:18" x14ac:dyDescent="0.25">
      <c r="A148" s="1236" t="s">
        <v>508</v>
      </c>
      <c r="B148" s="549">
        <f>'Biomass Data Assumptions'!R20/2000</f>
        <v>2166.0144000000005</v>
      </c>
      <c r="C148" s="1239">
        <f>B148*'Energy Content Assumptions'!C39</f>
        <v>1841.1122400000004</v>
      </c>
      <c r="D148" s="150" t="s">
        <v>1569</v>
      </c>
      <c r="E148" s="36"/>
      <c r="F148" s="36"/>
      <c r="G148" s="36"/>
      <c r="H148" s="36"/>
      <c r="I148" s="36"/>
      <c r="J148" s="36"/>
      <c r="K148" s="36"/>
      <c r="L148" s="36"/>
      <c r="M148" s="36"/>
      <c r="N148" s="36"/>
      <c r="O148" s="36"/>
      <c r="P148" s="36"/>
      <c r="Q148" s="36"/>
      <c r="R148" s="36"/>
    </row>
    <row r="149" spans="1:18" x14ac:dyDescent="0.25">
      <c r="A149" s="1236" t="s">
        <v>509</v>
      </c>
      <c r="B149" s="549">
        <f>'Biomass Data Assumptions'!S20/2000</f>
        <v>3290.8650599999996</v>
      </c>
      <c r="C149" s="1239">
        <f>B149*'Energy Content Assumptions'!C40</f>
        <v>164.54325299999999</v>
      </c>
      <c r="D149" s="150" t="s">
        <v>1570</v>
      </c>
      <c r="E149" s="36"/>
      <c r="F149" s="36"/>
      <c r="G149" s="36"/>
      <c r="H149" s="36"/>
      <c r="I149" s="36"/>
      <c r="J149" s="36"/>
      <c r="K149" s="36"/>
      <c r="L149" s="36"/>
      <c r="M149" s="36"/>
      <c r="N149" s="36"/>
      <c r="O149" s="36"/>
      <c r="P149" s="36"/>
      <c r="Q149" s="36"/>
      <c r="R149" s="36"/>
    </row>
    <row r="150" spans="1:18" x14ac:dyDescent="0.25">
      <c r="A150" s="36"/>
      <c r="B150" s="36"/>
      <c r="C150" s="36"/>
      <c r="D150" s="36"/>
      <c r="E150" s="36"/>
      <c r="F150" s="36"/>
      <c r="G150" s="36"/>
      <c r="H150" s="36"/>
      <c r="I150" s="36"/>
      <c r="J150" s="36"/>
      <c r="K150" s="36"/>
      <c r="L150" s="36"/>
      <c r="M150" s="36"/>
      <c r="N150" s="36"/>
      <c r="O150" s="36"/>
      <c r="P150" s="36"/>
      <c r="Q150" s="36"/>
      <c r="R150" s="36"/>
    </row>
    <row r="151" spans="1:18" x14ac:dyDescent="0.25">
      <c r="A151" s="36"/>
      <c r="B151" s="36"/>
      <c r="C151" s="36"/>
      <c r="D151" s="36"/>
      <c r="E151" s="36"/>
      <c r="F151" s="36"/>
      <c r="G151" s="36"/>
      <c r="H151" s="36"/>
      <c r="I151" s="36"/>
      <c r="J151" s="36"/>
      <c r="K151" s="36"/>
      <c r="L151" s="36"/>
      <c r="M151" s="36"/>
      <c r="N151" s="36"/>
      <c r="O151" s="36"/>
      <c r="P151" s="36"/>
      <c r="Q151" s="36"/>
      <c r="R151" s="36"/>
    </row>
    <row r="152" spans="1:18" x14ac:dyDescent="0.25">
      <c r="A152" s="36"/>
      <c r="B152" s="36"/>
      <c r="C152" s="36"/>
      <c r="D152" s="36"/>
      <c r="E152" s="36"/>
      <c r="F152" s="36"/>
      <c r="G152" s="36"/>
      <c r="H152" s="36"/>
      <c r="I152" s="36"/>
      <c r="J152" s="36"/>
      <c r="K152" s="36"/>
      <c r="L152" s="36"/>
      <c r="M152" s="36"/>
      <c r="N152" s="36"/>
      <c r="O152" s="36"/>
      <c r="P152" s="36"/>
      <c r="Q152" s="36"/>
      <c r="R152" s="36"/>
    </row>
    <row r="153" spans="1:18" x14ac:dyDescent="0.25">
      <c r="A153" s="36"/>
      <c r="B153" s="36"/>
      <c r="C153" s="36"/>
      <c r="D153" s="36"/>
      <c r="E153" s="36"/>
      <c r="F153" s="36"/>
      <c r="G153" s="36"/>
      <c r="H153" s="36"/>
      <c r="I153" s="36"/>
      <c r="J153" s="36"/>
      <c r="K153" s="36"/>
      <c r="L153" s="36"/>
      <c r="M153" s="36"/>
      <c r="N153" s="36"/>
      <c r="O153" s="36"/>
      <c r="P153" s="36"/>
      <c r="Q153" s="36"/>
      <c r="R153" s="36"/>
    </row>
    <row r="154" spans="1:18" x14ac:dyDescent="0.25">
      <c r="A154" s="36"/>
      <c r="B154" s="36"/>
      <c r="C154" s="36"/>
      <c r="D154" s="36"/>
      <c r="E154" s="36"/>
      <c r="F154" s="36"/>
      <c r="G154" s="36"/>
      <c r="H154" s="36"/>
      <c r="I154" s="36"/>
      <c r="J154" s="36"/>
      <c r="K154" s="36"/>
      <c r="L154" s="36"/>
      <c r="M154" s="36"/>
      <c r="N154" s="36"/>
      <c r="O154" s="36"/>
      <c r="P154" s="36"/>
      <c r="Q154" s="36"/>
      <c r="R154" s="36"/>
    </row>
    <row r="155" spans="1:18" x14ac:dyDescent="0.25">
      <c r="A155" s="36"/>
      <c r="B155" s="36"/>
      <c r="C155" s="36"/>
      <c r="D155" s="36"/>
      <c r="E155" s="36"/>
      <c r="F155" s="36"/>
      <c r="G155" s="36"/>
      <c r="H155" s="36"/>
      <c r="I155" s="36"/>
      <c r="J155" s="36"/>
      <c r="K155" s="36"/>
      <c r="L155" s="36"/>
      <c r="M155" s="36"/>
      <c r="N155" s="36"/>
      <c r="O155" s="36"/>
      <c r="P155" s="36"/>
      <c r="Q155" s="36"/>
      <c r="R155" s="36"/>
    </row>
    <row r="156" spans="1:18" x14ac:dyDescent="0.25">
      <c r="A156" s="36"/>
      <c r="B156" s="36"/>
      <c r="C156" s="36"/>
      <c r="D156" s="36"/>
      <c r="E156" s="36"/>
      <c r="F156" s="36"/>
      <c r="G156" s="36"/>
      <c r="H156" s="36"/>
      <c r="I156" s="36"/>
      <c r="J156" s="36"/>
      <c r="K156" s="36"/>
      <c r="L156" s="36"/>
      <c r="M156" s="36"/>
      <c r="N156" s="36"/>
      <c r="O156" s="36"/>
      <c r="P156" s="36"/>
      <c r="Q156" s="36"/>
      <c r="R156" s="36"/>
    </row>
    <row r="157" spans="1:18" x14ac:dyDescent="0.25">
      <c r="A157" s="36"/>
      <c r="B157" s="36"/>
      <c r="C157" s="36"/>
      <c r="D157" s="36"/>
      <c r="E157" s="36"/>
      <c r="F157" s="36"/>
      <c r="G157" s="36"/>
      <c r="H157" s="36"/>
      <c r="I157" s="36"/>
      <c r="J157" s="36"/>
      <c r="K157" s="36"/>
      <c r="L157" s="36"/>
      <c r="M157" s="36"/>
      <c r="N157" s="36"/>
      <c r="O157" s="36"/>
      <c r="P157" s="36"/>
      <c r="Q157" s="36"/>
      <c r="R157" s="36"/>
    </row>
    <row r="158" spans="1:18" x14ac:dyDescent="0.25">
      <c r="A158" s="36"/>
      <c r="B158" s="36"/>
      <c r="C158" s="36"/>
      <c r="D158" s="36"/>
      <c r="E158" s="36"/>
      <c r="F158" s="36"/>
      <c r="G158" s="36"/>
      <c r="H158" s="36"/>
      <c r="I158" s="36"/>
      <c r="J158" s="36"/>
      <c r="K158" s="36"/>
      <c r="L158" s="36"/>
      <c r="M158" s="36"/>
      <c r="N158" s="36"/>
      <c r="O158" s="36"/>
      <c r="P158" s="36"/>
      <c r="Q158" s="36"/>
      <c r="R158" s="36"/>
    </row>
    <row r="159" spans="1:18" x14ac:dyDescent="0.25">
      <c r="A159" s="36"/>
      <c r="B159" s="36"/>
      <c r="C159" s="36"/>
      <c r="D159" s="36"/>
      <c r="E159" s="36"/>
      <c r="F159" s="36"/>
      <c r="G159" s="36"/>
      <c r="H159" s="36"/>
      <c r="I159" s="36"/>
      <c r="J159" s="36"/>
      <c r="K159" s="36"/>
      <c r="L159" s="36"/>
      <c r="M159" s="36"/>
      <c r="N159" s="36"/>
      <c r="O159" s="36"/>
      <c r="P159" s="36"/>
      <c r="Q159" s="36"/>
      <c r="R159" s="36"/>
    </row>
    <row r="160" spans="1:18" x14ac:dyDescent="0.25">
      <c r="A160" s="36"/>
      <c r="B160" s="36"/>
      <c r="C160" s="36"/>
      <c r="D160" s="36"/>
      <c r="E160" s="36"/>
      <c r="F160" s="36"/>
      <c r="G160" s="36"/>
      <c r="H160" s="36"/>
      <c r="I160" s="36"/>
      <c r="J160" s="36"/>
      <c r="K160" s="36"/>
      <c r="L160" s="36"/>
      <c r="M160" s="36"/>
      <c r="N160" s="36"/>
      <c r="O160" s="36"/>
      <c r="P160" s="36"/>
      <c r="Q160" s="36"/>
      <c r="R160" s="36"/>
    </row>
    <row r="161" spans="1:18" x14ac:dyDescent="0.25">
      <c r="A161" s="36"/>
      <c r="B161" s="36"/>
      <c r="C161" s="36"/>
      <c r="D161" s="36"/>
      <c r="E161" s="36"/>
      <c r="F161" s="36"/>
      <c r="G161" s="36"/>
      <c r="H161" s="36"/>
      <c r="I161" s="36"/>
      <c r="J161" s="36"/>
      <c r="K161" s="36"/>
      <c r="L161" s="36"/>
      <c r="M161" s="36"/>
      <c r="N161" s="36"/>
      <c r="O161" s="36"/>
      <c r="P161" s="36"/>
      <c r="Q161" s="36"/>
      <c r="R161" s="36"/>
    </row>
    <row r="162" spans="1:18" x14ac:dyDescent="0.25">
      <c r="A162" s="36"/>
      <c r="B162" s="36"/>
      <c r="C162" s="36"/>
      <c r="D162" s="36"/>
      <c r="E162" s="36"/>
      <c r="F162" s="36"/>
      <c r="G162" s="36"/>
      <c r="H162" s="36"/>
      <c r="I162" s="36"/>
      <c r="J162" s="36"/>
      <c r="K162" s="36"/>
      <c r="L162" s="36"/>
      <c r="M162" s="36"/>
      <c r="N162" s="36"/>
      <c r="O162" s="36"/>
      <c r="P162" s="36"/>
      <c r="Q162" s="36"/>
      <c r="R162" s="36"/>
    </row>
    <row r="163" spans="1:18" x14ac:dyDescent="0.25">
      <c r="A163" s="36"/>
      <c r="B163" s="36"/>
      <c r="C163" s="36"/>
      <c r="D163" s="36"/>
      <c r="E163" s="36"/>
      <c r="F163" s="36"/>
      <c r="G163" s="36"/>
      <c r="H163" s="36"/>
      <c r="I163" s="36"/>
      <c r="J163" s="36"/>
      <c r="K163" s="36"/>
      <c r="L163" s="36"/>
      <c r="M163" s="36"/>
      <c r="N163" s="36"/>
      <c r="O163" s="36"/>
      <c r="P163" s="36"/>
      <c r="Q163" s="36"/>
      <c r="R163" s="36"/>
    </row>
    <row r="164" spans="1:18" x14ac:dyDescent="0.25">
      <c r="A164" s="36"/>
      <c r="B164" s="36"/>
      <c r="C164" s="36"/>
      <c r="D164" s="36"/>
      <c r="E164" s="36"/>
      <c r="F164" s="36"/>
      <c r="G164" s="36"/>
      <c r="H164" s="36"/>
      <c r="I164" s="36"/>
      <c r="J164" s="36"/>
      <c r="K164" s="36"/>
      <c r="L164" s="36"/>
      <c r="M164" s="36"/>
      <c r="N164" s="36"/>
      <c r="O164" s="36"/>
      <c r="P164" s="36"/>
      <c r="Q164" s="36"/>
      <c r="R164" s="36"/>
    </row>
    <row r="165" spans="1:18" x14ac:dyDescent="0.25">
      <c r="A165" s="36"/>
      <c r="B165" s="36"/>
      <c r="C165" s="36"/>
      <c r="D165" s="36"/>
      <c r="E165" s="36"/>
      <c r="F165" s="36"/>
      <c r="G165" s="36"/>
      <c r="H165" s="36"/>
      <c r="I165" s="36"/>
      <c r="J165" s="36"/>
      <c r="K165" s="36"/>
      <c r="L165" s="36"/>
      <c r="M165" s="36"/>
      <c r="N165" s="36"/>
      <c r="O165" s="36"/>
      <c r="P165" s="36"/>
      <c r="Q165" s="36"/>
      <c r="R165" s="36"/>
    </row>
    <row r="166" spans="1:18" x14ac:dyDescent="0.25">
      <c r="A166" s="36"/>
      <c r="B166" s="36"/>
      <c r="C166" s="36"/>
      <c r="D166" s="36"/>
      <c r="E166" s="36"/>
      <c r="F166" s="36"/>
      <c r="G166" s="36"/>
      <c r="H166" s="36"/>
      <c r="I166" s="36"/>
      <c r="J166" s="36"/>
      <c r="K166" s="36"/>
      <c r="L166" s="36"/>
      <c r="M166" s="36"/>
      <c r="N166" s="36"/>
      <c r="O166" s="36"/>
      <c r="P166" s="36"/>
      <c r="Q166" s="36"/>
      <c r="R166" s="36"/>
    </row>
    <row r="167" spans="1:18" x14ac:dyDescent="0.25">
      <c r="A167" s="36"/>
      <c r="B167" s="36"/>
      <c r="C167" s="36"/>
      <c r="D167" s="36"/>
      <c r="E167" s="36"/>
      <c r="F167" s="36"/>
      <c r="G167" s="36"/>
      <c r="H167" s="36"/>
      <c r="I167" s="36"/>
      <c r="J167" s="36"/>
      <c r="K167" s="36"/>
      <c r="L167" s="36"/>
      <c r="M167" s="36"/>
      <c r="N167" s="36"/>
      <c r="O167" s="36"/>
      <c r="P167" s="36"/>
      <c r="Q167" s="36"/>
      <c r="R167" s="36"/>
    </row>
    <row r="168" spans="1:18" x14ac:dyDescent="0.25">
      <c r="A168" s="36"/>
      <c r="B168" s="36"/>
      <c r="C168" s="36"/>
      <c r="D168" s="36"/>
      <c r="E168" s="36"/>
      <c r="F168" s="36"/>
      <c r="G168" s="36"/>
      <c r="H168" s="36"/>
      <c r="I168" s="36"/>
      <c r="J168" s="36"/>
      <c r="K168" s="36"/>
      <c r="L168" s="36"/>
      <c r="M168" s="36"/>
      <c r="N168" s="36"/>
      <c r="O168" s="36"/>
      <c r="P168" s="36"/>
      <c r="Q168" s="36"/>
      <c r="R168" s="36"/>
    </row>
    <row r="169" spans="1:18" x14ac:dyDescent="0.25">
      <c r="A169" s="36"/>
      <c r="B169" s="36"/>
      <c r="C169" s="36"/>
      <c r="D169" s="36"/>
      <c r="E169" s="36"/>
      <c r="F169" s="36"/>
      <c r="G169" s="36"/>
      <c r="H169" s="36"/>
      <c r="I169" s="36"/>
      <c r="J169" s="36"/>
      <c r="K169" s="36"/>
      <c r="L169" s="36"/>
      <c r="M169" s="36"/>
      <c r="N169" s="36"/>
      <c r="O169" s="36"/>
      <c r="P169" s="36"/>
      <c r="Q169" s="36"/>
      <c r="R169" s="36"/>
    </row>
    <row r="170" spans="1:18" x14ac:dyDescent="0.25">
      <c r="A170" s="36"/>
      <c r="B170" s="36"/>
      <c r="C170" s="36"/>
      <c r="D170" s="36"/>
      <c r="E170" s="36"/>
      <c r="F170" s="36"/>
      <c r="G170" s="36"/>
      <c r="H170" s="36"/>
      <c r="I170" s="36"/>
      <c r="J170" s="36"/>
      <c r="K170" s="36"/>
      <c r="L170" s="36"/>
      <c r="M170" s="36"/>
      <c r="N170" s="36"/>
      <c r="O170" s="36"/>
      <c r="P170" s="36"/>
      <c r="Q170" s="36"/>
      <c r="R170" s="36"/>
    </row>
    <row r="171" spans="1:18" x14ac:dyDescent="0.25">
      <c r="P171" s="36"/>
      <c r="Q171" s="36"/>
      <c r="R171" s="36"/>
    </row>
    <row r="172" spans="1:18" x14ac:dyDescent="0.25">
      <c r="P172" s="36"/>
      <c r="Q172" s="36"/>
      <c r="R172" s="36"/>
    </row>
    <row r="173" spans="1:18" x14ac:dyDescent="0.25">
      <c r="P173" s="36"/>
      <c r="Q173" s="36"/>
      <c r="R173" s="36"/>
    </row>
    <row r="174" spans="1:18" x14ac:dyDescent="0.25">
      <c r="P174" s="36"/>
      <c r="Q174" s="36"/>
      <c r="R174" s="36"/>
    </row>
    <row r="175" spans="1:18" x14ac:dyDescent="0.25">
      <c r="P175" s="36"/>
      <c r="Q175" s="36"/>
      <c r="R175" s="36"/>
    </row>
    <row r="176" spans="1:18" x14ac:dyDescent="0.25">
      <c r="P176" s="36"/>
      <c r="Q176" s="36"/>
      <c r="R176" s="36"/>
    </row>
    <row r="177" spans="16:18" x14ac:dyDescent="0.25">
      <c r="P177" s="36"/>
      <c r="Q177" s="36"/>
      <c r="R177" s="36"/>
    </row>
    <row r="178" spans="16:18" x14ac:dyDescent="0.25">
      <c r="P178" s="36"/>
      <c r="Q178" s="36"/>
      <c r="R178" s="36"/>
    </row>
    <row r="179" spans="16:18" x14ac:dyDescent="0.25">
      <c r="P179" s="36"/>
      <c r="Q179" s="36"/>
      <c r="R179" s="36"/>
    </row>
    <row r="180" spans="16:18" x14ac:dyDescent="0.25">
      <c r="P180" s="36"/>
      <c r="Q180" s="36"/>
      <c r="R180" s="36"/>
    </row>
    <row r="181" spans="16:18" x14ac:dyDescent="0.25">
      <c r="P181" s="36"/>
      <c r="Q181" s="36"/>
      <c r="R181" s="36"/>
    </row>
    <row r="182" spans="16:18" x14ac:dyDescent="0.25">
      <c r="P182" s="36"/>
      <c r="Q182" s="36"/>
      <c r="R182" s="36"/>
    </row>
    <row r="183" spans="16:18" x14ac:dyDescent="0.25">
      <c r="P183" s="36"/>
      <c r="Q183" s="36"/>
      <c r="R183" s="36"/>
    </row>
    <row r="184" spans="16:18" x14ac:dyDescent="0.25">
      <c r="P184" s="36"/>
      <c r="Q184" s="36"/>
      <c r="R184" s="36"/>
    </row>
    <row r="185" spans="16:18" x14ac:dyDescent="0.25">
      <c r="P185" s="36"/>
      <c r="Q185" s="36"/>
      <c r="R185" s="36"/>
    </row>
    <row r="186" spans="16:18" x14ac:dyDescent="0.25">
      <c r="P186" s="36"/>
      <c r="Q186" s="36"/>
      <c r="R186" s="36"/>
    </row>
    <row r="187" spans="16:18" x14ac:dyDescent="0.25">
      <c r="P187" s="36"/>
      <c r="Q187" s="36"/>
      <c r="R187" s="36"/>
    </row>
    <row r="188" spans="16:18" x14ac:dyDescent="0.25">
      <c r="P188" s="36"/>
      <c r="Q188" s="36"/>
      <c r="R188" s="36"/>
    </row>
    <row r="189" spans="16:18" x14ac:dyDescent="0.25">
      <c r="P189" s="36"/>
      <c r="Q189" s="36"/>
      <c r="R189" s="36"/>
    </row>
    <row r="190" spans="16:18" x14ac:dyDescent="0.25">
      <c r="P190" s="36"/>
      <c r="Q190" s="36"/>
      <c r="R190" s="36"/>
    </row>
    <row r="191" spans="16:18" x14ac:dyDescent="0.25">
      <c r="P191" s="36"/>
      <c r="Q191" s="36"/>
      <c r="R191" s="36"/>
    </row>
    <row r="192" spans="16:18" x14ac:dyDescent="0.25">
      <c r="P192" s="36"/>
      <c r="Q192" s="36"/>
      <c r="R192" s="36"/>
    </row>
    <row r="193" spans="16:18" x14ac:dyDescent="0.25">
      <c r="P193" s="36"/>
      <c r="Q193" s="36"/>
      <c r="R193" s="36"/>
    </row>
    <row r="194" spans="16:18" x14ac:dyDescent="0.25">
      <c r="P194" s="36"/>
      <c r="Q194" s="36"/>
      <c r="R194" s="36"/>
    </row>
    <row r="195" spans="16:18" x14ac:dyDescent="0.25">
      <c r="P195" s="36"/>
      <c r="Q195" s="36"/>
      <c r="R195" s="36"/>
    </row>
    <row r="196" spans="16:18" x14ac:dyDescent="0.25">
      <c r="P196" s="36"/>
      <c r="Q196" s="36"/>
      <c r="R196" s="36"/>
    </row>
    <row r="197" spans="16:18" x14ac:dyDescent="0.25">
      <c r="P197" s="36"/>
      <c r="Q197" s="36"/>
      <c r="R197" s="36"/>
    </row>
    <row r="198" spans="16:18" x14ac:dyDescent="0.25">
      <c r="P198" s="36"/>
      <c r="Q198" s="36"/>
      <c r="R198" s="36"/>
    </row>
    <row r="199" spans="16:18" x14ac:dyDescent="0.25">
      <c r="P199" s="36"/>
      <c r="Q199" s="36"/>
      <c r="R199" s="36"/>
    </row>
  </sheetData>
  <mergeCells count="15">
    <mergeCell ref="A3:A4"/>
    <mergeCell ref="B3:B4"/>
    <mergeCell ref="C3:C4"/>
    <mergeCell ref="A51:A67"/>
    <mergeCell ref="A5:A11"/>
    <mergeCell ref="A13:A29"/>
    <mergeCell ref="A31:A43"/>
    <mergeCell ref="A45:A49"/>
    <mergeCell ref="I1:L1"/>
    <mergeCell ref="M1:P1"/>
    <mergeCell ref="Q3:Q4"/>
    <mergeCell ref="D3:D4"/>
    <mergeCell ref="I3:L3"/>
    <mergeCell ref="M3:P3"/>
    <mergeCell ref="E3:H3"/>
  </mergeCells>
  <phoneticPr fontId="0" type="noConversion"/>
  <pageMargins left="0.75" right="0.75" top="1" bottom="1" header="0.5" footer="0.5"/>
  <pageSetup paperSize="5" scale="50" orientation="landscape" r:id="rId1"/>
  <headerFooter alignWithMargins="0">
    <oddFooter>&amp;L&amp;"Arial,Italic" 7/02/07&amp;C&amp;"Arial,Italic"&amp;A&amp;R&amp;"Arial,Italic"NJAES Report 2007-1 ©2007
New Jersey Agricultural Experiment Station</oddFooter>
  </headerFooter>
  <ignoredErrors>
    <ignoredError sqref="D67" formula="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S199"/>
  <sheetViews>
    <sheetView topLeftCell="A110" zoomScale="70" zoomScaleNormal="70" workbookViewId="0">
      <selection activeCell="C147" sqref="C147"/>
    </sheetView>
  </sheetViews>
  <sheetFormatPr defaultColWidth="9.109375" defaultRowHeight="13.2" x14ac:dyDescent="0.25"/>
  <cols>
    <col min="1" max="1" width="28.6640625" style="5" customWidth="1"/>
    <col min="2" max="2" width="42.6640625" style="5" customWidth="1"/>
    <col min="3" max="3" width="23.6640625" style="5" customWidth="1"/>
    <col min="4" max="4" width="18.6640625" style="5" customWidth="1"/>
    <col min="5" max="16" width="14.6640625" style="5" customWidth="1"/>
    <col min="17" max="17" width="45.6640625" style="5" customWidth="1"/>
    <col min="18" max="18" width="34.44140625" style="5" customWidth="1"/>
    <col min="19" max="19" width="19.33203125" style="5" customWidth="1"/>
    <col min="20" max="20" width="14" style="5" customWidth="1"/>
    <col min="21" max="16384" width="9.109375" style="5"/>
  </cols>
  <sheetData>
    <row r="1" spans="1:17" ht="15.6" x14ac:dyDescent="0.3">
      <c r="A1" s="407" t="s">
        <v>577</v>
      </c>
      <c r="E1" s="412" t="s">
        <v>433</v>
      </c>
      <c r="I1" s="1195" t="str">
        <f>'Bioenergy Calculator'!B3</f>
        <v>None</v>
      </c>
      <c r="J1" s="1195"/>
      <c r="K1" s="1195"/>
      <c r="L1" s="1196"/>
      <c r="M1" s="1195" t="str">
        <f>'Bioenergy Calculator'!B4</f>
        <v>None</v>
      </c>
      <c r="N1" s="1195"/>
      <c r="O1" s="1195"/>
      <c r="P1" s="1196"/>
    </row>
    <row r="3" spans="1:17" s="6" customFormat="1" ht="24.75" customHeight="1" x14ac:dyDescent="0.25">
      <c r="A3" s="1062" t="s">
        <v>567</v>
      </c>
      <c r="B3" s="1062" t="s">
        <v>506</v>
      </c>
      <c r="C3" s="1062" t="s">
        <v>1035</v>
      </c>
      <c r="D3" s="1062" t="s">
        <v>1051</v>
      </c>
      <c r="E3" s="1083" t="s">
        <v>523</v>
      </c>
      <c r="F3" s="1209"/>
      <c r="G3" s="1209"/>
      <c r="H3" s="1198"/>
      <c r="I3" s="1072" t="s">
        <v>275</v>
      </c>
      <c r="J3" s="1073"/>
      <c r="K3" s="1074"/>
      <c r="L3" s="1075"/>
      <c r="M3" s="1083" t="s">
        <v>274</v>
      </c>
      <c r="N3" s="1084"/>
      <c r="O3" s="1197"/>
      <c r="P3" s="1198"/>
      <c r="Q3" s="1060" t="s">
        <v>570</v>
      </c>
    </row>
    <row r="4" spans="1:17" s="6" customFormat="1" x14ac:dyDescent="0.25">
      <c r="A4" s="1063"/>
      <c r="B4" s="1063"/>
      <c r="C4" s="1063"/>
      <c r="D4" s="1071"/>
      <c r="E4" s="22">
        <v>2010</v>
      </c>
      <c r="F4" s="22">
        <v>2015</v>
      </c>
      <c r="G4" s="22">
        <v>2020</v>
      </c>
      <c r="H4" s="22">
        <v>2025</v>
      </c>
      <c r="I4" s="22">
        <v>2010</v>
      </c>
      <c r="J4" s="22">
        <v>2015</v>
      </c>
      <c r="K4" s="22">
        <v>2020</v>
      </c>
      <c r="L4" s="22">
        <v>2025</v>
      </c>
      <c r="M4" s="22">
        <v>2010</v>
      </c>
      <c r="N4" s="22">
        <v>2015</v>
      </c>
      <c r="O4" s="22">
        <v>2020</v>
      </c>
      <c r="P4" s="22">
        <v>2025</v>
      </c>
      <c r="Q4" s="1061"/>
    </row>
    <row r="5" spans="1:17" x14ac:dyDescent="0.25">
      <c r="A5" s="1064" t="s">
        <v>513</v>
      </c>
      <c r="B5" s="1" t="s">
        <v>511</v>
      </c>
      <c r="C5" s="13"/>
      <c r="D5" s="13"/>
      <c r="E5" s="13"/>
      <c r="F5" s="13"/>
      <c r="G5" s="13"/>
      <c r="H5" s="13"/>
      <c r="I5" s="7"/>
      <c r="J5" s="7"/>
      <c r="K5" s="7"/>
      <c r="L5" s="7"/>
      <c r="M5" s="7"/>
      <c r="N5" s="7"/>
      <c r="O5" s="7"/>
      <c r="P5" s="7"/>
      <c r="Q5" s="7"/>
    </row>
    <row r="6" spans="1:17" x14ac:dyDescent="0.25">
      <c r="A6" s="1064"/>
      <c r="B6" s="11" t="str">
        <f>IF('Prac. Rec. Assumptions'!$B$56='Prac. Rec. Assumptions'!$V$3,A74,IF('Prac. Rec. Assumptions'!B57="No",A74,"Sorghum- Converted to Energy Crop"))</f>
        <v>Sorghum</v>
      </c>
      <c r="C6" s="294">
        <f>IF('Prac. Rec. Assumptions'!$B$56='Prac. Rec. Assumptions'!$V$3,D74,IF('Prac. Rec. Assumptions'!B57="No",D74,0))</f>
        <v>127.988</v>
      </c>
      <c r="D6" s="294" t="s">
        <v>431</v>
      </c>
      <c r="E6" s="294">
        <f>C6*'Prac. Rec. Assumptions'!B4</f>
        <v>0</v>
      </c>
      <c r="F6" s="294">
        <f>$E6</f>
        <v>0</v>
      </c>
      <c r="G6" s="294">
        <f>$E6</f>
        <v>0</v>
      </c>
      <c r="H6" s="294">
        <f>$E6</f>
        <v>0</v>
      </c>
      <c r="I6" s="16" t="str">
        <f>IF('Conversion Tables'!F7="NA","NA",$D6/'Conversion Tables'!F7)</f>
        <v>NA</v>
      </c>
      <c r="J6" s="16" t="str">
        <f>IF('Conversion Tables'!G7="NA","NA",$D6/'Conversion Tables'!G7)</f>
        <v>NA</v>
      </c>
      <c r="K6" s="16" t="str">
        <f>IF('Conversion Tables'!H7="NA","NA",$D6/'Conversion Tables'!H7)</f>
        <v>NA</v>
      </c>
      <c r="L6" s="16" t="str">
        <f>IF('Conversion Tables'!H7="NA","NA",$D6/'Conversion Tables'!H7)</f>
        <v>NA</v>
      </c>
      <c r="M6" s="16" t="str">
        <f>IF('Conversion Tables'!K7="NA","NA",$C74*'Conversion Tables'!K7)</f>
        <v>NA</v>
      </c>
      <c r="N6" s="16" t="str">
        <f>IF('Conversion Tables'!L7="NA","NA",$C74*'Conversion Tables'!L7)</f>
        <v>NA</v>
      </c>
      <c r="O6" s="16" t="str">
        <f>IF('Conversion Tables'!M7="NA","NA",$C74*'Conversion Tables'!M7)</f>
        <v>NA</v>
      </c>
      <c r="P6" s="16" t="str">
        <f>IF('Conversion Tables'!N7="NA","NA",$C74*'Conversion Tables'!N7)</f>
        <v>NA</v>
      </c>
      <c r="Q6" s="15"/>
    </row>
    <row r="7" spans="1:17" x14ac:dyDescent="0.25">
      <c r="A7" s="1064"/>
      <c r="B7" s="11" t="str">
        <f>IF('Prac. Rec. Assumptions'!$B$56='Prac. Rec. Assumptions'!$V$3,A75,IF('Prac. Rec. Assumptions'!B59="No",A75,"Rye- Converted to Energy Crop"))</f>
        <v>Rye</v>
      </c>
      <c r="C7" s="294">
        <f>IF('Prac. Rec. Assumptions'!$B$56='Prac. Rec. Assumptions'!$V$3,D75,IF('Prac. Rec. Assumptions'!B59="No",D75,0))</f>
        <v>206.38800000000001</v>
      </c>
      <c r="D7" s="294" t="s">
        <v>431</v>
      </c>
      <c r="E7" s="294">
        <f>C7*'Prac. Rec. Assumptions'!B5</f>
        <v>0</v>
      </c>
      <c r="F7" s="294">
        <f t="shared" ref="F7:H10" si="0">$E7</f>
        <v>0</v>
      </c>
      <c r="G7" s="294">
        <f t="shared" si="0"/>
        <v>0</v>
      </c>
      <c r="H7" s="294">
        <f t="shared" si="0"/>
        <v>0</v>
      </c>
      <c r="I7" s="16" t="str">
        <f>IF('Conversion Tables'!F8="NA","NA",$D7/'Conversion Tables'!F8)</f>
        <v>NA</v>
      </c>
      <c r="J7" s="16" t="str">
        <f>IF('Conversion Tables'!G8="NA","NA",$D7/'Conversion Tables'!G8)</f>
        <v>NA</v>
      </c>
      <c r="K7" s="16" t="str">
        <f>IF('Conversion Tables'!H8="NA","NA",$D7/'Conversion Tables'!H8)</f>
        <v>NA</v>
      </c>
      <c r="L7" s="16" t="str">
        <f>IF('Conversion Tables'!H8="NA","NA",$D7/'Conversion Tables'!H8)</f>
        <v>NA</v>
      </c>
      <c r="M7" s="16" t="str">
        <f>IF('Conversion Tables'!K8="NA","NA",$C75*'Conversion Tables'!K8)</f>
        <v>NA</v>
      </c>
      <c r="N7" s="16" t="str">
        <f>IF('Conversion Tables'!L8="NA","NA",$C75*'Conversion Tables'!L8)</f>
        <v>NA</v>
      </c>
      <c r="O7" s="16" t="str">
        <f>IF('Conversion Tables'!M8="NA","NA",$C75*'Conversion Tables'!M8)</f>
        <v>NA</v>
      </c>
      <c r="P7" s="16" t="str">
        <f>IF('Conversion Tables'!N8="NA","NA",$C75*'Conversion Tables'!N8)</f>
        <v>NA</v>
      </c>
      <c r="Q7" s="15"/>
    </row>
    <row r="8" spans="1:17" x14ac:dyDescent="0.25">
      <c r="A8" s="1064"/>
      <c r="B8" s="11" t="str">
        <f>IF('Prac. Rec. Assumptions'!$B$56='Prac. Rec. Assumptions'!$V$3,A76,IF('Prac. Rec. Assumptions'!B60="No",A76,"Corn for Grain- Converted to Energy Crop"))</f>
        <v>Corn for Grain</v>
      </c>
      <c r="C8" s="294">
        <f>IF('Prac. Rec. Assumptions'!$B$56='Prac. Rec. Assumptions'!$V$3,D76,IF('Prac. Rec. Assumptions'!B60="No",D76,0))</f>
        <v>591.5</v>
      </c>
      <c r="D8" s="294" t="s">
        <v>431</v>
      </c>
      <c r="E8" s="294">
        <f>C8*'Prac. Rec. Assumptions'!B6</f>
        <v>0</v>
      </c>
      <c r="F8" s="294">
        <f t="shared" si="0"/>
        <v>0</v>
      </c>
      <c r="G8" s="294">
        <f t="shared" si="0"/>
        <v>0</v>
      </c>
      <c r="H8" s="294">
        <f t="shared" si="0"/>
        <v>0</v>
      </c>
      <c r="I8" s="16" t="str">
        <f>IF('Conversion Tables'!F9="NA","NA",$D8/'Conversion Tables'!F9)</f>
        <v>NA</v>
      </c>
      <c r="J8" s="16" t="str">
        <f>IF('Conversion Tables'!G9="NA","NA",$D8/'Conversion Tables'!G9)</f>
        <v>NA</v>
      </c>
      <c r="K8" s="16" t="str">
        <f>IF('Conversion Tables'!H9="NA","NA",$D8/'Conversion Tables'!H9)</f>
        <v>NA</v>
      </c>
      <c r="L8" s="16" t="str">
        <f>IF('Conversion Tables'!H9="NA","NA",$D8/'Conversion Tables'!H9)</f>
        <v>NA</v>
      </c>
      <c r="M8" s="16" t="str">
        <f>IF('Conversion Tables'!K9="NA","NA",$C76*'Conversion Tables'!K9)</f>
        <v>NA</v>
      </c>
      <c r="N8" s="16" t="str">
        <f>IF('Conversion Tables'!L9="NA","NA",$C76*'Conversion Tables'!L9)</f>
        <v>NA</v>
      </c>
      <c r="O8" s="16" t="str">
        <f>IF('Conversion Tables'!M9="NA","NA",$C76*'Conversion Tables'!M9)</f>
        <v>NA</v>
      </c>
      <c r="P8" s="16" t="str">
        <f>IF('Conversion Tables'!N9="NA","NA",$C76*'Conversion Tables'!N9)</f>
        <v>NA</v>
      </c>
      <c r="Q8" s="15"/>
    </row>
    <row r="9" spans="1:17" x14ac:dyDescent="0.25">
      <c r="A9" s="1064"/>
      <c r="B9" s="11" t="str">
        <f>IF('Prac. Rec. Assumptions'!$B$56='Prac. Rec. Assumptions'!$V$3,A78,IF('Prac. Rec. Assumptions'!B64="No",A78,"Wheat- Converted to Energy Crop"))</f>
        <v>Wheat</v>
      </c>
      <c r="C9" s="294">
        <f>IF('Prac. Rec. Assumptions'!$B$56='Prac. Rec. Assumptions'!$V$3,D78,IF('Prac. Rec. Assumptions'!B64="No",D78,0))</f>
        <v>81</v>
      </c>
      <c r="D9" s="294" t="s">
        <v>431</v>
      </c>
      <c r="E9" s="294">
        <f>C9*'Prac. Rec. Assumptions'!B7</f>
        <v>0</v>
      </c>
      <c r="F9" s="294">
        <f t="shared" si="0"/>
        <v>0</v>
      </c>
      <c r="G9" s="294">
        <f t="shared" si="0"/>
        <v>0</v>
      </c>
      <c r="H9" s="294">
        <f t="shared" si="0"/>
        <v>0</v>
      </c>
      <c r="I9" s="16" t="str">
        <f>IF('Conversion Tables'!F10="NA","NA",$D9/'Conversion Tables'!F10)</f>
        <v>NA</v>
      </c>
      <c r="J9" s="16" t="str">
        <f>IF('Conversion Tables'!G10="NA","NA",$D9/'Conversion Tables'!G10)</f>
        <v>NA</v>
      </c>
      <c r="K9" s="16" t="str">
        <f>IF('Conversion Tables'!H10="NA","NA",$D9/'Conversion Tables'!H10)</f>
        <v>NA</v>
      </c>
      <c r="L9" s="16" t="str">
        <f>IF('Conversion Tables'!H10="NA","NA",$D9/'Conversion Tables'!H10)</f>
        <v>NA</v>
      </c>
      <c r="M9" s="16" t="str">
        <f>IF('Conversion Tables'!K10="NA","NA",$C78*'Conversion Tables'!K10)</f>
        <v>NA</v>
      </c>
      <c r="N9" s="16" t="str">
        <f>IF('Conversion Tables'!L10="NA","NA",$C78*'Conversion Tables'!L10)</f>
        <v>NA</v>
      </c>
      <c r="O9" s="16" t="str">
        <f>IF('Conversion Tables'!M10="NA","NA",$C78*'Conversion Tables'!M10)</f>
        <v>NA</v>
      </c>
      <c r="P9" s="16" t="str">
        <f>IF('Conversion Tables'!N10="NA","NA",$C78*'Conversion Tables'!N10)</f>
        <v>NA</v>
      </c>
      <c r="Q9" s="15"/>
    </row>
    <row r="10" spans="1:17" x14ac:dyDescent="0.25">
      <c r="A10" s="1064"/>
      <c r="B10" s="129" t="s">
        <v>301</v>
      </c>
      <c r="C10" s="294"/>
      <c r="D10" s="294" t="s">
        <v>431</v>
      </c>
      <c r="E10" s="294">
        <f>C10*'Prac. Rec. Assumptions'!B8</f>
        <v>0</v>
      </c>
      <c r="F10" s="294">
        <f t="shared" si="0"/>
        <v>0</v>
      </c>
      <c r="G10" s="294">
        <f t="shared" si="0"/>
        <v>0</v>
      </c>
      <c r="H10" s="294">
        <f t="shared" si="0"/>
        <v>0</v>
      </c>
      <c r="I10" s="16" t="str">
        <f>IF('Conversion Tables'!F11="NA","NA",$D10/'Conversion Tables'!F11)</f>
        <v>NA</v>
      </c>
      <c r="J10" s="16" t="str">
        <f>IF('Conversion Tables'!G11="NA","NA",$D10/'Conversion Tables'!G11)</f>
        <v>NA</v>
      </c>
      <c r="K10" s="16" t="str">
        <f>IF('Conversion Tables'!H11="NA","NA",$D10/'Conversion Tables'!H11)</f>
        <v>NA</v>
      </c>
      <c r="L10" s="16" t="str">
        <f>IF('Conversion Tables'!H11="NA","NA",$D10/'Conversion Tables'!H11)</f>
        <v>NA</v>
      </c>
      <c r="M10" s="16" t="str">
        <f>IF('Conversion Tables'!K11="NA","NA",E10*'Conversion Tables'!K11)</f>
        <v>NA</v>
      </c>
      <c r="N10" s="16" t="str">
        <f>IF('Conversion Tables'!L11="NA","NA",F10*'Conversion Tables'!L11)</f>
        <v>NA</v>
      </c>
      <c r="O10" s="16" t="str">
        <f>IF('Conversion Tables'!M11="NA","NA",G10*'Conversion Tables'!M11)</f>
        <v>NA</v>
      </c>
      <c r="P10" s="16" t="str">
        <f>IF('Conversion Tables'!N11="NA","NA",H10*'Conversion Tables'!N11)</f>
        <v>NA</v>
      </c>
      <c r="Q10" s="7"/>
    </row>
    <row r="11" spans="1:17" x14ac:dyDescent="0.25">
      <c r="A11" s="1065"/>
      <c r="B11" s="9" t="s">
        <v>524</v>
      </c>
      <c r="C11" s="295">
        <f t="shared" ref="C11:P11" si="1">SUM(C5:C10)</f>
        <v>1006.876</v>
      </c>
      <c r="D11" s="295">
        <f t="shared" si="1"/>
        <v>0</v>
      </c>
      <c r="E11" s="295">
        <f t="shared" si="1"/>
        <v>0</v>
      </c>
      <c r="F11" s="295">
        <f t="shared" si="1"/>
        <v>0</v>
      </c>
      <c r="G11" s="295">
        <f t="shared" si="1"/>
        <v>0</v>
      </c>
      <c r="H11" s="295">
        <f t="shared" si="1"/>
        <v>0</v>
      </c>
      <c r="I11" s="19">
        <f t="shared" si="1"/>
        <v>0</v>
      </c>
      <c r="J11" s="19">
        <f t="shared" si="1"/>
        <v>0</v>
      </c>
      <c r="K11" s="19">
        <f t="shared" si="1"/>
        <v>0</v>
      </c>
      <c r="L11" s="19">
        <f t="shared" si="1"/>
        <v>0</v>
      </c>
      <c r="M11" s="19">
        <f t="shared" si="1"/>
        <v>0</v>
      </c>
      <c r="N11" s="19">
        <f t="shared" si="1"/>
        <v>0</v>
      </c>
      <c r="O11" s="19">
        <f t="shared" si="1"/>
        <v>0</v>
      </c>
      <c r="P11" s="19">
        <f t="shared" si="1"/>
        <v>0</v>
      </c>
      <c r="Q11" s="19"/>
    </row>
    <row r="12" spans="1:17" x14ac:dyDescent="0.25">
      <c r="A12" s="8"/>
      <c r="C12" s="296"/>
      <c r="D12" s="296"/>
      <c r="E12" s="296"/>
      <c r="F12" s="296"/>
      <c r="G12" s="296"/>
      <c r="H12" s="296"/>
      <c r="I12" s="28"/>
      <c r="J12" s="28"/>
      <c r="K12" s="28"/>
      <c r="L12" s="28"/>
      <c r="M12" s="28"/>
      <c r="N12" s="28"/>
      <c r="O12" s="28"/>
      <c r="P12" s="28"/>
    </row>
    <row r="13" spans="1:17" x14ac:dyDescent="0.25">
      <c r="A13" s="1206" t="s">
        <v>514</v>
      </c>
      <c r="B13" s="1" t="s">
        <v>507</v>
      </c>
      <c r="C13" s="294">
        <f>D90</f>
        <v>0</v>
      </c>
      <c r="D13" s="294">
        <f>E13*'Conversion Tables'!C12</f>
        <v>0</v>
      </c>
      <c r="E13" s="294">
        <f>C13*'Prac. Rec. Assumptions'!B9</f>
        <v>0</v>
      </c>
      <c r="F13" s="294">
        <f>$E13</f>
        <v>0</v>
      </c>
      <c r="G13" s="294">
        <f>$E13</f>
        <v>0</v>
      </c>
      <c r="H13" s="294">
        <f>$E13</f>
        <v>0</v>
      </c>
      <c r="I13" s="16" t="str">
        <f>IF('Conversion Tables'!F12="NA","NA",(E13*'Conversion Tables'!$C12)/'Conversion Tables'!F12)</f>
        <v>NA</v>
      </c>
      <c r="J13" s="16" t="str">
        <f>IF('Conversion Tables'!G12="NA","NA",(F13*'Conversion Tables'!$C12)/'Conversion Tables'!G12)</f>
        <v>NA</v>
      </c>
      <c r="K13" s="16" t="str">
        <f>IF('Conversion Tables'!H12="NA","NA",(G13*'Conversion Tables'!$C12)/'Conversion Tables'!H12)</f>
        <v>NA</v>
      </c>
      <c r="L13" s="16" t="str">
        <f>IF('Conversion Tables'!I12="NA","NA",(H13*'Conversion Tables'!$C12)/'Conversion Tables'!I12)</f>
        <v>NA</v>
      </c>
      <c r="M13" s="16" t="str">
        <f>IF('Conversion Tables'!K12="NA","NA",E13*'Conversion Tables'!K12)</f>
        <v>NA</v>
      </c>
      <c r="N13" s="16" t="str">
        <f>IF('Conversion Tables'!L12="NA","NA",F13*'Conversion Tables'!L12)</f>
        <v>NA</v>
      </c>
      <c r="O13" s="16" t="str">
        <f>IF('Conversion Tables'!M12="NA","NA",G13*'Conversion Tables'!M12)</f>
        <v>NA</v>
      </c>
      <c r="P13" s="16" t="str">
        <f>IF('Conversion Tables'!N12="NA","NA",H13*'Conversion Tables'!N12)</f>
        <v>NA</v>
      </c>
      <c r="Q13" s="7"/>
    </row>
    <row r="14" spans="1:17" x14ac:dyDescent="0.25">
      <c r="A14" s="1207"/>
      <c r="B14" s="1" t="s">
        <v>504</v>
      </c>
      <c r="C14" s="294"/>
      <c r="D14" s="294"/>
      <c r="E14" s="294"/>
      <c r="F14" s="294"/>
      <c r="G14" s="294"/>
      <c r="H14" s="294"/>
      <c r="I14" s="16"/>
      <c r="J14" s="16"/>
      <c r="K14" s="16"/>
      <c r="L14" s="16"/>
      <c r="M14" s="16"/>
      <c r="N14" s="16"/>
      <c r="O14" s="16"/>
      <c r="P14" s="16"/>
      <c r="Q14" s="7"/>
    </row>
    <row r="15" spans="1:17" x14ac:dyDescent="0.25">
      <c r="A15" s="1207"/>
      <c r="B15" s="11" t="str">
        <f>IF('Prac. Rec. Assumptions'!$B$56='Prac. Rec. Assumptions'!$V$3,A81,IF('Prac. Rec. Assumptions'!B57="No",A81,"Sweet Corn- Converted to Energy Crop"))</f>
        <v>Sweet Corn</v>
      </c>
      <c r="C15" s="294">
        <f>IF('Prac. Rec. Assumptions'!$B$56='Prac. Rec. Assumptions'!$V$3,D81,IF('Prac. Rec. Assumptions'!B58="No",D81,0))</f>
        <v>52.699999999999996</v>
      </c>
      <c r="D15" s="294">
        <f>E15*'Conversion Tables'!C14</f>
        <v>663.26111999999989</v>
      </c>
      <c r="E15" s="294">
        <f>C15*'Prac. Rec. Assumptions'!B11</f>
        <v>42.16</v>
      </c>
      <c r="F15" s="294">
        <f>$E15</f>
        <v>42.16</v>
      </c>
      <c r="G15" s="294">
        <f>$E15</f>
        <v>42.16</v>
      </c>
      <c r="H15" s="294">
        <f>$E15</f>
        <v>42.16</v>
      </c>
      <c r="I15" s="16" t="str">
        <f>IF('Conversion Tables'!F14="NA","NA",(E15*'Conversion Tables'!$C14)/'Conversion Tables'!F14)</f>
        <v>NA</v>
      </c>
      <c r="J15" s="16" t="str">
        <f>IF('Conversion Tables'!G14="NA","NA",(F15*'Conversion Tables'!$C14)/'Conversion Tables'!G14)</f>
        <v>NA</v>
      </c>
      <c r="K15" s="16" t="str">
        <f>IF('Conversion Tables'!H14="NA","NA",(G15*'Conversion Tables'!$C14)/'Conversion Tables'!H14)</f>
        <v>NA</v>
      </c>
      <c r="L15" s="16" t="str">
        <f>IF('Conversion Tables'!I14="NA","NA",(H15*'Conversion Tables'!$C14)/'Conversion Tables'!I14)</f>
        <v>NA</v>
      </c>
      <c r="M15" s="16" t="str">
        <f>IF('Conversion Tables'!K14="NA","NA",E15*'Conversion Tables'!K14)</f>
        <v>NA</v>
      </c>
      <c r="N15" s="16" t="str">
        <f>IF('Conversion Tables'!L14="NA","NA",F15*'Conversion Tables'!L14)</f>
        <v>NA</v>
      </c>
      <c r="O15" s="16" t="str">
        <f>IF('Conversion Tables'!M14="NA","NA",G15*'Conversion Tables'!M14)</f>
        <v>NA</v>
      </c>
      <c r="P15" s="16" t="str">
        <f>IF('Conversion Tables'!N14="NA","NA",H15*'Conversion Tables'!N14)</f>
        <v>NA</v>
      </c>
      <c r="Q15" s="15"/>
    </row>
    <row r="16" spans="1:17" x14ac:dyDescent="0.25">
      <c r="A16" s="1207"/>
      <c r="B16" s="11" t="str">
        <f>IF('Prac. Rec. Assumptions'!$B$56='Prac. Rec. Assumptions'!$V$3,A82,IF('Prac. Rec. Assumptions'!B58="No",A82,"Rye- Converted to Energy Crop"))</f>
        <v>Rye</v>
      </c>
      <c r="C16" s="294">
        <f>IF('Prac. Rec. Assumptions'!$B$56='Prac. Rec. Assumptions'!$V$3,D82,IF('Prac. Rec. Assumptions'!B59="No",D82,0))</f>
        <v>942.86249999999995</v>
      </c>
      <c r="D16" s="294">
        <f>E16*'Conversion Tables'!C15</f>
        <v>0</v>
      </c>
      <c r="E16" s="294">
        <f>C16*'Prac. Rec. Assumptions'!B12</f>
        <v>0</v>
      </c>
      <c r="F16" s="294">
        <f t="shared" ref="F16:H23" si="2">$E16</f>
        <v>0</v>
      </c>
      <c r="G16" s="294">
        <f t="shared" si="2"/>
        <v>0</v>
      </c>
      <c r="H16" s="294">
        <f t="shared" si="2"/>
        <v>0</v>
      </c>
      <c r="I16" s="16" t="str">
        <f>IF('Conversion Tables'!F15="NA","NA",(E16*'Conversion Tables'!$C15)/'Conversion Tables'!F15)</f>
        <v>NA</v>
      </c>
      <c r="J16" s="16" t="str">
        <f>IF('Conversion Tables'!G15="NA","NA",(F16*'Conversion Tables'!$C15)/'Conversion Tables'!G15)</f>
        <v>NA</v>
      </c>
      <c r="K16" s="16" t="str">
        <f>IF('Conversion Tables'!H15="NA","NA",(G16*'Conversion Tables'!$C15)/'Conversion Tables'!H15)</f>
        <v>NA</v>
      </c>
      <c r="L16" s="16" t="str">
        <f>IF('Conversion Tables'!I15="NA","NA",(H16*'Conversion Tables'!$C15)/'Conversion Tables'!I15)</f>
        <v>NA</v>
      </c>
      <c r="M16" s="16" t="str">
        <f>IF('Conversion Tables'!K15="NA","NA",E16*'Conversion Tables'!K15)</f>
        <v>NA</v>
      </c>
      <c r="N16" s="16" t="str">
        <f>IF('Conversion Tables'!L15="NA","NA",F16*'Conversion Tables'!L15)</f>
        <v>NA</v>
      </c>
      <c r="O16" s="16" t="str">
        <f>IF('Conversion Tables'!M15="NA","NA",G16*'Conversion Tables'!M15)</f>
        <v>NA</v>
      </c>
      <c r="P16" s="16" t="str">
        <f>IF('Conversion Tables'!N15="NA","NA",H16*'Conversion Tables'!N15)</f>
        <v>NA</v>
      </c>
      <c r="Q16" s="15"/>
    </row>
    <row r="17" spans="1:17" x14ac:dyDescent="0.25">
      <c r="A17" s="1207"/>
      <c r="B17" s="11" t="str">
        <f>IF('Prac. Rec. Assumptions'!$B$56='Prac. Rec. Assumptions'!$V$3,A83,IF('Prac. Rec. Assumptions'!B59="No",A83,"Corn for Grain- Converted to Energy Crop"))</f>
        <v>Corn for Grain</v>
      </c>
      <c r="C17" s="294">
        <f>IF('Prac. Rec. Assumptions'!$B$56='Prac. Rec. Assumptions'!$V$3,D83,IF('Prac. Rec. Assumptions'!B60="No",D83,0))</f>
        <v>359.125</v>
      </c>
      <c r="D17" s="294">
        <f>E17*'Conversion Tables'!C16</f>
        <v>4802.2913249999992</v>
      </c>
      <c r="E17" s="294">
        <f>C17*'Prac. Rec. Assumptions'!B13</f>
        <v>305.25624999999997</v>
      </c>
      <c r="F17" s="294">
        <f t="shared" si="2"/>
        <v>305.25624999999997</v>
      </c>
      <c r="G17" s="294">
        <f t="shared" si="2"/>
        <v>305.25624999999997</v>
      </c>
      <c r="H17" s="294">
        <f t="shared" si="2"/>
        <v>305.25624999999997</v>
      </c>
      <c r="I17" s="16" t="str">
        <f>IF('Conversion Tables'!F16="NA","NA",(E17*'Conversion Tables'!$C16)/'Conversion Tables'!F16)</f>
        <v>NA</v>
      </c>
      <c r="J17" s="16" t="str">
        <f>IF('Conversion Tables'!G16="NA","NA",(F17*'Conversion Tables'!$C16)/'Conversion Tables'!G16)</f>
        <v>NA</v>
      </c>
      <c r="K17" s="16" t="str">
        <f>IF('Conversion Tables'!H16="NA","NA",(G17*'Conversion Tables'!$C16)/'Conversion Tables'!H16)</f>
        <v>NA</v>
      </c>
      <c r="L17" s="16" t="str">
        <f>IF('Conversion Tables'!I16="NA","NA",(H17*'Conversion Tables'!$C16)/'Conversion Tables'!I16)</f>
        <v>NA</v>
      </c>
      <c r="M17" s="16" t="str">
        <f>IF('Conversion Tables'!K16="NA","NA",E17*'Conversion Tables'!K16)</f>
        <v>NA</v>
      </c>
      <c r="N17" s="16" t="str">
        <f>IF('Conversion Tables'!L16="NA","NA",F17*'Conversion Tables'!L16)</f>
        <v>NA</v>
      </c>
      <c r="O17" s="16" t="str">
        <f>IF('Conversion Tables'!M16="NA","NA",G17*'Conversion Tables'!M16)</f>
        <v>NA</v>
      </c>
      <c r="P17" s="16" t="str">
        <f>IF('Conversion Tables'!N16="NA","NA",H17*'Conversion Tables'!N16)</f>
        <v>NA</v>
      </c>
      <c r="Q17" s="15"/>
    </row>
    <row r="18" spans="1:17" x14ac:dyDescent="0.25">
      <c r="A18" s="1207"/>
      <c r="B18" s="11" t="str">
        <f>IF('Prac. Rec. Assumptions'!$B$56='Prac. Rec. Assumptions'!$V$3,A84,IF('Prac. Rec. Assumptions'!B60="No",A84,"Corn for Silage- Converted to Energy Crop"))</f>
        <v>Corn for Silage</v>
      </c>
      <c r="C18" s="294">
        <f>IF('Prac. Rec. Assumptions'!$B$56='Prac. Rec. Assumptions'!$V$3,D84,IF('Prac. Rec. Assumptions'!B61="No",D84,0))</f>
        <v>901.17999999999984</v>
      </c>
      <c r="D18" s="294">
        <f>E18*'Conversion Tables'!C17</f>
        <v>10633.022819999998</v>
      </c>
      <c r="E18" s="294">
        <f>C18*'Prac. Rec. Assumptions'!B14</f>
        <v>675.88499999999988</v>
      </c>
      <c r="F18" s="294">
        <f t="shared" si="2"/>
        <v>675.88499999999988</v>
      </c>
      <c r="G18" s="294">
        <f t="shared" si="2"/>
        <v>675.88499999999988</v>
      </c>
      <c r="H18" s="294">
        <f t="shared" si="2"/>
        <v>675.88499999999988</v>
      </c>
      <c r="I18" s="16" t="str">
        <f>IF('Conversion Tables'!F17="NA","NA",(E18*'Conversion Tables'!$C17)/'Conversion Tables'!F17)</f>
        <v>NA</v>
      </c>
      <c r="J18" s="16" t="str">
        <f>IF('Conversion Tables'!G17="NA","NA",(F18*'Conversion Tables'!$C17)/'Conversion Tables'!G17)</f>
        <v>NA</v>
      </c>
      <c r="K18" s="16" t="str">
        <f>IF('Conversion Tables'!H17="NA","NA",(G18*'Conversion Tables'!$C17)/'Conversion Tables'!H17)</f>
        <v>NA</v>
      </c>
      <c r="L18" s="16" t="str">
        <f>IF('Conversion Tables'!I17="NA","NA",(H18*'Conversion Tables'!$C17)/'Conversion Tables'!I17)</f>
        <v>NA</v>
      </c>
      <c r="M18" s="16" t="str">
        <f>IF('Conversion Tables'!K17="NA","NA",E18*'Conversion Tables'!K17)</f>
        <v>NA</v>
      </c>
      <c r="N18" s="16" t="str">
        <f>IF('Conversion Tables'!L17="NA","NA",F18*'Conversion Tables'!L17)</f>
        <v>NA</v>
      </c>
      <c r="O18" s="16" t="str">
        <f>IF('Conversion Tables'!M17="NA","NA",G18*'Conversion Tables'!M17)</f>
        <v>NA</v>
      </c>
      <c r="P18" s="16" t="str">
        <f>IF('Conversion Tables'!N17="NA","NA",H18*'Conversion Tables'!N17)</f>
        <v>NA</v>
      </c>
      <c r="Q18" s="15"/>
    </row>
    <row r="19" spans="1:17" x14ac:dyDescent="0.25">
      <c r="A19" s="1207"/>
      <c r="B19" s="11" t="str">
        <f>IF('Prac. Rec. Assumptions'!$B$56='Prac. Rec. Assumptions'!$V$3,A85,IF('Prac. Rec. Assumptions'!B61="No",A85,"Alfalfa Hay- Converted to Energy Crop"))</f>
        <v>Alfalfa Hay</v>
      </c>
      <c r="C19" s="294">
        <f>IF('Prac. Rec. Assumptions'!$B$56='Prac. Rec. Assumptions'!$V$3,D85,IF('Prac. Rec. Assumptions'!B62="No",D85,0))</f>
        <v>424.32000000000005</v>
      </c>
      <c r="D19" s="294">
        <f>E19*'Conversion Tables'!C18</f>
        <v>0</v>
      </c>
      <c r="E19" s="294">
        <f>C19*'Prac. Rec. Assumptions'!B15</f>
        <v>0</v>
      </c>
      <c r="F19" s="294">
        <f t="shared" si="2"/>
        <v>0</v>
      </c>
      <c r="G19" s="294">
        <f t="shared" si="2"/>
        <v>0</v>
      </c>
      <c r="H19" s="294">
        <f t="shared" si="2"/>
        <v>0</v>
      </c>
      <c r="I19" s="16" t="str">
        <f>IF('Conversion Tables'!F18="NA","NA",(E19*'Conversion Tables'!$C18)/'Conversion Tables'!F18)</f>
        <v>NA</v>
      </c>
      <c r="J19" s="16" t="str">
        <f>IF('Conversion Tables'!G18="NA","NA",(F19*'Conversion Tables'!$C18)/'Conversion Tables'!G18)</f>
        <v>NA</v>
      </c>
      <c r="K19" s="16" t="str">
        <f>IF('Conversion Tables'!H18="NA","NA",(G19*'Conversion Tables'!$C18)/'Conversion Tables'!H18)</f>
        <v>NA</v>
      </c>
      <c r="L19" s="16" t="str">
        <f>IF('Conversion Tables'!I18="NA","NA",(H19*'Conversion Tables'!$C18)/'Conversion Tables'!I18)</f>
        <v>NA</v>
      </c>
      <c r="M19" s="16" t="str">
        <f>IF('Conversion Tables'!K18="NA","NA",E19*'Conversion Tables'!K18)</f>
        <v>NA</v>
      </c>
      <c r="N19" s="16" t="str">
        <f>IF('Conversion Tables'!L18="NA","NA",F19*'Conversion Tables'!L18)</f>
        <v>NA</v>
      </c>
      <c r="O19" s="16" t="str">
        <f>IF('Conversion Tables'!M18="NA","NA",G19*'Conversion Tables'!M18)</f>
        <v>NA</v>
      </c>
      <c r="P19" s="16" t="str">
        <f>IF('Conversion Tables'!N18="NA","NA",H19*'Conversion Tables'!N18)</f>
        <v>NA</v>
      </c>
      <c r="Q19" s="15"/>
    </row>
    <row r="20" spans="1:17" x14ac:dyDescent="0.25">
      <c r="A20" s="1207"/>
      <c r="B20" s="11" t="str">
        <f>IF('Prac. Rec. Assumptions'!$B$56='Prac. Rec. Assumptions'!$V$3,A86,IF('Prac. Rec. Assumptions'!B62="No",A86,"Other Hay- Converted to Energy Crop"))</f>
        <v>Other Hay</v>
      </c>
      <c r="C20" s="294">
        <f>IF('Prac. Rec. Assumptions'!$B$56='Prac. Rec. Assumptions'!$V$3,D86,IF('Prac. Rec. Assumptions'!B63="No",D86,0))</f>
        <v>862.66499999999996</v>
      </c>
      <c r="D20" s="294">
        <f>E20*'Conversion Tables'!C19</f>
        <v>6728.7869999999994</v>
      </c>
      <c r="E20" s="294">
        <f>C20*'Prac. Rec. Assumptions'!B16</f>
        <v>431.33249999999998</v>
      </c>
      <c r="F20" s="294">
        <f t="shared" si="2"/>
        <v>431.33249999999998</v>
      </c>
      <c r="G20" s="294">
        <f t="shared" si="2"/>
        <v>431.33249999999998</v>
      </c>
      <c r="H20" s="294">
        <f t="shared" si="2"/>
        <v>431.33249999999998</v>
      </c>
      <c r="I20" s="16" t="str">
        <f>IF('Conversion Tables'!F19="NA","NA",(E20*'Conversion Tables'!$C19)/'Conversion Tables'!F19)</f>
        <v>NA</v>
      </c>
      <c r="J20" s="16" t="str">
        <f>IF('Conversion Tables'!G19="NA","NA",(F20*'Conversion Tables'!$C19)/'Conversion Tables'!G19)</f>
        <v>NA</v>
      </c>
      <c r="K20" s="16" t="str">
        <f>IF('Conversion Tables'!H19="NA","NA",(G20*'Conversion Tables'!$C19)/'Conversion Tables'!H19)</f>
        <v>NA</v>
      </c>
      <c r="L20" s="16" t="str">
        <f>IF('Conversion Tables'!I19="NA","NA",(H20*'Conversion Tables'!$C19)/'Conversion Tables'!I19)</f>
        <v>NA</v>
      </c>
      <c r="M20" s="16" t="str">
        <f>IF('Conversion Tables'!K19="NA","NA",E20*'Conversion Tables'!K19)</f>
        <v>NA</v>
      </c>
      <c r="N20" s="16" t="str">
        <f>IF('Conversion Tables'!L19="NA","NA",F20*'Conversion Tables'!L19)</f>
        <v>NA</v>
      </c>
      <c r="O20" s="16" t="str">
        <f>IF('Conversion Tables'!M19="NA","NA",G20*'Conversion Tables'!M19)</f>
        <v>NA</v>
      </c>
      <c r="P20" s="16" t="str">
        <f>IF('Conversion Tables'!N19="NA","NA",H20*'Conversion Tables'!N19)</f>
        <v>NA</v>
      </c>
      <c r="Q20" s="15"/>
    </row>
    <row r="21" spans="1:17" x14ac:dyDescent="0.25">
      <c r="A21" s="1207"/>
      <c r="B21" s="11" t="str">
        <f>IF('Prac. Rec. Assumptions'!$B$56='Prac. Rec. Assumptions'!$V$3,A87,IF('Prac. Rec. Assumptions'!B63="No",A87,"Wheat- Converted to Energy Crop"))</f>
        <v>Wheat</v>
      </c>
      <c r="C21" s="294">
        <f>IF('Prac. Rec. Assumptions'!$B$56='Prac. Rec. Assumptions'!$V$3,D87,IF('Prac. Rec. Assumptions'!B64="No",D87,0))</f>
        <v>74.375</v>
      </c>
      <c r="D21" s="294">
        <f>E21*'Conversion Tables'!C20</f>
        <v>0</v>
      </c>
      <c r="E21" s="294">
        <f>C21*'Prac. Rec. Assumptions'!B17</f>
        <v>0</v>
      </c>
      <c r="F21" s="294">
        <f t="shared" si="2"/>
        <v>0</v>
      </c>
      <c r="G21" s="294">
        <f t="shared" si="2"/>
        <v>0</v>
      </c>
      <c r="H21" s="294">
        <f t="shared" si="2"/>
        <v>0</v>
      </c>
      <c r="I21" s="16" t="str">
        <f>IF('Conversion Tables'!F20="NA","NA",(E21*'Conversion Tables'!$C20)/'Conversion Tables'!F20)</f>
        <v>NA</v>
      </c>
      <c r="J21" s="16" t="str">
        <f>IF('Conversion Tables'!G20="NA","NA",(F21*'Conversion Tables'!$C20)/'Conversion Tables'!G20)</f>
        <v>NA</v>
      </c>
      <c r="K21" s="16" t="str">
        <f>IF('Conversion Tables'!H20="NA","NA",(G21*'Conversion Tables'!$C20)/'Conversion Tables'!H20)</f>
        <v>NA</v>
      </c>
      <c r="L21" s="16" t="str">
        <f>IF('Conversion Tables'!I20="NA","NA",(H21*'Conversion Tables'!$C20)/'Conversion Tables'!I20)</f>
        <v>NA</v>
      </c>
      <c r="M21" s="16" t="str">
        <f>IF('Conversion Tables'!K20="NA","NA",E21*'Conversion Tables'!K20)</f>
        <v>NA</v>
      </c>
      <c r="N21" s="16" t="str">
        <f>IF('Conversion Tables'!L20="NA","NA",F21*'Conversion Tables'!L20)</f>
        <v>NA</v>
      </c>
      <c r="O21" s="16" t="str">
        <f>IF('Conversion Tables'!M20="NA","NA",G21*'Conversion Tables'!M20)</f>
        <v>NA</v>
      </c>
      <c r="P21" s="16" t="str">
        <f>IF('Conversion Tables'!N20="NA","NA",H21*'Conversion Tables'!N20)</f>
        <v>NA</v>
      </c>
      <c r="Q21" s="15"/>
    </row>
    <row r="22" spans="1:17" x14ac:dyDescent="0.25">
      <c r="A22" s="1207"/>
      <c r="B22" s="148" t="s">
        <v>205</v>
      </c>
      <c r="C22" s="294">
        <f>'Biomass Data Assumptions'!P21*1000*'Energy Content Assumptions'!C18</f>
        <v>111710</v>
      </c>
      <c r="D22" s="294">
        <f>E22*'Conversion Tables'!C21</f>
        <v>871338</v>
      </c>
      <c r="E22" s="294">
        <f>C22*'Prac. Rec. Assumptions'!B18</f>
        <v>55855</v>
      </c>
      <c r="F22" s="294">
        <f t="shared" si="2"/>
        <v>55855</v>
      </c>
      <c r="G22" s="294">
        <f t="shared" si="2"/>
        <v>55855</v>
      </c>
      <c r="H22" s="294">
        <f t="shared" si="2"/>
        <v>55855</v>
      </c>
      <c r="I22" s="16" t="str">
        <f>IF('Conversion Tables'!F21="NA","NA",(E22*'Conversion Tables'!$C21)/'Conversion Tables'!F21)</f>
        <v>NA</v>
      </c>
      <c r="J22" s="16" t="str">
        <f>IF('Conversion Tables'!G21="NA","NA",(F22*'Conversion Tables'!$C21)/'Conversion Tables'!G21)</f>
        <v>NA</v>
      </c>
      <c r="K22" s="16" t="str">
        <f>IF('Conversion Tables'!H21="NA","NA",(G22*'Conversion Tables'!$C21)/'Conversion Tables'!H21)</f>
        <v>NA</v>
      </c>
      <c r="L22" s="16" t="str">
        <f>IF('Conversion Tables'!I21="NA","NA",(H22*'Conversion Tables'!$C21)/'Conversion Tables'!I21)</f>
        <v>NA</v>
      </c>
      <c r="M22" s="16" t="str">
        <f>IF('Conversion Tables'!K21="NA","NA",E22*'Conversion Tables'!K21)</f>
        <v>NA</v>
      </c>
      <c r="N22" s="16" t="str">
        <f>IF('Conversion Tables'!L21="NA","NA",F22*'Conversion Tables'!L21)</f>
        <v>NA</v>
      </c>
      <c r="O22" s="16" t="str">
        <f>IF('Conversion Tables'!M21="NA","NA",G22*'Conversion Tables'!M21)</f>
        <v>NA</v>
      </c>
      <c r="P22" s="16" t="str">
        <f>IF('Conversion Tables'!N21="NA","NA",H22*'Conversion Tables'!N21)</f>
        <v>NA</v>
      </c>
      <c r="Q22" s="15"/>
    </row>
    <row r="23" spans="1:17" x14ac:dyDescent="0.25">
      <c r="A23" s="1207"/>
      <c r="B23" s="2" t="s">
        <v>302</v>
      </c>
      <c r="C23" s="294">
        <f>B133</f>
        <v>0.78</v>
      </c>
      <c r="D23" s="294">
        <f>E23*'Conversion Tables'!C22</f>
        <v>12.74208</v>
      </c>
      <c r="E23" s="294">
        <f>C23*'Prac. Rec. Assumptions'!B19</f>
        <v>0.78</v>
      </c>
      <c r="F23" s="297">
        <f t="shared" si="2"/>
        <v>0.78</v>
      </c>
      <c r="G23" s="297">
        <f t="shared" si="2"/>
        <v>0.78</v>
      </c>
      <c r="H23" s="297">
        <f t="shared" si="2"/>
        <v>0.78</v>
      </c>
      <c r="I23" s="16" t="str">
        <f>IF('Conversion Tables'!F22="NA","NA",(E23*'Conversion Tables'!$C22)/'Conversion Tables'!F22)</f>
        <v>NA</v>
      </c>
      <c r="J23" s="16" t="str">
        <f>IF('Conversion Tables'!G22="NA","NA",(F23*'Conversion Tables'!$C22)/'Conversion Tables'!G22)</f>
        <v>NA</v>
      </c>
      <c r="K23" s="16" t="str">
        <f>IF('Conversion Tables'!H22="NA","NA",(G23*'Conversion Tables'!$C22)/'Conversion Tables'!H22)</f>
        <v>NA</v>
      </c>
      <c r="L23" s="16" t="str">
        <f>IF('Conversion Tables'!I22="NA","NA",(H23*'Conversion Tables'!$C22)/'Conversion Tables'!I22)</f>
        <v>NA</v>
      </c>
      <c r="M23" s="16" t="str">
        <f>IF('Conversion Tables'!K22="NA","NA",E23*'Conversion Tables'!K22)</f>
        <v>NA</v>
      </c>
      <c r="N23" s="16" t="str">
        <f>IF('Conversion Tables'!L22="NA","NA",F23*'Conversion Tables'!L22)</f>
        <v>NA</v>
      </c>
      <c r="O23" s="16" t="str">
        <f>IF('Conversion Tables'!M22="NA","NA",G23*'Conversion Tables'!M22)</f>
        <v>NA</v>
      </c>
      <c r="P23" s="16" t="str">
        <f>IF('Conversion Tables'!N22="NA","NA",H23*'Conversion Tables'!N22)</f>
        <v>NA</v>
      </c>
      <c r="Q23" s="7"/>
    </row>
    <row r="24" spans="1:17" x14ac:dyDescent="0.25">
      <c r="A24" s="1207"/>
      <c r="B24" s="1" t="s">
        <v>518</v>
      </c>
      <c r="C24" s="294"/>
      <c r="D24" s="294"/>
      <c r="E24" s="294"/>
      <c r="F24" s="294"/>
      <c r="G24" s="294"/>
      <c r="H24" s="294"/>
      <c r="I24" s="16"/>
      <c r="J24" s="16"/>
      <c r="K24" s="16"/>
      <c r="L24" s="16"/>
      <c r="M24" s="16"/>
      <c r="N24" s="16"/>
      <c r="O24" s="16"/>
      <c r="P24" s="16"/>
      <c r="Q24" s="7"/>
    </row>
    <row r="25" spans="1:17" x14ac:dyDescent="0.25">
      <c r="A25" s="1207"/>
      <c r="B25" s="11" t="s">
        <v>559</v>
      </c>
      <c r="C25" s="294">
        <f>C128</f>
        <v>19954.455000000002</v>
      </c>
      <c r="D25" s="294">
        <f>E25*'Conversion Tables'!C24</f>
        <v>353193.85350000003</v>
      </c>
      <c r="E25" s="294">
        <f>C25*'Prac. Rec. Assumptions'!B21</f>
        <v>19954.455000000002</v>
      </c>
      <c r="F25" s="294">
        <f>($C25*(1+'Biomass Data Assumptions'!G$106))*'Prac. Rec. Assumptions'!$B21</f>
        <v>20732.037764612953</v>
      </c>
      <c r="G25" s="294">
        <f>($C25*(1+'Biomass Data Assumptions'!H$106))*'Prac. Rec. Assumptions'!$B21</f>
        <v>22052.527414428649</v>
      </c>
      <c r="H25" s="294">
        <f>($C25*(1+'Biomass Data Assumptions'!I$106))*'Prac. Rec. Assumptions'!$B21</f>
        <v>23180.372685624014</v>
      </c>
      <c r="I25" s="16" t="str">
        <f>IF('Conversion Tables'!F24="NA","NA",(E25*'Conversion Tables'!$C24)/'Conversion Tables'!F24)</f>
        <v>NA</v>
      </c>
      <c r="J25" s="16" t="str">
        <f>IF('Conversion Tables'!G24="NA","NA",(F25*'Conversion Tables'!$C24)/'Conversion Tables'!G24)</f>
        <v>NA</v>
      </c>
      <c r="K25" s="16" t="str">
        <f>IF('Conversion Tables'!H24="NA","NA",(G25*'Conversion Tables'!$C24)/'Conversion Tables'!H24)</f>
        <v>NA</v>
      </c>
      <c r="L25" s="16" t="str">
        <f>IF('Conversion Tables'!I24="NA","NA",(H25*'Conversion Tables'!$C24)/'Conversion Tables'!I24)</f>
        <v>NA</v>
      </c>
      <c r="M25" s="16" t="str">
        <f>IF('Conversion Tables'!K24="NA","NA",E25*'Conversion Tables'!K24)</f>
        <v>NA</v>
      </c>
      <c r="N25" s="16" t="str">
        <f>IF('Conversion Tables'!L24="NA","NA",F25*'Conversion Tables'!L24)</f>
        <v>NA</v>
      </c>
      <c r="O25" s="16" t="str">
        <f>IF('Conversion Tables'!M24="NA","NA",G25*'Conversion Tables'!M24)</f>
        <v>NA</v>
      </c>
      <c r="P25" s="16" t="str">
        <f>IF('Conversion Tables'!N24="NA","NA",H25*'Conversion Tables'!N24)</f>
        <v>NA</v>
      </c>
      <c r="Q25" s="13"/>
    </row>
    <row r="26" spans="1:17" x14ac:dyDescent="0.25">
      <c r="A26" s="1207"/>
      <c r="B26" s="11" t="s">
        <v>560</v>
      </c>
      <c r="C26" s="294">
        <f>C129</f>
        <v>185.71999999999997</v>
      </c>
      <c r="D26" s="294">
        <f>E26*'Conversion Tables'!C25</f>
        <v>2897.2319999999995</v>
      </c>
      <c r="E26" s="294">
        <f>C26*'Prac. Rec. Assumptions'!B22</f>
        <v>185.71999999999997</v>
      </c>
      <c r="F26" s="294">
        <f>($C26*(1+'Biomass Data Assumptions'!G$106))*'Prac. Rec. Assumptions'!$B22</f>
        <v>192.95711427066871</v>
      </c>
      <c r="G26" s="294">
        <f>($C26*(1+'Biomass Data Assumptions'!H$106))*'Prac. Rec. Assumptions'!$B22</f>
        <v>205.24716868527292</v>
      </c>
      <c r="H26" s="294">
        <f>($C26*(1+'Biomass Data Assumptions'!I$106))*'Prac. Rec. Assumptions'!$B22</f>
        <v>215.74424433912583</v>
      </c>
      <c r="I26" s="16" t="str">
        <f>IF('Conversion Tables'!F25="NA","NA",(E26*'Conversion Tables'!$C25)/'Conversion Tables'!F25)</f>
        <v>NA</v>
      </c>
      <c r="J26" s="16" t="str">
        <f>IF('Conversion Tables'!G25="NA","NA",(F26*'Conversion Tables'!$C25)/'Conversion Tables'!G25)</f>
        <v>NA</v>
      </c>
      <c r="K26" s="16" t="str">
        <f>IF('Conversion Tables'!H25="NA","NA",(G26*'Conversion Tables'!$C25)/'Conversion Tables'!H25)</f>
        <v>NA</v>
      </c>
      <c r="L26" s="16" t="str">
        <f>IF('Conversion Tables'!I25="NA","NA",(H26*'Conversion Tables'!$C25)/'Conversion Tables'!I25)</f>
        <v>NA</v>
      </c>
      <c r="M26" s="16" t="str">
        <f>IF('Conversion Tables'!K25="NA","NA",E26*'Conversion Tables'!K25)</f>
        <v>NA</v>
      </c>
      <c r="N26" s="16" t="str">
        <f>IF('Conversion Tables'!L25="NA","NA",F26*'Conversion Tables'!L25)</f>
        <v>NA</v>
      </c>
      <c r="O26" s="16" t="str">
        <f>IF('Conversion Tables'!M25="NA","NA",G26*'Conversion Tables'!M25)</f>
        <v>NA</v>
      </c>
      <c r="P26" s="16" t="str">
        <f>IF('Conversion Tables'!N25="NA","NA",H26*'Conversion Tables'!N25)</f>
        <v>NA</v>
      </c>
      <c r="Q26" s="13"/>
    </row>
    <row r="27" spans="1:17" x14ac:dyDescent="0.25">
      <c r="A27" s="1207"/>
      <c r="B27" s="11" t="s">
        <v>561</v>
      </c>
      <c r="C27" s="294">
        <f>C130</f>
        <v>15753.696666666665</v>
      </c>
      <c r="D27" s="294">
        <f>E27*'Conversion Tables'!C26</f>
        <v>245757.66799999998</v>
      </c>
      <c r="E27" s="294">
        <f>C27*'Prac. Rec. Assumptions'!B23</f>
        <v>15753.696666666665</v>
      </c>
      <c r="F27" s="294">
        <f>($C27*(1+'Biomass Data Assumptions'!G$106))*'Prac. Rec. Assumptions'!$B23</f>
        <v>16367.584793751093</v>
      </c>
      <c r="G27" s="294">
        <f>($C27*(1+'Biomass Data Assumptions'!H$106))*'Prac. Rec. Assumptions'!$B23</f>
        <v>17410.08850506114</v>
      </c>
      <c r="H27" s="294">
        <f>($C27*(1+'Biomass Data Assumptions'!I$106))*'Prac. Rec. Assumptions'!$B23</f>
        <v>18300.502815516935</v>
      </c>
      <c r="I27" s="16" t="str">
        <f>IF('Conversion Tables'!F26="NA","NA",(E27*'Conversion Tables'!$C26)/'Conversion Tables'!F26)</f>
        <v>NA</v>
      </c>
      <c r="J27" s="16" t="str">
        <f>IF('Conversion Tables'!G26="NA","NA",(F27*'Conversion Tables'!$C26)/'Conversion Tables'!G26)</f>
        <v>NA</v>
      </c>
      <c r="K27" s="16" t="str">
        <f>IF('Conversion Tables'!H26="NA","NA",(G27*'Conversion Tables'!$C26)/'Conversion Tables'!H26)</f>
        <v>NA</v>
      </c>
      <c r="L27" s="16" t="str">
        <f>IF('Conversion Tables'!I26="NA","NA",(H27*'Conversion Tables'!$C26)/'Conversion Tables'!I26)</f>
        <v>NA</v>
      </c>
      <c r="M27" s="16" t="str">
        <f>IF('Conversion Tables'!K26="NA","NA",E27*'Conversion Tables'!K26)</f>
        <v>NA</v>
      </c>
      <c r="N27" s="16" t="str">
        <f>IF('Conversion Tables'!L26="NA","NA",F27*'Conversion Tables'!L26)</f>
        <v>NA</v>
      </c>
      <c r="O27" s="16" t="str">
        <f>IF('Conversion Tables'!M26="NA","NA",G27*'Conversion Tables'!M26)</f>
        <v>NA</v>
      </c>
      <c r="P27" s="16" t="str">
        <f>IF('Conversion Tables'!N26="NA","NA",H27*'Conversion Tables'!N26)</f>
        <v>NA</v>
      </c>
      <c r="Q27" s="13"/>
    </row>
    <row r="28" spans="1:17" x14ac:dyDescent="0.25">
      <c r="A28" s="1207"/>
      <c r="B28" s="11" t="s">
        <v>562</v>
      </c>
      <c r="C28" s="294">
        <f>C131</f>
        <v>6851.4750000000004</v>
      </c>
      <c r="D28" s="294">
        <f>E28*'Conversion Tables'!C27</f>
        <v>121271.1075</v>
      </c>
      <c r="E28" s="294">
        <f>C28*'Prac. Rec. Assumptions'!B24</f>
        <v>6851.4750000000004</v>
      </c>
      <c r="F28" s="294">
        <f>($C28*(1+'Biomass Data Assumptions'!G$106))*'Prac. Rec. Assumptions'!$B24</f>
        <v>7118.4624407582933</v>
      </c>
      <c r="G28" s="294">
        <f>($C28*(1+'Biomass Data Assumptions'!H$106))*'Prac. Rec. Assumptions'!$B24</f>
        <v>7571.8600315955764</v>
      </c>
      <c r="H28" s="294">
        <f>($C28*(1+'Biomass Data Assumptions'!I$106))*'Prac. Rec. Assumptions'!$B24</f>
        <v>7959.1120853080574</v>
      </c>
      <c r="I28" s="16" t="str">
        <f>IF('Conversion Tables'!F27="NA","NA",(E28*'Conversion Tables'!$C27)/'Conversion Tables'!F27)</f>
        <v>NA</v>
      </c>
      <c r="J28" s="16" t="str">
        <f>IF('Conversion Tables'!G27="NA","NA",(F28*'Conversion Tables'!$C27)/'Conversion Tables'!G27)</f>
        <v>NA</v>
      </c>
      <c r="K28" s="16" t="str">
        <f>IF('Conversion Tables'!H27="NA","NA",(G28*'Conversion Tables'!$C27)/'Conversion Tables'!H27)</f>
        <v>NA</v>
      </c>
      <c r="L28" s="16" t="str">
        <f>IF('Conversion Tables'!I27="NA","NA",(H28*'Conversion Tables'!$C27)/'Conversion Tables'!I27)</f>
        <v>NA</v>
      </c>
      <c r="M28" s="16" t="str">
        <f>IF('Conversion Tables'!K27="NA","NA",E28*'Conversion Tables'!K27)</f>
        <v>NA</v>
      </c>
      <c r="N28" s="16" t="str">
        <f>IF('Conversion Tables'!L27="NA","NA",F28*'Conversion Tables'!L27)</f>
        <v>NA</v>
      </c>
      <c r="O28" s="16" t="str">
        <f>IF('Conversion Tables'!M27="NA","NA",G28*'Conversion Tables'!M27)</f>
        <v>NA</v>
      </c>
      <c r="P28" s="16" t="str">
        <f>IF('Conversion Tables'!N27="NA","NA",H28*'Conversion Tables'!N27)</f>
        <v>NA</v>
      </c>
      <c r="Q28" s="13"/>
    </row>
    <row r="29" spans="1:17" x14ac:dyDescent="0.25">
      <c r="A29" s="1208"/>
      <c r="B29" s="9" t="s">
        <v>524</v>
      </c>
      <c r="C29" s="295">
        <f t="shared" ref="C29:P29" si="3">SUM(C13:C28)</f>
        <v>158073.35416666666</v>
      </c>
      <c r="D29" s="295">
        <f>SUM(D13:D28)</f>
        <v>1617297.9653450001</v>
      </c>
      <c r="E29" s="295">
        <f t="shared" si="3"/>
        <v>100055.76041666667</v>
      </c>
      <c r="F29" s="295">
        <f>SUM(F13:F28)</f>
        <v>101721.45586339301</v>
      </c>
      <c r="G29" s="295">
        <f>SUM(G13:G28)</f>
        <v>104550.13686977062</v>
      </c>
      <c r="H29" s="295">
        <f>SUM(H13:H28)</f>
        <v>106966.14558078814</v>
      </c>
      <c r="I29" s="19">
        <f t="shared" si="3"/>
        <v>0</v>
      </c>
      <c r="J29" s="19">
        <f t="shared" si="3"/>
        <v>0</v>
      </c>
      <c r="K29" s="19">
        <f t="shared" si="3"/>
        <v>0</v>
      </c>
      <c r="L29" s="19">
        <f t="shared" si="3"/>
        <v>0</v>
      </c>
      <c r="M29" s="19">
        <f t="shared" si="3"/>
        <v>0</v>
      </c>
      <c r="N29" s="19">
        <f t="shared" si="3"/>
        <v>0</v>
      </c>
      <c r="O29" s="19">
        <f t="shared" si="3"/>
        <v>0</v>
      </c>
      <c r="P29" s="19">
        <f t="shared" si="3"/>
        <v>0</v>
      </c>
      <c r="Q29" s="19"/>
    </row>
    <row r="30" spans="1:17" x14ac:dyDescent="0.25">
      <c r="A30" s="8"/>
      <c r="C30" s="296"/>
      <c r="D30" s="296"/>
      <c r="E30" s="296"/>
      <c r="F30" s="296"/>
      <c r="G30" s="296"/>
      <c r="H30" s="296"/>
      <c r="I30" s="28"/>
      <c r="J30" s="28"/>
      <c r="K30" s="28"/>
      <c r="L30" s="28"/>
      <c r="M30" s="28"/>
      <c r="N30" s="28"/>
      <c r="O30" s="28"/>
      <c r="P30" s="28"/>
    </row>
    <row r="31" spans="1:17" x14ac:dyDescent="0.25">
      <c r="A31" s="1064" t="s">
        <v>516</v>
      </c>
      <c r="B31" s="130" t="str">
        <f>'Bioenergy Calculator'!B34</f>
        <v>Solid wastes - Landfilled</v>
      </c>
      <c r="C31" s="294"/>
      <c r="D31" s="294"/>
      <c r="E31" s="294"/>
      <c r="F31" s="294"/>
      <c r="G31" s="294"/>
      <c r="H31" s="294"/>
      <c r="I31" s="16"/>
      <c r="J31" s="16"/>
      <c r="K31" s="16"/>
      <c r="L31" s="16"/>
      <c r="M31" s="16"/>
      <c r="N31" s="16"/>
      <c r="O31" s="16"/>
      <c r="P31" s="16"/>
      <c r="Q31" s="7"/>
    </row>
    <row r="32" spans="1:17" x14ac:dyDescent="0.25">
      <c r="A32" s="1064"/>
      <c r="B32" s="11" t="str">
        <f>'Bioenergy Calculator'!B35</f>
        <v>Food waste, Landfilled</v>
      </c>
      <c r="C32" s="294">
        <f>C141</f>
        <v>18584.530129199997</v>
      </c>
      <c r="D32" s="294">
        <f>E32*'Conversion Tables'!C29</f>
        <v>178411.48924031999</v>
      </c>
      <c r="E32" s="294">
        <f>C32*'Prac. Rec. Assumptions'!B26</f>
        <v>11150.718077519999</v>
      </c>
      <c r="F32" s="294">
        <f>($C32*(1+'Biomass Data Assumptions'!G$106)*(1+'Biomass Data Assumptions'!C$82))*'Prac. Rec. Assumptions'!$B26</f>
        <v>11577.371758178017</v>
      </c>
      <c r="G32" s="294">
        <f>($C32*(1+'Biomass Data Assumptions'!H$106)*(1+'Biomass Data Assumptions'!D$82))*'Prac. Rec. Assumptions'!$B26</f>
        <v>12306.410036199701</v>
      </c>
      <c r="H32" s="294">
        <f>($C32*(1+'Biomass Data Assumptions'!I$106)*(1+'Biomass Data Assumptions'!E$82))*'Prac. Rec. Assumptions'!$B26</f>
        <v>12927.020796342322</v>
      </c>
      <c r="I32" s="16" t="str">
        <f>IF('Conversion Tables'!F29="NA","NA",(E32*'Conversion Tables'!$C29)/'Conversion Tables'!F29)</f>
        <v>NA</v>
      </c>
      <c r="J32" s="16" t="str">
        <f>IF('Conversion Tables'!G29="NA","NA",(F32*'Conversion Tables'!$C29)/'Conversion Tables'!G29)</f>
        <v>NA</v>
      </c>
      <c r="K32" s="16" t="str">
        <f>IF('Conversion Tables'!H29="NA","NA",(G32*'Conversion Tables'!$C29)/'Conversion Tables'!H29)</f>
        <v>NA</v>
      </c>
      <c r="L32" s="16" t="str">
        <f>IF('Conversion Tables'!I29="NA","NA",(H32*'Conversion Tables'!$C29)/'Conversion Tables'!I29)</f>
        <v>NA</v>
      </c>
      <c r="M32" s="16" t="str">
        <f>IF('Conversion Tables'!K29="NA","NA",E32*'Conversion Tables'!K29)</f>
        <v>NA</v>
      </c>
      <c r="N32" s="16" t="str">
        <f>IF('Conversion Tables'!L29="NA","NA",F32*'Conversion Tables'!L29)</f>
        <v>NA</v>
      </c>
      <c r="O32" s="16" t="str">
        <f>IF('Conversion Tables'!M29="NA","NA",G32*'Conversion Tables'!M29)</f>
        <v>NA</v>
      </c>
      <c r="P32" s="16" t="str">
        <f>IF('Conversion Tables'!N29="NA","NA",H32*'Conversion Tables'!N29)</f>
        <v>NA</v>
      </c>
      <c r="Q32" s="7"/>
    </row>
    <row r="33" spans="1:17" x14ac:dyDescent="0.25">
      <c r="A33" s="1064"/>
      <c r="B33" s="11" t="str">
        <f>'Bioenergy Calculator'!B36</f>
        <v>Waste paper, Landfilled</v>
      </c>
      <c r="C33" s="294">
        <f>C142</f>
        <v>68546.607650999998</v>
      </c>
      <c r="D33" s="294">
        <f>E33*'Conversion Tables'!C30</f>
        <v>796347.06904625765</v>
      </c>
      <c r="E33" s="294">
        <f>C33*'Prac. Rec. Assumptions'!B27</f>
        <v>54837.286120800003</v>
      </c>
      <c r="F33" s="294">
        <f>($C33*(1+'Biomass Data Assumptions'!G$106)*(1+'Biomass Data Assumptions'!C$82))*'Prac. Rec. Assumptions'!$B27</f>
        <v>56935.494487120726</v>
      </c>
      <c r="G33" s="294">
        <f>($C33*(1+'Biomass Data Assumptions'!H$106)*(1+'Biomass Data Assumptions'!D$82))*'Prac. Rec. Assumptions'!$B27</f>
        <v>60520.777548441001</v>
      </c>
      <c r="H33" s="294">
        <f>($C33*(1+'Biomass Data Assumptions'!I$106)*(1+'Biomass Data Assumptions'!E$82))*'Prac. Rec. Assumptions'!$B27</f>
        <v>63572.832993390184</v>
      </c>
      <c r="I33" s="16" t="str">
        <f>IF('Conversion Tables'!F30="NA","NA",(E33*'Conversion Tables'!$C30)/'Conversion Tables'!F30)</f>
        <v>NA</v>
      </c>
      <c r="J33" s="16" t="str">
        <f>IF('Conversion Tables'!G30="NA","NA",(F33*'Conversion Tables'!$C30)/'Conversion Tables'!G30)</f>
        <v>NA</v>
      </c>
      <c r="K33" s="16" t="str">
        <f>IF('Conversion Tables'!H30="NA","NA",(G33*'Conversion Tables'!$C30)/'Conversion Tables'!H30)</f>
        <v>NA</v>
      </c>
      <c r="L33" s="16" t="str">
        <f>IF('Conversion Tables'!I30="NA","NA",(H33*'Conversion Tables'!$C30)/'Conversion Tables'!I30)</f>
        <v>NA</v>
      </c>
      <c r="M33" s="16" t="str">
        <f>IF('Conversion Tables'!K30="NA","NA",E33*'Conversion Tables'!K30)</f>
        <v>NA</v>
      </c>
      <c r="N33" s="16" t="str">
        <f>IF('Conversion Tables'!L30="NA","NA",F33*'Conversion Tables'!L30)</f>
        <v>NA</v>
      </c>
      <c r="O33" s="16" t="str">
        <f>IF('Conversion Tables'!M30="NA","NA",G33*'Conversion Tables'!M30)</f>
        <v>NA</v>
      </c>
      <c r="P33" s="16" t="str">
        <f>IF('Conversion Tables'!N30="NA","NA",H33*'Conversion Tables'!N30)</f>
        <v>NA</v>
      </c>
      <c r="Q33" s="7"/>
    </row>
    <row r="34" spans="1:17" x14ac:dyDescent="0.25">
      <c r="A34" s="1064"/>
      <c r="B34" s="11" t="str">
        <f>'Bioenergy Calculator'!B37</f>
        <v>Other Biomass, Landfilled</v>
      </c>
      <c r="C34" s="294">
        <f>C143</f>
        <v>52726.653642999991</v>
      </c>
      <c r="D34" s="294">
        <f>E34*'Conversion Tables'!C31</f>
        <v>551301.45422662515</v>
      </c>
      <c r="E34" s="294">
        <f>C34*'Prac. Rec. Assumptions'!B28</f>
        <v>37963.190622959999</v>
      </c>
      <c r="F34" s="294">
        <f>($C34*(1+'Biomass Data Assumptions'!G$106)*(1+'Biomass Data Assumptions'!C$82))*'Prac. Rec. Assumptions'!$B28</f>
        <v>39415.754923860186</v>
      </c>
      <c r="G34" s="294">
        <f>($C34*(1+'Biomass Data Assumptions'!H$106)*(1+'Biomass Data Assumptions'!D$82))*'Prac. Rec. Assumptions'!$B28</f>
        <v>41897.803068882167</v>
      </c>
      <c r="H34" s="294">
        <f>($C34*(1+'Biomass Data Assumptions'!I$106)*(1+'Biomass Data Assumptions'!E$82))*'Prac. Rec. Assumptions'!$B28</f>
        <v>44010.704177686312</v>
      </c>
      <c r="I34" s="16" t="str">
        <f>IF('Conversion Tables'!F31="NA","NA",(E34*'Conversion Tables'!$C31)/'Conversion Tables'!F31)</f>
        <v>NA</v>
      </c>
      <c r="J34" s="16" t="str">
        <f>IF('Conversion Tables'!G31="NA","NA",(F34*'Conversion Tables'!$C31)/'Conversion Tables'!G31)</f>
        <v>NA</v>
      </c>
      <c r="K34" s="16" t="str">
        <f>IF('Conversion Tables'!H31="NA","NA",(G34*'Conversion Tables'!$C31)/'Conversion Tables'!H31)</f>
        <v>NA</v>
      </c>
      <c r="L34" s="16" t="str">
        <f>IF('Conversion Tables'!I31="NA","NA",(H34*'Conversion Tables'!$C31)/'Conversion Tables'!I31)</f>
        <v>NA</v>
      </c>
      <c r="M34" s="16" t="str">
        <f>IF('Conversion Tables'!K31="NA","NA",E34*'Conversion Tables'!K31)</f>
        <v>NA</v>
      </c>
      <c r="N34" s="16" t="str">
        <f>IF('Conversion Tables'!L31="NA","NA",F34*'Conversion Tables'!L31)</f>
        <v>NA</v>
      </c>
      <c r="O34" s="16" t="str">
        <f>IF('Conversion Tables'!M31="NA","NA",G34*'Conversion Tables'!M31)</f>
        <v>NA</v>
      </c>
      <c r="P34" s="16" t="str">
        <f>IF('Conversion Tables'!N31="NA","NA",H34*'Conversion Tables'!N31)</f>
        <v>NA</v>
      </c>
      <c r="Q34" s="7"/>
    </row>
    <row r="35" spans="1:17" x14ac:dyDescent="0.25">
      <c r="A35" s="1065"/>
      <c r="B35" s="11" t="str">
        <f>'Bioenergy Calculator'!B38</f>
        <v>C&amp;D (Non-recycled wood)</v>
      </c>
      <c r="C35" s="294">
        <f>C145</f>
        <v>88560.502400000012</v>
      </c>
      <c r="D35" s="294">
        <f>E35*'Conversion Tables'!C32</f>
        <v>1003213.3711872003</v>
      </c>
      <c r="E35" s="294">
        <f>C35*'Prac. Rec. Assumptions'!B29</f>
        <v>56678.721536000019</v>
      </c>
      <c r="F35" s="294">
        <f>($C35*(1+'Biomass Data Assumptions'!G$106)*(1+'Biomass Data Assumptions'!C$83))*'Prac. Rec. Assumptions'!$B29</f>
        <v>61844.170307782668</v>
      </c>
      <c r="G35" s="294">
        <f>($C35*(1+'Biomass Data Assumptions'!H$106)*(1+'Biomass Data Assumptions'!D$83))*'Prac. Rec. Assumptions'!$B29</f>
        <v>69086.270420730245</v>
      </c>
      <c r="H35" s="294">
        <f>($C35*(1+'Biomass Data Assumptions'!I$106)*(1+'Biomass Data Assumptions'!E$83))*'Prac. Rec. Assumptions'!$B29</f>
        <v>76265.898835774104</v>
      </c>
      <c r="I35" s="16" t="str">
        <f>IF('Conversion Tables'!F32="NA","NA",(E35*'Conversion Tables'!$C32)/'Conversion Tables'!F32)</f>
        <v>NA</v>
      </c>
      <c r="J35" s="16" t="str">
        <f>IF('Conversion Tables'!G32="NA","NA",(F35*'Conversion Tables'!$C32)/'Conversion Tables'!G32)</f>
        <v>NA</v>
      </c>
      <c r="K35" s="16" t="str">
        <f>IF('Conversion Tables'!H32="NA","NA",(G35*'Conversion Tables'!$C32)/'Conversion Tables'!H32)</f>
        <v>NA</v>
      </c>
      <c r="L35" s="16" t="str">
        <f>IF('Conversion Tables'!I32="NA","NA",(H35*'Conversion Tables'!$C32)/'Conversion Tables'!I32)</f>
        <v>NA</v>
      </c>
      <c r="M35" s="16" t="str">
        <f>IF('Conversion Tables'!K32="NA","NA",E35*'Conversion Tables'!K32)</f>
        <v>NA</v>
      </c>
      <c r="N35" s="16" t="str">
        <f>IF('Conversion Tables'!L32="NA","NA",F35*'Conversion Tables'!L32)</f>
        <v>NA</v>
      </c>
      <c r="O35" s="16" t="str">
        <f>IF('Conversion Tables'!M32="NA","NA",G35*'Conversion Tables'!M32)</f>
        <v>NA</v>
      </c>
      <c r="P35" s="16" t="str">
        <f>IF('Conversion Tables'!N32="NA","NA",H35*'Conversion Tables'!N32)</f>
        <v>NA</v>
      </c>
      <c r="Q35" s="7"/>
    </row>
    <row r="36" spans="1:17" x14ac:dyDescent="0.25">
      <c r="A36" s="1065"/>
      <c r="B36" s="4" t="s">
        <v>280</v>
      </c>
      <c r="C36" s="294"/>
      <c r="D36" s="294"/>
      <c r="E36" s="294"/>
      <c r="F36" s="294"/>
      <c r="G36" s="294"/>
      <c r="H36" s="294"/>
      <c r="I36" s="16"/>
      <c r="J36" s="16"/>
      <c r="K36" s="16"/>
      <c r="L36" s="16"/>
      <c r="M36" s="16"/>
      <c r="N36" s="16"/>
      <c r="O36" s="16"/>
      <c r="P36" s="16"/>
      <c r="Q36" s="7"/>
    </row>
    <row r="37" spans="1:17" x14ac:dyDescent="0.25">
      <c r="A37" s="1065"/>
      <c r="B37" s="677" t="s">
        <v>563</v>
      </c>
      <c r="C37" s="299">
        <f>C132</f>
        <v>810.69749999999999</v>
      </c>
      <c r="D37" s="294">
        <f>E37*'Conversion Tables'!C34</f>
        <v>12971.16</v>
      </c>
      <c r="E37" s="294">
        <f>C37*'Prac. Rec. Assumptions'!B31</f>
        <v>810.69749999999999</v>
      </c>
      <c r="F37" s="294">
        <f>($C37*(1+'Biomass Data Assumptions'!G$106)*(1+'Biomass Data Assumptions'!C$84))*'Prac. Rec. Assumptions'!$B31</f>
        <v>921.02259200616118</v>
      </c>
      <c r="G37" s="294">
        <f>($C37*(1+'Biomass Data Assumptions'!H$106)*(1+'Biomass Data Assumptions'!D$84))*'Prac. Rec. Assumptions'!$B31</f>
        <v>1071.2627197659865</v>
      </c>
      <c r="H37" s="294">
        <f>($C37*(1+'Biomass Data Assumptions'!I$106)*(1+'Biomass Data Assumptions'!E$84))*'Prac. Rec. Assumptions'!$B31</f>
        <v>1231.3098794528473</v>
      </c>
      <c r="I37" s="16" t="str">
        <f>IF('Conversion Tables'!F34="NA","NA",(E37*'Conversion Tables'!$C34)/'Conversion Tables'!F34)</f>
        <v>NA</v>
      </c>
      <c r="J37" s="16" t="str">
        <f>IF('Conversion Tables'!G34="NA","NA",(F37*'Conversion Tables'!$C34)/'Conversion Tables'!G34)</f>
        <v>NA</v>
      </c>
      <c r="K37" s="16" t="str">
        <f>IF('Conversion Tables'!H34="NA","NA",(G37*'Conversion Tables'!$C34)/'Conversion Tables'!H34)</f>
        <v>NA</v>
      </c>
      <c r="L37" s="16" t="str">
        <f>IF('Conversion Tables'!I34="NA","NA",(H37*'Conversion Tables'!$C34)/'Conversion Tables'!I34)</f>
        <v>NA</v>
      </c>
      <c r="M37" s="16" t="str">
        <f>IF('Conversion Tables'!K34="NA","NA",E37*'Conversion Tables'!K34)</f>
        <v>NA</v>
      </c>
      <c r="N37" s="16" t="str">
        <f>IF('Conversion Tables'!L34="NA","NA",F37*'Conversion Tables'!L34)</f>
        <v>NA</v>
      </c>
      <c r="O37" s="16" t="str">
        <f>IF('Conversion Tables'!M34="NA","NA",G37*'Conversion Tables'!M34)</f>
        <v>NA</v>
      </c>
      <c r="P37" s="16" t="str">
        <f>IF('Conversion Tables'!N34="NA","NA",H37*'Conversion Tables'!N34)</f>
        <v>NA</v>
      </c>
      <c r="Q37" s="18"/>
    </row>
    <row r="38" spans="1:17" x14ac:dyDescent="0.25">
      <c r="A38" s="1065"/>
      <c r="B38" s="11" t="s">
        <v>565</v>
      </c>
      <c r="C38" s="294">
        <f>C134</f>
        <v>6459.4160000000011</v>
      </c>
      <c r="D38" s="294">
        <f>E38*'Conversion Tables'!C35</f>
        <v>57165.831600000005</v>
      </c>
      <c r="E38" s="294">
        <f>C38*'Prac. Rec. Assumptions'!B32</f>
        <v>3229.7080000000005</v>
      </c>
      <c r="F38" s="294">
        <f>($C38*(1+'Biomass Data Assumptions'!G$106)*(1+'Biomass Data Assumptions'!C$84))*'Prac. Rec. Assumptions'!$B32</f>
        <v>3669.2280827103023</v>
      </c>
      <c r="G38" s="294">
        <f>($C38*(1+'Biomass Data Assumptions'!H$106)*(1+'Biomass Data Assumptions'!D$84))*'Prac. Rec. Assumptions'!$B32</f>
        <v>4267.7642106087233</v>
      </c>
      <c r="H38" s="294">
        <f>($C38*(1+'Biomass Data Assumptions'!I$106)*(1+'Biomass Data Assumptions'!E$84))*'Prac. Rec. Assumptions'!$B32</f>
        <v>4905.370212869655</v>
      </c>
      <c r="I38" s="16" t="str">
        <f>IF('Conversion Tables'!F35="NA","NA",(E38*'Conversion Tables'!$C35)/'Conversion Tables'!F35)</f>
        <v>NA</v>
      </c>
      <c r="J38" s="16" t="str">
        <f>IF('Conversion Tables'!G35="NA","NA",(F38*'Conversion Tables'!$C35)/'Conversion Tables'!G35)</f>
        <v>NA</v>
      </c>
      <c r="K38" s="16" t="str">
        <f>IF('Conversion Tables'!H35="NA","NA",(G38*'Conversion Tables'!$C35)/'Conversion Tables'!H35)</f>
        <v>NA</v>
      </c>
      <c r="L38" s="16" t="str">
        <f>IF('Conversion Tables'!I35="NA","NA",(H38*'Conversion Tables'!$C35)/'Conversion Tables'!I35)</f>
        <v>NA</v>
      </c>
      <c r="M38" s="16" t="str">
        <f>IF('Conversion Tables'!K35="NA","NA",E38*'Conversion Tables'!K35)</f>
        <v>NA</v>
      </c>
      <c r="N38" s="16" t="str">
        <f>IF('Conversion Tables'!L35="NA","NA",F38*'Conversion Tables'!L35)</f>
        <v>NA</v>
      </c>
      <c r="O38" s="16" t="str">
        <f>IF('Conversion Tables'!M35="NA","NA",G38*'Conversion Tables'!M35)</f>
        <v>NA</v>
      </c>
      <c r="P38" s="16" t="str">
        <f>IF('Conversion Tables'!N35="NA","NA",H38*'Conversion Tables'!N35)</f>
        <v>NA</v>
      </c>
      <c r="Q38" s="13"/>
    </row>
    <row r="39" spans="1:17" x14ac:dyDescent="0.25">
      <c r="A39" s="1065"/>
      <c r="B39" s="17" t="s">
        <v>555</v>
      </c>
      <c r="C39" s="294">
        <f>C124</f>
        <v>49934.844000000005</v>
      </c>
      <c r="D39" s="299">
        <f>E39*'Conversion Tables'!C36</f>
        <v>0</v>
      </c>
      <c r="E39" s="299">
        <f>C39*'Prac. Rec. Assumptions'!B33</f>
        <v>0</v>
      </c>
      <c r="F39" s="294">
        <f>($C39*(1+'Biomass Data Assumptions'!G$106)*(1+'Biomass Data Assumptions'!C$84))*'Prac. Rec. Assumptions'!$B33</f>
        <v>0</v>
      </c>
      <c r="G39" s="294">
        <f>($C39*(1+'Biomass Data Assumptions'!H$106)*(1+'Biomass Data Assumptions'!D$84))*'Prac. Rec. Assumptions'!$B33</f>
        <v>0</v>
      </c>
      <c r="H39" s="294">
        <f>($C39*(1+'Biomass Data Assumptions'!I$106)*(1+'Biomass Data Assumptions'!E$84))*'Prac. Rec. Assumptions'!$B33</f>
        <v>0</v>
      </c>
      <c r="I39" s="16" t="str">
        <f>IF('Conversion Tables'!F36="NA","NA",(E39*'Conversion Tables'!$C36)/'Conversion Tables'!F36)</f>
        <v>NA</v>
      </c>
      <c r="J39" s="16" t="str">
        <f>IF('Conversion Tables'!G36="NA","NA",(F39*'Conversion Tables'!$C36)/'Conversion Tables'!G36)</f>
        <v>NA</v>
      </c>
      <c r="K39" s="16" t="str">
        <f>IF('Conversion Tables'!H36="NA","NA",(G39*'Conversion Tables'!$C36)/'Conversion Tables'!H36)</f>
        <v>NA</v>
      </c>
      <c r="L39" s="16" t="str">
        <f>IF('Conversion Tables'!I36="NA","NA",(H39*'Conversion Tables'!$C36)/'Conversion Tables'!I36)</f>
        <v>NA</v>
      </c>
      <c r="M39" s="16" t="str">
        <f>IF('Conversion Tables'!K36="NA","NA",E39*'Conversion Tables'!K36)</f>
        <v>NA</v>
      </c>
      <c r="N39" s="16" t="str">
        <f>IF('Conversion Tables'!L36="NA","NA",F39*'Conversion Tables'!L36)</f>
        <v>NA</v>
      </c>
      <c r="O39" s="16" t="str">
        <f>IF('Conversion Tables'!M36="NA","NA",G39*'Conversion Tables'!M36)</f>
        <v>NA</v>
      </c>
      <c r="P39" s="16" t="str">
        <f>IF('Conversion Tables'!N36="NA","NA",H39*'Conversion Tables'!N36)</f>
        <v>NA</v>
      </c>
      <c r="Q39" s="27"/>
    </row>
    <row r="40" spans="1:17" x14ac:dyDescent="0.25">
      <c r="A40" s="1065"/>
      <c r="B40" s="17" t="s">
        <v>556</v>
      </c>
      <c r="C40" s="294">
        <f>C125</f>
        <v>6351.2190000000001</v>
      </c>
      <c r="D40" s="299">
        <f>E40*'Conversion Tables'!C37</f>
        <v>0</v>
      </c>
      <c r="E40" s="299">
        <f>C40*'Prac. Rec. Assumptions'!B34</f>
        <v>0</v>
      </c>
      <c r="F40" s="294">
        <f>($C40*(1+'Biomass Data Assumptions'!G$106)*(1+'Biomass Data Assumptions'!C$84))*'Prac. Rec. Assumptions'!$B34</f>
        <v>0</v>
      </c>
      <c r="G40" s="294">
        <f>($C40*(1+'Biomass Data Assumptions'!H$106)*(1+'Biomass Data Assumptions'!D$84))*'Prac. Rec. Assumptions'!$B34</f>
        <v>0</v>
      </c>
      <c r="H40" s="294">
        <f>($C40*(1+'Biomass Data Assumptions'!I$106)*(1+'Biomass Data Assumptions'!E$84))*'Prac. Rec. Assumptions'!$B34</f>
        <v>0</v>
      </c>
      <c r="I40" s="16" t="str">
        <f>IF('Conversion Tables'!F37="NA","NA",(E40*'Conversion Tables'!$C37)/'Conversion Tables'!F37)</f>
        <v>NA</v>
      </c>
      <c r="J40" s="16" t="str">
        <f>IF('Conversion Tables'!G37="NA","NA",(F40*'Conversion Tables'!$C37)/'Conversion Tables'!G37)</f>
        <v>NA</v>
      </c>
      <c r="K40" s="16" t="str">
        <f>IF('Conversion Tables'!H37="NA","NA",(G40*'Conversion Tables'!$C37)/'Conversion Tables'!H37)</f>
        <v>NA</v>
      </c>
      <c r="L40" s="16" t="str">
        <f>IF('Conversion Tables'!I37="NA","NA",(H40*'Conversion Tables'!$C37)/'Conversion Tables'!I37)</f>
        <v>NA</v>
      </c>
      <c r="M40" s="16" t="str">
        <f>IF('Conversion Tables'!K37="NA","NA",E40*'Conversion Tables'!K37)</f>
        <v>NA</v>
      </c>
      <c r="N40" s="16" t="str">
        <f>IF('Conversion Tables'!L37="NA","NA",F40*'Conversion Tables'!L37)</f>
        <v>NA</v>
      </c>
      <c r="O40" s="16" t="str">
        <f>IF('Conversion Tables'!M37="NA","NA",G40*'Conversion Tables'!M37)</f>
        <v>NA</v>
      </c>
      <c r="P40" s="16" t="str">
        <f>IF('Conversion Tables'!N37="NA","NA",H40*'Conversion Tables'!N37)</f>
        <v>NA</v>
      </c>
      <c r="Q40" s="27"/>
    </row>
    <row r="41" spans="1:17" x14ac:dyDescent="0.25">
      <c r="A41" s="1065"/>
      <c r="B41" s="17" t="s">
        <v>557</v>
      </c>
      <c r="C41" s="294">
        <f>C126</f>
        <v>20556.972000000002</v>
      </c>
      <c r="D41" s="299">
        <f>E41*'Conversion Tables'!C38</f>
        <v>0</v>
      </c>
      <c r="E41" s="299">
        <f>C41*'Prac. Rec. Assumptions'!B35</f>
        <v>0</v>
      </c>
      <c r="F41" s="294">
        <f>($C41*(1+'Biomass Data Assumptions'!G$106)*(1+'Biomass Data Assumptions'!C$84))*'Prac. Rec. Assumptions'!$B35</f>
        <v>0</v>
      </c>
      <c r="G41" s="294">
        <f>($C41*(1+'Biomass Data Assumptions'!H$106)*(1+'Biomass Data Assumptions'!D$84))*'Prac. Rec. Assumptions'!$B35</f>
        <v>0</v>
      </c>
      <c r="H41" s="294">
        <f>($C41*(1+'Biomass Data Assumptions'!I$106)*(1+'Biomass Data Assumptions'!E$84))*'Prac. Rec. Assumptions'!$B35</f>
        <v>0</v>
      </c>
      <c r="I41" s="16" t="str">
        <f>IF('Conversion Tables'!F38="NA","NA",(E41*'Conversion Tables'!$C38)/'Conversion Tables'!F38)</f>
        <v>NA</v>
      </c>
      <c r="J41" s="16" t="str">
        <f>IF('Conversion Tables'!G38="NA","NA",(F41*'Conversion Tables'!$C38)/'Conversion Tables'!G38)</f>
        <v>NA</v>
      </c>
      <c r="K41" s="16" t="str">
        <f>IF('Conversion Tables'!H38="NA","NA",(G41*'Conversion Tables'!$C38)/'Conversion Tables'!H38)</f>
        <v>NA</v>
      </c>
      <c r="L41" s="16" t="str">
        <f>IF('Conversion Tables'!I38="NA","NA",(H41*'Conversion Tables'!$C38)/'Conversion Tables'!I38)</f>
        <v>NA</v>
      </c>
      <c r="M41" s="16" t="str">
        <f>IF('Conversion Tables'!K38="NA","NA",E41*'Conversion Tables'!K38)</f>
        <v>NA</v>
      </c>
      <c r="N41" s="16" t="str">
        <f>IF('Conversion Tables'!L38="NA","NA",F41*'Conversion Tables'!L38)</f>
        <v>NA</v>
      </c>
      <c r="O41" s="16" t="str">
        <f>IF('Conversion Tables'!M38="NA","NA",G41*'Conversion Tables'!M38)</f>
        <v>NA</v>
      </c>
      <c r="P41" s="16" t="str">
        <f>IF('Conversion Tables'!N38="NA","NA",H41*'Conversion Tables'!N38)</f>
        <v>NA</v>
      </c>
      <c r="Q41" s="27"/>
    </row>
    <row r="42" spans="1:17" x14ac:dyDescent="0.25">
      <c r="A42" s="1065"/>
      <c r="B42" s="17" t="s">
        <v>558</v>
      </c>
      <c r="C42" s="294">
        <f>C127</f>
        <v>7817.661000000001</v>
      </c>
      <c r="D42" s="299">
        <f>E42*'Conversion Tables'!C39</f>
        <v>113528.07304200002</v>
      </c>
      <c r="E42" s="299">
        <f>C42*'Prac. Rec. Assumptions'!B36</f>
        <v>7817.661000000001</v>
      </c>
      <c r="F42" s="294">
        <f>($C42*(1+'Biomass Data Assumptions'!G$106)*(1+'Biomass Data Assumptions'!C$84))*'Prac. Rec. Assumptions'!$B36</f>
        <v>8881.5401523323781</v>
      </c>
      <c r="G42" s="294">
        <f>($C42*(1+'Biomass Data Assumptions'!H$106)*(1+'Biomass Data Assumptions'!D$84))*'Prac. Rec. Assumptions'!$B36</f>
        <v>10330.325164526204</v>
      </c>
      <c r="H42" s="294">
        <f>($C42*(1+'Biomass Data Assumptions'!I$106)*(1+'Biomass Data Assumptions'!E$84))*'Prac. Rec. Assumptions'!$B36</f>
        <v>11873.680655871303</v>
      </c>
      <c r="I42" s="16" t="str">
        <f>IF('Conversion Tables'!F39="NA","NA",(E42*'Conversion Tables'!$C39)/'Conversion Tables'!F39)</f>
        <v>NA</v>
      </c>
      <c r="J42" s="16" t="str">
        <f>IF('Conversion Tables'!G39="NA","NA",(F42*'Conversion Tables'!$C39)/'Conversion Tables'!G39)</f>
        <v>NA</v>
      </c>
      <c r="K42" s="16" t="str">
        <f>IF('Conversion Tables'!H39="NA","NA",(G42*'Conversion Tables'!$C39)/'Conversion Tables'!H39)</f>
        <v>NA</v>
      </c>
      <c r="L42" s="16" t="str">
        <f>IF('Conversion Tables'!I39="NA","NA",(H42*'Conversion Tables'!$C39)/'Conversion Tables'!I39)</f>
        <v>NA</v>
      </c>
      <c r="M42" s="16" t="str">
        <f>IF('Conversion Tables'!K39="NA","NA",E42*'Conversion Tables'!K39)</f>
        <v>NA</v>
      </c>
      <c r="N42" s="16" t="str">
        <f>IF('Conversion Tables'!L39="NA","NA",F42*'Conversion Tables'!L39)</f>
        <v>NA</v>
      </c>
      <c r="O42" s="16" t="str">
        <f>IF('Conversion Tables'!M39="NA","NA",G42*'Conversion Tables'!M39)</f>
        <v>NA</v>
      </c>
      <c r="P42" s="16" t="str">
        <f>IF('Conversion Tables'!N39="NA","NA",H42*'Conversion Tables'!N39)</f>
        <v>NA</v>
      </c>
      <c r="Q42" s="27"/>
    </row>
    <row r="43" spans="1:17" x14ac:dyDescent="0.25">
      <c r="A43" s="1065"/>
      <c r="B43" s="9" t="s">
        <v>524</v>
      </c>
      <c r="C43" s="295">
        <f t="shared" ref="C43:P43" si="4">SUM(C31:C42)</f>
        <v>320349.10332320002</v>
      </c>
      <c r="D43" s="295">
        <f t="shared" si="4"/>
        <v>2712938.4483424039</v>
      </c>
      <c r="E43" s="295">
        <f t="shared" si="4"/>
        <v>172487.98285728003</v>
      </c>
      <c r="F43" s="295">
        <f t="shared" si="4"/>
        <v>183244.58230399044</v>
      </c>
      <c r="G43" s="295">
        <f t="shared" si="4"/>
        <v>199480.61316915404</v>
      </c>
      <c r="H43" s="295">
        <f t="shared" si="4"/>
        <v>214786.81755138672</v>
      </c>
      <c r="I43" s="19">
        <f t="shared" si="4"/>
        <v>0</v>
      </c>
      <c r="J43" s="19">
        <f t="shared" si="4"/>
        <v>0</v>
      </c>
      <c r="K43" s="19">
        <f t="shared" si="4"/>
        <v>0</v>
      </c>
      <c r="L43" s="19">
        <f t="shared" si="4"/>
        <v>0</v>
      </c>
      <c r="M43" s="19">
        <f t="shared" si="4"/>
        <v>0</v>
      </c>
      <c r="N43" s="19">
        <f t="shared" si="4"/>
        <v>0</v>
      </c>
      <c r="O43" s="19">
        <f t="shared" si="4"/>
        <v>0</v>
      </c>
      <c r="P43" s="19">
        <f t="shared" si="4"/>
        <v>0</v>
      </c>
      <c r="Q43" s="19"/>
    </row>
    <row r="44" spans="1:17" x14ac:dyDescent="0.25">
      <c r="A44" s="8"/>
      <c r="C44" s="296"/>
      <c r="D44" s="296"/>
      <c r="E44" s="296"/>
      <c r="F44" s="296"/>
      <c r="G44" s="296"/>
      <c r="H44" s="296"/>
      <c r="I44" s="28"/>
      <c r="J44" s="28"/>
      <c r="K44" s="28"/>
      <c r="L44" s="28"/>
      <c r="M44" s="28"/>
      <c r="N44" s="28"/>
      <c r="O44" s="28"/>
      <c r="P44" s="28"/>
    </row>
    <row r="45" spans="1:17" x14ac:dyDescent="0.25">
      <c r="A45" s="1064" t="s">
        <v>515</v>
      </c>
      <c r="B45" s="2" t="s">
        <v>510</v>
      </c>
      <c r="C45" s="294"/>
      <c r="D45" s="294"/>
      <c r="E45" s="294"/>
      <c r="F45" s="294"/>
      <c r="G45" s="294"/>
      <c r="H45" s="294"/>
      <c r="I45" s="16"/>
      <c r="J45" s="16"/>
      <c r="K45" s="16"/>
      <c r="L45" s="16"/>
      <c r="M45" s="16"/>
      <c r="N45" s="16"/>
      <c r="O45" s="16"/>
      <c r="P45" s="16"/>
      <c r="Q45" s="7"/>
    </row>
    <row r="46" spans="1:17" x14ac:dyDescent="0.25">
      <c r="A46" s="1064"/>
      <c r="B46" s="12" t="s">
        <v>525</v>
      </c>
      <c r="C46" s="294">
        <f>D77</f>
        <v>260.16000000000003</v>
      </c>
      <c r="D46" s="294">
        <f>E46*'Conversion Tables'!C41</f>
        <v>0</v>
      </c>
      <c r="E46" s="294">
        <f>C46*'Prac. Rec. Assumptions'!B38</f>
        <v>260.16000000000003</v>
      </c>
      <c r="F46" s="294">
        <f>$E46</f>
        <v>260.16000000000003</v>
      </c>
      <c r="G46" s="294">
        <f>$E46</f>
        <v>260.16000000000003</v>
      </c>
      <c r="H46" s="294">
        <f>$E46</f>
        <v>260.16000000000003</v>
      </c>
      <c r="I46" s="16" t="str">
        <f>IF('Conversion Tables'!F41="NA","NA",(E46*'Conversion Tables'!$C41)/'Conversion Tables'!F41)</f>
        <v>NA</v>
      </c>
      <c r="J46" s="16" t="str">
        <f>IF('Conversion Tables'!G41="NA","NA",(F46*'Conversion Tables'!$C41)/'Conversion Tables'!G41)</f>
        <v>NA</v>
      </c>
      <c r="K46" s="16" t="str">
        <f>IF('Conversion Tables'!H41="NA","NA",(G46*'Conversion Tables'!$C41)/'Conversion Tables'!H41)</f>
        <v>NA</v>
      </c>
      <c r="L46" s="16" t="str">
        <f>IF('Conversion Tables'!I41="NA","NA",(H46*'Conversion Tables'!$C41)/'Conversion Tables'!I41)</f>
        <v>NA</v>
      </c>
      <c r="M46" s="16" t="str">
        <f>IF('Conversion Tables'!K41="NA","NA",E46*'Conversion Tables'!K41)</f>
        <v>NA</v>
      </c>
      <c r="N46" s="16" t="str">
        <f>IF('Conversion Tables'!L41="NA","NA",F46*'Conversion Tables'!L41)</f>
        <v>NA</v>
      </c>
      <c r="O46" s="16" t="str">
        <f>IF('Conversion Tables'!M41="NA","NA",G46*'Conversion Tables'!M41)</f>
        <v>NA</v>
      </c>
      <c r="P46" s="16" t="str">
        <f>IF('Conversion Tables'!N41="NA","NA",H46*'Conversion Tables'!N41)</f>
        <v>NA</v>
      </c>
      <c r="Q46" s="15"/>
    </row>
    <row r="47" spans="1:17" x14ac:dyDescent="0.25">
      <c r="A47" s="1065"/>
      <c r="B47" s="2" t="s">
        <v>508</v>
      </c>
      <c r="C47" s="294">
        <f t="shared" ref="C47:C48" si="5">C148</f>
        <v>2156.3605800000005</v>
      </c>
      <c r="D47" s="294"/>
      <c r="E47" s="294">
        <f>C47*'Prac. Rec. Assumptions'!B39</f>
        <v>1078.1802900000002</v>
      </c>
      <c r="F47" s="294">
        <f>($C47*(1+'Biomass Data Assumptions'!G$106))*'Prac. Rec. Assumptions'!$B39</f>
        <v>1120.1946878199053</v>
      </c>
      <c r="G47" s="294">
        <f>($C47*(1+'Biomass Data Assumptions'!H$106))*'Prac. Rec. Assumptions'!$B39</f>
        <v>1191.5434624960508</v>
      </c>
      <c r="H47" s="294">
        <f>($C47*(1+'Biomass Data Assumptions'!I$106))*'Prac. Rec. Assumptions'!$B39</f>
        <v>1252.4832647393368</v>
      </c>
      <c r="I47" s="16" t="str">
        <f>IF('Conversion Tables'!F42="NA","NA",(E47*'Conversion Tables'!$C42)/'Conversion Tables'!F42)</f>
        <v>NA</v>
      </c>
      <c r="J47" s="16" t="str">
        <f>IF('Conversion Tables'!G42="NA","NA",(F47*'Conversion Tables'!$C42)/'Conversion Tables'!G42)</f>
        <v>NA</v>
      </c>
      <c r="K47" s="16" t="str">
        <f>IF('Conversion Tables'!H42="NA","NA",(G47*'Conversion Tables'!$C42)/'Conversion Tables'!H42)</f>
        <v>NA</v>
      </c>
      <c r="L47" s="16" t="str">
        <f>IF('Conversion Tables'!I42="NA","NA",(H47*'Conversion Tables'!$C42)/'Conversion Tables'!I42)</f>
        <v>NA</v>
      </c>
      <c r="M47" s="16" t="str">
        <f>IF('Conversion Tables'!K42="NA","NA",E47*'Conversion Tables'!K42)</f>
        <v>NA</v>
      </c>
      <c r="N47" s="16" t="str">
        <f>IF('Conversion Tables'!L42="NA","NA",F47*'Conversion Tables'!L42)</f>
        <v>NA</v>
      </c>
      <c r="O47" s="16" t="str">
        <f>IF('Conversion Tables'!M42="NA","NA",G47*'Conversion Tables'!M42)</f>
        <v>NA</v>
      </c>
      <c r="P47" s="16" t="str">
        <f>IF('Conversion Tables'!N42="NA","NA",H47*'Conversion Tables'!N42)</f>
        <v>NA</v>
      </c>
      <c r="Q47" s="7"/>
    </row>
    <row r="48" spans="1:17" x14ac:dyDescent="0.25">
      <c r="A48" s="1065"/>
      <c r="B48" s="1" t="s">
        <v>509</v>
      </c>
      <c r="C48" s="294">
        <f t="shared" si="5"/>
        <v>192.71751974999998</v>
      </c>
      <c r="D48" s="294"/>
      <c r="E48" s="294">
        <f>C48*'Prac. Rec. Assumptions'!B40</f>
        <v>192.71751974999998</v>
      </c>
      <c r="F48" s="294">
        <f>($C48*(1+'Biomass Data Assumptions'!G$106))*'Prac. Rec. Assumptions'!$B40</f>
        <v>200.22731251540282</v>
      </c>
      <c r="G48" s="294">
        <f>($C48*(1+'Biomass Data Assumptions'!H$106))*'Prac. Rec. Assumptions'!$B40</f>
        <v>212.98042905845179</v>
      </c>
      <c r="H48" s="294">
        <f>($C48*(1+'Biomass Data Assumptions'!I$106))*'Prac. Rec. Assumptions'!$B40</f>
        <v>223.87301135781988</v>
      </c>
      <c r="I48" s="16" t="str">
        <f>IF('Conversion Tables'!F43="NA","NA",(E48*'Conversion Tables'!$C43)/'Conversion Tables'!F43)</f>
        <v>NA</v>
      </c>
      <c r="J48" s="16" t="str">
        <f>IF('Conversion Tables'!G43="NA","NA",(F48*'Conversion Tables'!$C43)/'Conversion Tables'!G43)</f>
        <v>NA</v>
      </c>
      <c r="K48" s="16" t="str">
        <f>IF('Conversion Tables'!H43="NA","NA",(G48*'Conversion Tables'!$C43)/'Conversion Tables'!H43)</f>
        <v>NA</v>
      </c>
      <c r="L48" s="16" t="str">
        <f>IF('Conversion Tables'!I43="NA","NA",(H48*'Conversion Tables'!$C43)/'Conversion Tables'!I43)</f>
        <v>NA</v>
      </c>
      <c r="M48" s="16" t="str">
        <f>IF('Conversion Tables'!K43="NA","NA",E48*'Conversion Tables'!K43)</f>
        <v>NA</v>
      </c>
      <c r="N48" s="16" t="str">
        <f>IF('Conversion Tables'!L43="NA","NA",F48*'Conversion Tables'!L43)</f>
        <v>NA</v>
      </c>
      <c r="O48" s="16" t="str">
        <f>IF('Conversion Tables'!M43="NA","NA",G48*'Conversion Tables'!M43)</f>
        <v>NA</v>
      </c>
      <c r="P48" s="16" t="str">
        <f>IF('Conversion Tables'!N43="NA","NA",H48*'Conversion Tables'!N43)</f>
        <v>NA</v>
      </c>
      <c r="Q48" s="7"/>
    </row>
    <row r="49" spans="1:17" x14ac:dyDescent="0.25">
      <c r="A49" s="1065"/>
      <c r="B49" s="9" t="s">
        <v>524</v>
      </c>
      <c r="C49" s="295">
        <f t="shared" ref="C49:P49" si="6">SUM(C45:C48)</f>
        <v>2609.2380997500004</v>
      </c>
      <c r="D49" s="295">
        <f>SUM(D45:D48)</f>
        <v>0</v>
      </c>
      <c r="E49" s="295">
        <f t="shared" si="6"/>
        <v>1531.0578097500004</v>
      </c>
      <c r="F49" s="295">
        <f>SUM(F45:F48)</f>
        <v>1580.5820003353083</v>
      </c>
      <c r="G49" s="295">
        <f>SUM(G45:G48)</f>
        <v>1664.6838915545027</v>
      </c>
      <c r="H49" s="295">
        <f>SUM(H45:H48)</f>
        <v>1736.5162760971568</v>
      </c>
      <c r="I49" s="19">
        <f t="shared" si="6"/>
        <v>0</v>
      </c>
      <c r="J49" s="19">
        <f t="shared" si="6"/>
        <v>0</v>
      </c>
      <c r="K49" s="19">
        <f t="shared" si="6"/>
        <v>0</v>
      </c>
      <c r="L49" s="19">
        <f t="shared" si="6"/>
        <v>0</v>
      </c>
      <c r="M49" s="19">
        <f t="shared" si="6"/>
        <v>0</v>
      </c>
      <c r="N49" s="19">
        <f t="shared" si="6"/>
        <v>0</v>
      </c>
      <c r="O49" s="19">
        <f t="shared" si="6"/>
        <v>0</v>
      </c>
      <c r="P49" s="19">
        <f t="shared" si="6"/>
        <v>0</v>
      </c>
      <c r="Q49" s="19"/>
    </row>
    <row r="50" spans="1:17" x14ac:dyDescent="0.25">
      <c r="A50" s="8"/>
      <c r="C50" s="296"/>
      <c r="D50" s="296"/>
      <c r="E50" s="296"/>
      <c r="F50" s="296"/>
      <c r="G50" s="296"/>
      <c r="H50" s="296"/>
      <c r="I50" s="28"/>
      <c r="J50" s="28"/>
      <c r="K50" s="28"/>
      <c r="L50" s="28"/>
      <c r="M50" s="28"/>
      <c r="N50" s="28"/>
      <c r="O50" s="28"/>
      <c r="P50" s="28"/>
    </row>
    <row r="51" spans="1:17" x14ac:dyDescent="0.25">
      <c r="A51" s="1200" t="s">
        <v>517</v>
      </c>
      <c r="B51" s="2" t="s">
        <v>505</v>
      </c>
      <c r="C51" s="294"/>
      <c r="D51" s="294"/>
      <c r="E51" s="294"/>
      <c r="F51" s="294"/>
      <c r="G51" s="294"/>
      <c r="H51" s="294"/>
      <c r="I51" s="16"/>
      <c r="J51" s="16"/>
      <c r="K51" s="16"/>
      <c r="L51" s="16"/>
      <c r="M51" s="16"/>
      <c r="N51" s="16"/>
      <c r="O51" s="16"/>
      <c r="P51" s="16"/>
      <c r="Q51" s="7"/>
    </row>
    <row r="52" spans="1:17" x14ac:dyDescent="0.25">
      <c r="A52" s="1201"/>
      <c r="B52" s="12" t="s">
        <v>535</v>
      </c>
      <c r="C52" s="294">
        <f>G97</f>
        <v>225.45904000000002</v>
      </c>
      <c r="D52" s="299">
        <f>E52*'Conversion Tables'!C45</f>
        <v>665.73545331200012</v>
      </c>
      <c r="E52" s="299">
        <f>C52*'Prac. Rec. Assumptions'!B42</f>
        <v>45.091808000000007</v>
      </c>
      <c r="F52" s="294">
        <f t="shared" ref="F52:H59" si="7">$E52</f>
        <v>45.091808000000007</v>
      </c>
      <c r="G52" s="294">
        <f t="shared" si="7"/>
        <v>45.091808000000007</v>
      </c>
      <c r="H52" s="294">
        <f t="shared" si="7"/>
        <v>45.091808000000007</v>
      </c>
      <c r="I52" s="16" t="str">
        <f>IF('Conversion Tables'!F45="NA","NA",(E52*'Conversion Tables'!$C45)/'Conversion Tables'!F45)</f>
        <v>NA</v>
      </c>
      <c r="J52" s="16" t="str">
        <f>IF('Conversion Tables'!G45="NA","NA",(F52*'Conversion Tables'!$C45)/'Conversion Tables'!G45)</f>
        <v>NA</v>
      </c>
      <c r="K52" s="16" t="str">
        <f>IF('Conversion Tables'!H45="NA","NA",(G52*'Conversion Tables'!$C45)/'Conversion Tables'!H45)</f>
        <v>NA</v>
      </c>
      <c r="L52" s="16" t="str">
        <f>IF('Conversion Tables'!I45="NA","NA",(H52*'Conversion Tables'!$C45)/'Conversion Tables'!I45)</f>
        <v>NA</v>
      </c>
      <c r="M52" s="16" t="str">
        <f>IF('Conversion Tables'!K45="NA","NA",E52*'Conversion Tables'!K45)</f>
        <v>NA</v>
      </c>
      <c r="N52" s="16" t="str">
        <f>IF('Conversion Tables'!L45="NA","NA",F52*'Conversion Tables'!L45)</f>
        <v>NA</v>
      </c>
      <c r="O52" s="16" t="str">
        <f>IF('Conversion Tables'!M45="NA","NA",G52*'Conversion Tables'!M45)</f>
        <v>NA</v>
      </c>
      <c r="P52" s="16" t="str">
        <f>IF('Conversion Tables'!N45="NA","NA",H52*'Conversion Tables'!N45)</f>
        <v>NA</v>
      </c>
      <c r="Q52" s="27"/>
    </row>
    <row r="53" spans="1:17" x14ac:dyDescent="0.25">
      <c r="A53" s="1201"/>
      <c r="B53" s="12" t="s">
        <v>539</v>
      </c>
      <c r="C53" s="294">
        <f>G104</f>
        <v>1793.5516</v>
      </c>
      <c r="D53" s="299">
        <f>E53*'Conversion Tables'!C46</f>
        <v>15887.997493439998</v>
      </c>
      <c r="E53" s="299">
        <f>C53*'Prac. Rec. Assumptions'!B43</f>
        <v>1076.13096</v>
      </c>
      <c r="F53" s="294">
        <f t="shared" si="7"/>
        <v>1076.13096</v>
      </c>
      <c r="G53" s="294">
        <f t="shared" si="7"/>
        <v>1076.13096</v>
      </c>
      <c r="H53" s="294">
        <f t="shared" si="7"/>
        <v>1076.13096</v>
      </c>
      <c r="I53" s="16" t="str">
        <f>IF('Conversion Tables'!F46="NA","NA",(E53*'Conversion Tables'!$C46)/'Conversion Tables'!F46)</f>
        <v>NA</v>
      </c>
      <c r="J53" s="16" t="str">
        <f>IF('Conversion Tables'!G46="NA","NA",(F53*'Conversion Tables'!$C46)/'Conversion Tables'!G46)</f>
        <v>NA</v>
      </c>
      <c r="K53" s="16" t="str">
        <f>IF('Conversion Tables'!H46="NA","NA",(G53*'Conversion Tables'!$C46)/'Conversion Tables'!H46)</f>
        <v>NA</v>
      </c>
      <c r="L53" s="16" t="str">
        <f>IF('Conversion Tables'!I46="NA","NA",(H53*'Conversion Tables'!$C46)/'Conversion Tables'!I46)</f>
        <v>NA</v>
      </c>
      <c r="M53" s="16" t="str">
        <f>IF('Conversion Tables'!K46="NA","NA",E53*'Conversion Tables'!K46)</f>
        <v>NA</v>
      </c>
      <c r="N53" s="16" t="str">
        <f>IF('Conversion Tables'!L46="NA","NA",F53*'Conversion Tables'!L46)</f>
        <v>NA</v>
      </c>
      <c r="O53" s="16" t="str">
        <f>IF('Conversion Tables'!M46="NA","NA",G53*'Conversion Tables'!M46)</f>
        <v>NA</v>
      </c>
      <c r="P53" s="16" t="str">
        <f>IF('Conversion Tables'!N46="NA","NA",H53*'Conversion Tables'!N46)</f>
        <v>NA</v>
      </c>
      <c r="Q53" s="27"/>
    </row>
    <row r="54" spans="1:17" x14ac:dyDescent="0.25">
      <c r="A54" s="1201"/>
      <c r="B54" s="12" t="s">
        <v>545</v>
      </c>
      <c r="C54" s="294">
        <f>G106</f>
        <v>2605.5634500000001</v>
      </c>
      <c r="D54" s="299">
        <f>E54*'Conversion Tables'!C47</f>
        <v>23081.123265480001</v>
      </c>
      <c r="E54" s="299">
        <f>C54*'Prac. Rec. Assumptions'!B44</f>
        <v>1563.33807</v>
      </c>
      <c r="F54" s="294">
        <f t="shared" si="7"/>
        <v>1563.33807</v>
      </c>
      <c r="G54" s="294">
        <f t="shared" si="7"/>
        <v>1563.33807</v>
      </c>
      <c r="H54" s="294">
        <f t="shared" si="7"/>
        <v>1563.33807</v>
      </c>
      <c r="I54" s="16" t="str">
        <f>IF('Conversion Tables'!F47="NA","NA",(E54*'Conversion Tables'!$C47)/'Conversion Tables'!F47)</f>
        <v>NA</v>
      </c>
      <c r="J54" s="16" t="str">
        <f>IF('Conversion Tables'!G47="NA","NA",(F54*'Conversion Tables'!$C47)/'Conversion Tables'!G47)</f>
        <v>NA</v>
      </c>
      <c r="K54" s="16" t="str">
        <f>IF('Conversion Tables'!H47="NA","NA",(G54*'Conversion Tables'!$C47)/'Conversion Tables'!H47)</f>
        <v>NA</v>
      </c>
      <c r="L54" s="16" t="str">
        <f>IF('Conversion Tables'!I47="NA","NA",(H54*'Conversion Tables'!$C47)/'Conversion Tables'!I47)</f>
        <v>NA</v>
      </c>
      <c r="M54" s="16" t="str">
        <f>IF('Conversion Tables'!K47="NA","NA",E54*'Conversion Tables'!K47)</f>
        <v>NA</v>
      </c>
      <c r="N54" s="16" t="str">
        <f>IF('Conversion Tables'!L47="NA","NA",F54*'Conversion Tables'!L47)</f>
        <v>NA</v>
      </c>
      <c r="O54" s="16" t="str">
        <f>IF('Conversion Tables'!M47="NA","NA",G54*'Conversion Tables'!M47)</f>
        <v>NA</v>
      </c>
      <c r="P54" s="16" t="str">
        <f>IF('Conversion Tables'!N47="NA","NA",H54*'Conversion Tables'!N47)</f>
        <v>NA</v>
      </c>
      <c r="Q54" s="27"/>
    </row>
    <row r="55" spans="1:17" x14ac:dyDescent="0.25">
      <c r="A55" s="1201"/>
      <c r="B55" s="12" t="s">
        <v>546</v>
      </c>
      <c r="C55" s="294">
        <f>G108</f>
        <v>36.837625000000003</v>
      </c>
      <c r="D55" s="299">
        <f>E55*'Conversion Tables'!C48</f>
        <v>108.7741391</v>
      </c>
      <c r="E55" s="299">
        <f>C55*'Prac. Rec. Assumptions'!B45</f>
        <v>7.3675250000000005</v>
      </c>
      <c r="F55" s="294">
        <f t="shared" si="7"/>
        <v>7.3675250000000005</v>
      </c>
      <c r="G55" s="294">
        <f t="shared" si="7"/>
        <v>7.3675250000000005</v>
      </c>
      <c r="H55" s="294">
        <f t="shared" si="7"/>
        <v>7.3675250000000005</v>
      </c>
      <c r="I55" s="16" t="str">
        <f>IF('Conversion Tables'!F48="NA","NA",(E55*'Conversion Tables'!$C48)/'Conversion Tables'!F48)</f>
        <v>NA</v>
      </c>
      <c r="J55" s="16" t="str">
        <f>IF('Conversion Tables'!G48="NA","NA",(F55*'Conversion Tables'!$C48)/'Conversion Tables'!G48)</f>
        <v>NA</v>
      </c>
      <c r="K55" s="16" t="str">
        <f>IF('Conversion Tables'!H48="NA","NA",(G55*'Conversion Tables'!$C48)/'Conversion Tables'!H48)</f>
        <v>NA</v>
      </c>
      <c r="L55" s="16" t="str">
        <f>IF('Conversion Tables'!I48="NA","NA",(H55*'Conversion Tables'!$C48)/'Conversion Tables'!I48)</f>
        <v>NA</v>
      </c>
      <c r="M55" s="16" t="str">
        <f>IF('Conversion Tables'!K48="NA","NA",E55*'Conversion Tables'!K48)</f>
        <v>NA</v>
      </c>
      <c r="N55" s="16" t="str">
        <f>IF('Conversion Tables'!L48="NA","NA",F55*'Conversion Tables'!L48)</f>
        <v>NA</v>
      </c>
      <c r="O55" s="16" t="str">
        <f>IF('Conversion Tables'!M48="NA","NA",G55*'Conversion Tables'!M48)</f>
        <v>NA</v>
      </c>
      <c r="P55" s="16" t="str">
        <f>IF('Conversion Tables'!N48="NA","NA",H55*'Conversion Tables'!N48)</f>
        <v>NA</v>
      </c>
      <c r="Q55" s="27"/>
    </row>
    <row r="56" spans="1:17" x14ac:dyDescent="0.25">
      <c r="A56" s="1201"/>
      <c r="B56" s="12" t="s">
        <v>547</v>
      </c>
      <c r="C56" s="294">
        <f>G110</f>
        <v>54.248125000000002</v>
      </c>
      <c r="D56" s="299">
        <f>E56*'Conversion Tables'!C49</f>
        <v>160.1838635</v>
      </c>
      <c r="E56" s="299">
        <f>C56*'Prac. Rec. Assumptions'!B46</f>
        <v>10.849625000000001</v>
      </c>
      <c r="F56" s="294">
        <f t="shared" si="7"/>
        <v>10.849625000000001</v>
      </c>
      <c r="G56" s="294">
        <f t="shared" si="7"/>
        <v>10.849625000000001</v>
      </c>
      <c r="H56" s="294">
        <f t="shared" si="7"/>
        <v>10.849625000000001</v>
      </c>
      <c r="I56" s="16" t="str">
        <f>IF('Conversion Tables'!F49="NA","NA",(E56*'Conversion Tables'!$C49)/'Conversion Tables'!F49)</f>
        <v>NA</v>
      </c>
      <c r="J56" s="16" t="str">
        <f>IF('Conversion Tables'!G49="NA","NA",(F56*'Conversion Tables'!$C49)/'Conversion Tables'!G49)</f>
        <v>NA</v>
      </c>
      <c r="K56" s="16" t="str">
        <f>IF('Conversion Tables'!H49="NA","NA",(G56*'Conversion Tables'!$C49)/'Conversion Tables'!H49)</f>
        <v>NA</v>
      </c>
      <c r="L56" s="16" t="str">
        <f>IF('Conversion Tables'!I49="NA","NA",(H56*'Conversion Tables'!$C49)/'Conversion Tables'!I49)</f>
        <v>NA</v>
      </c>
      <c r="M56" s="16" t="str">
        <f>IF('Conversion Tables'!K49="NA","NA",E56*'Conversion Tables'!K49)</f>
        <v>NA</v>
      </c>
      <c r="N56" s="16" t="str">
        <f>IF('Conversion Tables'!L49="NA","NA",F56*'Conversion Tables'!L49)</f>
        <v>NA</v>
      </c>
      <c r="O56" s="16" t="str">
        <f>IF('Conversion Tables'!M49="NA","NA",G56*'Conversion Tables'!M49)</f>
        <v>NA</v>
      </c>
      <c r="P56" s="16" t="str">
        <f>IF('Conversion Tables'!N49="NA","NA",H56*'Conversion Tables'!N49)</f>
        <v>NA</v>
      </c>
      <c r="Q56" s="27"/>
    </row>
    <row r="57" spans="1:17" x14ac:dyDescent="0.25">
      <c r="A57" s="1201"/>
      <c r="B57" s="133" t="s">
        <v>605</v>
      </c>
      <c r="C57" s="294">
        <f>G115</f>
        <v>37.312125000000002</v>
      </c>
      <c r="D57" s="299">
        <f>E57*'Conversion Tables'!C50</f>
        <v>275.43810674999997</v>
      </c>
      <c r="E57" s="299">
        <f>C57*'Prac. Rec. Assumptions'!B47</f>
        <v>18.656062500000001</v>
      </c>
      <c r="F57" s="294">
        <f t="shared" si="7"/>
        <v>18.656062500000001</v>
      </c>
      <c r="G57" s="294">
        <f t="shared" si="7"/>
        <v>18.656062500000001</v>
      </c>
      <c r="H57" s="294">
        <f t="shared" si="7"/>
        <v>18.656062500000001</v>
      </c>
      <c r="I57" s="16" t="str">
        <f>IF('Conversion Tables'!F50="NA","NA",(E57*'Conversion Tables'!$C50)/'Conversion Tables'!F50)</f>
        <v>NA</v>
      </c>
      <c r="J57" s="16" t="str">
        <f>IF('Conversion Tables'!G50="NA","NA",(F57*'Conversion Tables'!$C50)/'Conversion Tables'!G50)</f>
        <v>NA</v>
      </c>
      <c r="K57" s="16" t="str">
        <f>IF('Conversion Tables'!H50="NA","NA",(G57*'Conversion Tables'!$C50)/'Conversion Tables'!H50)</f>
        <v>NA</v>
      </c>
      <c r="L57" s="16" t="str">
        <f>IF('Conversion Tables'!I50="NA","NA",(H57*'Conversion Tables'!$C50)/'Conversion Tables'!I50)</f>
        <v>NA</v>
      </c>
      <c r="M57" s="16" t="str">
        <f>IF('Conversion Tables'!K50="NA","NA",E57*'Conversion Tables'!K50)</f>
        <v>NA</v>
      </c>
      <c r="N57" s="16" t="str">
        <f>IF('Conversion Tables'!L50="NA","NA",F57*'Conversion Tables'!L50)</f>
        <v>NA</v>
      </c>
      <c r="O57" s="16" t="str">
        <f>IF('Conversion Tables'!M50="NA","NA",G57*'Conversion Tables'!M50)</f>
        <v>NA</v>
      </c>
      <c r="P57" s="16" t="str">
        <f>IF('Conversion Tables'!N50="NA","NA",H57*'Conversion Tables'!N50)</f>
        <v>NA</v>
      </c>
      <c r="Q57" s="27"/>
    </row>
    <row r="58" spans="1:17" x14ac:dyDescent="0.25">
      <c r="A58" s="1201"/>
      <c r="B58" s="12" t="s">
        <v>551</v>
      </c>
      <c r="C58" s="294">
        <f>G117</f>
        <v>46.263750000000002</v>
      </c>
      <c r="D58" s="299">
        <f>E58*'Conversion Tables'!C51</f>
        <v>555.16499999999996</v>
      </c>
      <c r="E58" s="299">
        <f>C58*'Prac. Rec. Assumptions'!B48</f>
        <v>46.263750000000002</v>
      </c>
      <c r="F58" s="294">
        <f t="shared" si="7"/>
        <v>46.263750000000002</v>
      </c>
      <c r="G58" s="294">
        <f t="shared" si="7"/>
        <v>46.263750000000002</v>
      </c>
      <c r="H58" s="294">
        <f t="shared" si="7"/>
        <v>46.263750000000002</v>
      </c>
      <c r="I58" s="16" t="str">
        <f>IF('Conversion Tables'!F51="NA","NA",(E58*'Conversion Tables'!$C51)/'Conversion Tables'!F51)</f>
        <v>NA</v>
      </c>
      <c r="J58" s="16" t="str">
        <f>IF('Conversion Tables'!G51="NA","NA",(F58*'Conversion Tables'!$C51)/'Conversion Tables'!G51)</f>
        <v>NA</v>
      </c>
      <c r="K58" s="16" t="str">
        <f>IF('Conversion Tables'!H51="NA","NA",(G58*'Conversion Tables'!$C51)/'Conversion Tables'!H51)</f>
        <v>NA</v>
      </c>
      <c r="L58" s="16" t="str">
        <f>IF('Conversion Tables'!I51="NA","NA",(H58*'Conversion Tables'!$C51)/'Conversion Tables'!I51)</f>
        <v>NA</v>
      </c>
      <c r="M58" s="16" t="str">
        <f>IF('Conversion Tables'!K51="NA","NA",E58*'Conversion Tables'!K51)</f>
        <v>NA</v>
      </c>
      <c r="N58" s="16" t="str">
        <f>IF('Conversion Tables'!L51="NA","NA",F58*'Conversion Tables'!L51)</f>
        <v>NA</v>
      </c>
      <c r="O58" s="16" t="str">
        <f>IF('Conversion Tables'!M51="NA","NA",G58*'Conversion Tables'!M51)</f>
        <v>NA</v>
      </c>
      <c r="P58" s="16" t="str">
        <f>IF('Conversion Tables'!N51="NA","NA",H58*'Conversion Tables'!N51)</f>
        <v>NA</v>
      </c>
      <c r="Q58" s="27"/>
    </row>
    <row r="59" spans="1:17" x14ac:dyDescent="0.25">
      <c r="A59" s="1201"/>
      <c r="B59" s="12" t="s">
        <v>552</v>
      </c>
      <c r="C59" s="294">
        <f>G119</f>
        <v>2.5253437500000002</v>
      </c>
      <c r="D59" s="299">
        <f>E59*'Conversion Tables'!C52</f>
        <v>37.284175125000004</v>
      </c>
      <c r="E59" s="299">
        <f>C59*'Prac. Rec. Assumptions'!B49</f>
        <v>2.5253437500000002</v>
      </c>
      <c r="F59" s="294">
        <f t="shared" si="7"/>
        <v>2.5253437500000002</v>
      </c>
      <c r="G59" s="294">
        <f t="shared" si="7"/>
        <v>2.5253437500000002</v>
      </c>
      <c r="H59" s="294">
        <f t="shared" si="7"/>
        <v>2.5253437500000002</v>
      </c>
      <c r="I59" s="16" t="str">
        <f>IF('Conversion Tables'!F52="NA","NA",(E59*'Conversion Tables'!$C52)/'Conversion Tables'!F52)</f>
        <v>NA</v>
      </c>
      <c r="J59" s="16" t="str">
        <f>IF('Conversion Tables'!G52="NA","NA",(F59*'Conversion Tables'!$C52)/'Conversion Tables'!G52)</f>
        <v>NA</v>
      </c>
      <c r="K59" s="16" t="str">
        <f>IF('Conversion Tables'!H52="NA","NA",(G59*'Conversion Tables'!$C52)/'Conversion Tables'!H52)</f>
        <v>NA</v>
      </c>
      <c r="L59" s="16" t="str">
        <f>IF('Conversion Tables'!I52="NA","NA",(H59*'Conversion Tables'!$C52)/'Conversion Tables'!I52)</f>
        <v>NA</v>
      </c>
      <c r="M59" s="16" t="str">
        <f>IF('Conversion Tables'!K52="NA","NA",E59*'Conversion Tables'!K52)</f>
        <v>NA</v>
      </c>
      <c r="N59" s="16" t="str">
        <f>IF('Conversion Tables'!L52="NA","NA",F59*'Conversion Tables'!L52)</f>
        <v>NA</v>
      </c>
      <c r="O59" s="16" t="str">
        <f>IF('Conversion Tables'!M52="NA","NA",G59*'Conversion Tables'!M52)</f>
        <v>NA</v>
      </c>
      <c r="P59" s="16" t="str">
        <f>IF('Conversion Tables'!N52="NA","NA",H59*'Conversion Tables'!N52)</f>
        <v>NA</v>
      </c>
      <c r="Q59" s="27"/>
    </row>
    <row r="60" spans="1:17" x14ac:dyDescent="0.25">
      <c r="A60" s="1202"/>
      <c r="B60" s="129" t="s">
        <v>305</v>
      </c>
      <c r="C60" s="294">
        <f>'Biomass Data Assumptions'!AE21</f>
        <v>2.976237000000765</v>
      </c>
      <c r="D60" s="299">
        <f>E60*'Conversion Tables'!C53</f>
        <v>35.71484400000918</v>
      </c>
      <c r="E60" s="299">
        <f>C60*'Prac. Rec. Assumptions'!B50</f>
        <v>2.976237000000765</v>
      </c>
      <c r="F60" s="294">
        <f>($C60*(1+'Biomass Data Assumptions'!G$106*(4/5)))*'Prac. Rec. Assumptions'!$B50</f>
        <v>3.0690191118491299</v>
      </c>
      <c r="G60" s="294">
        <f>($C60*(1+'Biomass Data Assumptions'!H$106*(9/10)))*'Prac. Rec. Assumptions'!$B50</f>
        <v>3.2578745928918327</v>
      </c>
      <c r="H60" s="294">
        <f>($C60*(1+'Biomass Data Assumptions'!I$106*(14/15)))*'Prac. Rec. Assumptions'!$B50</f>
        <v>3.4253107800956673</v>
      </c>
      <c r="I60" s="16" t="str">
        <f>IF('Conversion Tables'!F53="NA","NA",(E60*'Conversion Tables'!$C53)/'Conversion Tables'!F53)</f>
        <v>NA</v>
      </c>
      <c r="J60" s="16" t="str">
        <f>IF('Conversion Tables'!G53="NA","NA",(F60*'Conversion Tables'!$C53)/'Conversion Tables'!G53)</f>
        <v>NA</v>
      </c>
      <c r="K60" s="16" t="str">
        <f>IF('Conversion Tables'!H53="NA","NA",(G60*'Conversion Tables'!$C53)/'Conversion Tables'!H53)</f>
        <v>NA</v>
      </c>
      <c r="L60" s="16" t="str">
        <f>IF('Conversion Tables'!I53="NA","NA",(H60*'Conversion Tables'!$C53)/'Conversion Tables'!I53)</f>
        <v>NA</v>
      </c>
      <c r="M60" s="16" t="str">
        <f>IF('Conversion Tables'!K53="NA","NA",E60*'Conversion Tables'!K53)</f>
        <v>NA</v>
      </c>
      <c r="N60" s="16" t="str">
        <f>IF('Conversion Tables'!L53="NA","NA",F60*'Conversion Tables'!L53)</f>
        <v>NA</v>
      </c>
      <c r="O60" s="16" t="str">
        <f>IF('Conversion Tables'!M53="NA","NA",G60*'Conversion Tables'!M53)</f>
        <v>NA</v>
      </c>
      <c r="P60" s="16" t="str">
        <f>IF('Conversion Tables'!N53="NA","NA",H60*'Conversion Tables'!N53)</f>
        <v>NA</v>
      </c>
      <c r="Q60" s="7"/>
    </row>
    <row r="61" spans="1:17" x14ac:dyDescent="0.25">
      <c r="A61" s="1202"/>
      <c r="B61" s="9" t="s">
        <v>257</v>
      </c>
      <c r="C61" s="295">
        <f>SUM(C52:C60)</f>
        <v>4804.7372957500011</v>
      </c>
      <c r="D61" s="295">
        <f>SUM(D52:D60)</f>
        <v>40807.416340707015</v>
      </c>
      <c r="E61" s="295">
        <f t="shared" ref="E61:P61" si="8">SUM(E52:E60)</f>
        <v>2773.1993812500009</v>
      </c>
      <c r="F61" s="295">
        <f>SUM(F52:F60)</f>
        <v>2773.2921633618494</v>
      </c>
      <c r="G61" s="295">
        <f>SUM(G52:G60)</f>
        <v>2773.4810188428919</v>
      </c>
      <c r="H61" s="295">
        <f>SUM(H52:H60)</f>
        <v>2773.6484550300956</v>
      </c>
      <c r="I61" s="19">
        <f t="shared" si="8"/>
        <v>0</v>
      </c>
      <c r="J61" s="19">
        <f t="shared" si="8"/>
        <v>0</v>
      </c>
      <c r="K61" s="19">
        <f t="shared" si="8"/>
        <v>0</v>
      </c>
      <c r="L61" s="19">
        <f t="shared" si="8"/>
        <v>0</v>
      </c>
      <c r="M61" s="19">
        <f t="shared" si="8"/>
        <v>0</v>
      </c>
      <c r="N61" s="19">
        <f t="shared" si="8"/>
        <v>0</v>
      </c>
      <c r="O61" s="19">
        <f t="shared" si="8"/>
        <v>0</v>
      </c>
      <c r="P61" s="19">
        <f t="shared" si="8"/>
        <v>0</v>
      </c>
      <c r="Q61" s="7"/>
    </row>
    <row r="62" spans="1:17" x14ac:dyDescent="0.25">
      <c r="A62" s="1202"/>
      <c r="B62" s="7" t="s">
        <v>256</v>
      </c>
      <c r="C62" s="298" t="s">
        <v>251</v>
      </c>
      <c r="D62" s="13"/>
      <c r="E62" s="298" t="s">
        <v>251</v>
      </c>
      <c r="F62" s="298"/>
      <c r="G62" s="298"/>
      <c r="H62" s="298"/>
      <c r="I62" s="7"/>
      <c r="J62" s="7"/>
      <c r="K62" s="7"/>
      <c r="L62" s="7"/>
      <c r="M62" s="7"/>
      <c r="N62" s="7"/>
      <c r="O62" s="7"/>
      <c r="P62" s="7"/>
      <c r="Q62" s="7"/>
    </row>
    <row r="63" spans="1:17" x14ac:dyDescent="0.25">
      <c r="A63" s="1203"/>
      <c r="B63" s="133" t="s">
        <v>304</v>
      </c>
      <c r="C63" s="294">
        <f>'Biomass Data Assumptions'!AB21</f>
        <v>178.52369365000004</v>
      </c>
      <c r="D63" s="300">
        <f>E63*'Conversion Tables'!C55</f>
        <v>110506.16636935003</v>
      </c>
      <c r="E63" s="299">
        <f>C63*'Prac. Rec. Assumptions'!B51</f>
        <v>178.52369365000004</v>
      </c>
      <c r="F63" s="294">
        <f>($C63*(1+'Biomass Data Assumptions'!G$106*(4/5)))*'Prac. Rec. Assumptions'!$B51</f>
        <v>184.08904523719329</v>
      </c>
      <c r="G63" s="294">
        <f>($C63*(1+'Biomass Data Assumptions'!H$106*(9/10)))*'Prac. Rec. Assumptions'!$B51</f>
        <v>195.41716797801743</v>
      </c>
      <c r="H63" s="294">
        <f>($C63*(1+'Biomass Data Assumptions'!I$106*(14/15)))*'Prac. Rec. Assumptions'!$B51</f>
        <v>205.4604967150413</v>
      </c>
      <c r="I63" s="16" t="str">
        <f>IF('Conversion Tables'!F55="NA","NA",(E63*'Conversion Tables'!$C55)/'Conversion Tables'!F55)</f>
        <v>NA</v>
      </c>
      <c r="J63" s="16" t="str">
        <f>IF('Conversion Tables'!G55="NA","NA",(F63*'Conversion Tables'!$C55)/'Conversion Tables'!G55)</f>
        <v>NA</v>
      </c>
      <c r="K63" s="16" t="str">
        <f>IF('Conversion Tables'!H55="NA","NA",(G63*'Conversion Tables'!$C55)/'Conversion Tables'!H55)</f>
        <v>NA</v>
      </c>
      <c r="L63" s="16" t="str">
        <f>IF('Conversion Tables'!I55="NA","NA",(H63*'Conversion Tables'!$C55)/'Conversion Tables'!I55)</f>
        <v>NA</v>
      </c>
      <c r="M63" s="16" t="str">
        <f>IF('Conversion Tables'!K55="NA","NA",E63*'Conversion Tables'!K55)</f>
        <v>NA</v>
      </c>
      <c r="N63" s="16" t="str">
        <f>IF('Conversion Tables'!L55="NA","NA",F63*'Conversion Tables'!L55)</f>
        <v>NA</v>
      </c>
      <c r="O63" s="16" t="str">
        <f>IF('Conversion Tables'!M55="NA","NA",G63*'Conversion Tables'!M55)</f>
        <v>NA</v>
      </c>
      <c r="P63" s="16" t="str">
        <f>IF('Conversion Tables'!N55="NA","NA",H63*'Conversion Tables'!N55)</f>
        <v>NA</v>
      </c>
      <c r="Q63" s="7"/>
    </row>
    <row r="64" spans="1:17" x14ac:dyDescent="0.25">
      <c r="A64" s="1204"/>
      <c r="B64" s="17" t="s">
        <v>512</v>
      </c>
      <c r="C64" s="294">
        <f>'Biomass Data Assumptions'!X21</f>
        <v>910.86479999999983</v>
      </c>
      <c r="D64" s="300">
        <f>E64*'Conversion Tables'!C56</f>
        <v>460897.58879999991</v>
      </c>
      <c r="E64" s="299">
        <f>C64*'Prac. Rec. Assumptions'!B52</f>
        <v>910.86479999999983</v>
      </c>
      <c r="F64" s="297">
        <f>($C64*(1+'Biomass Data Assumptions'!G$106*(3/5))*(1+('Biomass Data Assumptions'!C$82-((1+'Biomass Data Assumptions'!$B$82)^2 - 1))))*'Prac. Rec. Assumptions'!$B52</f>
        <v>931.78178140989337</v>
      </c>
      <c r="G64" s="297">
        <f>($C64*(1+'Biomass Data Assumptions'!H$106*(4/5))*(1+('Biomass Data Assumptions'!D$82-((1+'Biomass Data Assumptions'!$B$82)^2 - 1))))*'Prac. Rec. Assumptions'!$B52</f>
        <v>986.40943037904469</v>
      </c>
      <c r="H64" s="297">
        <f>($C64*(1+'Biomass Data Assumptions'!I$106*(13/15))*(1+('Biomass Data Assumptions'!E$82-((1+'Biomass Data Assumptions'!$B$82)^2 - 1))))*'Prac. Rec. Assumptions'!$B52</f>
        <v>1036.6532080211516</v>
      </c>
      <c r="I64" s="16" t="str">
        <f>IF('Conversion Tables'!F56="NA","NA",(E64*'Conversion Tables'!$C56)/'Conversion Tables'!F56)</f>
        <v>NA</v>
      </c>
      <c r="J64" s="16" t="str">
        <f>IF('Conversion Tables'!G56="NA","NA",(F64*'Conversion Tables'!$C56)/'Conversion Tables'!G56)</f>
        <v>NA</v>
      </c>
      <c r="K64" s="16" t="str">
        <f>IF('Conversion Tables'!H56="NA","NA",(G64*'Conversion Tables'!$C56)/'Conversion Tables'!H56)</f>
        <v>NA</v>
      </c>
      <c r="L64" s="16" t="str">
        <f>IF('Conversion Tables'!I56="NA","NA",(H64*'Conversion Tables'!$C56)/'Conversion Tables'!I56)</f>
        <v>NA</v>
      </c>
      <c r="M64" s="16" t="str">
        <f>IF('Conversion Tables'!K56="NA","NA",E64*'Conversion Tables'!K56)</f>
        <v>NA</v>
      </c>
      <c r="N64" s="16" t="str">
        <f>IF('Conversion Tables'!L56="NA","NA",F64*'Conversion Tables'!L56)</f>
        <v>NA</v>
      </c>
      <c r="O64" s="16" t="str">
        <f>IF('Conversion Tables'!M56="NA","NA",G64*'Conversion Tables'!M56)</f>
        <v>NA</v>
      </c>
      <c r="P64" s="16" t="str">
        <f>IF('Conversion Tables'!N56="NA","NA",H64*'Conversion Tables'!N56)</f>
        <v>NA</v>
      </c>
      <c r="Q64" s="7"/>
    </row>
    <row r="65" spans="1:19" x14ac:dyDescent="0.25">
      <c r="A65" s="1204"/>
      <c r="B65" s="9" t="s">
        <v>248</v>
      </c>
      <c r="C65" s="295">
        <f>SUM(C63:C64)</f>
        <v>1089.3884936499999</v>
      </c>
      <c r="D65" s="295">
        <f>SUM(D63:D64)</f>
        <v>571403.75516934996</v>
      </c>
      <c r="E65" s="295">
        <f t="shared" ref="E65:P65" si="9">SUM(E63:E64)</f>
        <v>1089.3884936499999</v>
      </c>
      <c r="F65" s="295">
        <f>SUM(F63:F64)</f>
        <v>1115.8708266470867</v>
      </c>
      <c r="G65" s="295">
        <f>SUM(G63:G64)</f>
        <v>1181.826598357062</v>
      </c>
      <c r="H65" s="295">
        <f>SUM(H63:H64)</f>
        <v>1242.1137047361929</v>
      </c>
      <c r="I65" s="19">
        <f t="shared" si="9"/>
        <v>0</v>
      </c>
      <c r="J65" s="19">
        <f t="shared" si="9"/>
        <v>0</v>
      </c>
      <c r="K65" s="19">
        <f t="shared" si="9"/>
        <v>0</v>
      </c>
      <c r="L65" s="19">
        <f t="shared" si="9"/>
        <v>0</v>
      </c>
      <c r="M65" s="19">
        <f t="shared" si="9"/>
        <v>0</v>
      </c>
      <c r="N65" s="19">
        <f t="shared" si="9"/>
        <v>0</v>
      </c>
      <c r="O65" s="19">
        <f t="shared" si="9"/>
        <v>0</v>
      </c>
      <c r="P65" s="19">
        <f t="shared" si="9"/>
        <v>0</v>
      </c>
      <c r="Q65" s="19">
        <f>SUM(Q51:Q64)</f>
        <v>0</v>
      </c>
    </row>
    <row r="66" spans="1:19" x14ac:dyDescent="0.25">
      <c r="A66" s="1204"/>
      <c r="B66" s="9"/>
      <c r="C66" s="295"/>
      <c r="D66" s="295"/>
      <c r="E66" s="295"/>
      <c r="F66" s="295"/>
      <c r="G66" s="295"/>
      <c r="H66" s="295"/>
      <c r="I66" s="19"/>
      <c r="J66" s="19"/>
      <c r="K66" s="19"/>
      <c r="L66" s="19"/>
      <c r="M66" s="19"/>
      <c r="N66" s="19"/>
      <c r="O66" s="19"/>
      <c r="P66" s="19"/>
      <c r="Q66" s="19"/>
    </row>
    <row r="67" spans="1:19" x14ac:dyDescent="0.25">
      <c r="A67" s="1205"/>
      <c r="B67" s="9" t="s">
        <v>258</v>
      </c>
      <c r="C67" s="295">
        <f>C61+(C63*1000000/29487.1582406855)+(C64*1000000/25364.5039539246)</f>
        <v>46770.027326514952</v>
      </c>
      <c r="D67" s="295">
        <f t="shared" ref="D67" si="10">D61+D65</f>
        <v>612211.17151005694</v>
      </c>
      <c r="E67" s="295">
        <f>E61+(E63*1000000/29487.1582406855)+(E64*1000000/25364.5039539246)</f>
        <v>44738.489412014955</v>
      </c>
      <c r="F67" s="295">
        <f t="shared" ref="F67:H67" si="11">F61+(F63*1000000/29487.1582406855)+(F64*1000000/25364.5039539246)</f>
        <v>45751.97598710985</v>
      </c>
      <c r="G67" s="295">
        <f t="shared" si="11"/>
        <v>48290.040843437513</v>
      </c>
      <c r="H67" s="295">
        <f t="shared" si="11"/>
        <v>50611.678081158578</v>
      </c>
      <c r="I67" s="19">
        <f t="shared" ref="I67:P67" si="12">I61+I65</f>
        <v>0</v>
      </c>
      <c r="J67" s="19">
        <f t="shared" si="12"/>
        <v>0</v>
      </c>
      <c r="K67" s="19">
        <f t="shared" si="12"/>
        <v>0</v>
      </c>
      <c r="L67" s="19">
        <f t="shared" si="12"/>
        <v>0</v>
      </c>
      <c r="M67" s="19">
        <f t="shared" si="12"/>
        <v>0</v>
      </c>
      <c r="N67" s="19">
        <f t="shared" si="12"/>
        <v>0</v>
      </c>
      <c r="O67" s="19">
        <f t="shared" si="12"/>
        <v>0</v>
      </c>
      <c r="P67" s="19">
        <f t="shared" si="12"/>
        <v>0</v>
      </c>
      <c r="Q67" s="19"/>
    </row>
    <row r="68" spans="1:19" customFormat="1" x14ac:dyDescent="0.25">
      <c r="B68" s="270" t="s">
        <v>162</v>
      </c>
      <c r="C68" s="132">
        <f>C11+C29+C43+C49+C67</f>
        <v>528808.59891613165</v>
      </c>
      <c r="D68" s="132"/>
      <c r="E68" s="132">
        <f>E11+E29+E43+E49+E67</f>
        <v>318813.29049571167</v>
      </c>
      <c r="F68" s="132">
        <f>F11+F29+F43+F49+F67</f>
        <v>332298.59615482867</v>
      </c>
      <c r="G68" s="132">
        <f>G11+G29+G43+G49+G67</f>
        <v>353985.47477391665</v>
      </c>
      <c r="H68" s="132">
        <f>H11+H29+H43+H49+H67</f>
        <v>374101.15748943062</v>
      </c>
      <c r="I68" s="264"/>
    </row>
    <row r="69" spans="1:19" ht="13.8" thickBot="1" x14ac:dyDescent="0.3">
      <c r="A69" s="10"/>
      <c r="B69" s="10"/>
      <c r="C69" s="10"/>
      <c r="D69" s="10"/>
      <c r="E69" s="10"/>
      <c r="F69" s="10"/>
      <c r="G69" s="10"/>
      <c r="H69" s="10"/>
      <c r="I69" s="1003">
        <f>SUM(I8:I66)/2</f>
        <v>0</v>
      </c>
      <c r="J69" s="1003">
        <f>SUM(J8:J66)/2</f>
        <v>0</v>
      </c>
      <c r="K69" s="1003">
        <f>SUM(K8:K66)/2</f>
        <v>0</v>
      </c>
      <c r="L69" s="1003">
        <f>SUM(L8:L66)/2</f>
        <v>0</v>
      </c>
      <c r="M69" s="1003">
        <f>SUM(M8:M66)/2</f>
        <v>0</v>
      </c>
      <c r="N69" s="1003">
        <f t="shared" ref="N69:P69" si="13">SUM(N8:N66)/2</f>
        <v>0</v>
      </c>
      <c r="O69" s="1003">
        <f t="shared" si="13"/>
        <v>0</v>
      </c>
      <c r="P69" s="1003">
        <f t="shared" si="13"/>
        <v>0</v>
      </c>
      <c r="Q69" s="10"/>
      <c r="R69" s="10"/>
      <c r="S69" s="10"/>
    </row>
    <row r="70" spans="1:19" x14ac:dyDescent="0.25">
      <c r="A70" s="35" t="s">
        <v>23</v>
      </c>
      <c r="B70" s="36"/>
      <c r="C70" s="36"/>
      <c r="D70" s="36"/>
      <c r="E70" s="36"/>
      <c r="F70" s="36"/>
      <c r="G70" s="36"/>
      <c r="H70" s="36"/>
      <c r="I70" s="36"/>
      <c r="J70" s="36"/>
      <c r="K70" s="36"/>
      <c r="L70" s="36"/>
      <c r="M70" s="36"/>
      <c r="N70" s="36"/>
      <c r="O70" s="36"/>
      <c r="P70" s="36"/>
      <c r="Q70" s="36"/>
      <c r="R70" s="36"/>
    </row>
    <row r="71" spans="1:19" x14ac:dyDescent="0.25">
      <c r="A71" s="36"/>
      <c r="B71" s="36"/>
      <c r="C71" s="36"/>
      <c r="D71" s="36"/>
      <c r="E71" s="36"/>
      <c r="F71" s="36"/>
      <c r="G71" s="36"/>
      <c r="H71" s="36"/>
      <c r="I71" s="36"/>
      <c r="J71" s="36"/>
      <c r="K71" s="36"/>
      <c r="L71" s="36"/>
      <c r="M71" s="36"/>
      <c r="N71" s="36"/>
      <c r="O71" s="36"/>
      <c r="P71" s="36"/>
      <c r="Q71" s="36"/>
      <c r="R71" s="36"/>
    </row>
    <row r="72" spans="1:19" x14ac:dyDescent="0.25">
      <c r="A72" s="36"/>
      <c r="B72" s="36"/>
      <c r="C72" s="36"/>
      <c r="D72" s="36"/>
      <c r="E72" s="36"/>
      <c r="F72" s="36"/>
      <c r="G72" s="36"/>
      <c r="H72" s="36"/>
      <c r="I72" s="36"/>
      <c r="J72" s="36"/>
      <c r="K72" s="36"/>
      <c r="L72" s="36"/>
      <c r="M72" s="36"/>
      <c r="N72" s="36"/>
      <c r="O72" s="36"/>
      <c r="P72" s="36"/>
      <c r="Q72" s="36"/>
      <c r="R72" s="36"/>
    </row>
    <row r="73" spans="1:19" ht="26.4" x14ac:dyDescent="0.25">
      <c r="A73" s="37" t="s">
        <v>1037</v>
      </c>
      <c r="B73" s="454" t="s">
        <v>297</v>
      </c>
      <c r="C73" s="37" t="s">
        <v>1042</v>
      </c>
      <c r="D73" s="37" t="s">
        <v>1041</v>
      </c>
      <c r="E73" s="36" t="s">
        <v>598</v>
      </c>
      <c r="F73" s="38"/>
      <c r="G73" s="38"/>
      <c r="H73" s="36"/>
      <c r="I73" s="36"/>
      <c r="J73" s="36"/>
      <c r="K73" s="36"/>
      <c r="L73" s="36"/>
      <c r="M73" s="36"/>
      <c r="N73" s="36"/>
      <c r="O73" s="36"/>
      <c r="P73" s="36"/>
      <c r="Q73" s="36"/>
      <c r="R73" s="36"/>
    </row>
    <row r="74" spans="1:19" x14ac:dyDescent="0.25">
      <c r="A74" s="39" t="s">
        <v>519</v>
      </c>
      <c r="B74" s="21">
        <v>70</v>
      </c>
      <c r="C74" s="40">
        <f>'Biomass Data Assumptions'!B38*B74</f>
        <v>4571</v>
      </c>
      <c r="D74" s="40">
        <f>(C74*'Biomass Data Assumptions'!C38)/2000</f>
        <v>127.988</v>
      </c>
      <c r="E74" s="41"/>
      <c r="F74" s="41"/>
      <c r="G74" s="41"/>
      <c r="H74" s="36"/>
      <c r="I74" s="36"/>
      <c r="J74" s="36"/>
      <c r="K74" s="36"/>
      <c r="L74" s="36"/>
      <c r="M74" s="36"/>
      <c r="N74" s="36"/>
      <c r="O74" s="36"/>
      <c r="P74" s="36"/>
      <c r="Q74" s="36"/>
      <c r="R74" s="36"/>
    </row>
    <row r="75" spans="1:19" x14ac:dyDescent="0.25">
      <c r="A75" s="39" t="s">
        <v>520</v>
      </c>
      <c r="B75" s="21">
        <v>270</v>
      </c>
      <c r="C75" s="40">
        <f>'Biomass Data Assumptions'!B39*B75</f>
        <v>7371</v>
      </c>
      <c r="D75" s="40">
        <f>(C75*'Biomass Data Assumptions'!C39)/2000</f>
        <v>206.38800000000001</v>
      </c>
      <c r="E75" s="41"/>
      <c r="F75" s="41"/>
      <c r="G75" s="41"/>
      <c r="H75" s="36"/>
      <c r="I75" s="36"/>
      <c r="J75" s="36"/>
      <c r="K75" s="36"/>
      <c r="L75" s="36"/>
      <c r="M75" s="36"/>
      <c r="N75" s="36"/>
      <c r="O75" s="36"/>
      <c r="P75" s="36"/>
      <c r="Q75" s="36"/>
      <c r="R75" s="36"/>
    </row>
    <row r="76" spans="1:19" x14ac:dyDescent="0.25">
      <c r="A76" s="39" t="s">
        <v>521</v>
      </c>
      <c r="B76" s="21">
        <v>169</v>
      </c>
      <c r="C76" s="40">
        <f>'Biomass Data Assumptions'!B40*B76</f>
        <v>21125</v>
      </c>
      <c r="D76" s="40">
        <f>(C76*'Biomass Data Assumptions'!C40)/2000</f>
        <v>591.5</v>
      </c>
      <c r="E76" s="41"/>
      <c r="F76" s="41"/>
      <c r="G76" s="41"/>
      <c r="H76" s="36"/>
      <c r="I76" s="36"/>
      <c r="J76" s="36"/>
      <c r="K76" s="36"/>
      <c r="L76" s="36"/>
      <c r="M76" s="36"/>
      <c r="N76" s="36"/>
      <c r="O76" s="36"/>
      <c r="P76" s="36"/>
      <c r="Q76" s="36"/>
      <c r="R76" s="36"/>
    </row>
    <row r="77" spans="1:19" x14ac:dyDescent="0.25">
      <c r="A77" s="39" t="s">
        <v>525</v>
      </c>
      <c r="B77" s="21">
        <v>271</v>
      </c>
      <c r="C77" s="40">
        <f>'Biomass Data Assumptions'!B41*B77</f>
        <v>8672</v>
      </c>
      <c r="D77" s="40">
        <f>(C77*'Biomass Data Assumptions'!C41)/2000</f>
        <v>260.16000000000003</v>
      </c>
      <c r="E77" s="41"/>
      <c r="F77" s="41"/>
      <c r="G77" s="41"/>
      <c r="H77" s="36"/>
      <c r="I77" s="36"/>
      <c r="J77" s="36"/>
      <c r="K77" s="36"/>
      <c r="L77" s="36"/>
      <c r="M77" s="36"/>
      <c r="N77" s="36"/>
      <c r="O77" s="36"/>
      <c r="P77" s="36"/>
      <c r="Q77" s="36"/>
      <c r="R77" s="36"/>
    </row>
    <row r="78" spans="1:19" x14ac:dyDescent="0.25">
      <c r="A78" s="39" t="s">
        <v>522</v>
      </c>
      <c r="B78" s="21">
        <v>50</v>
      </c>
      <c r="C78" s="40">
        <f>'Biomass Data Assumptions'!B42*B78</f>
        <v>2700</v>
      </c>
      <c r="D78" s="40">
        <f>(C78*'Biomass Data Assumptions'!C42)/2000</f>
        <v>81</v>
      </c>
      <c r="E78" s="41"/>
      <c r="F78" s="41"/>
      <c r="G78" s="41"/>
      <c r="H78" s="36"/>
      <c r="I78" s="36"/>
      <c r="J78" s="36"/>
      <c r="K78" s="36"/>
      <c r="L78" s="36"/>
      <c r="M78" s="36"/>
      <c r="N78" s="36"/>
      <c r="O78" s="36"/>
      <c r="P78" s="36"/>
      <c r="Q78" s="36"/>
      <c r="R78" s="36"/>
    </row>
    <row r="79" spans="1:19" x14ac:dyDescent="0.25">
      <c r="A79" s="36"/>
      <c r="B79" s="36"/>
      <c r="C79" s="36"/>
      <c r="D79" s="36"/>
      <c r="E79" s="36"/>
      <c r="F79" s="36"/>
      <c r="G79" s="36"/>
      <c r="H79" s="36"/>
      <c r="I79" s="36"/>
      <c r="J79" s="36"/>
      <c r="K79" s="36"/>
      <c r="L79" s="36"/>
      <c r="M79" s="36"/>
      <c r="N79" s="36"/>
      <c r="O79" s="36"/>
      <c r="P79" s="36"/>
      <c r="Q79" s="36"/>
      <c r="R79" s="36"/>
    </row>
    <row r="80" spans="1:19" ht="39.6" x14ac:dyDescent="0.25">
      <c r="A80" s="37" t="s">
        <v>1038</v>
      </c>
      <c r="B80" s="454" t="s">
        <v>297</v>
      </c>
      <c r="C80" s="37" t="s">
        <v>1041</v>
      </c>
      <c r="D80" s="37" t="s">
        <v>1036</v>
      </c>
      <c r="E80" s="36" t="s">
        <v>598</v>
      </c>
      <c r="F80" s="38"/>
      <c r="G80" s="38"/>
      <c r="H80" s="36"/>
      <c r="I80" s="36"/>
      <c r="J80" s="36"/>
      <c r="K80" s="36"/>
      <c r="L80" s="36"/>
      <c r="M80" s="36"/>
      <c r="N80" s="36"/>
      <c r="O80" s="36"/>
      <c r="P80" s="36"/>
      <c r="Q80" s="36"/>
      <c r="R80" s="36"/>
    </row>
    <row r="81" spans="1:18" x14ac:dyDescent="0.25">
      <c r="A81" s="39" t="s">
        <v>527</v>
      </c>
      <c r="B81" s="21">
        <v>62</v>
      </c>
      <c r="C81" s="40">
        <f>'Biomass Data Assumptions'!B49*B81</f>
        <v>62</v>
      </c>
      <c r="D81" s="40">
        <f>C81*'Energy Content Assumptions'!C11</f>
        <v>52.699999999999996</v>
      </c>
      <c r="E81" s="41"/>
      <c r="F81" s="41"/>
      <c r="G81" s="41"/>
      <c r="H81" s="36"/>
      <c r="I81" s="36"/>
      <c r="J81" s="36"/>
      <c r="K81" s="36"/>
      <c r="L81" s="36"/>
      <c r="M81" s="36"/>
      <c r="N81" s="36"/>
      <c r="O81" s="36"/>
      <c r="P81" s="36"/>
      <c r="Q81" s="36"/>
      <c r="R81" s="36"/>
    </row>
    <row r="82" spans="1:18" x14ac:dyDescent="0.25">
      <c r="A82" s="39" t="s">
        <v>520</v>
      </c>
      <c r="B82" s="21">
        <f>270+223</f>
        <v>493</v>
      </c>
      <c r="C82" s="40">
        <f>'Biomass Data Assumptions'!B50*B82</f>
        <v>1109.25</v>
      </c>
      <c r="D82" s="40">
        <f>C82*'Energy Content Assumptions'!C12</f>
        <v>942.86249999999995</v>
      </c>
      <c r="E82" s="41"/>
      <c r="F82" s="41"/>
      <c r="G82" s="41"/>
      <c r="H82" s="36"/>
      <c r="I82" s="36"/>
      <c r="J82" s="36"/>
      <c r="K82" s="36"/>
      <c r="L82" s="36"/>
      <c r="M82" s="36"/>
      <c r="N82" s="36"/>
      <c r="O82" s="36"/>
      <c r="P82" s="36"/>
      <c r="Q82" s="36"/>
      <c r="R82" s="36"/>
    </row>
    <row r="83" spans="1:18" x14ac:dyDescent="0.25">
      <c r="A83" s="39" t="s">
        <v>521</v>
      </c>
      <c r="B83" s="21">
        <v>169</v>
      </c>
      <c r="C83" s="40">
        <f>'Biomass Data Assumptions'!B51*B83</f>
        <v>422.5</v>
      </c>
      <c r="D83" s="40">
        <f>C83*'Energy Content Assumptions'!C13</f>
        <v>359.125</v>
      </c>
      <c r="E83" s="41"/>
      <c r="F83" s="41"/>
      <c r="G83" s="41"/>
      <c r="H83" s="36"/>
      <c r="I83" s="36"/>
      <c r="J83" s="36"/>
      <c r="K83" s="36"/>
      <c r="L83" s="36"/>
      <c r="M83" s="36"/>
      <c r="N83" s="36"/>
      <c r="O83" s="36"/>
      <c r="P83" s="36"/>
      <c r="Q83" s="36"/>
      <c r="R83" s="36"/>
    </row>
    <row r="84" spans="1:18" x14ac:dyDescent="0.25">
      <c r="A84" s="39" t="s">
        <v>528</v>
      </c>
      <c r="B84" s="21">
        <v>157</v>
      </c>
      <c r="C84" s="40">
        <f>'Biomass Data Assumptions'!B52*B84</f>
        <v>2574.7999999999997</v>
      </c>
      <c r="D84" s="40">
        <f>C84*'Energy Content Assumptions'!C14</f>
        <v>901.17999999999984</v>
      </c>
      <c r="E84" s="41"/>
      <c r="F84" s="41"/>
      <c r="G84" s="41"/>
      <c r="H84" s="36"/>
      <c r="I84" s="36"/>
      <c r="J84" s="36"/>
      <c r="K84" s="36"/>
      <c r="L84" s="36"/>
      <c r="M84" s="36"/>
      <c r="N84" s="36"/>
      <c r="O84" s="36"/>
      <c r="P84" s="36"/>
      <c r="Q84" s="36"/>
      <c r="R84" s="36"/>
    </row>
    <row r="85" spans="1:18" x14ac:dyDescent="0.25">
      <c r="A85" s="39" t="s">
        <v>529</v>
      </c>
      <c r="B85" s="21">
        <v>156</v>
      </c>
      <c r="C85" s="40">
        <f>'Biomass Data Assumptions'!B53*B85</f>
        <v>499.20000000000005</v>
      </c>
      <c r="D85" s="40">
        <f>C85*'Energy Content Assumptions'!C15</f>
        <v>424.32000000000005</v>
      </c>
      <c r="E85" s="41"/>
      <c r="F85" s="41"/>
      <c r="G85" s="41"/>
      <c r="H85" s="36"/>
      <c r="I85" s="36"/>
      <c r="J85" s="36"/>
      <c r="K85" s="36"/>
      <c r="L85" s="36"/>
      <c r="M85" s="36"/>
      <c r="N85" s="36"/>
      <c r="O85" s="36"/>
      <c r="P85" s="36"/>
      <c r="Q85" s="36"/>
      <c r="R85" s="36"/>
    </row>
    <row r="86" spans="1:18" x14ac:dyDescent="0.25">
      <c r="A86" s="39" t="s">
        <v>530</v>
      </c>
      <c r="B86" s="21">
        <v>597</v>
      </c>
      <c r="C86" s="40">
        <f>'Biomass Data Assumptions'!B54*B86</f>
        <v>1014.9</v>
      </c>
      <c r="D86" s="40">
        <f>C86*'Energy Content Assumptions'!C16</f>
        <v>862.66499999999996</v>
      </c>
      <c r="E86" s="41"/>
      <c r="F86" s="41"/>
      <c r="G86" s="41"/>
      <c r="H86" s="36"/>
      <c r="I86" s="36"/>
      <c r="J86" s="36"/>
      <c r="K86" s="36"/>
      <c r="L86" s="36"/>
      <c r="M86" s="36"/>
      <c r="N86" s="36"/>
      <c r="O86" s="36"/>
      <c r="P86" s="36"/>
      <c r="Q86" s="36"/>
      <c r="R86" s="36"/>
    </row>
    <row r="87" spans="1:18" x14ac:dyDescent="0.25">
      <c r="A87" s="39" t="s">
        <v>522</v>
      </c>
      <c r="B87" s="21">
        <v>50</v>
      </c>
      <c r="C87" s="40">
        <f>'Biomass Data Assumptions'!B55*B87</f>
        <v>87.5</v>
      </c>
      <c r="D87" s="40">
        <f>C87*'Energy Content Assumptions'!C17</f>
        <v>74.375</v>
      </c>
      <c r="E87" s="41"/>
      <c r="F87" s="41"/>
      <c r="G87" s="41"/>
      <c r="H87" s="36"/>
      <c r="I87" s="36"/>
      <c r="J87" s="36"/>
      <c r="K87" s="36"/>
      <c r="L87" s="36"/>
      <c r="M87" s="36"/>
      <c r="N87" s="36"/>
      <c r="O87" s="36"/>
      <c r="P87" s="36"/>
      <c r="Q87" s="36"/>
      <c r="R87" s="36"/>
    </row>
    <row r="88" spans="1:18" x14ac:dyDescent="0.25">
      <c r="A88" s="43"/>
      <c r="B88" s="41"/>
      <c r="C88" s="41"/>
      <c r="D88" s="41"/>
      <c r="E88" s="41"/>
      <c r="F88" s="41"/>
      <c r="G88" s="41"/>
      <c r="H88" s="36"/>
      <c r="I88" s="36"/>
      <c r="J88" s="36"/>
      <c r="K88" s="36"/>
      <c r="L88" s="36"/>
      <c r="M88" s="36"/>
      <c r="N88" s="36"/>
      <c r="O88" s="36"/>
      <c r="P88" s="36"/>
      <c r="Q88" s="36"/>
      <c r="R88" s="36"/>
    </row>
    <row r="89" spans="1:18" x14ac:dyDescent="0.25">
      <c r="A89" s="43"/>
      <c r="B89" s="640" t="s">
        <v>297</v>
      </c>
      <c r="C89" s="122" t="s">
        <v>299</v>
      </c>
      <c r="D89" s="122" t="s">
        <v>300</v>
      </c>
      <c r="E89" s="41"/>
      <c r="F89" s="41"/>
      <c r="G89" s="41"/>
      <c r="H89" s="36"/>
      <c r="I89" s="36"/>
      <c r="J89" s="36"/>
      <c r="K89" s="36"/>
      <c r="L89" s="36"/>
      <c r="M89" s="36"/>
      <c r="N89" s="36"/>
      <c r="O89" s="36"/>
      <c r="P89" s="36"/>
      <c r="Q89" s="36"/>
      <c r="R89" s="36"/>
    </row>
    <row r="90" spans="1:18" x14ac:dyDescent="0.25">
      <c r="A90" s="43" t="s">
        <v>296</v>
      </c>
      <c r="B90" s="85">
        <f>IF('Prac. Rec. Assumptions'!B56='Prac. Rec. Assumptions'!V3,0,SUM(IF('Prac. Rec. Assumptions'!B57="Yes",B74,0),IF('Prac. Rec. Assumptions'!B58="Yes",B81,0),IF('Prac. Rec. Assumptions'!B59="Yes",B82,0),IF('Prac. Rec. Assumptions'!B60="Yes",B83,0),IF('Prac. Rec. Assumptions'!B61="Yes",B84,0),IF('Prac. Rec. Assumptions'!B62="Yes",B85,0),IF('Prac. Rec. Assumptions'!B63="Yes",B86,0),IF('Prac. Rec. Assumptions'!B64="Yes",B87,0)))</f>
        <v>0</v>
      </c>
      <c r="C90" s="41">
        <f>IF('Prac. Rec. Assumptions'!B56='Prac. Rec. Assumptions'!V1,'Biomass Data Assumptions'!C46,IF('Prac. Rec. Assumptions'!B56='Prac. Rec. Assumptions'!V2,'Biomass Data Assumptions'!C45,0))</f>
        <v>0</v>
      </c>
      <c r="D90" s="41">
        <f>(C90*'Energy Content Assumptions'!C9)*B90</f>
        <v>0</v>
      </c>
      <c r="E90" s="41"/>
      <c r="F90" s="41"/>
      <c r="G90" s="41"/>
      <c r="H90" s="36"/>
      <c r="I90" s="36"/>
      <c r="J90" s="36"/>
      <c r="K90" s="36"/>
      <c r="L90" s="36"/>
      <c r="M90" s="36"/>
      <c r="N90" s="36"/>
      <c r="O90" s="36"/>
      <c r="P90" s="36"/>
      <c r="Q90" s="36"/>
      <c r="R90" s="36"/>
    </row>
    <row r="91" spans="1:18" x14ac:dyDescent="0.25">
      <c r="A91" s="36"/>
      <c r="B91" s="36"/>
      <c r="C91" s="36"/>
      <c r="D91" s="36"/>
      <c r="E91" s="36"/>
      <c r="F91" s="36"/>
      <c r="G91" s="36"/>
      <c r="H91" s="36"/>
      <c r="I91" s="36"/>
      <c r="J91" s="36"/>
      <c r="K91" s="36"/>
      <c r="L91" s="36"/>
      <c r="M91" s="36"/>
      <c r="N91" s="36"/>
      <c r="O91" s="36"/>
      <c r="P91" s="36"/>
      <c r="Q91" s="36"/>
      <c r="R91" s="36"/>
    </row>
    <row r="92" spans="1:18" ht="39.6" x14ac:dyDescent="0.25">
      <c r="A92" s="42" t="s">
        <v>531</v>
      </c>
      <c r="B92" s="455" t="s">
        <v>298</v>
      </c>
      <c r="C92" s="38" t="s">
        <v>1050</v>
      </c>
      <c r="D92" s="38" t="s">
        <v>1045</v>
      </c>
      <c r="E92" s="38" t="s">
        <v>1048</v>
      </c>
      <c r="F92" s="38" t="s">
        <v>1047</v>
      </c>
      <c r="G92" s="38" t="s">
        <v>1046</v>
      </c>
      <c r="H92" s="36" t="s">
        <v>599</v>
      </c>
      <c r="I92" s="36"/>
      <c r="J92" s="38"/>
      <c r="K92" s="38"/>
      <c r="L92" s="38"/>
      <c r="M92" s="38"/>
      <c r="N92" s="36"/>
      <c r="O92" s="36"/>
      <c r="P92" s="36"/>
      <c r="Q92" s="36"/>
      <c r="R92" s="36"/>
    </row>
    <row r="93" spans="1:18" ht="11.25" customHeight="1" x14ac:dyDescent="0.25">
      <c r="A93" s="42"/>
      <c r="B93" s="38"/>
      <c r="C93" s="38"/>
      <c r="D93" s="38"/>
      <c r="E93" s="38"/>
      <c r="F93" s="36"/>
      <c r="G93" s="36"/>
      <c r="H93" s="36"/>
      <c r="I93" s="36"/>
      <c r="J93" s="38"/>
      <c r="K93" s="38"/>
      <c r="L93" s="38"/>
      <c r="M93" s="38"/>
      <c r="N93" s="36"/>
      <c r="O93" s="36"/>
      <c r="P93" s="36"/>
      <c r="Q93" s="36"/>
      <c r="R93" s="36"/>
    </row>
    <row r="94" spans="1:18" hidden="1" x14ac:dyDescent="0.25">
      <c r="A94" s="43" t="s">
        <v>535</v>
      </c>
      <c r="B94" s="36"/>
      <c r="C94" s="41"/>
      <c r="D94" s="41"/>
      <c r="E94" s="44"/>
      <c r="F94" s="36"/>
      <c r="G94" s="36"/>
      <c r="H94" s="36"/>
      <c r="I94" s="36"/>
      <c r="J94" s="44"/>
      <c r="K94" s="44"/>
      <c r="L94" s="44"/>
      <c r="M94" s="44"/>
      <c r="N94" s="36"/>
      <c r="O94" s="36"/>
      <c r="P94" s="36"/>
      <c r="Q94" s="36"/>
      <c r="R94" s="36"/>
    </row>
    <row r="95" spans="1:18" hidden="1" x14ac:dyDescent="0.25">
      <c r="A95" s="45"/>
      <c r="B95" s="85"/>
      <c r="C95" s="41"/>
      <c r="D95" s="41"/>
      <c r="E95" s="41"/>
      <c r="F95" s="41"/>
      <c r="G95" s="41"/>
      <c r="H95" s="36"/>
      <c r="I95" s="36"/>
      <c r="J95" s="41"/>
      <c r="K95" s="41"/>
      <c r="L95" s="41"/>
      <c r="M95" s="41"/>
      <c r="N95" s="36"/>
      <c r="O95" s="36"/>
      <c r="P95" s="36"/>
      <c r="Q95" s="36"/>
      <c r="R95" s="36"/>
    </row>
    <row r="96" spans="1:18" hidden="1" x14ac:dyDescent="0.25">
      <c r="A96" s="45"/>
      <c r="B96" s="85"/>
      <c r="C96" s="41"/>
      <c r="D96" s="41"/>
      <c r="E96" s="41"/>
      <c r="F96" s="41"/>
      <c r="G96" s="41"/>
      <c r="H96" s="36"/>
      <c r="I96" s="36"/>
      <c r="J96" s="41"/>
      <c r="K96" s="41"/>
      <c r="L96" s="41"/>
      <c r="M96" s="41"/>
      <c r="N96" s="36"/>
      <c r="O96" s="36"/>
      <c r="P96" s="36"/>
      <c r="Q96" s="36"/>
      <c r="R96" s="36"/>
    </row>
    <row r="97" spans="1:18" x14ac:dyDescent="0.25">
      <c r="A97" s="467" t="s">
        <v>535</v>
      </c>
      <c r="B97" s="85">
        <v>199</v>
      </c>
      <c r="C97" s="41">
        <f>ROUND('Biomass Data Assumptions'!$B$60/1000*B97,0)</f>
        <v>199</v>
      </c>
      <c r="D97" s="41">
        <f>'Biomass Data Assumptions'!$C$60*C97</f>
        <v>6682420</v>
      </c>
      <c r="E97" s="41">
        <f>('Biomass Data Assumptions'!$D$60*'Energy Content Assumptions'!$C$44*D97)/2000</f>
        <v>80.189040000000006</v>
      </c>
      <c r="F97" s="41">
        <f>('Biomass Data Assumptions'!$E$60*B97*365)/2000</f>
        <v>145.27000000000001</v>
      </c>
      <c r="G97" s="41">
        <f>F97+E97</f>
        <v>225.45904000000002</v>
      </c>
      <c r="H97" s="36"/>
      <c r="I97" s="36"/>
      <c r="J97" s="41"/>
      <c r="K97" s="41"/>
      <c r="L97" s="41"/>
      <c r="M97" s="41"/>
      <c r="N97" s="36"/>
      <c r="O97" s="36"/>
      <c r="P97" s="36"/>
      <c r="Q97" s="36"/>
      <c r="R97" s="36"/>
    </row>
    <row r="98" spans="1:18" x14ac:dyDescent="0.25">
      <c r="A98" s="46"/>
      <c r="B98" s="41"/>
      <c r="C98" s="41"/>
      <c r="D98" s="41"/>
      <c r="E98" s="41"/>
      <c r="F98" s="41"/>
      <c r="G98" s="41"/>
      <c r="H98" s="36"/>
      <c r="I98" s="36"/>
      <c r="J98" s="41"/>
      <c r="K98" s="41"/>
      <c r="L98" s="41"/>
      <c r="M98" s="41"/>
      <c r="N98" s="36"/>
      <c r="O98" s="36"/>
      <c r="P98" s="36"/>
      <c r="Q98" s="36"/>
      <c r="R98" s="36"/>
    </row>
    <row r="99" spans="1:18" x14ac:dyDescent="0.25">
      <c r="A99" s="43" t="s">
        <v>539</v>
      </c>
      <c r="B99" s="47"/>
      <c r="C99" s="41"/>
      <c r="D99" s="41"/>
      <c r="E99" s="41"/>
      <c r="F99" s="41"/>
      <c r="G99" s="41"/>
      <c r="H99" s="36"/>
      <c r="I99" s="36"/>
      <c r="J99" s="41"/>
      <c r="K99" s="41"/>
      <c r="L99" s="41"/>
      <c r="M99" s="41"/>
      <c r="N99" s="36"/>
      <c r="O99" s="36"/>
      <c r="P99" s="36"/>
      <c r="Q99" s="36"/>
      <c r="R99" s="36"/>
    </row>
    <row r="100" spans="1:18" x14ac:dyDescent="0.25">
      <c r="A100" s="460" t="s">
        <v>603</v>
      </c>
      <c r="B100" s="85">
        <v>140</v>
      </c>
      <c r="C100" s="41">
        <f>ROUND('Biomass Data Assumptions'!B62/1000*B100,0)</f>
        <v>49</v>
      </c>
      <c r="D100" s="41">
        <f>'Biomass Data Assumptions'!C62*C100</f>
        <v>1430800</v>
      </c>
      <c r="E100" s="41">
        <f>('Biomass Data Assumptions'!D62*'Energy Content Assumptions'!C46*D100)/2000</f>
        <v>64.385999999999996</v>
      </c>
      <c r="F100" s="41">
        <f>('Biomass Data Assumptions'!E62*B100*365)/2000</f>
        <v>127.75</v>
      </c>
      <c r="G100" s="41">
        <f>F100+E100</f>
        <v>192.136</v>
      </c>
      <c r="H100" s="36"/>
      <c r="I100" s="36"/>
      <c r="J100" s="41"/>
      <c r="K100" s="41"/>
      <c r="L100" s="41"/>
      <c r="M100" s="41"/>
      <c r="N100" s="36"/>
      <c r="O100" s="36"/>
      <c r="P100" s="36"/>
      <c r="Q100" s="36"/>
      <c r="R100" s="36"/>
    </row>
    <row r="101" spans="1:18" hidden="1" x14ac:dyDescent="0.25">
      <c r="A101" s="45"/>
      <c r="B101" s="85"/>
      <c r="C101" s="41"/>
      <c r="D101" s="41"/>
      <c r="E101" s="41"/>
      <c r="F101" s="41"/>
      <c r="G101" s="41"/>
      <c r="H101" s="36"/>
      <c r="I101" s="36"/>
      <c r="J101" s="41"/>
      <c r="K101" s="41"/>
      <c r="L101" s="41"/>
      <c r="M101" s="41"/>
      <c r="N101" s="36"/>
      <c r="O101" s="36"/>
      <c r="P101" s="36"/>
      <c r="Q101" s="36"/>
      <c r="R101" s="36"/>
    </row>
    <row r="102" spans="1:18" x14ac:dyDescent="0.25">
      <c r="A102" s="460" t="s">
        <v>604</v>
      </c>
      <c r="B102" s="85">
        <v>366</v>
      </c>
      <c r="C102" s="41">
        <f>ROUND('Biomass Data Assumptions'!B64/1000*B102,0)</f>
        <v>512</v>
      </c>
      <c r="D102" s="41">
        <f>'Biomass Data Assumptions'!C64*C102</f>
        <v>20743680</v>
      </c>
      <c r="E102" s="41">
        <f>('Biomass Data Assumptions'!D64*'Energy Content Assumptions'!C48*D102)/2000</f>
        <v>933.46559999999999</v>
      </c>
      <c r="F102" s="41">
        <f>'Biomass Data Assumptions'!E64*B102*365/2000</f>
        <v>667.95</v>
      </c>
      <c r="G102" s="41">
        <f>F102+E102</f>
        <v>1601.4156</v>
      </c>
      <c r="H102" s="36"/>
      <c r="I102" s="36"/>
      <c r="J102" s="41"/>
      <c r="K102" s="41"/>
      <c r="L102" s="41"/>
      <c r="M102" s="41"/>
      <c r="N102" s="36"/>
      <c r="O102" s="36"/>
      <c r="P102" s="36"/>
      <c r="Q102" s="36"/>
      <c r="R102" s="36"/>
    </row>
    <row r="103" spans="1:18" hidden="1" x14ac:dyDescent="0.25">
      <c r="A103" s="45"/>
      <c r="B103" s="85"/>
      <c r="C103" s="41"/>
      <c r="D103" s="41"/>
      <c r="E103" s="41"/>
      <c r="F103" s="41"/>
      <c r="G103" s="41"/>
      <c r="H103" s="36"/>
      <c r="I103" s="36"/>
      <c r="J103" s="41"/>
      <c r="K103" s="41"/>
      <c r="L103" s="41"/>
      <c r="M103" s="41"/>
      <c r="N103" s="36"/>
      <c r="O103" s="36"/>
      <c r="P103" s="36"/>
      <c r="Q103" s="36"/>
      <c r="R103" s="36"/>
    </row>
    <row r="104" spans="1:18" x14ac:dyDescent="0.25">
      <c r="A104" s="467" t="s">
        <v>544</v>
      </c>
      <c r="B104" s="85">
        <f t="shared" ref="B104:G104" si="14">SUM(B100:B103)</f>
        <v>506</v>
      </c>
      <c r="C104" s="41">
        <f t="shared" si="14"/>
        <v>561</v>
      </c>
      <c r="D104" s="41">
        <f t="shared" si="14"/>
        <v>22174480</v>
      </c>
      <c r="E104" s="41">
        <f t="shared" si="14"/>
        <v>997.85159999999996</v>
      </c>
      <c r="F104" s="41">
        <f t="shared" si="14"/>
        <v>795.7</v>
      </c>
      <c r="G104" s="41">
        <f t="shared" si="14"/>
        <v>1793.5516</v>
      </c>
      <c r="H104" s="36"/>
      <c r="I104" s="36"/>
      <c r="J104" s="41"/>
      <c r="K104" s="41"/>
      <c r="L104" s="41"/>
      <c r="M104" s="41"/>
      <c r="N104" s="36"/>
      <c r="O104" s="36"/>
      <c r="P104" s="36"/>
      <c r="Q104" s="36"/>
      <c r="R104" s="36"/>
    </row>
    <row r="105" spans="1:18" x14ac:dyDescent="0.25">
      <c r="A105" s="46"/>
      <c r="B105" s="41"/>
      <c r="C105" s="41"/>
      <c r="D105" s="41"/>
      <c r="E105" s="41"/>
      <c r="F105" s="41"/>
      <c r="G105" s="41"/>
      <c r="H105" s="36"/>
      <c r="I105" s="36"/>
      <c r="J105" s="41"/>
      <c r="K105" s="41"/>
      <c r="L105" s="41"/>
      <c r="M105" s="41"/>
      <c r="N105" s="36"/>
      <c r="O105" s="36"/>
      <c r="P105" s="36"/>
      <c r="Q105" s="36"/>
      <c r="R105" s="36"/>
    </row>
    <row r="106" spans="1:18" x14ac:dyDescent="0.25">
      <c r="A106" s="43" t="s">
        <v>545</v>
      </c>
      <c r="B106" s="85">
        <v>756</v>
      </c>
      <c r="C106" s="41">
        <f>ROUND('Biomass Data Assumptions'!B66/1000*B106,0)</f>
        <v>756</v>
      </c>
      <c r="D106" s="41">
        <f>'Biomass Data Assumptions'!C66*C106</f>
        <v>15314670</v>
      </c>
      <c r="E106" s="41">
        <f>('Biomass Data Assumptions'!D66*'Energy Content Assumptions'!C50*D106)/2000</f>
        <v>536.01345000000003</v>
      </c>
      <c r="F106" s="41">
        <f>'Biomass Data Assumptions'!E66*B106*365/2000</f>
        <v>2069.5500000000002</v>
      </c>
      <c r="G106" s="41">
        <f>F106+E106</f>
        <v>2605.5634500000001</v>
      </c>
      <c r="H106" s="36"/>
      <c r="I106" s="36"/>
      <c r="J106" s="41"/>
      <c r="K106" s="41"/>
      <c r="L106" s="41"/>
      <c r="M106" s="41"/>
      <c r="N106" s="36"/>
      <c r="O106" s="36"/>
      <c r="P106" s="36"/>
      <c r="Q106" s="36"/>
      <c r="R106" s="36"/>
    </row>
    <row r="107" spans="1:18" x14ac:dyDescent="0.25">
      <c r="A107" s="43"/>
      <c r="B107" s="41"/>
      <c r="C107" s="41"/>
      <c r="D107" s="41"/>
      <c r="E107" s="41"/>
      <c r="F107" s="41"/>
      <c r="G107" s="41"/>
      <c r="H107" s="36"/>
      <c r="I107" s="36"/>
      <c r="J107" s="41"/>
      <c r="K107" s="41"/>
      <c r="L107" s="41"/>
      <c r="M107" s="41"/>
      <c r="N107" s="36"/>
      <c r="O107" s="36"/>
      <c r="P107" s="36"/>
      <c r="Q107" s="36"/>
      <c r="R107" s="36"/>
    </row>
    <row r="108" spans="1:18" x14ac:dyDescent="0.25">
      <c r="A108" s="43" t="s">
        <v>546</v>
      </c>
      <c r="B108" s="85">
        <v>167</v>
      </c>
      <c r="C108" s="41">
        <f>ROUND('Biomass Data Assumptions'!B67/1000*B108,0)</f>
        <v>17</v>
      </c>
      <c r="D108" s="41">
        <f>'Biomass Data Assumptions'!C67*C108</f>
        <v>254405</v>
      </c>
      <c r="E108" s="41">
        <f>('Biomass Data Assumptions'!D67*'Energy Content Assumptions'!C51*D108)/2000</f>
        <v>6.360125</v>
      </c>
      <c r="F108" s="41">
        <f>'Biomass Data Assumptions'!E67*B108*365/2000</f>
        <v>30.477499999999999</v>
      </c>
      <c r="G108" s="41">
        <f>F108+E108</f>
        <v>36.837625000000003</v>
      </c>
      <c r="H108" s="36"/>
      <c r="I108" s="36"/>
      <c r="J108" s="41"/>
      <c r="K108" s="41"/>
      <c r="L108" s="41"/>
      <c r="M108" s="41"/>
      <c r="N108" s="36"/>
      <c r="O108" s="36"/>
      <c r="P108" s="36"/>
      <c r="Q108" s="36"/>
      <c r="R108" s="36"/>
    </row>
    <row r="109" spans="1:18" x14ac:dyDescent="0.25">
      <c r="A109" s="43"/>
      <c r="B109" s="41"/>
      <c r="C109" s="41"/>
      <c r="D109" s="41"/>
      <c r="E109" s="41"/>
      <c r="F109" s="41"/>
      <c r="G109" s="41"/>
      <c r="H109" s="36"/>
      <c r="I109" s="36"/>
      <c r="J109" s="41"/>
      <c r="K109" s="41"/>
      <c r="L109" s="41"/>
      <c r="M109" s="41"/>
      <c r="N109" s="36"/>
      <c r="O109" s="36"/>
      <c r="P109" s="36"/>
      <c r="Q109" s="36"/>
      <c r="R109" s="36"/>
    </row>
    <row r="110" spans="1:18" x14ac:dyDescent="0.25">
      <c r="A110" s="43" t="s">
        <v>547</v>
      </c>
      <c r="B110" s="85">
        <v>246</v>
      </c>
      <c r="C110" s="41">
        <f>ROUND('Biomass Data Assumptions'!B68/1000*B110,0)</f>
        <v>25</v>
      </c>
      <c r="D110" s="41">
        <f>'Biomass Data Assumptions'!C68*C110</f>
        <v>374125</v>
      </c>
      <c r="E110" s="41">
        <f>('Biomass Data Assumptions'!D68*'Energy Content Assumptions'!C52*D110)/2000</f>
        <v>9.3531250000000004</v>
      </c>
      <c r="F110" s="41">
        <f>'Biomass Data Assumptions'!E68*B110*365/2000</f>
        <v>44.895000000000003</v>
      </c>
      <c r="G110" s="41">
        <f>F110+E110</f>
        <v>54.248125000000002</v>
      </c>
      <c r="H110" s="36"/>
      <c r="I110" s="36"/>
      <c r="J110" s="41"/>
      <c r="K110" s="41"/>
      <c r="L110" s="41"/>
      <c r="M110" s="41"/>
      <c r="N110" s="36"/>
      <c r="O110" s="36"/>
      <c r="P110" s="36"/>
      <c r="Q110" s="36"/>
      <c r="R110" s="36"/>
    </row>
    <row r="111" spans="1:18" ht="12" customHeight="1" x14ac:dyDescent="0.25">
      <c r="A111" s="43"/>
      <c r="B111" s="41"/>
      <c r="C111" s="41"/>
      <c r="D111" s="41"/>
      <c r="E111" s="41"/>
      <c r="F111" s="41"/>
      <c r="G111" s="41"/>
      <c r="H111" s="36"/>
      <c r="I111" s="36"/>
      <c r="J111" s="41"/>
      <c r="K111" s="41"/>
      <c r="L111" s="41"/>
      <c r="M111" s="41"/>
      <c r="N111" s="36"/>
      <c r="O111" s="36"/>
      <c r="P111" s="36"/>
      <c r="Q111" s="36"/>
      <c r="R111" s="36"/>
    </row>
    <row r="112" spans="1:18" ht="1.5" hidden="1" customHeight="1" x14ac:dyDescent="0.25">
      <c r="A112" s="43" t="s">
        <v>548</v>
      </c>
      <c r="B112" s="36"/>
      <c r="C112" s="41"/>
      <c r="D112" s="41"/>
      <c r="E112" s="41"/>
      <c r="F112" s="41"/>
      <c r="G112" s="41"/>
      <c r="H112" s="36"/>
      <c r="I112" s="36"/>
      <c r="J112" s="41"/>
      <c r="K112" s="41"/>
      <c r="L112" s="41"/>
      <c r="M112" s="41"/>
      <c r="N112" s="36"/>
      <c r="O112" s="36"/>
      <c r="P112" s="36"/>
      <c r="Q112" s="36"/>
      <c r="R112" s="36"/>
    </row>
    <row r="113" spans="1:18" hidden="1" x14ac:dyDescent="0.25">
      <c r="A113" s="45"/>
      <c r="B113" s="85"/>
      <c r="C113" s="41"/>
      <c r="D113" s="41"/>
      <c r="E113" s="41"/>
      <c r="F113" s="41"/>
      <c r="G113" s="41"/>
      <c r="H113" s="36"/>
      <c r="I113" s="36"/>
      <c r="J113" s="41"/>
      <c r="K113" s="41"/>
      <c r="L113" s="41"/>
      <c r="M113" s="41"/>
      <c r="N113" s="36"/>
      <c r="O113" s="36"/>
      <c r="P113" s="36"/>
      <c r="Q113" s="36"/>
      <c r="R113" s="36"/>
    </row>
    <row r="114" spans="1:18" hidden="1" x14ac:dyDescent="0.25">
      <c r="A114" s="45"/>
      <c r="B114" s="85"/>
      <c r="C114" s="41"/>
      <c r="D114" s="41"/>
      <c r="E114" s="41"/>
      <c r="F114" s="41"/>
      <c r="G114" s="41"/>
      <c r="H114" s="36"/>
      <c r="I114" s="36"/>
      <c r="J114" s="41"/>
      <c r="K114" s="41"/>
      <c r="L114" s="41"/>
      <c r="M114" s="41"/>
      <c r="N114" s="36"/>
      <c r="O114" s="36"/>
      <c r="P114" s="36"/>
      <c r="Q114" s="36"/>
      <c r="R114" s="36"/>
    </row>
    <row r="115" spans="1:18" x14ac:dyDescent="0.25">
      <c r="A115" s="467" t="s">
        <v>605</v>
      </c>
      <c r="B115" s="85">
        <v>217</v>
      </c>
      <c r="C115" s="41">
        <f>ROUND('Biomass Data Assumptions'!$B$71/1000*B115,0)</f>
        <v>87</v>
      </c>
      <c r="D115" s="41">
        <f>'Biomass Data Assumptions'!$C$71*C115</f>
        <v>1492485</v>
      </c>
      <c r="E115" s="41">
        <f>('Biomass Data Assumptions'!$D$71*'Energy Content Assumptions'!$C$55*D115)/2000</f>
        <v>37.312125000000002</v>
      </c>
      <c r="F115" s="41">
        <f>'Biomass Data Assumptions'!$E$71*B115*365/2000</f>
        <v>0</v>
      </c>
      <c r="G115" s="41">
        <f>F115+E115</f>
        <v>37.312125000000002</v>
      </c>
      <c r="H115" s="36"/>
      <c r="I115" s="36"/>
      <c r="J115" s="41"/>
      <c r="K115" s="41"/>
      <c r="L115" s="41"/>
      <c r="M115" s="41"/>
      <c r="N115" s="36"/>
      <c r="O115" s="36"/>
      <c r="P115" s="36"/>
      <c r="Q115" s="36"/>
      <c r="R115" s="36"/>
    </row>
    <row r="116" spans="1:18" x14ac:dyDescent="0.25">
      <c r="A116" s="46"/>
      <c r="B116" s="41"/>
      <c r="C116" s="41"/>
      <c r="D116" s="41"/>
      <c r="E116" s="41"/>
      <c r="F116" s="41"/>
      <c r="G116" s="41"/>
      <c r="H116" s="36"/>
      <c r="I116" s="36"/>
      <c r="J116" s="41"/>
      <c r="K116" s="41"/>
      <c r="L116" s="41"/>
      <c r="M116" s="41"/>
      <c r="N116" s="36"/>
      <c r="O116" s="36"/>
      <c r="P116" s="36"/>
      <c r="Q116" s="36"/>
      <c r="R116" s="36"/>
    </row>
    <row r="117" spans="1:18" x14ac:dyDescent="0.25">
      <c r="A117" s="43" t="s">
        <v>551</v>
      </c>
      <c r="B117" s="85">
        <f>4105+307+730</f>
        <v>5142</v>
      </c>
      <c r="C117" s="41">
        <f>ROUND('Biomass Data Assumptions'!B72/1000*B117,0)</f>
        <v>26</v>
      </c>
      <c r="D117" s="41">
        <f>'Biomass Data Assumptions'!C72*C117</f>
        <v>474500</v>
      </c>
      <c r="E117" s="41">
        <f>('Biomass Data Assumptions'!D72*'Energy Content Assumptions'!C56*D117)/2000</f>
        <v>46.263750000000002</v>
      </c>
      <c r="F117" s="41">
        <f>'Biomass Data Assumptions'!E72*B117*365/2000</f>
        <v>0</v>
      </c>
      <c r="G117" s="41">
        <f>F117+E117</f>
        <v>46.263750000000002</v>
      </c>
      <c r="H117" s="150" t="s">
        <v>609</v>
      </c>
      <c r="I117" s="36"/>
      <c r="J117" s="41"/>
      <c r="K117" s="41"/>
      <c r="L117" s="41"/>
      <c r="M117" s="41"/>
      <c r="N117" s="36"/>
      <c r="O117" s="36"/>
      <c r="P117" s="36"/>
      <c r="Q117" s="36"/>
      <c r="R117" s="36"/>
    </row>
    <row r="118" spans="1:18" x14ac:dyDescent="0.25">
      <c r="A118" s="43"/>
      <c r="B118" s="41"/>
      <c r="C118" s="41"/>
      <c r="D118" s="41"/>
      <c r="E118" s="41"/>
      <c r="F118" s="41"/>
      <c r="G118" s="41"/>
      <c r="H118" s="36"/>
      <c r="I118" s="36"/>
      <c r="J118" s="41"/>
      <c r="K118" s="41"/>
      <c r="L118" s="41"/>
      <c r="M118" s="41"/>
      <c r="N118" s="36"/>
      <c r="O118" s="36"/>
      <c r="P118" s="36"/>
      <c r="Q118" s="36"/>
      <c r="R118" s="36"/>
    </row>
    <row r="119" spans="1:18" x14ac:dyDescent="0.25">
      <c r="A119" s="43" t="s">
        <v>552</v>
      </c>
      <c r="B119" s="85">
        <v>69</v>
      </c>
      <c r="C119" s="41">
        <f>ROUND('Biomass Data Assumptions'!B73/1000*B119,0)</f>
        <v>1</v>
      </c>
      <c r="D119" s="41">
        <f>'Biomass Data Assumptions'!C73*C119</f>
        <v>13505</v>
      </c>
      <c r="E119" s="41">
        <f>('Biomass Data Assumptions'!D73*'Energy Content Assumptions'!C57*D119)/2000</f>
        <v>1.26609375</v>
      </c>
      <c r="F119" s="41">
        <f>'Biomass Data Assumptions'!E73*B119*365/2000</f>
        <v>1.25925</v>
      </c>
      <c r="G119" s="41">
        <f>F119+E119</f>
        <v>2.5253437500000002</v>
      </c>
      <c r="H119" s="36"/>
      <c r="I119" s="36"/>
      <c r="J119" s="41"/>
      <c r="K119" s="41"/>
      <c r="L119" s="41"/>
      <c r="M119" s="41"/>
      <c r="N119" s="36"/>
      <c r="O119" s="36"/>
      <c r="P119" s="36"/>
      <c r="Q119" s="36"/>
      <c r="R119" s="36"/>
    </row>
    <row r="120" spans="1:18" x14ac:dyDescent="0.25">
      <c r="A120" s="43"/>
      <c r="B120" s="41"/>
      <c r="C120" s="41"/>
      <c r="D120" s="41"/>
      <c r="E120" s="41"/>
      <c r="F120" s="41"/>
      <c r="G120" s="41"/>
      <c r="H120" s="36"/>
      <c r="I120" s="36"/>
      <c r="J120" s="41"/>
      <c r="K120" s="41"/>
      <c r="L120" s="41"/>
      <c r="M120" s="41"/>
      <c r="N120" s="36"/>
      <c r="O120" s="36"/>
      <c r="P120" s="36"/>
      <c r="Q120" s="36"/>
      <c r="R120" s="36"/>
    </row>
    <row r="121" spans="1:18" x14ac:dyDescent="0.25">
      <c r="A121" s="43" t="s">
        <v>553</v>
      </c>
      <c r="B121" s="86">
        <f t="shared" ref="B121:G121" si="15">B97+B104+B106+B108+B110+B115+B117+B119</f>
        <v>7302</v>
      </c>
      <c r="C121" s="48">
        <f t="shared" si="15"/>
        <v>1672</v>
      </c>
      <c r="D121" s="48">
        <f t="shared" si="15"/>
        <v>46780590</v>
      </c>
      <c r="E121" s="48">
        <f t="shared" si="15"/>
        <v>1714.6093087500001</v>
      </c>
      <c r="F121" s="48">
        <f t="shared" si="15"/>
        <v>3087.1517500000004</v>
      </c>
      <c r="G121" s="48">
        <f t="shared" si="15"/>
        <v>4801.7610587500003</v>
      </c>
      <c r="H121" s="36"/>
      <c r="I121" s="36"/>
      <c r="J121" s="48"/>
      <c r="K121" s="48"/>
      <c r="L121" s="48"/>
      <c r="M121" s="48"/>
      <c r="N121" s="36"/>
      <c r="O121" s="36"/>
      <c r="P121" s="36"/>
      <c r="Q121" s="36"/>
      <c r="R121" s="36"/>
    </row>
    <row r="122" spans="1:18" x14ac:dyDescent="0.25">
      <c r="A122" s="36"/>
      <c r="B122" s="36"/>
      <c r="C122" s="36"/>
      <c r="D122" s="36"/>
      <c r="E122" s="36"/>
      <c r="F122" s="36"/>
      <c r="G122" s="36"/>
      <c r="H122" s="36"/>
      <c r="I122" s="36"/>
      <c r="J122" s="36"/>
      <c r="K122" s="36"/>
      <c r="L122" s="36"/>
      <c r="M122" s="36"/>
      <c r="N122" s="36"/>
      <c r="O122" s="36"/>
      <c r="P122" s="36"/>
      <c r="Q122" s="36"/>
      <c r="R122" s="36"/>
    </row>
    <row r="123" spans="1:18" x14ac:dyDescent="0.25">
      <c r="A123" s="49" t="s">
        <v>1014</v>
      </c>
      <c r="B123" s="49" t="s">
        <v>1043</v>
      </c>
      <c r="C123" s="49" t="s">
        <v>1044</v>
      </c>
      <c r="D123" s="546" t="s">
        <v>1013</v>
      </c>
      <c r="E123" s="36"/>
      <c r="F123" s="36"/>
      <c r="G123" s="36"/>
      <c r="H123" s="36"/>
      <c r="I123" s="36"/>
      <c r="J123" s="36"/>
      <c r="K123" s="36"/>
      <c r="L123" s="36"/>
      <c r="M123" s="36"/>
      <c r="N123" s="36"/>
      <c r="O123" s="36"/>
      <c r="P123" s="36"/>
      <c r="Q123" s="36"/>
      <c r="R123" s="36"/>
    </row>
    <row r="124" spans="1:18" x14ac:dyDescent="0.25">
      <c r="A124" s="50" t="s">
        <v>555</v>
      </c>
      <c r="B124" s="87">
        <v>55483.16</v>
      </c>
      <c r="C124" s="543">
        <f>B124*'Energy Content Assumptions'!C33</f>
        <v>49934.844000000005</v>
      </c>
      <c r="D124" s="36"/>
      <c r="E124" s="36"/>
      <c r="F124" s="36"/>
      <c r="G124" s="36"/>
      <c r="H124" s="36"/>
      <c r="I124" s="36"/>
      <c r="J124" s="36"/>
      <c r="K124" s="36"/>
      <c r="L124" s="36"/>
      <c r="M124" s="36"/>
      <c r="N124" s="36"/>
      <c r="O124" s="36"/>
      <c r="P124" s="36"/>
      <c r="Q124" s="36"/>
      <c r="R124" s="36"/>
    </row>
    <row r="125" spans="1:18" x14ac:dyDescent="0.25">
      <c r="A125" s="50" t="s">
        <v>556</v>
      </c>
      <c r="B125" s="87">
        <v>7056.91</v>
      </c>
      <c r="C125" s="543">
        <f>B125*'Energy Content Assumptions'!C34</f>
        <v>6351.2190000000001</v>
      </c>
      <c r="D125" s="36"/>
      <c r="E125" s="36"/>
      <c r="F125" s="36"/>
      <c r="G125" s="36"/>
      <c r="H125" s="36"/>
      <c r="I125" s="36"/>
      <c r="J125" s="36"/>
      <c r="K125" s="36"/>
      <c r="L125" s="36"/>
      <c r="M125" s="36"/>
      <c r="N125" s="36"/>
      <c r="O125" s="36"/>
      <c r="P125" s="36"/>
      <c r="Q125" s="36"/>
      <c r="R125" s="36"/>
    </row>
    <row r="126" spans="1:18" x14ac:dyDescent="0.25">
      <c r="A126" s="50" t="s">
        <v>557</v>
      </c>
      <c r="B126" s="87">
        <v>22841.08</v>
      </c>
      <c r="C126" s="543">
        <f>B126*'Energy Content Assumptions'!C35</f>
        <v>20556.972000000002</v>
      </c>
      <c r="D126" s="36"/>
      <c r="E126" s="36"/>
      <c r="F126" s="36"/>
      <c r="G126" s="36"/>
      <c r="H126" s="36"/>
      <c r="I126" s="36"/>
      <c r="J126" s="36"/>
      <c r="K126" s="36"/>
      <c r="L126" s="36"/>
      <c r="M126" s="36"/>
      <c r="N126" s="36"/>
      <c r="O126" s="36"/>
      <c r="P126" s="36"/>
      <c r="Q126" s="36"/>
      <c r="R126" s="36"/>
    </row>
    <row r="127" spans="1:18" x14ac:dyDescent="0.25">
      <c r="A127" s="50" t="s">
        <v>558</v>
      </c>
      <c r="B127" s="87">
        <v>8686.2900000000009</v>
      </c>
      <c r="C127" s="543">
        <f>B127*'Energy Content Assumptions'!C36</f>
        <v>7817.661000000001</v>
      </c>
      <c r="D127" s="36"/>
      <c r="E127" s="36"/>
      <c r="F127" s="36"/>
      <c r="G127" s="36"/>
      <c r="H127" s="36"/>
      <c r="I127" s="36"/>
      <c r="J127" s="36"/>
      <c r="K127" s="36"/>
      <c r="L127" s="36"/>
      <c r="M127" s="36"/>
      <c r="N127" s="36"/>
      <c r="O127" s="36"/>
      <c r="P127" s="36"/>
      <c r="Q127" s="36"/>
      <c r="R127" s="36"/>
    </row>
    <row r="128" spans="1:18" x14ac:dyDescent="0.25">
      <c r="A128" s="50" t="s">
        <v>559</v>
      </c>
      <c r="B128" s="87">
        <v>39908.910000000003</v>
      </c>
      <c r="C128" s="543">
        <f>B128*'Energy Content Assumptions'!C21</f>
        <v>19954.455000000002</v>
      </c>
      <c r="D128" s="36"/>
      <c r="E128" s="36"/>
      <c r="F128" s="36"/>
      <c r="G128" s="36"/>
      <c r="H128" s="36"/>
      <c r="I128" s="36"/>
      <c r="J128" s="36"/>
      <c r="K128" s="36"/>
      <c r="L128" s="36"/>
      <c r="M128" s="36"/>
      <c r="N128" s="36"/>
      <c r="O128" s="36"/>
      <c r="P128" s="36"/>
      <c r="Q128" s="36"/>
      <c r="R128" s="36"/>
    </row>
    <row r="129" spans="1:18" x14ac:dyDescent="0.25">
      <c r="A129" s="50" t="s">
        <v>560</v>
      </c>
      <c r="B129" s="87">
        <v>557.16</v>
      </c>
      <c r="C129" s="543">
        <f>B129*'Energy Content Assumptions'!C22</f>
        <v>185.71999999999997</v>
      </c>
      <c r="D129" s="36"/>
      <c r="E129" s="36"/>
      <c r="F129" s="36"/>
      <c r="G129" s="36"/>
      <c r="H129" s="36"/>
      <c r="I129" s="36"/>
      <c r="J129" s="36"/>
      <c r="K129" s="36"/>
      <c r="L129" s="36"/>
      <c r="M129" s="36"/>
      <c r="N129" s="36"/>
      <c r="O129" s="36"/>
      <c r="P129" s="36"/>
      <c r="Q129" s="36"/>
      <c r="R129" s="36"/>
    </row>
    <row r="130" spans="1:18" x14ac:dyDescent="0.25">
      <c r="A130" s="50" t="s">
        <v>561</v>
      </c>
      <c r="B130" s="87">
        <v>47261.09</v>
      </c>
      <c r="C130" s="543">
        <f>B130*'Energy Content Assumptions'!C23</f>
        <v>15753.696666666665</v>
      </c>
      <c r="D130" s="36"/>
      <c r="E130" s="36"/>
      <c r="F130" s="36"/>
      <c r="G130" s="36"/>
      <c r="H130" s="36"/>
      <c r="I130" s="36"/>
      <c r="J130" s="36"/>
      <c r="K130" s="36"/>
      <c r="L130" s="36"/>
      <c r="M130" s="36"/>
      <c r="N130" s="36"/>
      <c r="O130" s="36"/>
      <c r="P130" s="36"/>
      <c r="Q130" s="36"/>
      <c r="R130" s="36"/>
    </row>
    <row r="131" spans="1:18" x14ac:dyDescent="0.25">
      <c r="A131" s="50" t="s">
        <v>562</v>
      </c>
      <c r="B131" s="87">
        <v>13702.95</v>
      </c>
      <c r="C131" s="543">
        <f>B131*'Energy Content Assumptions'!C24</f>
        <v>6851.4750000000004</v>
      </c>
      <c r="D131" s="36"/>
      <c r="E131" s="36"/>
      <c r="F131" s="36"/>
      <c r="G131" s="36"/>
      <c r="H131" s="36"/>
      <c r="I131" s="36"/>
      <c r="J131" s="36"/>
      <c r="K131" s="36"/>
      <c r="L131" s="36"/>
      <c r="M131" s="36"/>
      <c r="N131" s="36"/>
      <c r="O131" s="36"/>
      <c r="P131" s="36"/>
      <c r="Q131" s="36"/>
      <c r="R131" s="36"/>
    </row>
    <row r="132" spans="1:18" x14ac:dyDescent="0.25">
      <c r="A132" s="50" t="s">
        <v>563</v>
      </c>
      <c r="B132" s="87">
        <v>3242.79</v>
      </c>
      <c r="C132" s="543">
        <f>B132*'Energy Content Assumptions'!C31</f>
        <v>810.69749999999999</v>
      </c>
      <c r="D132" s="36"/>
      <c r="E132" s="36"/>
      <c r="F132" s="36"/>
      <c r="G132" s="36"/>
      <c r="H132" s="36"/>
      <c r="I132" s="36"/>
      <c r="J132" s="36"/>
      <c r="K132" s="36"/>
      <c r="L132" s="36"/>
      <c r="M132" s="36"/>
      <c r="N132" s="36"/>
      <c r="O132" s="36"/>
      <c r="P132" s="36"/>
      <c r="Q132" s="36"/>
      <c r="R132" s="36"/>
    </row>
    <row r="133" spans="1:18" x14ac:dyDescent="0.25">
      <c r="A133" s="50" t="s">
        <v>564</v>
      </c>
      <c r="B133" s="87">
        <v>0.78</v>
      </c>
      <c r="C133" s="543">
        <f>B133*'Energy Content Assumptions'!C19</f>
        <v>0.70200000000000007</v>
      </c>
      <c r="D133" s="36"/>
      <c r="E133" s="36"/>
      <c r="F133" s="36"/>
      <c r="G133" s="36"/>
      <c r="H133" s="36"/>
      <c r="I133" s="36"/>
      <c r="J133" s="36"/>
      <c r="K133" s="36"/>
      <c r="L133" s="36"/>
      <c r="M133" s="36"/>
      <c r="N133" s="36"/>
      <c r="O133" s="36"/>
      <c r="P133" s="36"/>
      <c r="Q133" s="36"/>
      <c r="R133" s="36"/>
    </row>
    <row r="134" spans="1:18" x14ac:dyDescent="0.25">
      <c r="A134" s="50" t="s">
        <v>565</v>
      </c>
      <c r="B134" s="87">
        <v>8074.27</v>
      </c>
      <c r="C134" s="543">
        <f>B134*'Energy Content Assumptions'!C32</f>
        <v>6459.4160000000011</v>
      </c>
      <c r="D134" s="36"/>
      <c r="E134" s="36"/>
      <c r="F134" s="36"/>
      <c r="G134" s="36"/>
      <c r="H134" s="36"/>
      <c r="I134" s="36"/>
      <c r="J134" s="36"/>
      <c r="K134" s="36"/>
      <c r="L134" s="36"/>
      <c r="M134" s="36"/>
      <c r="N134" s="36"/>
      <c r="O134" s="36"/>
      <c r="P134" s="36"/>
      <c r="Q134" s="36"/>
      <c r="R134" s="36"/>
    </row>
    <row r="135" spans="1:18" x14ac:dyDescent="0.25">
      <c r="A135" s="36"/>
      <c r="B135" s="36"/>
      <c r="C135" s="36"/>
      <c r="D135" s="36"/>
      <c r="E135" s="36"/>
      <c r="F135" s="36"/>
      <c r="G135" s="36"/>
      <c r="H135" s="36"/>
      <c r="I135" s="36"/>
      <c r="J135" s="36"/>
      <c r="K135" s="36"/>
      <c r="L135" s="36"/>
      <c r="M135" s="36"/>
      <c r="N135" s="36"/>
      <c r="O135" s="36"/>
      <c r="P135" s="36"/>
      <c r="Q135" s="36"/>
      <c r="R135" s="36"/>
    </row>
    <row r="136" spans="1:18" x14ac:dyDescent="0.25">
      <c r="A136" s="49" t="s">
        <v>462</v>
      </c>
      <c r="B136" s="49" t="s">
        <v>1039</v>
      </c>
      <c r="C136" s="49" t="s">
        <v>1040</v>
      </c>
      <c r="D136" s="36"/>
      <c r="E136" s="36"/>
      <c r="F136" s="36"/>
      <c r="G136" s="36"/>
      <c r="H136" s="36"/>
      <c r="I136" s="36"/>
      <c r="J136" s="36"/>
      <c r="K136" s="36"/>
      <c r="L136" s="36"/>
      <c r="M136" s="36"/>
      <c r="N136" s="36"/>
      <c r="O136" s="36"/>
      <c r="P136" s="36"/>
      <c r="Q136" s="36"/>
      <c r="R136" s="36"/>
    </row>
    <row r="137" spans="1:18" x14ac:dyDescent="0.25">
      <c r="A137" s="50" t="s">
        <v>211</v>
      </c>
      <c r="B137" s="87">
        <f>'Biomass Data Assumptions'!$M$21</f>
        <v>630114.88</v>
      </c>
      <c r="C137" s="544"/>
      <c r="D137" s="546" t="s">
        <v>1016</v>
      </c>
      <c r="E137" s="36"/>
      <c r="F137" s="36"/>
      <c r="G137" s="36"/>
      <c r="H137" s="36"/>
      <c r="I137" s="36"/>
      <c r="J137" s="36"/>
      <c r="K137" s="36"/>
      <c r="L137" s="36"/>
      <c r="M137" s="36"/>
      <c r="N137" s="36"/>
      <c r="O137" s="36"/>
      <c r="P137" s="36"/>
      <c r="Q137" s="36"/>
      <c r="R137" s="36"/>
    </row>
    <row r="138" spans="1:18" x14ac:dyDescent="0.25">
      <c r="A138" s="50" t="s">
        <v>208</v>
      </c>
      <c r="B138" s="87">
        <f>'Biomass Data Assumptions'!$F$21</f>
        <v>391739.92</v>
      </c>
      <c r="C138" s="543">
        <f>B138*'Energy Content Assumptions'!$C$28</f>
        <v>195869.96</v>
      </c>
      <c r="D138" s="546" t="s">
        <v>1016</v>
      </c>
      <c r="E138" s="36"/>
      <c r="F138" s="36"/>
      <c r="G138" s="36"/>
      <c r="H138" s="36"/>
      <c r="I138" s="36"/>
      <c r="J138" s="36"/>
      <c r="K138" s="36"/>
      <c r="L138" s="36"/>
      <c r="M138" s="36"/>
      <c r="N138" s="36"/>
      <c r="O138" s="36"/>
      <c r="P138" s="36"/>
      <c r="Q138" s="36"/>
      <c r="R138" s="36"/>
    </row>
    <row r="139" spans="1:18" x14ac:dyDescent="0.25">
      <c r="A139" s="50" t="s">
        <v>209</v>
      </c>
      <c r="B139" s="87">
        <f>'Biomass Data Assumptions'!$H$21</f>
        <v>156.9</v>
      </c>
      <c r="C139" s="543"/>
      <c r="D139" s="36" t="s">
        <v>1020</v>
      </c>
      <c r="E139" s="36"/>
      <c r="F139" s="36"/>
      <c r="G139" s="36"/>
      <c r="H139" s="36"/>
      <c r="I139" s="36"/>
      <c r="J139" s="36"/>
      <c r="K139" s="36"/>
      <c r="L139" s="36"/>
      <c r="M139" s="36"/>
      <c r="N139" s="36"/>
      <c r="O139" s="36"/>
      <c r="P139" s="36"/>
      <c r="Q139" s="36"/>
      <c r="R139" s="36"/>
    </row>
    <row r="140" spans="1:18" x14ac:dyDescent="0.25">
      <c r="A140" s="50" t="s">
        <v>210</v>
      </c>
      <c r="B140" s="87">
        <f>'Biomass Data Assumptions'!$I$21</f>
        <v>391583.01999999996</v>
      </c>
      <c r="C140" s="543">
        <f>B140*'Energy Content Assumptions'!$C$28</f>
        <v>195791.50999999998</v>
      </c>
      <c r="D140" s="36" t="s">
        <v>1021</v>
      </c>
      <c r="E140" s="36"/>
      <c r="F140" s="36"/>
      <c r="G140" s="36"/>
      <c r="H140" s="36"/>
      <c r="I140" s="36"/>
      <c r="J140" s="36"/>
      <c r="K140" s="36"/>
      <c r="L140" s="36"/>
      <c r="M140" s="36"/>
      <c r="N140" s="36"/>
      <c r="O140" s="36"/>
      <c r="P140" s="36"/>
      <c r="Q140" s="36"/>
      <c r="R140" s="36"/>
    </row>
    <row r="141" spans="1:18" x14ac:dyDescent="0.25">
      <c r="A141" s="50" t="str">
        <f>'Bioenergy Calculator'!B35</f>
        <v>Food waste, Landfilled</v>
      </c>
      <c r="B141" s="87">
        <f>IF('Bioenergy Calculator'!H75="No",'Biomass Data Assumptions'!J21,'Biomass Data Assumptions'!F21*'Biomass Data Assumptions'!I41)</f>
        <v>61948.433763999994</v>
      </c>
      <c r="C141" s="543">
        <f>B141*'Energy Content Assumptions'!C26</f>
        <v>18584.530129199997</v>
      </c>
      <c r="D141" s="36" t="s">
        <v>1063</v>
      </c>
      <c r="E141" s="36"/>
      <c r="F141" s="36"/>
      <c r="G141" s="36"/>
      <c r="H141" s="36"/>
      <c r="I141" s="36"/>
      <c r="J141" s="36"/>
      <c r="K141" s="36"/>
      <c r="L141" s="36"/>
      <c r="M141" s="36"/>
      <c r="N141" s="36"/>
      <c r="O141" s="36"/>
      <c r="P141" s="36"/>
      <c r="Q141" s="36"/>
      <c r="R141" s="36"/>
    </row>
    <row r="142" spans="1:18" x14ac:dyDescent="0.25">
      <c r="A142" s="50" t="str">
        <f>'Bioenergy Calculator'!B36</f>
        <v>Waste paper, Landfilled</v>
      </c>
      <c r="B142" s="87">
        <f>IF('Bioenergy Calculator'!H75="No",'Biomass Data Assumptions'!K21,'Biomass Data Assumptions'!F21*'Biomass Data Assumptions'!I42)</f>
        <v>76162.897389999998</v>
      </c>
      <c r="C142" s="543">
        <f>B142*'Energy Content Assumptions'!C27</f>
        <v>68546.607650999998</v>
      </c>
      <c r="D142" s="36" t="s">
        <v>1063</v>
      </c>
      <c r="E142" s="36"/>
      <c r="F142" s="36"/>
      <c r="G142" s="36"/>
      <c r="H142" s="36"/>
      <c r="I142" s="36"/>
      <c r="J142" s="36"/>
      <c r="K142" s="36"/>
      <c r="L142" s="36"/>
      <c r="M142" s="36"/>
      <c r="N142" s="36"/>
      <c r="O142" s="36"/>
      <c r="P142" s="36"/>
      <c r="Q142" s="36"/>
      <c r="R142" s="36"/>
    </row>
    <row r="143" spans="1:18" x14ac:dyDescent="0.25">
      <c r="A143" s="50" t="str">
        <f>'Bioenergy Calculator'!B37</f>
        <v>Other Biomass, Landfilled</v>
      </c>
      <c r="B143" s="87">
        <f>IF('Bioenergy Calculator'!H75="No",'Biomass Data Assumptions'!L21,'Biomass Data Assumptions'!F21*'Biomass Data Assumptions'!I43)</f>
        <v>105453.30728599998</v>
      </c>
      <c r="C143" s="543">
        <f>B143*'Energy Content Assumptions'!$C$28</f>
        <v>52726.653642999991</v>
      </c>
      <c r="D143" s="546" t="s">
        <v>1064</v>
      </c>
      <c r="E143" s="36"/>
      <c r="F143" s="36"/>
      <c r="G143" s="36"/>
      <c r="H143" s="36"/>
      <c r="I143" s="36"/>
      <c r="J143" s="36"/>
      <c r="K143" s="36"/>
      <c r="L143" s="36"/>
      <c r="M143" s="36"/>
      <c r="N143" s="36"/>
      <c r="O143" s="36"/>
      <c r="P143" s="36"/>
      <c r="Q143" s="36"/>
      <c r="R143" s="36"/>
    </row>
    <row r="144" spans="1:18" x14ac:dyDescent="0.25">
      <c r="A144" s="50" t="s">
        <v>463</v>
      </c>
      <c r="B144" s="87">
        <v>276751.57</v>
      </c>
      <c r="C144" s="543">
        <f>B144*'Energy Content Assumptions'!C29</f>
        <v>221401.25600000002</v>
      </c>
      <c r="D144" s="151" t="s">
        <v>206</v>
      </c>
      <c r="E144" s="36"/>
      <c r="F144" s="36"/>
      <c r="G144" s="36"/>
      <c r="H144" s="36"/>
      <c r="I144" s="36"/>
      <c r="J144" s="36"/>
      <c r="K144" s="36"/>
      <c r="L144" s="36"/>
      <c r="M144" s="36"/>
      <c r="N144" s="36"/>
      <c r="O144" s="36"/>
      <c r="P144" s="36"/>
      <c r="Q144" s="36"/>
      <c r="R144" s="36"/>
    </row>
    <row r="145" spans="1:18" x14ac:dyDescent="0.25">
      <c r="A145" s="709" t="s">
        <v>179</v>
      </c>
      <c r="B145" s="710">
        <v>0.4</v>
      </c>
      <c r="C145" s="543">
        <f>C144*B145</f>
        <v>88560.502400000012</v>
      </c>
      <c r="D145" s="36" t="s">
        <v>1202</v>
      </c>
      <c r="E145" s="36"/>
      <c r="F145" s="36"/>
      <c r="G145" s="36"/>
      <c r="H145" s="36"/>
      <c r="I145" s="36"/>
      <c r="J145" s="36"/>
      <c r="K145" s="36"/>
      <c r="L145" s="36"/>
      <c r="M145" s="36"/>
      <c r="N145" s="36"/>
      <c r="O145" s="36"/>
      <c r="P145" s="36"/>
      <c r="Q145" s="36"/>
      <c r="R145" s="36"/>
    </row>
    <row r="146" spans="1:18" x14ac:dyDescent="0.25">
      <c r="A146" s="712"/>
      <c r="B146" s="713"/>
      <c r="C146" s="543"/>
      <c r="D146" s="150" t="s">
        <v>1553</v>
      </c>
      <c r="E146" s="36"/>
      <c r="F146" s="36"/>
      <c r="G146" s="36"/>
      <c r="H146" s="36"/>
      <c r="I146" s="36"/>
      <c r="J146" s="36"/>
      <c r="K146" s="36"/>
      <c r="L146" s="36"/>
      <c r="M146" s="36"/>
      <c r="N146" s="36"/>
      <c r="O146" s="36"/>
      <c r="P146" s="36"/>
      <c r="Q146" s="36"/>
      <c r="R146" s="36"/>
    </row>
    <row r="147" spans="1:18" x14ac:dyDescent="0.25">
      <c r="A147" s="1238" t="s">
        <v>1568</v>
      </c>
      <c r="B147" s="49" t="s">
        <v>1039</v>
      </c>
      <c r="C147" s="49" t="s">
        <v>1571</v>
      </c>
      <c r="D147" s="150"/>
      <c r="E147" s="36"/>
      <c r="F147" s="36"/>
      <c r="G147" s="36"/>
      <c r="H147" s="36"/>
      <c r="I147" s="36"/>
      <c r="J147" s="36"/>
      <c r="K147" s="36"/>
      <c r="L147" s="36"/>
      <c r="M147" s="36"/>
      <c r="N147" s="36"/>
      <c r="O147" s="36"/>
      <c r="P147" s="36"/>
      <c r="Q147" s="36"/>
      <c r="R147" s="36"/>
    </row>
    <row r="148" spans="1:18" x14ac:dyDescent="0.25">
      <c r="A148" s="1236" t="s">
        <v>508</v>
      </c>
      <c r="B148" s="549">
        <f>'Biomass Data Assumptions'!R21/2000</f>
        <v>2536.8948000000005</v>
      </c>
      <c r="C148" s="1239">
        <f>B148*'Energy Content Assumptions'!C39</f>
        <v>2156.3605800000005</v>
      </c>
      <c r="D148" s="150" t="s">
        <v>1569</v>
      </c>
      <c r="E148" s="36"/>
      <c r="F148" s="36"/>
      <c r="G148" s="36"/>
      <c r="H148" s="36"/>
      <c r="I148" s="36"/>
      <c r="J148" s="36"/>
      <c r="K148" s="36"/>
      <c r="L148" s="36"/>
      <c r="M148" s="36"/>
      <c r="N148" s="36"/>
      <c r="O148" s="36"/>
      <c r="P148" s="36"/>
      <c r="Q148" s="36"/>
      <c r="R148" s="36"/>
    </row>
    <row r="149" spans="1:18" x14ac:dyDescent="0.25">
      <c r="A149" s="1236" t="s">
        <v>509</v>
      </c>
      <c r="B149" s="549">
        <f>'Biomass Data Assumptions'!S21/2000</f>
        <v>3854.3503949999995</v>
      </c>
      <c r="C149" s="1239">
        <f>B149*'Energy Content Assumptions'!C40</f>
        <v>192.71751974999998</v>
      </c>
      <c r="D149" s="150" t="s">
        <v>1570</v>
      </c>
      <c r="E149" s="36"/>
      <c r="F149" s="36"/>
      <c r="G149" s="36"/>
      <c r="H149" s="36"/>
      <c r="I149" s="36"/>
      <c r="J149" s="36"/>
      <c r="K149" s="36"/>
      <c r="L149" s="36"/>
      <c r="M149" s="36"/>
      <c r="N149" s="36"/>
      <c r="O149" s="36"/>
      <c r="P149" s="36"/>
      <c r="Q149" s="36"/>
      <c r="R149" s="36"/>
    </row>
    <row r="150" spans="1:18" x14ac:dyDescent="0.25">
      <c r="A150" s="36"/>
      <c r="B150" s="36"/>
      <c r="C150" s="36"/>
      <c r="D150" s="36"/>
      <c r="E150" s="36"/>
      <c r="F150" s="36"/>
      <c r="G150" s="36"/>
      <c r="H150" s="36"/>
      <c r="I150" s="36"/>
      <c r="J150" s="36"/>
      <c r="K150" s="36"/>
      <c r="L150" s="36"/>
      <c r="M150" s="36"/>
      <c r="N150" s="36"/>
      <c r="O150" s="36"/>
      <c r="P150" s="36"/>
      <c r="Q150" s="36"/>
      <c r="R150" s="36"/>
    </row>
    <row r="151" spans="1:18" x14ac:dyDescent="0.25">
      <c r="A151" s="36"/>
      <c r="B151" s="36"/>
      <c r="C151" s="36"/>
      <c r="D151" s="36"/>
      <c r="E151" s="36"/>
      <c r="F151" s="36"/>
      <c r="G151" s="36"/>
      <c r="H151" s="36"/>
      <c r="I151" s="36"/>
      <c r="J151" s="36"/>
      <c r="K151" s="36"/>
      <c r="L151" s="36"/>
      <c r="M151" s="36"/>
      <c r="N151" s="36"/>
      <c r="O151" s="36"/>
      <c r="P151" s="36"/>
      <c r="Q151" s="36"/>
      <c r="R151" s="36"/>
    </row>
    <row r="152" spans="1:18" x14ac:dyDescent="0.25">
      <c r="A152" s="36"/>
      <c r="B152" s="36"/>
      <c r="C152" s="36"/>
      <c r="D152" s="36"/>
      <c r="E152" s="36"/>
      <c r="F152" s="36"/>
      <c r="G152" s="36"/>
      <c r="H152" s="36"/>
      <c r="I152" s="36"/>
      <c r="J152" s="36"/>
      <c r="K152" s="36"/>
      <c r="L152" s="36"/>
      <c r="M152" s="36"/>
      <c r="N152" s="36"/>
      <c r="O152" s="36"/>
      <c r="P152" s="36"/>
      <c r="Q152" s="36"/>
      <c r="R152" s="36"/>
    </row>
    <row r="153" spans="1:18" x14ac:dyDescent="0.25">
      <c r="A153" s="36"/>
      <c r="B153" s="36"/>
      <c r="C153" s="36"/>
      <c r="D153" s="36"/>
      <c r="E153" s="36"/>
      <c r="F153" s="36"/>
      <c r="G153" s="36"/>
      <c r="H153" s="36"/>
      <c r="I153" s="36"/>
      <c r="J153" s="36"/>
      <c r="K153" s="36"/>
      <c r="L153" s="36"/>
      <c r="M153" s="36"/>
      <c r="N153" s="36"/>
      <c r="O153" s="36"/>
      <c r="P153" s="36"/>
      <c r="Q153" s="36"/>
      <c r="R153" s="36"/>
    </row>
    <row r="154" spans="1:18" x14ac:dyDescent="0.25">
      <c r="A154" s="36"/>
      <c r="B154" s="36"/>
      <c r="C154" s="36"/>
      <c r="D154" s="36"/>
      <c r="E154" s="36"/>
      <c r="F154" s="36"/>
      <c r="G154" s="36"/>
      <c r="H154" s="36"/>
      <c r="I154" s="36"/>
      <c r="J154" s="36"/>
      <c r="K154" s="36"/>
      <c r="L154" s="36"/>
      <c r="M154" s="36"/>
      <c r="N154" s="36"/>
      <c r="O154" s="36"/>
      <c r="P154" s="36"/>
      <c r="Q154" s="36"/>
      <c r="R154" s="36"/>
    </row>
    <row r="155" spans="1:18" x14ac:dyDescent="0.25">
      <c r="A155" s="36"/>
      <c r="B155" s="36"/>
      <c r="C155" s="36"/>
      <c r="D155" s="36"/>
      <c r="E155" s="36"/>
      <c r="F155" s="36"/>
      <c r="G155" s="36"/>
      <c r="H155" s="36"/>
      <c r="I155" s="36"/>
      <c r="J155" s="36"/>
      <c r="K155" s="36"/>
      <c r="L155" s="36"/>
      <c r="M155" s="36"/>
      <c r="N155" s="36"/>
      <c r="O155" s="36"/>
      <c r="P155" s="36"/>
      <c r="Q155" s="36"/>
      <c r="R155" s="36"/>
    </row>
    <row r="156" spans="1:18" x14ac:dyDescent="0.25">
      <c r="A156" s="36"/>
      <c r="B156" s="36"/>
      <c r="C156" s="36"/>
      <c r="D156" s="36"/>
      <c r="E156" s="36"/>
      <c r="F156" s="36"/>
      <c r="G156" s="36"/>
      <c r="H156" s="36"/>
      <c r="I156" s="36"/>
      <c r="J156" s="36"/>
      <c r="K156" s="36"/>
      <c r="L156" s="36"/>
      <c r="M156" s="36"/>
      <c r="N156" s="36"/>
      <c r="O156" s="36"/>
      <c r="P156" s="36"/>
      <c r="Q156" s="36"/>
      <c r="R156" s="36"/>
    </row>
    <row r="157" spans="1:18" x14ac:dyDescent="0.25">
      <c r="A157" s="36"/>
      <c r="B157" s="36"/>
      <c r="C157" s="36"/>
      <c r="D157" s="36"/>
      <c r="E157" s="36"/>
      <c r="F157" s="36"/>
      <c r="G157" s="36"/>
      <c r="H157" s="36"/>
      <c r="I157" s="36"/>
      <c r="J157" s="36"/>
      <c r="K157" s="36"/>
      <c r="L157" s="36"/>
      <c r="M157" s="36"/>
      <c r="N157" s="36"/>
      <c r="O157" s="36"/>
      <c r="P157" s="36"/>
      <c r="Q157" s="36"/>
      <c r="R157" s="36"/>
    </row>
    <row r="158" spans="1:18" x14ac:dyDescent="0.25">
      <c r="A158" s="36"/>
      <c r="B158" s="36"/>
      <c r="C158" s="36"/>
      <c r="D158" s="36"/>
      <c r="E158" s="36"/>
      <c r="F158" s="36"/>
      <c r="G158" s="36"/>
      <c r="H158" s="36"/>
      <c r="I158" s="36"/>
      <c r="J158" s="36"/>
      <c r="K158" s="36"/>
      <c r="L158" s="36"/>
      <c r="M158" s="36"/>
      <c r="N158" s="36"/>
      <c r="O158" s="36"/>
      <c r="P158" s="36"/>
      <c r="Q158" s="36"/>
      <c r="R158" s="36"/>
    </row>
    <row r="159" spans="1:18" x14ac:dyDescent="0.25">
      <c r="A159" s="36"/>
      <c r="B159" s="36"/>
      <c r="C159" s="36"/>
      <c r="D159" s="36"/>
      <c r="E159" s="36"/>
      <c r="F159" s="36"/>
      <c r="G159" s="36"/>
      <c r="H159" s="36"/>
      <c r="I159" s="36"/>
      <c r="J159" s="36"/>
      <c r="K159" s="36"/>
      <c r="L159" s="36"/>
      <c r="M159" s="36"/>
      <c r="N159" s="36"/>
      <c r="O159" s="36"/>
      <c r="P159" s="36"/>
      <c r="Q159" s="36"/>
      <c r="R159" s="36"/>
    </row>
    <row r="160" spans="1:18" x14ac:dyDescent="0.25">
      <c r="A160" s="36"/>
      <c r="B160" s="36"/>
      <c r="C160" s="36"/>
      <c r="D160" s="36"/>
      <c r="E160" s="36"/>
      <c r="F160" s="36"/>
      <c r="G160" s="36"/>
      <c r="H160" s="36"/>
      <c r="I160" s="36"/>
      <c r="J160" s="36"/>
      <c r="K160" s="36"/>
      <c r="L160" s="36"/>
      <c r="M160" s="36"/>
      <c r="N160" s="36"/>
      <c r="O160" s="36"/>
      <c r="P160" s="36"/>
      <c r="Q160" s="36"/>
      <c r="R160" s="36"/>
    </row>
    <row r="161" spans="1:18" x14ac:dyDescent="0.25">
      <c r="A161" s="36"/>
      <c r="B161" s="36"/>
      <c r="C161" s="36"/>
      <c r="D161" s="36"/>
      <c r="E161" s="36"/>
      <c r="F161" s="36"/>
      <c r="G161" s="36"/>
      <c r="H161" s="36"/>
      <c r="I161" s="36"/>
      <c r="J161" s="36"/>
      <c r="K161" s="36"/>
      <c r="L161" s="36"/>
      <c r="M161" s="36"/>
      <c r="N161" s="36"/>
      <c r="O161" s="36"/>
      <c r="P161" s="36"/>
      <c r="Q161" s="36"/>
      <c r="R161" s="36"/>
    </row>
    <row r="162" spans="1:18" x14ac:dyDescent="0.25">
      <c r="A162" s="36"/>
      <c r="B162" s="36"/>
      <c r="C162" s="36"/>
      <c r="D162" s="36"/>
      <c r="E162" s="36"/>
      <c r="F162" s="36"/>
      <c r="G162" s="36"/>
      <c r="H162" s="36"/>
      <c r="I162" s="36"/>
      <c r="J162" s="36"/>
      <c r="K162" s="36"/>
      <c r="L162" s="36"/>
      <c r="M162" s="36"/>
      <c r="N162" s="36"/>
      <c r="O162" s="36"/>
      <c r="P162" s="36"/>
      <c r="Q162" s="36"/>
      <c r="R162" s="36"/>
    </row>
    <row r="163" spans="1:18" x14ac:dyDescent="0.25">
      <c r="A163" s="36"/>
      <c r="B163" s="36"/>
      <c r="C163" s="36"/>
      <c r="D163" s="36"/>
      <c r="E163" s="36"/>
      <c r="F163" s="36"/>
      <c r="G163" s="36"/>
      <c r="H163" s="36"/>
      <c r="I163" s="36"/>
      <c r="J163" s="36"/>
      <c r="K163" s="36"/>
      <c r="L163" s="36"/>
      <c r="M163" s="36"/>
      <c r="N163" s="36"/>
      <c r="O163" s="36"/>
      <c r="P163" s="36"/>
      <c r="Q163" s="36"/>
      <c r="R163" s="36"/>
    </row>
    <row r="164" spans="1:18" x14ac:dyDescent="0.25">
      <c r="A164" s="36"/>
      <c r="B164" s="36"/>
      <c r="C164" s="36"/>
      <c r="D164" s="36"/>
      <c r="E164" s="36"/>
      <c r="F164" s="36"/>
      <c r="G164" s="36"/>
      <c r="H164" s="36"/>
      <c r="I164" s="36"/>
      <c r="J164" s="36"/>
      <c r="K164" s="36"/>
      <c r="L164" s="36"/>
      <c r="M164" s="36"/>
      <c r="N164" s="36"/>
      <c r="O164" s="36"/>
      <c r="P164" s="36"/>
      <c r="Q164" s="36"/>
      <c r="R164" s="36"/>
    </row>
    <row r="165" spans="1:18" x14ac:dyDescent="0.25">
      <c r="A165" s="36"/>
      <c r="B165" s="36"/>
      <c r="C165" s="36"/>
      <c r="D165" s="36"/>
      <c r="E165" s="36"/>
      <c r="F165" s="36"/>
      <c r="G165" s="36"/>
      <c r="H165" s="36"/>
      <c r="I165" s="36"/>
      <c r="J165" s="36"/>
      <c r="K165" s="36"/>
      <c r="L165" s="36"/>
      <c r="M165" s="36"/>
      <c r="N165" s="36"/>
      <c r="O165" s="36"/>
      <c r="P165" s="36"/>
      <c r="Q165" s="36"/>
      <c r="R165" s="36"/>
    </row>
    <row r="166" spans="1:18" x14ac:dyDescent="0.25">
      <c r="A166" s="36"/>
      <c r="B166" s="36"/>
      <c r="C166" s="36"/>
      <c r="D166" s="36"/>
      <c r="E166" s="36"/>
      <c r="F166" s="36"/>
      <c r="G166" s="36"/>
      <c r="H166" s="36"/>
      <c r="I166" s="36"/>
      <c r="J166" s="36"/>
      <c r="K166" s="36"/>
      <c r="L166" s="36"/>
      <c r="M166" s="36"/>
      <c r="N166" s="36"/>
      <c r="O166" s="36"/>
      <c r="P166" s="36"/>
      <c r="Q166" s="36"/>
      <c r="R166" s="36"/>
    </row>
    <row r="167" spans="1:18" x14ac:dyDescent="0.25">
      <c r="A167" s="36"/>
      <c r="B167" s="36"/>
      <c r="C167" s="36"/>
      <c r="D167" s="36"/>
      <c r="E167" s="36"/>
      <c r="F167" s="36"/>
      <c r="G167" s="36"/>
      <c r="H167" s="36"/>
      <c r="I167" s="36"/>
      <c r="J167" s="36"/>
      <c r="K167" s="36"/>
      <c r="L167" s="36"/>
      <c r="M167" s="36"/>
      <c r="N167" s="36"/>
      <c r="O167" s="36"/>
      <c r="P167" s="36"/>
      <c r="Q167" s="36"/>
      <c r="R167" s="36"/>
    </row>
    <row r="168" spans="1:18" x14ac:dyDescent="0.25">
      <c r="A168" s="36"/>
      <c r="B168" s="36"/>
      <c r="C168" s="36"/>
      <c r="D168" s="36"/>
      <c r="E168" s="36"/>
      <c r="F168" s="36"/>
      <c r="G168" s="36"/>
      <c r="H168" s="36"/>
      <c r="I168" s="36"/>
      <c r="J168" s="36"/>
      <c r="K168" s="36"/>
      <c r="L168" s="36"/>
      <c r="M168" s="36"/>
      <c r="N168" s="36"/>
      <c r="O168" s="36"/>
      <c r="P168" s="36"/>
      <c r="Q168" s="36"/>
      <c r="R168" s="36"/>
    </row>
    <row r="169" spans="1:18" x14ac:dyDescent="0.25">
      <c r="A169" s="36"/>
      <c r="B169" s="36"/>
      <c r="C169" s="36"/>
      <c r="D169" s="36"/>
      <c r="E169" s="36"/>
      <c r="F169" s="36"/>
      <c r="G169" s="36"/>
      <c r="H169" s="36"/>
      <c r="I169" s="36"/>
      <c r="J169" s="36"/>
      <c r="K169" s="36"/>
      <c r="L169" s="36"/>
      <c r="M169" s="36"/>
      <c r="N169" s="36"/>
      <c r="O169" s="36"/>
      <c r="P169" s="36"/>
      <c r="Q169" s="36"/>
      <c r="R169" s="36"/>
    </row>
    <row r="170" spans="1:18" x14ac:dyDescent="0.25">
      <c r="A170" s="36"/>
      <c r="B170" s="36"/>
      <c r="C170" s="36"/>
      <c r="D170" s="36"/>
      <c r="E170" s="36"/>
      <c r="F170" s="36"/>
      <c r="G170" s="36"/>
      <c r="H170" s="36"/>
      <c r="I170" s="36"/>
      <c r="J170" s="36"/>
      <c r="K170" s="36"/>
      <c r="L170" s="36"/>
      <c r="M170" s="36"/>
      <c r="N170" s="36"/>
      <c r="O170" s="36"/>
      <c r="P170" s="36"/>
      <c r="Q170" s="36"/>
      <c r="R170" s="36"/>
    </row>
    <row r="171" spans="1:18" x14ac:dyDescent="0.25">
      <c r="P171" s="36"/>
      <c r="Q171" s="36"/>
      <c r="R171" s="36"/>
    </row>
    <row r="172" spans="1:18" x14ac:dyDescent="0.25">
      <c r="P172" s="36"/>
      <c r="Q172" s="36"/>
      <c r="R172" s="36"/>
    </row>
    <row r="173" spans="1:18" x14ac:dyDescent="0.25">
      <c r="P173" s="36"/>
      <c r="Q173" s="36"/>
      <c r="R173" s="36"/>
    </row>
    <row r="174" spans="1:18" x14ac:dyDescent="0.25">
      <c r="P174" s="36"/>
      <c r="Q174" s="36"/>
      <c r="R174" s="36"/>
    </row>
    <row r="175" spans="1:18" x14ac:dyDescent="0.25">
      <c r="P175" s="36"/>
      <c r="Q175" s="36"/>
      <c r="R175" s="36"/>
    </row>
    <row r="176" spans="1:18" x14ac:dyDescent="0.25">
      <c r="P176" s="36"/>
      <c r="Q176" s="36"/>
      <c r="R176" s="36"/>
    </row>
    <row r="177" spans="16:18" x14ac:dyDescent="0.25">
      <c r="P177" s="36"/>
      <c r="Q177" s="36"/>
      <c r="R177" s="36"/>
    </row>
    <row r="178" spans="16:18" x14ac:dyDescent="0.25">
      <c r="P178" s="36"/>
      <c r="Q178" s="36"/>
      <c r="R178" s="36"/>
    </row>
    <row r="179" spans="16:18" x14ac:dyDescent="0.25">
      <c r="P179" s="36"/>
      <c r="Q179" s="36"/>
      <c r="R179" s="36"/>
    </row>
    <row r="180" spans="16:18" x14ac:dyDescent="0.25">
      <c r="P180" s="36"/>
      <c r="Q180" s="36"/>
      <c r="R180" s="36"/>
    </row>
    <row r="181" spans="16:18" x14ac:dyDescent="0.25">
      <c r="P181" s="36"/>
      <c r="Q181" s="36"/>
      <c r="R181" s="36"/>
    </row>
    <row r="182" spans="16:18" x14ac:dyDescent="0.25">
      <c r="P182" s="36"/>
      <c r="Q182" s="36"/>
      <c r="R182" s="36"/>
    </row>
    <row r="183" spans="16:18" x14ac:dyDescent="0.25">
      <c r="P183" s="36"/>
      <c r="Q183" s="36"/>
      <c r="R183" s="36"/>
    </row>
    <row r="184" spans="16:18" x14ac:dyDescent="0.25">
      <c r="P184" s="36"/>
      <c r="Q184" s="36"/>
      <c r="R184" s="36"/>
    </row>
    <row r="185" spans="16:18" x14ac:dyDescent="0.25">
      <c r="P185" s="36"/>
      <c r="Q185" s="36"/>
      <c r="R185" s="36"/>
    </row>
    <row r="186" spans="16:18" x14ac:dyDescent="0.25">
      <c r="P186" s="36"/>
      <c r="Q186" s="36"/>
      <c r="R186" s="36"/>
    </row>
    <row r="187" spans="16:18" x14ac:dyDescent="0.25">
      <c r="P187" s="36"/>
      <c r="Q187" s="36"/>
      <c r="R187" s="36"/>
    </row>
    <row r="188" spans="16:18" x14ac:dyDescent="0.25">
      <c r="P188" s="36"/>
      <c r="Q188" s="36"/>
      <c r="R188" s="36"/>
    </row>
    <row r="189" spans="16:18" x14ac:dyDescent="0.25">
      <c r="P189" s="36"/>
      <c r="Q189" s="36"/>
      <c r="R189" s="36"/>
    </row>
    <row r="190" spans="16:18" x14ac:dyDescent="0.25">
      <c r="P190" s="36"/>
      <c r="Q190" s="36"/>
      <c r="R190" s="36"/>
    </row>
    <row r="191" spans="16:18" x14ac:dyDescent="0.25">
      <c r="P191" s="36"/>
      <c r="Q191" s="36"/>
      <c r="R191" s="36"/>
    </row>
    <row r="192" spans="16:18" x14ac:dyDescent="0.25">
      <c r="P192" s="36"/>
      <c r="Q192" s="36"/>
      <c r="R192" s="36"/>
    </row>
    <row r="193" spans="16:18" x14ac:dyDescent="0.25">
      <c r="P193" s="36"/>
      <c r="Q193" s="36"/>
      <c r="R193" s="36"/>
    </row>
    <row r="194" spans="16:18" x14ac:dyDescent="0.25">
      <c r="P194" s="36"/>
      <c r="Q194" s="36"/>
      <c r="R194" s="36"/>
    </row>
    <row r="195" spans="16:18" x14ac:dyDescent="0.25">
      <c r="P195" s="36"/>
      <c r="Q195" s="36"/>
      <c r="R195" s="36"/>
    </row>
    <row r="196" spans="16:18" x14ac:dyDescent="0.25">
      <c r="P196" s="36"/>
      <c r="Q196" s="36"/>
      <c r="R196" s="36"/>
    </row>
    <row r="197" spans="16:18" x14ac:dyDescent="0.25">
      <c r="P197" s="36"/>
      <c r="Q197" s="36"/>
      <c r="R197" s="36"/>
    </row>
    <row r="198" spans="16:18" x14ac:dyDescent="0.25">
      <c r="P198" s="36"/>
      <c r="Q198" s="36"/>
      <c r="R198" s="36"/>
    </row>
    <row r="199" spans="16:18" x14ac:dyDescent="0.25">
      <c r="P199" s="36"/>
      <c r="Q199" s="36"/>
      <c r="R199" s="36"/>
    </row>
  </sheetData>
  <mergeCells count="15">
    <mergeCell ref="A3:A4"/>
    <mergeCell ref="B3:B4"/>
    <mergeCell ref="C3:C4"/>
    <mergeCell ref="A51:A67"/>
    <mergeCell ref="A5:A11"/>
    <mergeCell ref="A13:A29"/>
    <mergeCell ref="A31:A43"/>
    <mergeCell ref="A45:A49"/>
    <mergeCell ref="I1:L1"/>
    <mergeCell ref="M1:P1"/>
    <mergeCell ref="Q3:Q4"/>
    <mergeCell ref="D3:D4"/>
    <mergeCell ref="I3:L3"/>
    <mergeCell ref="M3:P3"/>
    <mergeCell ref="E3:H3"/>
  </mergeCells>
  <phoneticPr fontId="0" type="noConversion"/>
  <pageMargins left="0.75" right="0.75" top="1" bottom="1" header="0.5" footer="0.5"/>
  <pageSetup paperSize="5" scale="50" orientation="landscape" r:id="rId1"/>
  <headerFooter alignWithMargins="0">
    <oddFooter>&amp;L&amp;"Arial,Italic" 7/02/07&amp;C&amp;"Arial,Italic"&amp;A&amp;R&amp;"Arial,Italic"NJAES Report 2007-1 ©2007
New Jersey Agricultural Experiment Station</oddFooter>
  </headerFooter>
  <ignoredErrors>
    <ignoredError sqref="D67" formula="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S199"/>
  <sheetViews>
    <sheetView topLeftCell="A104" zoomScale="70" zoomScaleNormal="70" workbookViewId="0">
      <selection activeCell="C147" sqref="C147"/>
    </sheetView>
  </sheetViews>
  <sheetFormatPr defaultColWidth="9.109375" defaultRowHeight="13.2" x14ac:dyDescent="0.25"/>
  <cols>
    <col min="1" max="1" width="28.6640625" style="5" customWidth="1"/>
    <col min="2" max="2" width="42.6640625" style="5" customWidth="1"/>
    <col min="3" max="3" width="23.6640625" style="5" customWidth="1"/>
    <col min="4" max="4" width="18.6640625" style="5" customWidth="1"/>
    <col min="5" max="16" width="14.6640625" style="5" customWidth="1"/>
    <col min="17" max="17" width="45.6640625" style="5" customWidth="1"/>
    <col min="18" max="18" width="34.44140625" style="5" customWidth="1"/>
    <col min="19" max="19" width="19.33203125" style="5" customWidth="1"/>
    <col min="20" max="20" width="14" style="5" customWidth="1"/>
    <col min="21" max="16384" width="9.109375" style="5"/>
  </cols>
  <sheetData>
    <row r="1" spans="1:17" ht="15.6" x14ac:dyDescent="0.3">
      <c r="A1" s="407" t="s">
        <v>576</v>
      </c>
      <c r="E1" s="412" t="s">
        <v>433</v>
      </c>
      <c r="I1" s="1195" t="str">
        <f>'Bioenergy Calculator'!B3</f>
        <v>None</v>
      </c>
      <c r="J1" s="1195"/>
      <c r="K1" s="1195"/>
      <c r="L1" s="1196"/>
      <c r="M1" s="1195" t="str">
        <f>'Bioenergy Calculator'!B4</f>
        <v>None</v>
      </c>
      <c r="N1" s="1195"/>
      <c r="O1" s="1195"/>
      <c r="P1" s="1196"/>
    </row>
    <row r="3" spans="1:17" s="6" customFormat="1" ht="24.75" customHeight="1" x14ac:dyDescent="0.25">
      <c r="A3" s="1062" t="s">
        <v>567</v>
      </c>
      <c r="B3" s="1062" t="s">
        <v>506</v>
      </c>
      <c r="C3" s="1062" t="s">
        <v>1035</v>
      </c>
      <c r="D3" s="1062" t="s">
        <v>1051</v>
      </c>
      <c r="E3" s="1083" t="s">
        <v>523</v>
      </c>
      <c r="F3" s="1209"/>
      <c r="G3" s="1209"/>
      <c r="H3" s="1198"/>
      <c r="I3" s="1072" t="s">
        <v>275</v>
      </c>
      <c r="J3" s="1073"/>
      <c r="K3" s="1074"/>
      <c r="L3" s="1075"/>
      <c r="M3" s="1083" t="s">
        <v>274</v>
      </c>
      <c r="N3" s="1084"/>
      <c r="O3" s="1197"/>
      <c r="P3" s="1198"/>
      <c r="Q3" s="1060" t="s">
        <v>570</v>
      </c>
    </row>
    <row r="4" spans="1:17" s="6" customFormat="1" x14ac:dyDescent="0.25">
      <c r="A4" s="1063"/>
      <c r="B4" s="1063"/>
      <c r="C4" s="1063"/>
      <c r="D4" s="1071"/>
      <c r="E4" s="22">
        <v>2010</v>
      </c>
      <c r="F4" s="22">
        <v>2015</v>
      </c>
      <c r="G4" s="22">
        <v>2020</v>
      </c>
      <c r="H4" s="22">
        <v>2025</v>
      </c>
      <c r="I4" s="22">
        <v>2010</v>
      </c>
      <c r="J4" s="22">
        <v>2015</v>
      </c>
      <c r="K4" s="22">
        <v>2020</v>
      </c>
      <c r="L4" s="22">
        <v>2025</v>
      </c>
      <c r="M4" s="22">
        <v>2010</v>
      </c>
      <c r="N4" s="22">
        <v>2015</v>
      </c>
      <c r="O4" s="22">
        <v>2020</v>
      </c>
      <c r="P4" s="22">
        <v>2025</v>
      </c>
      <c r="Q4" s="1061"/>
    </row>
    <row r="5" spans="1:17" x14ac:dyDescent="0.25">
      <c r="A5" s="1064" t="s">
        <v>513</v>
      </c>
      <c r="B5" s="1" t="s">
        <v>511</v>
      </c>
      <c r="C5" s="13"/>
      <c r="D5" s="13"/>
      <c r="E5" s="13"/>
      <c r="F5" s="13"/>
      <c r="G5" s="13"/>
      <c r="H5" s="13"/>
      <c r="I5" s="7"/>
      <c r="J5" s="7"/>
      <c r="K5" s="7"/>
      <c r="L5" s="7"/>
      <c r="M5" s="7"/>
      <c r="N5" s="7"/>
      <c r="O5" s="7"/>
      <c r="P5" s="7"/>
      <c r="Q5" s="7"/>
    </row>
    <row r="6" spans="1:17" x14ac:dyDescent="0.25">
      <c r="A6" s="1064"/>
      <c r="B6" s="11" t="str">
        <f>IF('Prac. Rec. Assumptions'!$B$56='Prac. Rec. Assumptions'!$V$3,A74,IF('Prac. Rec. Assumptions'!B57="No",A74,"Sorghum- Converted to Energy Crop"))</f>
        <v>Sorghum</v>
      </c>
      <c r="C6" s="294">
        <f>IF('Prac. Rec. Assumptions'!$B$56='Prac. Rec. Assumptions'!$V$3,D74,IF('Prac. Rec. Assumptions'!B57="No",D74,0))</f>
        <v>0</v>
      </c>
      <c r="D6" s="294" t="s">
        <v>431</v>
      </c>
      <c r="E6" s="294">
        <f>C6*'Prac. Rec. Assumptions'!B4</f>
        <v>0</v>
      </c>
      <c r="F6" s="294">
        <f>$E6</f>
        <v>0</v>
      </c>
      <c r="G6" s="294">
        <f>$E6</f>
        <v>0</v>
      </c>
      <c r="H6" s="294">
        <f>$E6</f>
        <v>0</v>
      </c>
      <c r="I6" s="16" t="str">
        <f>IF('Conversion Tables'!F7="NA","NA",$D6/'Conversion Tables'!F7)</f>
        <v>NA</v>
      </c>
      <c r="J6" s="16" t="str">
        <f>IF('Conversion Tables'!G7="NA","NA",$D6/'Conversion Tables'!G7)</f>
        <v>NA</v>
      </c>
      <c r="K6" s="16" t="str">
        <f>IF('Conversion Tables'!H7="NA","NA",$D6/'Conversion Tables'!H7)</f>
        <v>NA</v>
      </c>
      <c r="L6" s="16" t="str">
        <f>IF('Conversion Tables'!H7="NA","NA",$D6/'Conversion Tables'!H7)</f>
        <v>NA</v>
      </c>
      <c r="M6" s="16" t="str">
        <f>IF('Conversion Tables'!K7="NA","NA",$C74*'Conversion Tables'!K7)</f>
        <v>NA</v>
      </c>
      <c r="N6" s="16" t="str">
        <f>IF('Conversion Tables'!L7="NA","NA",$C74*'Conversion Tables'!L7)</f>
        <v>NA</v>
      </c>
      <c r="O6" s="16" t="str">
        <f>IF('Conversion Tables'!M7="NA","NA",$C74*'Conversion Tables'!M7)</f>
        <v>NA</v>
      </c>
      <c r="P6" s="16" t="str">
        <f>IF('Conversion Tables'!N7="NA","NA",$C74*'Conversion Tables'!N7)</f>
        <v>NA</v>
      </c>
      <c r="Q6" s="15"/>
    </row>
    <row r="7" spans="1:17" x14ac:dyDescent="0.25">
      <c r="A7" s="1064"/>
      <c r="B7" s="11" t="str">
        <f>IF('Prac. Rec. Assumptions'!$B$56='Prac. Rec. Assumptions'!$V$3,A75,IF('Prac. Rec. Assumptions'!B59="No",A75,"Rye- Converted to Energy Crop"))</f>
        <v>Rye</v>
      </c>
      <c r="C7" s="294">
        <f>IF('Prac. Rec. Assumptions'!$B$56='Prac. Rec. Assumptions'!$V$3,D75,IF('Prac. Rec. Assumptions'!B59="No",D75,0))</f>
        <v>0</v>
      </c>
      <c r="D7" s="294" t="s">
        <v>431</v>
      </c>
      <c r="E7" s="294">
        <f>C7*'Prac. Rec. Assumptions'!B5</f>
        <v>0</v>
      </c>
      <c r="F7" s="294">
        <f t="shared" ref="F7:H10" si="0">$E7</f>
        <v>0</v>
      </c>
      <c r="G7" s="294">
        <f t="shared" si="0"/>
        <v>0</v>
      </c>
      <c r="H7" s="294">
        <f t="shared" si="0"/>
        <v>0</v>
      </c>
      <c r="I7" s="16" t="str">
        <f>IF('Conversion Tables'!F8="NA","NA",$D7/'Conversion Tables'!F8)</f>
        <v>NA</v>
      </c>
      <c r="J7" s="16" t="str">
        <f>IF('Conversion Tables'!G8="NA","NA",$D7/'Conversion Tables'!G8)</f>
        <v>NA</v>
      </c>
      <c r="K7" s="16" t="str">
        <f>IF('Conversion Tables'!H8="NA","NA",$D7/'Conversion Tables'!H8)</f>
        <v>NA</v>
      </c>
      <c r="L7" s="16" t="str">
        <f>IF('Conversion Tables'!H8="NA","NA",$D7/'Conversion Tables'!H8)</f>
        <v>NA</v>
      </c>
      <c r="M7" s="16" t="str">
        <f>IF('Conversion Tables'!K8="NA","NA",$C75*'Conversion Tables'!K8)</f>
        <v>NA</v>
      </c>
      <c r="N7" s="16" t="str">
        <f>IF('Conversion Tables'!L8="NA","NA",$C75*'Conversion Tables'!L8)</f>
        <v>NA</v>
      </c>
      <c r="O7" s="16" t="str">
        <f>IF('Conversion Tables'!M8="NA","NA",$C75*'Conversion Tables'!M8)</f>
        <v>NA</v>
      </c>
      <c r="P7" s="16" t="str">
        <f>IF('Conversion Tables'!N8="NA","NA",$C75*'Conversion Tables'!N8)</f>
        <v>NA</v>
      </c>
      <c r="Q7" s="15"/>
    </row>
    <row r="8" spans="1:17" x14ac:dyDescent="0.25">
      <c r="A8" s="1064"/>
      <c r="B8" s="11" t="str">
        <f>IF('Prac. Rec. Assumptions'!$B$56='Prac. Rec. Assumptions'!$V$3,A76,IF('Prac. Rec. Assumptions'!B60="No",A76,"Corn for Grain- Converted to Energy Crop"))</f>
        <v>Corn for Grain</v>
      </c>
      <c r="C8" s="294">
        <f>IF('Prac. Rec. Assumptions'!$B$56='Prac. Rec. Assumptions'!$V$3,D76,IF('Prac. Rec. Assumptions'!B60="No",D76,0))</f>
        <v>3.5</v>
      </c>
      <c r="D8" s="294" t="s">
        <v>431</v>
      </c>
      <c r="E8" s="294">
        <f>C8*'Prac. Rec. Assumptions'!B6</f>
        <v>0</v>
      </c>
      <c r="F8" s="294">
        <f t="shared" si="0"/>
        <v>0</v>
      </c>
      <c r="G8" s="294">
        <f t="shared" si="0"/>
        <v>0</v>
      </c>
      <c r="H8" s="294">
        <f t="shared" si="0"/>
        <v>0</v>
      </c>
      <c r="I8" s="16" t="str">
        <f>IF('Conversion Tables'!F9="NA","NA",$D8/'Conversion Tables'!F9)</f>
        <v>NA</v>
      </c>
      <c r="J8" s="16" t="str">
        <f>IF('Conversion Tables'!G9="NA","NA",$D8/'Conversion Tables'!G9)</f>
        <v>NA</v>
      </c>
      <c r="K8" s="16" t="str">
        <f>IF('Conversion Tables'!H9="NA","NA",$D8/'Conversion Tables'!H9)</f>
        <v>NA</v>
      </c>
      <c r="L8" s="16" t="str">
        <f>IF('Conversion Tables'!H9="NA","NA",$D8/'Conversion Tables'!H9)</f>
        <v>NA</v>
      </c>
      <c r="M8" s="16" t="str">
        <f>IF('Conversion Tables'!K9="NA","NA",$C76*'Conversion Tables'!K9)</f>
        <v>NA</v>
      </c>
      <c r="N8" s="16" t="str">
        <f>IF('Conversion Tables'!L9="NA","NA",$C76*'Conversion Tables'!L9)</f>
        <v>NA</v>
      </c>
      <c r="O8" s="16" t="str">
        <f>IF('Conversion Tables'!M9="NA","NA",$C76*'Conversion Tables'!M9)</f>
        <v>NA</v>
      </c>
      <c r="P8" s="16" t="str">
        <f>IF('Conversion Tables'!N9="NA","NA",$C76*'Conversion Tables'!N9)</f>
        <v>NA</v>
      </c>
      <c r="Q8" s="15"/>
    </row>
    <row r="9" spans="1:17" x14ac:dyDescent="0.25">
      <c r="A9" s="1064"/>
      <c r="B9" s="11" t="str">
        <f>IF('Prac. Rec. Assumptions'!$B$56='Prac. Rec. Assumptions'!$V$3,A78,IF('Prac. Rec. Assumptions'!B64="No",A78,"Wheat- Converted to Energy Crop"))</f>
        <v>Wheat</v>
      </c>
      <c r="C9" s="294">
        <f>IF('Prac. Rec. Assumptions'!$B$56='Prac. Rec. Assumptions'!$V$3,D78,IF('Prac. Rec. Assumptions'!B64="No",D78,0))</f>
        <v>0</v>
      </c>
      <c r="D9" s="294" t="s">
        <v>431</v>
      </c>
      <c r="E9" s="294">
        <f>C9*'Prac. Rec. Assumptions'!B7</f>
        <v>0</v>
      </c>
      <c r="F9" s="294">
        <f t="shared" si="0"/>
        <v>0</v>
      </c>
      <c r="G9" s="294">
        <f t="shared" si="0"/>
        <v>0</v>
      </c>
      <c r="H9" s="294">
        <f t="shared" si="0"/>
        <v>0</v>
      </c>
      <c r="I9" s="16" t="str">
        <f>IF('Conversion Tables'!F10="NA","NA",$D9/'Conversion Tables'!F10)</f>
        <v>NA</v>
      </c>
      <c r="J9" s="16" t="str">
        <f>IF('Conversion Tables'!G10="NA","NA",$D9/'Conversion Tables'!G10)</f>
        <v>NA</v>
      </c>
      <c r="K9" s="16" t="str">
        <f>IF('Conversion Tables'!H10="NA","NA",$D9/'Conversion Tables'!H10)</f>
        <v>NA</v>
      </c>
      <c r="L9" s="16" t="str">
        <f>IF('Conversion Tables'!H10="NA","NA",$D9/'Conversion Tables'!H10)</f>
        <v>NA</v>
      </c>
      <c r="M9" s="16" t="str">
        <f>IF('Conversion Tables'!K10="NA","NA",$C78*'Conversion Tables'!K10)</f>
        <v>NA</v>
      </c>
      <c r="N9" s="16" t="str">
        <f>IF('Conversion Tables'!L10="NA","NA",$C78*'Conversion Tables'!L10)</f>
        <v>NA</v>
      </c>
      <c r="O9" s="16" t="str">
        <f>IF('Conversion Tables'!M10="NA","NA",$C78*'Conversion Tables'!M10)</f>
        <v>NA</v>
      </c>
      <c r="P9" s="16" t="str">
        <f>IF('Conversion Tables'!N10="NA","NA",$C78*'Conversion Tables'!N10)</f>
        <v>NA</v>
      </c>
      <c r="Q9" s="15"/>
    </row>
    <row r="10" spans="1:17" x14ac:dyDescent="0.25">
      <c r="A10" s="1064"/>
      <c r="B10" s="129" t="s">
        <v>301</v>
      </c>
      <c r="C10" s="294"/>
      <c r="D10" s="294" t="s">
        <v>431</v>
      </c>
      <c r="E10" s="294">
        <f>C10*'Prac. Rec. Assumptions'!B8</f>
        <v>0</v>
      </c>
      <c r="F10" s="294">
        <f t="shared" si="0"/>
        <v>0</v>
      </c>
      <c r="G10" s="294">
        <f t="shared" si="0"/>
        <v>0</v>
      </c>
      <c r="H10" s="294">
        <f t="shared" si="0"/>
        <v>0</v>
      </c>
      <c r="I10" s="16" t="str">
        <f>IF('Conversion Tables'!F11="NA","NA",$D10/'Conversion Tables'!F11)</f>
        <v>NA</v>
      </c>
      <c r="J10" s="16" t="str">
        <f>IF('Conversion Tables'!G11="NA","NA",$D10/'Conversion Tables'!G11)</f>
        <v>NA</v>
      </c>
      <c r="K10" s="16" t="str">
        <f>IF('Conversion Tables'!H11="NA","NA",$D10/'Conversion Tables'!H11)</f>
        <v>NA</v>
      </c>
      <c r="L10" s="16" t="str">
        <f>IF('Conversion Tables'!H11="NA","NA",$D10/'Conversion Tables'!H11)</f>
        <v>NA</v>
      </c>
      <c r="M10" s="16" t="str">
        <f>IF('Conversion Tables'!K11="NA","NA",E10*'Conversion Tables'!K11)</f>
        <v>NA</v>
      </c>
      <c r="N10" s="16" t="str">
        <f>IF('Conversion Tables'!L11="NA","NA",F10*'Conversion Tables'!L11)</f>
        <v>NA</v>
      </c>
      <c r="O10" s="16" t="str">
        <f>IF('Conversion Tables'!M11="NA","NA",G10*'Conversion Tables'!M11)</f>
        <v>NA</v>
      </c>
      <c r="P10" s="16" t="str">
        <f>IF('Conversion Tables'!N11="NA","NA",H10*'Conversion Tables'!N11)</f>
        <v>NA</v>
      </c>
      <c r="Q10" s="7"/>
    </row>
    <row r="11" spans="1:17" x14ac:dyDescent="0.25">
      <c r="A11" s="1065"/>
      <c r="B11" s="9" t="s">
        <v>524</v>
      </c>
      <c r="C11" s="295">
        <f t="shared" ref="C11:P11" si="1">SUM(C5:C10)</f>
        <v>3.5</v>
      </c>
      <c r="D11" s="295">
        <f t="shared" si="1"/>
        <v>0</v>
      </c>
      <c r="E11" s="295">
        <f t="shared" si="1"/>
        <v>0</v>
      </c>
      <c r="F11" s="295">
        <f t="shared" si="1"/>
        <v>0</v>
      </c>
      <c r="G11" s="295">
        <f t="shared" si="1"/>
        <v>0</v>
      </c>
      <c r="H11" s="295">
        <f t="shared" si="1"/>
        <v>0</v>
      </c>
      <c r="I11" s="19">
        <f t="shared" si="1"/>
        <v>0</v>
      </c>
      <c r="J11" s="19">
        <f t="shared" si="1"/>
        <v>0</v>
      </c>
      <c r="K11" s="19">
        <f t="shared" si="1"/>
        <v>0</v>
      </c>
      <c r="L11" s="19">
        <f t="shared" si="1"/>
        <v>0</v>
      </c>
      <c r="M11" s="19">
        <f t="shared" si="1"/>
        <v>0</v>
      </c>
      <c r="N11" s="19">
        <f t="shared" si="1"/>
        <v>0</v>
      </c>
      <c r="O11" s="19">
        <f t="shared" si="1"/>
        <v>0</v>
      </c>
      <c r="P11" s="19">
        <f t="shared" si="1"/>
        <v>0</v>
      </c>
      <c r="Q11" s="19"/>
    </row>
    <row r="12" spans="1:17" x14ac:dyDescent="0.25">
      <c r="A12" s="8"/>
      <c r="C12" s="296"/>
      <c r="D12" s="296"/>
      <c r="E12" s="296"/>
      <c r="F12" s="296"/>
      <c r="G12" s="296"/>
      <c r="H12" s="296"/>
      <c r="I12" s="28"/>
      <c r="J12" s="28"/>
      <c r="K12" s="28"/>
      <c r="L12" s="28"/>
      <c r="M12" s="28"/>
      <c r="N12" s="28"/>
      <c r="O12" s="28"/>
      <c r="P12" s="28"/>
    </row>
    <row r="13" spans="1:17" x14ac:dyDescent="0.25">
      <c r="A13" s="1206" t="s">
        <v>514</v>
      </c>
      <c r="B13" s="1" t="s">
        <v>507</v>
      </c>
      <c r="C13" s="294">
        <f>D90</f>
        <v>0</v>
      </c>
      <c r="D13" s="294">
        <f>E13*'Conversion Tables'!C12</f>
        <v>0</v>
      </c>
      <c r="E13" s="294">
        <f>C13*'Prac. Rec. Assumptions'!B9</f>
        <v>0</v>
      </c>
      <c r="F13" s="294">
        <f>$E13</f>
        <v>0</v>
      </c>
      <c r="G13" s="294">
        <f>$E13</f>
        <v>0</v>
      </c>
      <c r="H13" s="294">
        <f>$E13</f>
        <v>0</v>
      </c>
      <c r="I13" s="16" t="str">
        <f>IF('Conversion Tables'!F12="NA","NA",(E13*'Conversion Tables'!$C12)/'Conversion Tables'!F12)</f>
        <v>NA</v>
      </c>
      <c r="J13" s="16" t="str">
        <f>IF('Conversion Tables'!G12="NA","NA",(F13*'Conversion Tables'!$C12)/'Conversion Tables'!G12)</f>
        <v>NA</v>
      </c>
      <c r="K13" s="16" t="str">
        <f>IF('Conversion Tables'!H12="NA","NA",(G13*'Conversion Tables'!$C12)/'Conversion Tables'!H12)</f>
        <v>NA</v>
      </c>
      <c r="L13" s="16" t="str">
        <f>IF('Conversion Tables'!I12="NA","NA",(H13*'Conversion Tables'!$C12)/'Conversion Tables'!I12)</f>
        <v>NA</v>
      </c>
      <c r="M13" s="16" t="str">
        <f>IF('Conversion Tables'!K12="NA","NA",E13*'Conversion Tables'!K12)</f>
        <v>NA</v>
      </c>
      <c r="N13" s="16" t="str">
        <f>IF('Conversion Tables'!L12="NA","NA",F13*'Conversion Tables'!L12)</f>
        <v>NA</v>
      </c>
      <c r="O13" s="16" t="str">
        <f>IF('Conversion Tables'!M12="NA","NA",G13*'Conversion Tables'!M12)</f>
        <v>NA</v>
      </c>
      <c r="P13" s="16" t="str">
        <f>IF('Conversion Tables'!N12="NA","NA",H13*'Conversion Tables'!N12)</f>
        <v>NA</v>
      </c>
      <c r="Q13" s="7"/>
    </row>
    <row r="14" spans="1:17" x14ac:dyDescent="0.25">
      <c r="A14" s="1207"/>
      <c r="B14" s="1" t="s">
        <v>504</v>
      </c>
      <c r="C14" s="294"/>
      <c r="D14" s="294"/>
      <c r="E14" s="294"/>
      <c r="F14" s="294"/>
      <c r="G14" s="294"/>
      <c r="H14" s="294"/>
      <c r="I14" s="16"/>
      <c r="J14" s="16"/>
      <c r="K14" s="16"/>
      <c r="L14" s="16"/>
      <c r="M14" s="16"/>
      <c r="N14" s="16"/>
      <c r="O14" s="16"/>
      <c r="P14" s="16"/>
      <c r="Q14" s="7"/>
    </row>
    <row r="15" spans="1:17" x14ac:dyDescent="0.25">
      <c r="A15" s="1207"/>
      <c r="B15" s="11" t="str">
        <f>IF('Prac. Rec. Assumptions'!$B$56='Prac. Rec. Assumptions'!$V$3,A81,IF('Prac. Rec. Assumptions'!B57="No",A81,"Sweet Corn- Converted to Energy Crop"))</f>
        <v>Sweet Corn</v>
      </c>
      <c r="C15" s="294">
        <f>IF('Prac. Rec. Assumptions'!$B$56='Prac. Rec. Assumptions'!$V$3,D81,IF('Prac. Rec. Assumptions'!B58="No",D81,0))</f>
        <v>15.299999999999999</v>
      </c>
      <c r="D15" s="294">
        <f>E15*'Conversion Tables'!C14</f>
        <v>192.55967999999999</v>
      </c>
      <c r="E15" s="294">
        <f>C15*'Prac. Rec. Assumptions'!B11</f>
        <v>12.24</v>
      </c>
      <c r="F15" s="294">
        <f>$E15</f>
        <v>12.24</v>
      </c>
      <c r="G15" s="294">
        <f>$E15</f>
        <v>12.24</v>
      </c>
      <c r="H15" s="294">
        <f>$E15</f>
        <v>12.24</v>
      </c>
      <c r="I15" s="16" t="str">
        <f>IF('Conversion Tables'!F14="NA","NA",(E15*'Conversion Tables'!$C14)/'Conversion Tables'!F14)</f>
        <v>NA</v>
      </c>
      <c r="J15" s="16" t="str">
        <f>IF('Conversion Tables'!G14="NA","NA",(F15*'Conversion Tables'!$C14)/'Conversion Tables'!G14)</f>
        <v>NA</v>
      </c>
      <c r="K15" s="16" t="str">
        <f>IF('Conversion Tables'!H14="NA","NA",(G15*'Conversion Tables'!$C14)/'Conversion Tables'!H14)</f>
        <v>NA</v>
      </c>
      <c r="L15" s="16" t="str">
        <f>IF('Conversion Tables'!I14="NA","NA",(H15*'Conversion Tables'!$C14)/'Conversion Tables'!I14)</f>
        <v>NA</v>
      </c>
      <c r="M15" s="16" t="str">
        <f>IF('Conversion Tables'!K14="NA","NA",E15*'Conversion Tables'!K14)</f>
        <v>NA</v>
      </c>
      <c r="N15" s="16" t="str">
        <f>IF('Conversion Tables'!L14="NA","NA",F15*'Conversion Tables'!L14)</f>
        <v>NA</v>
      </c>
      <c r="O15" s="16" t="str">
        <f>IF('Conversion Tables'!M14="NA","NA",G15*'Conversion Tables'!M14)</f>
        <v>NA</v>
      </c>
      <c r="P15" s="16" t="str">
        <f>IF('Conversion Tables'!N14="NA","NA",H15*'Conversion Tables'!N14)</f>
        <v>NA</v>
      </c>
      <c r="Q15" s="15"/>
    </row>
    <row r="16" spans="1:17" x14ac:dyDescent="0.25">
      <c r="A16" s="1207"/>
      <c r="B16" s="11" t="str">
        <f>IF('Prac. Rec. Assumptions'!$B$56='Prac. Rec. Assumptions'!$V$3,A82,IF('Prac. Rec. Assumptions'!B58="No",A82,"Rye- Converted to Energy Crop"))</f>
        <v>Rye</v>
      </c>
      <c r="C16" s="294">
        <f>IF('Prac. Rec. Assumptions'!$B$56='Prac. Rec. Assumptions'!$V$3,D82,IF('Prac. Rec. Assumptions'!B59="No",D82,0))</f>
        <v>1.9124999999999999</v>
      </c>
      <c r="D16" s="294">
        <f>E16*'Conversion Tables'!C15</f>
        <v>0</v>
      </c>
      <c r="E16" s="294">
        <f>C16*'Prac. Rec. Assumptions'!B12</f>
        <v>0</v>
      </c>
      <c r="F16" s="294">
        <f t="shared" ref="F16:H23" si="2">$E16</f>
        <v>0</v>
      </c>
      <c r="G16" s="294">
        <f t="shared" si="2"/>
        <v>0</v>
      </c>
      <c r="H16" s="294">
        <f t="shared" si="2"/>
        <v>0</v>
      </c>
      <c r="I16" s="16" t="str">
        <f>IF('Conversion Tables'!F15="NA","NA",(E16*'Conversion Tables'!$C15)/'Conversion Tables'!F15)</f>
        <v>NA</v>
      </c>
      <c r="J16" s="16" t="str">
        <f>IF('Conversion Tables'!G15="NA","NA",(F16*'Conversion Tables'!$C15)/'Conversion Tables'!G15)</f>
        <v>NA</v>
      </c>
      <c r="K16" s="16" t="str">
        <f>IF('Conversion Tables'!H15="NA","NA",(G16*'Conversion Tables'!$C15)/'Conversion Tables'!H15)</f>
        <v>NA</v>
      </c>
      <c r="L16" s="16" t="str">
        <f>IF('Conversion Tables'!I15="NA","NA",(H16*'Conversion Tables'!$C15)/'Conversion Tables'!I15)</f>
        <v>NA</v>
      </c>
      <c r="M16" s="16" t="str">
        <f>IF('Conversion Tables'!K15="NA","NA",E16*'Conversion Tables'!K15)</f>
        <v>NA</v>
      </c>
      <c r="N16" s="16" t="str">
        <f>IF('Conversion Tables'!L15="NA","NA",F16*'Conversion Tables'!L15)</f>
        <v>NA</v>
      </c>
      <c r="O16" s="16" t="str">
        <f>IF('Conversion Tables'!M15="NA","NA",G16*'Conversion Tables'!M15)</f>
        <v>NA</v>
      </c>
      <c r="P16" s="16" t="str">
        <f>IF('Conversion Tables'!N15="NA","NA",H16*'Conversion Tables'!N15)</f>
        <v>NA</v>
      </c>
      <c r="Q16" s="15"/>
    </row>
    <row r="17" spans="1:17" x14ac:dyDescent="0.25">
      <c r="A17" s="1207"/>
      <c r="B17" s="11" t="str">
        <f>IF('Prac. Rec. Assumptions'!$B$56='Prac. Rec. Assumptions'!$V$3,A83,IF('Prac. Rec. Assumptions'!B59="No",A83,"Corn for Grain- Converted to Energy Crop"))</f>
        <v>Corn for Grain</v>
      </c>
      <c r="C17" s="294">
        <f>IF('Prac. Rec. Assumptions'!$B$56='Prac. Rec. Assumptions'!$V$3,D83,IF('Prac. Rec. Assumptions'!B60="No",D83,0))</f>
        <v>0</v>
      </c>
      <c r="D17" s="294">
        <f>E17*'Conversion Tables'!C16</f>
        <v>0</v>
      </c>
      <c r="E17" s="294">
        <f>C17*'Prac. Rec. Assumptions'!B13</f>
        <v>0</v>
      </c>
      <c r="F17" s="294">
        <f t="shared" si="2"/>
        <v>0</v>
      </c>
      <c r="G17" s="294">
        <f t="shared" si="2"/>
        <v>0</v>
      </c>
      <c r="H17" s="294">
        <f t="shared" si="2"/>
        <v>0</v>
      </c>
      <c r="I17" s="16" t="str">
        <f>IF('Conversion Tables'!F16="NA","NA",(E17*'Conversion Tables'!$C16)/'Conversion Tables'!F16)</f>
        <v>NA</v>
      </c>
      <c r="J17" s="16" t="str">
        <f>IF('Conversion Tables'!G16="NA","NA",(F17*'Conversion Tables'!$C16)/'Conversion Tables'!G16)</f>
        <v>NA</v>
      </c>
      <c r="K17" s="16" t="str">
        <f>IF('Conversion Tables'!H16="NA","NA",(G17*'Conversion Tables'!$C16)/'Conversion Tables'!H16)</f>
        <v>NA</v>
      </c>
      <c r="L17" s="16" t="str">
        <f>IF('Conversion Tables'!I16="NA","NA",(H17*'Conversion Tables'!$C16)/'Conversion Tables'!I16)</f>
        <v>NA</v>
      </c>
      <c r="M17" s="16" t="str">
        <f>IF('Conversion Tables'!K16="NA","NA",E17*'Conversion Tables'!K16)</f>
        <v>NA</v>
      </c>
      <c r="N17" s="16" t="str">
        <f>IF('Conversion Tables'!L16="NA","NA",F17*'Conversion Tables'!L16)</f>
        <v>NA</v>
      </c>
      <c r="O17" s="16" t="str">
        <f>IF('Conversion Tables'!M16="NA","NA",G17*'Conversion Tables'!M16)</f>
        <v>NA</v>
      </c>
      <c r="P17" s="16" t="str">
        <f>IF('Conversion Tables'!N16="NA","NA",H17*'Conversion Tables'!N16)</f>
        <v>NA</v>
      </c>
      <c r="Q17" s="15"/>
    </row>
    <row r="18" spans="1:17" x14ac:dyDescent="0.25">
      <c r="A18" s="1207"/>
      <c r="B18" s="11" t="str">
        <f>IF('Prac. Rec. Assumptions'!$B$56='Prac. Rec. Assumptions'!$V$3,A84,IF('Prac. Rec. Assumptions'!B60="No",A84,"Corn for Silage- Converted to Energy Crop"))</f>
        <v>Corn for Silage</v>
      </c>
      <c r="C18" s="294">
        <f>IF('Prac. Rec. Assumptions'!$B$56='Prac. Rec. Assumptions'!$V$3,D84,IF('Prac. Rec. Assumptions'!B61="No",D84,0))</f>
        <v>0</v>
      </c>
      <c r="D18" s="294">
        <f>E18*'Conversion Tables'!C17</f>
        <v>0</v>
      </c>
      <c r="E18" s="294">
        <f>C18*'Prac. Rec. Assumptions'!B14</f>
        <v>0</v>
      </c>
      <c r="F18" s="294">
        <f t="shared" si="2"/>
        <v>0</v>
      </c>
      <c r="G18" s="294">
        <f t="shared" si="2"/>
        <v>0</v>
      </c>
      <c r="H18" s="294">
        <f t="shared" si="2"/>
        <v>0</v>
      </c>
      <c r="I18" s="16" t="str">
        <f>IF('Conversion Tables'!F17="NA","NA",(E18*'Conversion Tables'!$C17)/'Conversion Tables'!F17)</f>
        <v>NA</v>
      </c>
      <c r="J18" s="16" t="str">
        <f>IF('Conversion Tables'!G17="NA","NA",(F18*'Conversion Tables'!$C17)/'Conversion Tables'!G17)</f>
        <v>NA</v>
      </c>
      <c r="K18" s="16" t="str">
        <f>IF('Conversion Tables'!H17="NA","NA",(G18*'Conversion Tables'!$C17)/'Conversion Tables'!H17)</f>
        <v>NA</v>
      </c>
      <c r="L18" s="16" t="str">
        <f>IF('Conversion Tables'!I17="NA","NA",(H18*'Conversion Tables'!$C17)/'Conversion Tables'!I17)</f>
        <v>NA</v>
      </c>
      <c r="M18" s="16" t="str">
        <f>IF('Conversion Tables'!K17="NA","NA",E18*'Conversion Tables'!K17)</f>
        <v>NA</v>
      </c>
      <c r="N18" s="16" t="str">
        <f>IF('Conversion Tables'!L17="NA","NA",F18*'Conversion Tables'!L17)</f>
        <v>NA</v>
      </c>
      <c r="O18" s="16" t="str">
        <f>IF('Conversion Tables'!M17="NA","NA",G18*'Conversion Tables'!M17)</f>
        <v>NA</v>
      </c>
      <c r="P18" s="16" t="str">
        <f>IF('Conversion Tables'!N17="NA","NA",H18*'Conversion Tables'!N17)</f>
        <v>NA</v>
      </c>
      <c r="Q18" s="15"/>
    </row>
    <row r="19" spans="1:17" x14ac:dyDescent="0.25">
      <c r="A19" s="1207"/>
      <c r="B19" s="11" t="str">
        <f>IF('Prac. Rec. Assumptions'!$B$56='Prac. Rec. Assumptions'!$V$3,A85,IF('Prac. Rec. Assumptions'!B61="No",A85,"Alfalfa Hay- Converted to Energy Crop"))</f>
        <v>Alfalfa Hay</v>
      </c>
      <c r="C19" s="294">
        <f>IF('Prac. Rec. Assumptions'!$B$56='Prac. Rec. Assumptions'!$V$3,D85,IF('Prac. Rec. Assumptions'!B62="No",D85,0))</f>
        <v>19.040000000000003</v>
      </c>
      <c r="D19" s="294">
        <f>E19*'Conversion Tables'!C18</f>
        <v>0</v>
      </c>
      <c r="E19" s="294">
        <f>C19*'Prac. Rec. Assumptions'!B15</f>
        <v>0</v>
      </c>
      <c r="F19" s="294">
        <f t="shared" si="2"/>
        <v>0</v>
      </c>
      <c r="G19" s="294">
        <f t="shared" si="2"/>
        <v>0</v>
      </c>
      <c r="H19" s="294">
        <f t="shared" si="2"/>
        <v>0</v>
      </c>
      <c r="I19" s="16" t="str">
        <f>IF('Conversion Tables'!F18="NA","NA",(E19*'Conversion Tables'!$C18)/'Conversion Tables'!F18)</f>
        <v>NA</v>
      </c>
      <c r="J19" s="16" t="str">
        <f>IF('Conversion Tables'!G18="NA","NA",(F19*'Conversion Tables'!$C18)/'Conversion Tables'!G18)</f>
        <v>NA</v>
      </c>
      <c r="K19" s="16" t="str">
        <f>IF('Conversion Tables'!H18="NA","NA",(G19*'Conversion Tables'!$C18)/'Conversion Tables'!H18)</f>
        <v>NA</v>
      </c>
      <c r="L19" s="16" t="str">
        <f>IF('Conversion Tables'!I18="NA","NA",(H19*'Conversion Tables'!$C18)/'Conversion Tables'!I18)</f>
        <v>NA</v>
      </c>
      <c r="M19" s="16" t="str">
        <f>IF('Conversion Tables'!K18="NA","NA",E19*'Conversion Tables'!K18)</f>
        <v>NA</v>
      </c>
      <c r="N19" s="16" t="str">
        <f>IF('Conversion Tables'!L18="NA","NA",F19*'Conversion Tables'!L18)</f>
        <v>NA</v>
      </c>
      <c r="O19" s="16" t="str">
        <f>IF('Conversion Tables'!M18="NA","NA",G19*'Conversion Tables'!M18)</f>
        <v>NA</v>
      </c>
      <c r="P19" s="16" t="str">
        <f>IF('Conversion Tables'!N18="NA","NA",H19*'Conversion Tables'!N18)</f>
        <v>NA</v>
      </c>
      <c r="Q19" s="15"/>
    </row>
    <row r="20" spans="1:17" x14ac:dyDescent="0.25">
      <c r="A20" s="1207"/>
      <c r="B20" s="11" t="str">
        <f>IF('Prac. Rec. Assumptions'!$B$56='Prac. Rec. Assumptions'!$V$3,A86,IF('Prac. Rec. Assumptions'!B62="No",A86,"Other Hay- Converted to Energy Crop"))</f>
        <v>Other Hay</v>
      </c>
      <c r="C20" s="294">
        <f>IF('Prac. Rec. Assumptions'!$B$56='Prac. Rec. Assumptions'!$V$3,D86,IF('Prac. Rec. Assumptions'!B63="No",D86,0))</f>
        <v>52.019999999999996</v>
      </c>
      <c r="D20" s="294">
        <f>E20*'Conversion Tables'!C19</f>
        <v>405.75599999999997</v>
      </c>
      <c r="E20" s="294">
        <f>C20*'Prac. Rec. Assumptions'!B16</f>
        <v>26.009999999999998</v>
      </c>
      <c r="F20" s="294">
        <f t="shared" si="2"/>
        <v>26.009999999999998</v>
      </c>
      <c r="G20" s="294">
        <f t="shared" si="2"/>
        <v>26.009999999999998</v>
      </c>
      <c r="H20" s="294">
        <f t="shared" si="2"/>
        <v>26.009999999999998</v>
      </c>
      <c r="I20" s="16" t="str">
        <f>IF('Conversion Tables'!F19="NA","NA",(E20*'Conversion Tables'!$C19)/'Conversion Tables'!F19)</f>
        <v>NA</v>
      </c>
      <c r="J20" s="16" t="str">
        <f>IF('Conversion Tables'!G19="NA","NA",(F20*'Conversion Tables'!$C19)/'Conversion Tables'!G19)</f>
        <v>NA</v>
      </c>
      <c r="K20" s="16" t="str">
        <f>IF('Conversion Tables'!H19="NA","NA",(G20*'Conversion Tables'!$C19)/'Conversion Tables'!H19)</f>
        <v>NA</v>
      </c>
      <c r="L20" s="16" t="str">
        <f>IF('Conversion Tables'!I19="NA","NA",(H20*'Conversion Tables'!$C19)/'Conversion Tables'!I19)</f>
        <v>NA</v>
      </c>
      <c r="M20" s="16" t="str">
        <f>IF('Conversion Tables'!K19="NA","NA",E20*'Conversion Tables'!K19)</f>
        <v>NA</v>
      </c>
      <c r="N20" s="16" t="str">
        <f>IF('Conversion Tables'!L19="NA","NA",F20*'Conversion Tables'!L19)</f>
        <v>NA</v>
      </c>
      <c r="O20" s="16" t="str">
        <f>IF('Conversion Tables'!M19="NA","NA",G20*'Conversion Tables'!M19)</f>
        <v>NA</v>
      </c>
      <c r="P20" s="16" t="str">
        <f>IF('Conversion Tables'!N19="NA","NA",H20*'Conversion Tables'!N19)</f>
        <v>NA</v>
      </c>
      <c r="Q20" s="15"/>
    </row>
    <row r="21" spans="1:17" x14ac:dyDescent="0.25">
      <c r="A21" s="1207"/>
      <c r="B21" s="11" t="str">
        <f>IF('Prac. Rec. Assumptions'!$B$56='Prac. Rec. Assumptions'!$V$3,A87,IF('Prac. Rec. Assumptions'!B63="No",A87,"Wheat- Converted to Energy Crop"))</f>
        <v>Wheat</v>
      </c>
      <c r="C21" s="294">
        <f>IF('Prac. Rec. Assumptions'!$B$56='Prac. Rec. Assumptions'!$V$3,D87,IF('Prac. Rec. Assumptions'!B64="No",D87,0))</f>
        <v>0</v>
      </c>
      <c r="D21" s="294">
        <f>E21*'Conversion Tables'!C20</f>
        <v>0</v>
      </c>
      <c r="E21" s="294">
        <f>C21*'Prac. Rec. Assumptions'!B17</f>
        <v>0</v>
      </c>
      <c r="F21" s="294">
        <f t="shared" si="2"/>
        <v>0</v>
      </c>
      <c r="G21" s="294">
        <f t="shared" si="2"/>
        <v>0</v>
      </c>
      <c r="H21" s="294">
        <f t="shared" si="2"/>
        <v>0</v>
      </c>
      <c r="I21" s="16" t="str">
        <f>IF('Conversion Tables'!F20="NA","NA",(E21*'Conversion Tables'!$C20)/'Conversion Tables'!F20)</f>
        <v>NA</v>
      </c>
      <c r="J21" s="16" t="str">
        <f>IF('Conversion Tables'!G20="NA","NA",(F21*'Conversion Tables'!$C20)/'Conversion Tables'!G20)</f>
        <v>NA</v>
      </c>
      <c r="K21" s="16" t="str">
        <f>IF('Conversion Tables'!H20="NA","NA",(G21*'Conversion Tables'!$C20)/'Conversion Tables'!H20)</f>
        <v>NA</v>
      </c>
      <c r="L21" s="16" t="str">
        <f>IF('Conversion Tables'!I20="NA","NA",(H21*'Conversion Tables'!$C20)/'Conversion Tables'!I20)</f>
        <v>NA</v>
      </c>
      <c r="M21" s="16" t="str">
        <f>IF('Conversion Tables'!K20="NA","NA",E21*'Conversion Tables'!K20)</f>
        <v>NA</v>
      </c>
      <c r="N21" s="16" t="str">
        <f>IF('Conversion Tables'!L20="NA","NA",F21*'Conversion Tables'!L20)</f>
        <v>NA</v>
      </c>
      <c r="O21" s="16" t="str">
        <f>IF('Conversion Tables'!M20="NA","NA",G21*'Conversion Tables'!M20)</f>
        <v>NA</v>
      </c>
      <c r="P21" s="16" t="str">
        <f>IF('Conversion Tables'!N20="NA","NA",H21*'Conversion Tables'!N20)</f>
        <v>NA</v>
      </c>
      <c r="Q21" s="15"/>
    </row>
    <row r="22" spans="1:17" x14ac:dyDescent="0.25">
      <c r="A22" s="1207"/>
      <c r="B22" s="148" t="s">
        <v>205</v>
      </c>
      <c r="C22" s="294">
        <f>'Biomass Data Assumptions'!P22*1000*'Energy Content Assumptions'!C18</f>
        <v>35198</v>
      </c>
      <c r="D22" s="294">
        <f>E22*'Conversion Tables'!C21</f>
        <v>274544.39999999997</v>
      </c>
      <c r="E22" s="294">
        <f>C22*'Prac. Rec. Assumptions'!B18</f>
        <v>17599</v>
      </c>
      <c r="F22" s="294">
        <f t="shared" si="2"/>
        <v>17599</v>
      </c>
      <c r="G22" s="294">
        <f t="shared" si="2"/>
        <v>17599</v>
      </c>
      <c r="H22" s="294">
        <f t="shared" si="2"/>
        <v>17599</v>
      </c>
      <c r="I22" s="16" t="str">
        <f>IF('Conversion Tables'!F21="NA","NA",(E22*'Conversion Tables'!$C21)/'Conversion Tables'!F21)</f>
        <v>NA</v>
      </c>
      <c r="J22" s="16" t="str">
        <f>IF('Conversion Tables'!G21="NA","NA",(F22*'Conversion Tables'!$C21)/'Conversion Tables'!G21)</f>
        <v>NA</v>
      </c>
      <c r="K22" s="16" t="str">
        <f>IF('Conversion Tables'!H21="NA","NA",(G22*'Conversion Tables'!$C21)/'Conversion Tables'!H21)</f>
        <v>NA</v>
      </c>
      <c r="L22" s="16" t="str">
        <f>IF('Conversion Tables'!I21="NA","NA",(H22*'Conversion Tables'!$C21)/'Conversion Tables'!I21)</f>
        <v>NA</v>
      </c>
      <c r="M22" s="16" t="str">
        <f>IF('Conversion Tables'!K21="NA","NA",E22*'Conversion Tables'!K21)</f>
        <v>NA</v>
      </c>
      <c r="N22" s="16" t="str">
        <f>IF('Conversion Tables'!L21="NA","NA",F22*'Conversion Tables'!L21)</f>
        <v>NA</v>
      </c>
      <c r="O22" s="16" t="str">
        <f>IF('Conversion Tables'!M21="NA","NA",G22*'Conversion Tables'!M21)</f>
        <v>NA</v>
      </c>
      <c r="P22" s="16" t="str">
        <f>IF('Conversion Tables'!N21="NA","NA",H22*'Conversion Tables'!N21)</f>
        <v>NA</v>
      </c>
      <c r="Q22" s="15"/>
    </row>
    <row r="23" spans="1:17" x14ac:dyDescent="0.25">
      <c r="A23" s="1207"/>
      <c r="B23" s="2" t="s">
        <v>302</v>
      </c>
      <c r="C23" s="294">
        <f>B133</f>
        <v>206.74</v>
      </c>
      <c r="D23" s="294">
        <f>E23*'Conversion Tables'!C22</f>
        <v>3377.3046399999998</v>
      </c>
      <c r="E23" s="294">
        <f>C23*'Prac. Rec. Assumptions'!B19</f>
        <v>206.74</v>
      </c>
      <c r="F23" s="297">
        <f t="shared" si="2"/>
        <v>206.74</v>
      </c>
      <c r="G23" s="297">
        <f t="shared" si="2"/>
        <v>206.74</v>
      </c>
      <c r="H23" s="297">
        <f t="shared" si="2"/>
        <v>206.74</v>
      </c>
      <c r="I23" s="16" t="str">
        <f>IF('Conversion Tables'!F22="NA","NA",(E23*'Conversion Tables'!$C22)/'Conversion Tables'!F22)</f>
        <v>NA</v>
      </c>
      <c r="J23" s="16" t="str">
        <f>IF('Conversion Tables'!G22="NA","NA",(F23*'Conversion Tables'!$C22)/'Conversion Tables'!G22)</f>
        <v>NA</v>
      </c>
      <c r="K23" s="16" t="str">
        <f>IF('Conversion Tables'!H22="NA","NA",(G23*'Conversion Tables'!$C22)/'Conversion Tables'!H22)</f>
        <v>NA</v>
      </c>
      <c r="L23" s="16" t="str">
        <f>IF('Conversion Tables'!I22="NA","NA",(H23*'Conversion Tables'!$C22)/'Conversion Tables'!I22)</f>
        <v>NA</v>
      </c>
      <c r="M23" s="16" t="str">
        <f>IF('Conversion Tables'!K22="NA","NA",E23*'Conversion Tables'!K22)</f>
        <v>NA</v>
      </c>
      <c r="N23" s="16" t="str">
        <f>IF('Conversion Tables'!L22="NA","NA",F23*'Conversion Tables'!L22)</f>
        <v>NA</v>
      </c>
      <c r="O23" s="16" t="str">
        <f>IF('Conversion Tables'!M22="NA","NA",G23*'Conversion Tables'!M22)</f>
        <v>NA</v>
      </c>
      <c r="P23" s="16" t="str">
        <f>IF('Conversion Tables'!N22="NA","NA",H23*'Conversion Tables'!N22)</f>
        <v>NA</v>
      </c>
      <c r="Q23" s="7"/>
    </row>
    <row r="24" spans="1:17" x14ac:dyDescent="0.25">
      <c r="A24" s="1207"/>
      <c r="B24" s="1" t="s">
        <v>518</v>
      </c>
      <c r="C24" s="294"/>
      <c r="D24" s="294"/>
      <c r="E24" s="294"/>
      <c r="F24" s="294"/>
      <c r="G24" s="294"/>
      <c r="H24" s="294"/>
      <c r="I24" s="16"/>
      <c r="J24" s="16"/>
      <c r="K24" s="16"/>
      <c r="L24" s="16"/>
      <c r="M24" s="16"/>
      <c r="N24" s="16"/>
      <c r="O24" s="16"/>
      <c r="P24" s="16"/>
      <c r="Q24" s="7"/>
    </row>
    <row r="25" spans="1:17" x14ac:dyDescent="0.25">
      <c r="A25" s="1207"/>
      <c r="B25" s="11" t="s">
        <v>559</v>
      </c>
      <c r="C25" s="294">
        <f>C128</f>
        <v>8908.59</v>
      </c>
      <c r="D25" s="294">
        <f>E25*'Conversion Tables'!C24</f>
        <v>157682.04300000001</v>
      </c>
      <c r="E25" s="294">
        <f>C25*'Prac. Rec. Assumptions'!B21</f>
        <v>8908.59</v>
      </c>
      <c r="F25" s="294">
        <f>($C25*(1+'Biomass Data Assumptions'!G$107))*'Prac. Rec. Assumptions'!$B21</f>
        <v>8928.6543918918924</v>
      </c>
      <c r="G25" s="294">
        <f>($C25*(1+'Biomass Data Assumptions'!H$107))*'Prac. Rec. Assumptions'!$B21</f>
        <v>8950.5428194103188</v>
      </c>
      <c r="H25" s="294">
        <f>($C25*(1+'Biomass Data Assumptions'!I$107))*'Prac. Rec. Assumptions'!$B21</f>
        <v>8985.1994963144953</v>
      </c>
      <c r="I25" s="16" t="str">
        <f>IF('Conversion Tables'!F24="NA","NA",(E25*'Conversion Tables'!$C24)/'Conversion Tables'!F24)</f>
        <v>NA</v>
      </c>
      <c r="J25" s="16" t="str">
        <f>IF('Conversion Tables'!G24="NA","NA",(F25*'Conversion Tables'!$C24)/'Conversion Tables'!G24)</f>
        <v>NA</v>
      </c>
      <c r="K25" s="16" t="str">
        <f>IF('Conversion Tables'!H24="NA","NA",(G25*'Conversion Tables'!$C24)/'Conversion Tables'!H24)</f>
        <v>NA</v>
      </c>
      <c r="L25" s="16" t="str">
        <f>IF('Conversion Tables'!I24="NA","NA",(H25*'Conversion Tables'!$C24)/'Conversion Tables'!I24)</f>
        <v>NA</v>
      </c>
      <c r="M25" s="16" t="str">
        <f>IF('Conversion Tables'!K24="NA","NA",E25*'Conversion Tables'!K24)</f>
        <v>NA</v>
      </c>
      <c r="N25" s="16" t="str">
        <f>IF('Conversion Tables'!L24="NA","NA",F25*'Conversion Tables'!L24)</f>
        <v>NA</v>
      </c>
      <c r="O25" s="16" t="str">
        <f>IF('Conversion Tables'!M24="NA","NA",G25*'Conversion Tables'!M24)</f>
        <v>NA</v>
      </c>
      <c r="P25" s="16" t="str">
        <f>IF('Conversion Tables'!N24="NA","NA",H25*'Conversion Tables'!N24)</f>
        <v>NA</v>
      </c>
      <c r="Q25" s="13"/>
    </row>
    <row r="26" spans="1:17" x14ac:dyDescent="0.25">
      <c r="A26" s="1207"/>
      <c r="B26" s="11" t="s">
        <v>560</v>
      </c>
      <c r="C26" s="294">
        <f>C129</f>
        <v>3918.25</v>
      </c>
      <c r="D26" s="294">
        <f>E26*'Conversion Tables'!C25</f>
        <v>61124.7</v>
      </c>
      <c r="E26" s="294">
        <f>C26*'Prac. Rec. Assumptions'!B22</f>
        <v>3918.25</v>
      </c>
      <c r="F26" s="294">
        <f>($C26*(1+'Biomass Data Assumptions'!G$107))*'Prac. Rec. Assumptions'!$B22</f>
        <v>3927.0748873873877</v>
      </c>
      <c r="G26" s="294">
        <f>($C26*(1+'Biomass Data Assumptions'!H$107))*'Prac. Rec. Assumptions'!$B22</f>
        <v>3936.702037264537</v>
      </c>
      <c r="H26" s="294">
        <f>($C26*(1+'Biomass Data Assumptions'!I$107))*'Prac. Rec. Assumptions'!$B22</f>
        <v>3951.9450245700241</v>
      </c>
      <c r="I26" s="16" t="str">
        <f>IF('Conversion Tables'!F25="NA","NA",(E26*'Conversion Tables'!$C25)/'Conversion Tables'!F25)</f>
        <v>NA</v>
      </c>
      <c r="J26" s="16" t="str">
        <f>IF('Conversion Tables'!G25="NA","NA",(F26*'Conversion Tables'!$C25)/'Conversion Tables'!G25)</f>
        <v>NA</v>
      </c>
      <c r="K26" s="16" t="str">
        <f>IF('Conversion Tables'!H25="NA","NA",(G26*'Conversion Tables'!$C25)/'Conversion Tables'!H25)</f>
        <v>NA</v>
      </c>
      <c r="L26" s="16" t="str">
        <f>IF('Conversion Tables'!I25="NA","NA",(H26*'Conversion Tables'!$C25)/'Conversion Tables'!I25)</f>
        <v>NA</v>
      </c>
      <c r="M26" s="16" t="str">
        <f>IF('Conversion Tables'!K25="NA","NA",E26*'Conversion Tables'!K25)</f>
        <v>NA</v>
      </c>
      <c r="N26" s="16" t="str">
        <f>IF('Conversion Tables'!L25="NA","NA",F26*'Conversion Tables'!L25)</f>
        <v>NA</v>
      </c>
      <c r="O26" s="16" t="str">
        <f>IF('Conversion Tables'!M25="NA","NA",G26*'Conversion Tables'!M25)</f>
        <v>NA</v>
      </c>
      <c r="P26" s="16" t="str">
        <f>IF('Conversion Tables'!N25="NA","NA",H26*'Conversion Tables'!N25)</f>
        <v>NA</v>
      </c>
      <c r="Q26" s="13"/>
    </row>
    <row r="27" spans="1:17" x14ac:dyDescent="0.25">
      <c r="A27" s="1207"/>
      <c r="B27" s="11" t="s">
        <v>561</v>
      </c>
      <c r="C27" s="294">
        <f>C130</f>
        <v>9042.5133333333324</v>
      </c>
      <c r="D27" s="294">
        <f>E27*'Conversion Tables'!C26</f>
        <v>141063.20799999998</v>
      </c>
      <c r="E27" s="294">
        <f>C27*'Prac. Rec. Assumptions'!B23</f>
        <v>9042.5133333333324</v>
      </c>
      <c r="F27" s="294">
        <f>($C27*(1+'Biomass Data Assumptions'!G$107))*'Prac. Rec. Assumptions'!$B23</f>
        <v>9062.8793543543543</v>
      </c>
      <c r="G27" s="294">
        <f>($C27*(1+'Biomass Data Assumptions'!H$107))*'Prac. Rec. Assumptions'!$B23</f>
        <v>9085.0968318318301</v>
      </c>
      <c r="H27" s="294">
        <f>($C27*(1+'Biomass Data Assumptions'!I$107))*'Prac. Rec. Assumptions'!$B23</f>
        <v>9120.2745045045031</v>
      </c>
      <c r="I27" s="16" t="str">
        <f>IF('Conversion Tables'!F26="NA","NA",(E27*'Conversion Tables'!$C26)/'Conversion Tables'!F26)</f>
        <v>NA</v>
      </c>
      <c r="J27" s="16" t="str">
        <f>IF('Conversion Tables'!G26="NA","NA",(F27*'Conversion Tables'!$C26)/'Conversion Tables'!G26)</f>
        <v>NA</v>
      </c>
      <c r="K27" s="16" t="str">
        <f>IF('Conversion Tables'!H26="NA","NA",(G27*'Conversion Tables'!$C26)/'Conversion Tables'!H26)</f>
        <v>NA</v>
      </c>
      <c r="L27" s="16" t="str">
        <f>IF('Conversion Tables'!I26="NA","NA",(H27*'Conversion Tables'!$C26)/'Conversion Tables'!I26)</f>
        <v>NA</v>
      </c>
      <c r="M27" s="16" t="str">
        <f>IF('Conversion Tables'!K26="NA","NA",E27*'Conversion Tables'!K26)</f>
        <v>NA</v>
      </c>
      <c r="N27" s="16" t="str">
        <f>IF('Conversion Tables'!L26="NA","NA",F27*'Conversion Tables'!L26)</f>
        <v>NA</v>
      </c>
      <c r="O27" s="16" t="str">
        <f>IF('Conversion Tables'!M26="NA","NA",G27*'Conversion Tables'!M26)</f>
        <v>NA</v>
      </c>
      <c r="P27" s="16" t="str">
        <f>IF('Conversion Tables'!N26="NA","NA",H27*'Conversion Tables'!N26)</f>
        <v>NA</v>
      </c>
      <c r="Q27" s="13"/>
    </row>
    <row r="28" spans="1:17" x14ac:dyDescent="0.25">
      <c r="A28" s="1207"/>
      <c r="B28" s="11" t="s">
        <v>562</v>
      </c>
      <c r="C28" s="294">
        <f>C131</f>
        <v>606.72500000000002</v>
      </c>
      <c r="D28" s="294">
        <f>E28*'Conversion Tables'!C27</f>
        <v>10739.032499999999</v>
      </c>
      <c r="E28" s="294">
        <f>C28*'Prac. Rec. Assumptions'!B24</f>
        <v>606.72500000000002</v>
      </c>
      <c r="F28" s="294">
        <f>($C28*(1+'Biomass Data Assumptions'!G$107))*'Prac. Rec. Assumptions'!$B24</f>
        <v>608.09149774774778</v>
      </c>
      <c r="G28" s="294">
        <f>($C28*(1+'Biomass Data Assumptions'!H$107))*'Prac. Rec. Assumptions'!$B24</f>
        <v>609.58222256347256</v>
      </c>
      <c r="H28" s="294">
        <f>($C28*(1+'Biomass Data Assumptions'!I$107))*'Prac. Rec. Assumptions'!$B24</f>
        <v>611.94253685503679</v>
      </c>
      <c r="I28" s="16" t="str">
        <f>IF('Conversion Tables'!F27="NA","NA",(E28*'Conversion Tables'!$C27)/'Conversion Tables'!F27)</f>
        <v>NA</v>
      </c>
      <c r="J28" s="16" t="str">
        <f>IF('Conversion Tables'!G27="NA","NA",(F28*'Conversion Tables'!$C27)/'Conversion Tables'!G27)</f>
        <v>NA</v>
      </c>
      <c r="K28" s="16" t="str">
        <f>IF('Conversion Tables'!H27="NA","NA",(G28*'Conversion Tables'!$C27)/'Conversion Tables'!H27)</f>
        <v>NA</v>
      </c>
      <c r="L28" s="16" t="str">
        <f>IF('Conversion Tables'!I27="NA","NA",(H28*'Conversion Tables'!$C27)/'Conversion Tables'!I27)</f>
        <v>NA</v>
      </c>
      <c r="M28" s="16" t="str">
        <f>IF('Conversion Tables'!K27="NA","NA",E28*'Conversion Tables'!K27)</f>
        <v>NA</v>
      </c>
      <c r="N28" s="16" t="str">
        <f>IF('Conversion Tables'!L27="NA","NA",F28*'Conversion Tables'!L27)</f>
        <v>NA</v>
      </c>
      <c r="O28" s="16" t="str">
        <f>IF('Conversion Tables'!M27="NA","NA",G28*'Conversion Tables'!M27)</f>
        <v>NA</v>
      </c>
      <c r="P28" s="16" t="str">
        <f>IF('Conversion Tables'!N27="NA","NA",H28*'Conversion Tables'!N27)</f>
        <v>NA</v>
      </c>
      <c r="Q28" s="13"/>
    </row>
    <row r="29" spans="1:17" x14ac:dyDescent="0.25">
      <c r="A29" s="1208"/>
      <c r="B29" s="9" t="s">
        <v>524</v>
      </c>
      <c r="C29" s="295">
        <f t="shared" ref="C29:P29" si="3">SUM(C13:C28)</f>
        <v>57969.090833333328</v>
      </c>
      <c r="D29" s="295">
        <f>SUM(D13:D28)</f>
        <v>649129.00381999998</v>
      </c>
      <c r="E29" s="295">
        <f t="shared" si="3"/>
        <v>40320.068333333336</v>
      </c>
      <c r="F29" s="295">
        <f>SUM(F13:F28)</f>
        <v>40370.690131381387</v>
      </c>
      <c r="G29" s="295">
        <f>SUM(G13:G28)</f>
        <v>40425.913911070158</v>
      </c>
      <c r="H29" s="295">
        <f>SUM(H13:H28)</f>
        <v>40513.351562244061</v>
      </c>
      <c r="I29" s="19">
        <f t="shared" si="3"/>
        <v>0</v>
      </c>
      <c r="J29" s="19">
        <f t="shared" si="3"/>
        <v>0</v>
      </c>
      <c r="K29" s="19">
        <f t="shared" si="3"/>
        <v>0</v>
      </c>
      <c r="L29" s="19">
        <f t="shared" si="3"/>
        <v>0</v>
      </c>
      <c r="M29" s="19">
        <f t="shared" si="3"/>
        <v>0</v>
      </c>
      <c r="N29" s="19">
        <f t="shared" si="3"/>
        <v>0</v>
      </c>
      <c r="O29" s="19">
        <f t="shared" si="3"/>
        <v>0</v>
      </c>
      <c r="P29" s="19">
        <f t="shared" si="3"/>
        <v>0</v>
      </c>
      <c r="Q29" s="19"/>
    </row>
    <row r="30" spans="1:17" x14ac:dyDescent="0.25">
      <c r="A30" s="8"/>
      <c r="C30" s="296"/>
      <c r="D30" s="296"/>
      <c r="E30" s="296"/>
      <c r="F30" s="296"/>
      <c r="G30" s="296"/>
      <c r="H30" s="296"/>
      <c r="I30" s="28"/>
      <c r="J30" s="28"/>
      <c r="K30" s="28"/>
      <c r="L30" s="28"/>
      <c r="M30" s="28"/>
      <c r="N30" s="28"/>
      <c r="O30" s="28"/>
      <c r="P30" s="28"/>
    </row>
    <row r="31" spans="1:17" x14ac:dyDescent="0.25">
      <c r="A31" s="1064" t="s">
        <v>516</v>
      </c>
      <c r="B31" s="130" t="str">
        <f>'Bioenergy Calculator'!B34</f>
        <v>Solid wastes - Landfilled</v>
      </c>
      <c r="C31" s="294"/>
      <c r="D31" s="294"/>
      <c r="E31" s="294"/>
      <c r="F31" s="294"/>
      <c r="G31" s="294"/>
      <c r="H31" s="294"/>
      <c r="I31" s="16"/>
      <c r="J31" s="16"/>
      <c r="K31" s="16"/>
      <c r="L31" s="16"/>
      <c r="M31" s="16"/>
      <c r="N31" s="16"/>
      <c r="O31" s="16"/>
      <c r="P31" s="16"/>
      <c r="Q31" s="7"/>
    </row>
    <row r="32" spans="1:17" x14ac:dyDescent="0.25">
      <c r="A32" s="1064"/>
      <c r="B32" s="11" t="str">
        <f>'Bioenergy Calculator'!B35</f>
        <v>Food waste, Landfilled</v>
      </c>
      <c r="C32" s="294">
        <f>C141</f>
        <v>15942.886596</v>
      </c>
      <c r="D32" s="294">
        <f>E32*'Conversion Tables'!C29</f>
        <v>153051.71132160001</v>
      </c>
      <c r="E32" s="294">
        <f>C32*'Prac. Rec. Assumptions'!B26</f>
        <v>9565.7319576000009</v>
      </c>
      <c r="F32" s="294">
        <f>($C32*(1+'Biomass Data Assumptions'!G$107)*(1+'Biomass Data Assumptions'!C$82))*'Prac. Rec. Assumptions'!$B26</f>
        <v>9580.7668347493673</v>
      </c>
      <c r="G32" s="294">
        <f>($C32*(1+'Biomass Data Assumptions'!H$107)*(1+'Biomass Data Assumptions'!D$82))*'Prac. Rec. Assumptions'!$B26</f>
        <v>9597.732812024291</v>
      </c>
      <c r="H32" s="294">
        <f>($C32*(1+'Biomass Data Assumptions'!I$107)*(1+'Biomass Data Assumptions'!E$82))*'Prac. Rec. Assumptions'!$B26</f>
        <v>9628.3535247045911</v>
      </c>
      <c r="I32" s="16" t="str">
        <f>IF('Conversion Tables'!F29="NA","NA",(E32*'Conversion Tables'!$C29)/'Conversion Tables'!F29)</f>
        <v>NA</v>
      </c>
      <c r="J32" s="16" t="str">
        <f>IF('Conversion Tables'!G29="NA","NA",(F32*'Conversion Tables'!$C29)/'Conversion Tables'!G29)</f>
        <v>NA</v>
      </c>
      <c r="K32" s="16" t="str">
        <f>IF('Conversion Tables'!H29="NA","NA",(G32*'Conversion Tables'!$C29)/'Conversion Tables'!H29)</f>
        <v>NA</v>
      </c>
      <c r="L32" s="16" t="str">
        <f>IF('Conversion Tables'!I29="NA","NA",(H32*'Conversion Tables'!$C29)/'Conversion Tables'!I29)</f>
        <v>NA</v>
      </c>
      <c r="M32" s="16" t="str">
        <f>IF('Conversion Tables'!K29="NA","NA",E32*'Conversion Tables'!K29)</f>
        <v>NA</v>
      </c>
      <c r="N32" s="16" t="str">
        <f>IF('Conversion Tables'!L29="NA","NA",F32*'Conversion Tables'!L29)</f>
        <v>NA</v>
      </c>
      <c r="O32" s="16" t="str">
        <f>IF('Conversion Tables'!M29="NA","NA",G32*'Conversion Tables'!M29)</f>
        <v>NA</v>
      </c>
      <c r="P32" s="16" t="str">
        <f>IF('Conversion Tables'!N29="NA","NA",H32*'Conversion Tables'!N29)</f>
        <v>NA</v>
      </c>
      <c r="Q32" s="7"/>
    </row>
    <row r="33" spans="1:17" x14ac:dyDescent="0.25">
      <c r="A33" s="1064"/>
      <c r="B33" s="11" t="str">
        <f>'Bioenergy Calculator'!B36</f>
        <v>Waste paper, Landfilled</v>
      </c>
      <c r="C33" s="294">
        <f>C142</f>
        <v>58803.251129999997</v>
      </c>
      <c r="D33" s="294">
        <f>E33*'Conversion Tables'!C30</f>
        <v>683152.65032788797</v>
      </c>
      <c r="E33" s="294">
        <f>C33*'Prac. Rec. Assumptions'!B27</f>
        <v>47042.600903999999</v>
      </c>
      <c r="F33" s="294">
        <f>($C33*(1+'Biomass Data Assumptions'!G$107)*(1+'Biomass Data Assumptions'!C$82))*'Prac. Rec. Assumptions'!$B27</f>
        <v>47116.539806795248</v>
      </c>
      <c r="G33" s="294">
        <f>($C33*(1+'Biomass Data Assumptions'!H$107)*(1+'Biomass Data Assumptions'!D$82))*'Prac. Rec. Assumptions'!$B27</f>
        <v>47199.975523103014</v>
      </c>
      <c r="H33" s="294">
        <f>($C33*(1+'Biomass Data Assumptions'!I$107)*(1+'Biomass Data Assumptions'!E$82))*'Prac. Rec. Assumptions'!$B27</f>
        <v>47350.562845892353</v>
      </c>
      <c r="I33" s="16" t="str">
        <f>IF('Conversion Tables'!F30="NA","NA",(E33*'Conversion Tables'!$C30)/'Conversion Tables'!F30)</f>
        <v>NA</v>
      </c>
      <c r="J33" s="16" t="str">
        <f>IF('Conversion Tables'!G30="NA","NA",(F33*'Conversion Tables'!$C30)/'Conversion Tables'!G30)</f>
        <v>NA</v>
      </c>
      <c r="K33" s="16" t="str">
        <f>IF('Conversion Tables'!H30="NA","NA",(G33*'Conversion Tables'!$C30)/'Conversion Tables'!H30)</f>
        <v>NA</v>
      </c>
      <c r="L33" s="16" t="str">
        <f>IF('Conversion Tables'!I30="NA","NA",(H33*'Conversion Tables'!$C30)/'Conversion Tables'!I30)</f>
        <v>NA</v>
      </c>
      <c r="M33" s="16" t="str">
        <f>IF('Conversion Tables'!K30="NA","NA",E33*'Conversion Tables'!K30)</f>
        <v>NA</v>
      </c>
      <c r="N33" s="16" t="str">
        <f>IF('Conversion Tables'!L30="NA","NA",F33*'Conversion Tables'!L30)</f>
        <v>NA</v>
      </c>
      <c r="O33" s="16" t="str">
        <f>IF('Conversion Tables'!M30="NA","NA",G33*'Conversion Tables'!M30)</f>
        <v>NA</v>
      </c>
      <c r="P33" s="16" t="str">
        <f>IF('Conversion Tables'!N30="NA","NA",H33*'Conversion Tables'!N30)</f>
        <v>NA</v>
      </c>
      <c r="Q33" s="7"/>
    </row>
    <row r="34" spans="1:17" x14ac:dyDescent="0.25">
      <c r="A34" s="1064"/>
      <c r="B34" s="11" t="str">
        <f>'Bioenergy Calculator'!B37</f>
        <v>Other Biomass, Landfilled</v>
      </c>
      <c r="C34" s="294">
        <f>C143</f>
        <v>45231.978089999997</v>
      </c>
      <c r="D34" s="294">
        <f>E34*'Conversion Tables'!C31</f>
        <v>472938.32579254563</v>
      </c>
      <c r="E34" s="294">
        <f>C34*'Prac. Rec. Assumptions'!B28</f>
        <v>32567.024224800003</v>
      </c>
      <c r="F34" s="294">
        <f>($C34*(1+'Biomass Data Assumptions'!G$107)*(1+'Biomass Data Assumptions'!C$82))*'Prac. Rec. Assumptions'!$B28</f>
        <v>32618.211233855935</v>
      </c>
      <c r="G34" s="294">
        <f>($C34*(1+'Biomass Data Assumptions'!H$107)*(1+'Biomass Data Assumptions'!D$82))*'Prac. Rec. Assumptions'!$B28</f>
        <v>32675.972772163601</v>
      </c>
      <c r="H34" s="294">
        <f>($C34*(1+'Biomass Data Assumptions'!I$107)*(1+'Biomass Data Assumptions'!E$82))*'Prac. Rec. Assumptions'!$B28</f>
        <v>32780.222556295143</v>
      </c>
      <c r="I34" s="16" t="str">
        <f>IF('Conversion Tables'!F31="NA","NA",(E34*'Conversion Tables'!$C31)/'Conversion Tables'!F31)</f>
        <v>NA</v>
      </c>
      <c r="J34" s="16" t="str">
        <f>IF('Conversion Tables'!G31="NA","NA",(F34*'Conversion Tables'!$C31)/'Conversion Tables'!G31)</f>
        <v>NA</v>
      </c>
      <c r="K34" s="16" t="str">
        <f>IF('Conversion Tables'!H31="NA","NA",(G34*'Conversion Tables'!$C31)/'Conversion Tables'!H31)</f>
        <v>NA</v>
      </c>
      <c r="L34" s="16" t="str">
        <f>IF('Conversion Tables'!I31="NA","NA",(H34*'Conversion Tables'!$C31)/'Conversion Tables'!I31)</f>
        <v>NA</v>
      </c>
      <c r="M34" s="16" t="str">
        <f>IF('Conversion Tables'!K31="NA","NA",E34*'Conversion Tables'!K31)</f>
        <v>NA</v>
      </c>
      <c r="N34" s="16" t="str">
        <f>IF('Conversion Tables'!L31="NA","NA",F34*'Conversion Tables'!L31)</f>
        <v>NA</v>
      </c>
      <c r="O34" s="16" t="str">
        <f>IF('Conversion Tables'!M31="NA","NA",G34*'Conversion Tables'!M31)</f>
        <v>NA</v>
      </c>
      <c r="P34" s="16" t="str">
        <f>IF('Conversion Tables'!N31="NA","NA",H34*'Conversion Tables'!N31)</f>
        <v>NA</v>
      </c>
      <c r="Q34" s="7"/>
    </row>
    <row r="35" spans="1:17" x14ac:dyDescent="0.25">
      <c r="A35" s="1065"/>
      <c r="B35" s="11" t="str">
        <f>'Bioenergy Calculator'!B38</f>
        <v>C&amp;D (Non-recycled wood)</v>
      </c>
      <c r="C35" s="294">
        <f>C145</f>
        <v>50443.353600000009</v>
      </c>
      <c r="D35" s="294">
        <f>E35*'Conversion Tables'!C32</f>
        <v>571422.30958080012</v>
      </c>
      <c r="E35" s="294">
        <f>C35*'Prac. Rec. Assumptions'!B29</f>
        <v>32283.746304000011</v>
      </c>
      <c r="F35" s="294">
        <f>($C35*(1+'Biomass Data Assumptions'!G$107)*(1+'Biomass Data Assumptions'!C$83))*'Prac. Rec. Assumptions'!$B29</f>
        <v>33981.110544777439</v>
      </c>
      <c r="G35" s="294">
        <f>($C35*(1+'Biomass Data Assumptions'!H$107)*(1+'Biomass Data Assumptions'!D$83))*'Prac. Rec. Assumptions'!$B29</f>
        <v>35774.82609128199</v>
      </c>
      <c r="H35" s="294">
        <f>($C35*(1+'Biomass Data Assumptions'!I$107)*(1+'Biomass Data Assumptions'!E$83))*'Prac. Rec. Assumptions'!$B29</f>
        <v>37716.595327120493</v>
      </c>
      <c r="I35" s="16" t="str">
        <f>IF('Conversion Tables'!F32="NA","NA",(E35*'Conversion Tables'!$C32)/'Conversion Tables'!F32)</f>
        <v>NA</v>
      </c>
      <c r="J35" s="16" t="str">
        <f>IF('Conversion Tables'!G32="NA","NA",(F35*'Conversion Tables'!$C32)/'Conversion Tables'!G32)</f>
        <v>NA</v>
      </c>
      <c r="K35" s="16" t="str">
        <f>IF('Conversion Tables'!H32="NA","NA",(G35*'Conversion Tables'!$C32)/'Conversion Tables'!H32)</f>
        <v>NA</v>
      </c>
      <c r="L35" s="16" t="str">
        <f>IF('Conversion Tables'!I32="NA","NA",(H35*'Conversion Tables'!$C32)/'Conversion Tables'!I32)</f>
        <v>NA</v>
      </c>
      <c r="M35" s="16" t="str">
        <f>IF('Conversion Tables'!K32="NA","NA",E35*'Conversion Tables'!K32)</f>
        <v>NA</v>
      </c>
      <c r="N35" s="16" t="str">
        <f>IF('Conversion Tables'!L32="NA","NA",F35*'Conversion Tables'!L32)</f>
        <v>NA</v>
      </c>
      <c r="O35" s="16" t="str">
        <f>IF('Conversion Tables'!M32="NA","NA",G35*'Conversion Tables'!M32)</f>
        <v>NA</v>
      </c>
      <c r="P35" s="16" t="str">
        <f>IF('Conversion Tables'!N32="NA","NA",H35*'Conversion Tables'!N32)</f>
        <v>NA</v>
      </c>
      <c r="Q35" s="7"/>
    </row>
    <row r="36" spans="1:17" x14ac:dyDescent="0.25">
      <c r="A36" s="1065"/>
      <c r="B36" s="4" t="s">
        <v>280</v>
      </c>
      <c r="C36" s="294"/>
      <c r="D36" s="294"/>
      <c r="E36" s="294"/>
      <c r="F36" s="294"/>
      <c r="G36" s="294"/>
      <c r="H36" s="294"/>
      <c r="I36" s="16"/>
      <c r="J36" s="16"/>
      <c r="K36" s="16"/>
      <c r="L36" s="16"/>
      <c r="M36" s="16"/>
      <c r="N36" s="16"/>
      <c r="O36" s="16"/>
      <c r="P36" s="16"/>
      <c r="Q36" s="7"/>
    </row>
    <row r="37" spans="1:17" x14ac:dyDescent="0.25">
      <c r="A37" s="1065"/>
      <c r="B37" s="677" t="s">
        <v>563</v>
      </c>
      <c r="C37" s="299">
        <f>C132</f>
        <v>3070.645</v>
      </c>
      <c r="D37" s="294">
        <f>E37*'Conversion Tables'!C34</f>
        <v>49130.32</v>
      </c>
      <c r="E37" s="294">
        <f>C37*'Prac. Rec. Assumptions'!B31</f>
        <v>3070.645</v>
      </c>
      <c r="F37" s="294">
        <f>($C37*(1+'Biomass Data Assumptions'!G$107)*(1+'Biomass Data Assumptions'!C$84))*'Prac. Rec. Assumptions'!$B31</f>
        <v>3365.2395166535616</v>
      </c>
      <c r="G37" s="294">
        <f>($C37*(1+'Biomass Data Assumptions'!H$107)*(1+'Biomass Data Assumptions'!D$84))*'Prac. Rec. Assumptions'!$B31</f>
        <v>3688.8302517941752</v>
      </c>
      <c r="H37" s="294">
        <f>($C37*(1+'Biomass Data Assumptions'!I$107)*(1+'Biomass Data Assumptions'!E$84))*'Prac. Rec. Assumptions'!$B31</f>
        <v>4049.2663956232755</v>
      </c>
      <c r="I37" s="16" t="str">
        <f>IF('Conversion Tables'!F34="NA","NA",(E37*'Conversion Tables'!$C34)/'Conversion Tables'!F34)</f>
        <v>NA</v>
      </c>
      <c r="J37" s="16" t="str">
        <f>IF('Conversion Tables'!G34="NA","NA",(F37*'Conversion Tables'!$C34)/'Conversion Tables'!G34)</f>
        <v>NA</v>
      </c>
      <c r="K37" s="16" t="str">
        <f>IF('Conversion Tables'!H34="NA","NA",(G37*'Conversion Tables'!$C34)/'Conversion Tables'!H34)</f>
        <v>NA</v>
      </c>
      <c r="L37" s="16" t="str">
        <f>IF('Conversion Tables'!I34="NA","NA",(H37*'Conversion Tables'!$C34)/'Conversion Tables'!I34)</f>
        <v>NA</v>
      </c>
      <c r="M37" s="16" t="str">
        <f>IF('Conversion Tables'!K34="NA","NA",E37*'Conversion Tables'!K34)</f>
        <v>NA</v>
      </c>
      <c r="N37" s="16" t="str">
        <f>IF('Conversion Tables'!L34="NA","NA",F37*'Conversion Tables'!L34)</f>
        <v>NA</v>
      </c>
      <c r="O37" s="16" t="str">
        <f>IF('Conversion Tables'!M34="NA","NA",G37*'Conversion Tables'!M34)</f>
        <v>NA</v>
      </c>
      <c r="P37" s="16" t="str">
        <f>IF('Conversion Tables'!N34="NA","NA",H37*'Conversion Tables'!N34)</f>
        <v>NA</v>
      </c>
      <c r="Q37" s="18"/>
    </row>
    <row r="38" spans="1:17" x14ac:dyDescent="0.25">
      <c r="A38" s="1065"/>
      <c r="B38" s="11" t="s">
        <v>565</v>
      </c>
      <c r="C38" s="294">
        <f>C134</f>
        <v>3144.28</v>
      </c>
      <c r="D38" s="294">
        <f>E38*'Conversion Tables'!C35</f>
        <v>27826.878000000001</v>
      </c>
      <c r="E38" s="294">
        <f>C38*'Prac. Rec. Assumptions'!B32</f>
        <v>1572.14</v>
      </c>
      <c r="F38" s="294">
        <f>($C38*(1+'Biomass Data Assumptions'!G$107)*(1+'Biomass Data Assumptions'!C$84))*'Prac. Rec. Assumptions'!$B32</f>
        <v>1722.9694913321894</v>
      </c>
      <c r="G38" s="294">
        <f>($C38*(1+'Biomass Data Assumptions'!H$107)*(1+'Biomass Data Assumptions'!D$84))*'Prac. Rec. Assumptions'!$B32</f>
        <v>1888.6447609722698</v>
      </c>
      <c r="H38" s="294">
        <f>($C38*(1+'Biomass Data Assumptions'!I$107)*(1+'Biomass Data Assumptions'!E$84))*'Prac. Rec. Assumptions'!$B32</f>
        <v>2073.1845170038141</v>
      </c>
      <c r="I38" s="16" t="str">
        <f>IF('Conversion Tables'!F35="NA","NA",(E38*'Conversion Tables'!$C35)/'Conversion Tables'!F35)</f>
        <v>NA</v>
      </c>
      <c r="J38" s="16" t="str">
        <f>IF('Conversion Tables'!G35="NA","NA",(F38*'Conversion Tables'!$C35)/'Conversion Tables'!G35)</f>
        <v>NA</v>
      </c>
      <c r="K38" s="16" t="str">
        <f>IF('Conversion Tables'!H35="NA","NA",(G38*'Conversion Tables'!$C35)/'Conversion Tables'!H35)</f>
        <v>NA</v>
      </c>
      <c r="L38" s="16" t="str">
        <f>IF('Conversion Tables'!I35="NA","NA",(H38*'Conversion Tables'!$C35)/'Conversion Tables'!I35)</f>
        <v>NA</v>
      </c>
      <c r="M38" s="16" t="str">
        <f>IF('Conversion Tables'!K35="NA","NA",E38*'Conversion Tables'!K35)</f>
        <v>NA</v>
      </c>
      <c r="N38" s="16" t="str">
        <f>IF('Conversion Tables'!L35="NA","NA",F38*'Conversion Tables'!L35)</f>
        <v>NA</v>
      </c>
      <c r="O38" s="16" t="str">
        <f>IF('Conversion Tables'!M35="NA","NA",G38*'Conversion Tables'!M35)</f>
        <v>NA</v>
      </c>
      <c r="P38" s="16" t="str">
        <f>IF('Conversion Tables'!N35="NA","NA",H38*'Conversion Tables'!N35)</f>
        <v>NA</v>
      </c>
      <c r="Q38" s="13"/>
    </row>
    <row r="39" spans="1:17" x14ac:dyDescent="0.25">
      <c r="A39" s="1065"/>
      <c r="B39" s="17" t="s">
        <v>555</v>
      </c>
      <c r="C39" s="294">
        <f>C124</f>
        <v>56671.298999999999</v>
      </c>
      <c r="D39" s="299">
        <f>E39*'Conversion Tables'!C36</f>
        <v>0</v>
      </c>
      <c r="E39" s="299">
        <f>C39*'Prac. Rec. Assumptions'!B33</f>
        <v>0</v>
      </c>
      <c r="F39" s="294">
        <f>($C39*(1+'Biomass Data Assumptions'!G$107)*(1+'Biomass Data Assumptions'!C$84))*'Prac. Rec. Assumptions'!$B33</f>
        <v>0</v>
      </c>
      <c r="G39" s="294">
        <f>($C39*(1+'Biomass Data Assumptions'!H$107)*(1+'Biomass Data Assumptions'!D$84))*'Prac. Rec. Assumptions'!$B33</f>
        <v>0</v>
      </c>
      <c r="H39" s="294">
        <f>($C39*(1+'Biomass Data Assumptions'!I$107)*(1+'Biomass Data Assumptions'!E$84))*'Prac. Rec. Assumptions'!$B33</f>
        <v>0</v>
      </c>
      <c r="I39" s="16" t="str">
        <f>IF('Conversion Tables'!F36="NA","NA",(E39*'Conversion Tables'!$C36)/'Conversion Tables'!F36)</f>
        <v>NA</v>
      </c>
      <c r="J39" s="16" t="str">
        <f>IF('Conversion Tables'!G36="NA","NA",(F39*'Conversion Tables'!$C36)/'Conversion Tables'!G36)</f>
        <v>NA</v>
      </c>
      <c r="K39" s="16" t="str">
        <f>IF('Conversion Tables'!H36="NA","NA",(G39*'Conversion Tables'!$C36)/'Conversion Tables'!H36)</f>
        <v>NA</v>
      </c>
      <c r="L39" s="16" t="str">
        <f>IF('Conversion Tables'!I36="NA","NA",(H39*'Conversion Tables'!$C36)/'Conversion Tables'!I36)</f>
        <v>NA</v>
      </c>
      <c r="M39" s="16" t="str">
        <f>IF('Conversion Tables'!K36="NA","NA",E39*'Conversion Tables'!K36)</f>
        <v>NA</v>
      </c>
      <c r="N39" s="16" t="str">
        <f>IF('Conversion Tables'!L36="NA","NA",F39*'Conversion Tables'!L36)</f>
        <v>NA</v>
      </c>
      <c r="O39" s="16" t="str">
        <f>IF('Conversion Tables'!M36="NA","NA",G39*'Conversion Tables'!M36)</f>
        <v>NA</v>
      </c>
      <c r="P39" s="16" t="str">
        <f>IF('Conversion Tables'!N36="NA","NA",H39*'Conversion Tables'!N36)</f>
        <v>NA</v>
      </c>
      <c r="Q39" s="27"/>
    </row>
    <row r="40" spans="1:17" x14ac:dyDescent="0.25">
      <c r="A40" s="1065"/>
      <c r="B40" s="17" t="s">
        <v>556</v>
      </c>
      <c r="C40" s="294">
        <f>C125</f>
        <v>13529.133000000002</v>
      </c>
      <c r="D40" s="299">
        <f>E40*'Conversion Tables'!C37</f>
        <v>0</v>
      </c>
      <c r="E40" s="299">
        <f>C40*'Prac. Rec. Assumptions'!B34</f>
        <v>0</v>
      </c>
      <c r="F40" s="294">
        <f>($C40*(1+'Biomass Data Assumptions'!G$107)*(1+'Biomass Data Assumptions'!C$84))*'Prac. Rec. Assumptions'!$B34</f>
        <v>0</v>
      </c>
      <c r="G40" s="294">
        <f>($C40*(1+'Biomass Data Assumptions'!H$107)*(1+'Biomass Data Assumptions'!D$84))*'Prac. Rec. Assumptions'!$B34</f>
        <v>0</v>
      </c>
      <c r="H40" s="294">
        <f>($C40*(1+'Biomass Data Assumptions'!I$107)*(1+'Biomass Data Assumptions'!E$84))*'Prac. Rec. Assumptions'!$B34</f>
        <v>0</v>
      </c>
      <c r="I40" s="16" t="str">
        <f>IF('Conversion Tables'!F37="NA","NA",(E40*'Conversion Tables'!$C37)/'Conversion Tables'!F37)</f>
        <v>NA</v>
      </c>
      <c r="J40" s="16" t="str">
        <f>IF('Conversion Tables'!G37="NA","NA",(F40*'Conversion Tables'!$C37)/'Conversion Tables'!G37)</f>
        <v>NA</v>
      </c>
      <c r="K40" s="16" t="str">
        <f>IF('Conversion Tables'!H37="NA","NA",(G40*'Conversion Tables'!$C37)/'Conversion Tables'!H37)</f>
        <v>NA</v>
      </c>
      <c r="L40" s="16" t="str">
        <f>IF('Conversion Tables'!I37="NA","NA",(H40*'Conversion Tables'!$C37)/'Conversion Tables'!I37)</f>
        <v>NA</v>
      </c>
      <c r="M40" s="16" t="str">
        <f>IF('Conversion Tables'!K37="NA","NA",E40*'Conversion Tables'!K37)</f>
        <v>NA</v>
      </c>
      <c r="N40" s="16" t="str">
        <f>IF('Conversion Tables'!L37="NA","NA",F40*'Conversion Tables'!L37)</f>
        <v>NA</v>
      </c>
      <c r="O40" s="16" t="str">
        <f>IF('Conversion Tables'!M37="NA","NA",G40*'Conversion Tables'!M37)</f>
        <v>NA</v>
      </c>
      <c r="P40" s="16" t="str">
        <f>IF('Conversion Tables'!N37="NA","NA",H40*'Conversion Tables'!N37)</f>
        <v>NA</v>
      </c>
      <c r="Q40" s="27"/>
    </row>
    <row r="41" spans="1:17" x14ac:dyDescent="0.25">
      <c r="A41" s="1065"/>
      <c r="B41" s="17" t="s">
        <v>557</v>
      </c>
      <c r="C41" s="294">
        <f>C126</f>
        <v>19031.102999999999</v>
      </c>
      <c r="D41" s="299">
        <f>E41*'Conversion Tables'!C38</f>
        <v>0</v>
      </c>
      <c r="E41" s="299">
        <f>C41*'Prac. Rec. Assumptions'!B35</f>
        <v>0</v>
      </c>
      <c r="F41" s="294">
        <f>($C41*(1+'Biomass Data Assumptions'!G$107)*(1+'Biomass Data Assumptions'!C$84))*'Prac. Rec. Assumptions'!$B35</f>
        <v>0</v>
      </c>
      <c r="G41" s="294">
        <f>($C41*(1+'Biomass Data Assumptions'!H$107)*(1+'Biomass Data Assumptions'!D$84))*'Prac. Rec. Assumptions'!$B35</f>
        <v>0</v>
      </c>
      <c r="H41" s="294">
        <f>($C41*(1+'Biomass Data Assumptions'!I$107)*(1+'Biomass Data Assumptions'!E$84))*'Prac. Rec. Assumptions'!$B35</f>
        <v>0</v>
      </c>
      <c r="I41" s="16" t="str">
        <f>IF('Conversion Tables'!F38="NA","NA",(E41*'Conversion Tables'!$C38)/'Conversion Tables'!F38)</f>
        <v>NA</v>
      </c>
      <c r="J41" s="16" t="str">
        <f>IF('Conversion Tables'!G38="NA","NA",(F41*'Conversion Tables'!$C38)/'Conversion Tables'!G38)</f>
        <v>NA</v>
      </c>
      <c r="K41" s="16" t="str">
        <f>IF('Conversion Tables'!H38="NA","NA",(G41*'Conversion Tables'!$C38)/'Conversion Tables'!H38)</f>
        <v>NA</v>
      </c>
      <c r="L41" s="16" t="str">
        <f>IF('Conversion Tables'!I38="NA","NA",(H41*'Conversion Tables'!$C38)/'Conversion Tables'!I38)</f>
        <v>NA</v>
      </c>
      <c r="M41" s="16" t="str">
        <f>IF('Conversion Tables'!K38="NA","NA",E41*'Conversion Tables'!K38)</f>
        <v>NA</v>
      </c>
      <c r="N41" s="16" t="str">
        <f>IF('Conversion Tables'!L38="NA","NA",F41*'Conversion Tables'!L38)</f>
        <v>NA</v>
      </c>
      <c r="O41" s="16" t="str">
        <f>IF('Conversion Tables'!M38="NA","NA",G41*'Conversion Tables'!M38)</f>
        <v>NA</v>
      </c>
      <c r="P41" s="16" t="str">
        <f>IF('Conversion Tables'!N38="NA","NA",H41*'Conversion Tables'!N38)</f>
        <v>NA</v>
      </c>
      <c r="Q41" s="27"/>
    </row>
    <row r="42" spans="1:17" x14ac:dyDescent="0.25">
      <c r="A42" s="1065"/>
      <c r="B42" s="17" t="s">
        <v>558</v>
      </c>
      <c r="C42" s="294">
        <f>C127</f>
        <v>8602.2810000000009</v>
      </c>
      <c r="D42" s="299">
        <f>E42*'Conversion Tables'!C39</f>
        <v>124922.32468200002</v>
      </c>
      <c r="E42" s="299">
        <f>C42*'Prac. Rec. Assumptions'!B36</f>
        <v>8602.2810000000009</v>
      </c>
      <c r="F42" s="294">
        <f>($C42*(1+'Biomass Data Assumptions'!G$107)*(1+'Biomass Data Assumptions'!C$84))*'Prac. Rec. Assumptions'!$B36</f>
        <v>9427.5749735179816</v>
      </c>
      <c r="G42" s="294">
        <f>($C42*(1+'Biomass Data Assumptions'!H$107)*(1+'Biomass Data Assumptions'!D$84))*'Prac. Rec. Assumptions'!$B36</f>
        <v>10334.10061639631</v>
      </c>
      <c r="H42" s="294">
        <f>($C42*(1+'Biomass Data Assumptions'!I$107)*(1+'Biomass Data Assumptions'!E$84))*'Prac. Rec. Assumptions'!$B36</f>
        <v>11343.847100204872</v>
      </c>
      <c r="I42" s="16" t="str">
        <f>IF('Conversion Tables'!F39="NA","NA",(E42*'Conversion Tables'!$C39)/'Conversion Tables'!F39)</f>
        <v>NA</v>
      </c>
      <c r="J42" s="16" t="str">
        <f>IF('Conversion Tables'!G39="NA","NA",(F42*'Conversion Tables'!$C39)/'Conversion Tables'!G39)</f>
        <v>NA</v>
      </c>
      <c r="K42" s="16" t="str">
        <f>IF('Conversion Tables'!H39="NA","NA",(G42*'Conversion Tables'!$C39)/'Conversion Tables'!H39)</f>
        <v>NA</v>
      </c>
      <c r="L42" s="16" t="str">
        <f>IF('Conversion Tables'!I39="NA","NA",(H42*'Conversion Tables'!$C39)/'Conversion Tables'!I39)</f>
        <v>NA</v>
      </c>
      <c r="M42" s="16" t="str">
        <f>IF('Conversion Tables'!K39="NA","NA",E42*'Conversion Tables'!K39)</f>
        <v>NA</v>
      </c>
      <c r="N42" s="16" t="str">
        <f>IF('Conversion Tables'!L39="NA","NA",F42*'Conversion Tables'!L39)</f>
        <v>NA</v>
      </c>
      <c r="O42" s="16" t="str">
        <f>IF('Conversion Tables'!M39="NA","NA",G42*'Conversion Tables'!M39)</f>
        <v>NA</v>
      </c>
      <c r="P42" s="16" t="str">
        <f>IF('Conversion Tables'!N39="NA","NA",H42*'Conversion Tables'!N39)</f>
        <v>NA</v>
      </c>
      <c r="Q42" s="27"/>
    </row>
    <row r="43" spans="1:17" x14ac:dyDescent="0.25">
      <c r="A43" s="1065"/>
      <c r="B43" s="9" t="s">
        <v>524</v>
      </c>
      <c r="C43" s="295">
        <f t="shared" ref="C43:P43" si="4">SUM(C31:C42)</f>
        <v>274470.21041599999</v>
      </c>
      <c r="D43" s="295">
        <f t="shared" si="4"/>
        <v>2082444.5197048339</v>
      </c>
      <c r="E43" s="295">
        <f t="shared" si="4"/>
        <v>134704.16939040003</v>
      </c>
      <c r="F43" s="295">
        <f t="shared" si="4"/>
        <v>137812.41240168171</v>
      </c>
      <c r="G43" s="295">
        <f t="shared" si="4"/>
        <v>141160.08282773563</v>
      </c>
      <c r="H43" s="295">
        <f t="shared" si="4"/>
        <v>144942.03226684456</v>
      </c>
      <c r="I43" s="19">
        <f t="shared" si="4"/>
        <v>0</v>
      </c>
      <c r="J43" s="19">
        <f t="shared" si="4"/>
        <v>0</v>
      </c>
      <c r="K43" s="19">
        <f t="shared" si="4"/>
        <v>0</v>
      </c>
      <c r="L43" s="19">
        <f t="shared" si="4"/>
        <v>0</v>
      </c>
      <c r="M43" s="19">
        <f t="shared" si="4"/>
        <v>0</v>
      </c>
      <c r="N43" s="19">
        <f t="shared" si="4"/>
        <v>0</v>
      </c>
      <c r="O43" s="19">
        <f t="shared" si="4"/>
        <v>0</v>
      </c>
      <c r="P43" s="19">
        <f t="shared" si="4"/>
        <v>0</v>
      </c>
      <c r="Q43" s="19"/>
    </row>
    <row r="44" spans="1:17" x14ac:dyDescent="0.25">
      <c r="A44" s="8"/>
      <c r="C44" s="296"/>
      <c r="D44" s="296"/>
      <c r="E44" s="296"/>
      <c r="F44" s="296"/>
      <c r="G44" s="296"/>
      <c r="H44" s="296"/>
      <c r="I44" s="28"/>
      <c r="J44" s="28"/>
      <c r="K44" s="28"/>
      <c r="L44" s="28"/>
      <c r="M44" s="28"/>
      <c r="N44" s="28"/>
      <c r="O44" s="28"/>
      <c r="P44" s="28"/>
    </row>
    <row r="45" spans="1:17" x14ac:dyDescent="0.25">
      <c r="A45" s="1064" t="s">
        <v>515</v>
      </c>
      <c r="B45" s="2" t="s">
        <v>510</v>
      </c>
      <c r="C45" s="294"/>
      <c r="D45" s="294"/>
      <c r="E45" s="294"/>
      <c r="F45" s="294"/>
      <c r="G45" s="294"/>
      <c r="H45" s="294"/>
      <c r="I45" s="16"/>
      <c r="J45" s="16"/>
      <c r="K45" s="16"/>
      <c r="L45" s="16"/>
      <c r="M45" s="16"/>
      <c r="N45" s="16"/>
      <c r="O45" s="16"/>
      <c r="P45" s="16"/>
      <c r="Q45" s="7"/>
    </row>
    <row r="46" spans="1:17" x14ac:dyDescent="0.25">
      <c r="A46" s="1064"/>
      <c r="B46" s="12" t="s">
        <v>525</v>
      </c>
      <c r="C46" s="294">
        <f>D77</f>
        <v>0</v>
      </c>
      <c r="D46" s="294">
        <f>E46*'Conversion Tables'!C41</f>
        <v>0</v>
      </c>
      <c r="E46" s="294">
        <f>C46*'Prac. Rec. Assumptions'!B38</f>
        <v>0</v>
      </c>
      <c r="F46" s="294">
        <f>$E46</f>
        <v>0</v>
      </c>
      <c r="G46" s="294">
        <f>$E46</f>
        <v>0</v>
      </c>
      <c r="H46" s="294">
        <f>$E46</f>
        <v>0</v>
      </c>
      <c r="I46" s="16" t="str">
        <f>IF('Conversion Tables'!F41="NA","NA",(E46*'Conversion Tables'!$C41)/'Conversion Tables'!F41)</f>
        <v>NA</v>
      </c>
      <c r="J46" s="16" t="str">
        <f>IF('Conversion Tables'!G41="NA","NA",(F46*'Conversion Tables'!$C41)/'Conversion Tables'!G41)</f>
        <v>NA</v>
      </c>
      <c r="K46" s="16" t="str">
        <f>IF('Conversion Tables'!H41="NA","NA",(G46*'Conversion Tables'!$C41)/'Conversion Tables'!H41)</f>
        <v>NA</v>
      </c>
      <c r="L46" s="16" t="str">
        <f>IF('Conversion Tables'!I41="NA","NA",(H46*'Conversion Tables'!$C41)/'Conversion Tables'!I41)</f>
        <v>NA</v>
      </c>
      <c r="M46" s="16" t="str">
        <f>IF('Conversion Tables'!K41="NA","NA",E46*'Conversion Tables'!K41)</f>
        <v>NA</v>
      </c>
      <c r="N46" s="16" t="str">
        <f>IF('Conversion Tables'!L41="NA","NA",F46*'Conversion Tables'!L41)</f>
        <v>NA</v>
      </c>
      <c r="O46" s="16" t="str">
        <f>IF('Conversion Tables'!M41="NA","NA",G46*'Conversion Tables'!M41)</f>
        <v>NA</v>
      </c>
      <c r="P46" s="16" t="str">
        <f>IF('Conversion Tables'!N41="NA","NA",H46*'Conversion Tables'!N41)</f>
        <v>NA</v>
      </c>
      <c r="Q46" s="15"/>
    </row>
    <row r="47" spans="1:17" x14ac:dyDescent="0.25">
      <c r="A47" s="1065"/>
      <c r="B47" s="2" t="s">
        <v>508</v>
      </c>
      <c r="C47" s="294">
        <f t="shared" ref="C47:C48" si="5">C148</f>
        <v>1874.5852400000003</v>
      </c>
      <c r="D47" s="294"/>
      <c r="E47" s="294">
        <f>C47*'Prac. Rec. Assumptions'!B39</f>
        <v>937.29262000000017</v>
      </c>
      <c r="F47" s="294">
        <f>($C47*(1+'Biomass Data Assumptions'!G$107))*'Prac. Rec. Assumptions'!$B39</f>
        <v>939.40363941441467</v>
      </c>
      <c r="G47" s="294">
        <f>($C47*(1+'Biomass Data Assumptions'!H$107))*'Prac. Rec. Assumptions'!$B39</f>
        <v>941.70656968468484</v>
      </c>
      <c r="H47" s="294">
        <f>($C47*(1+'Biomass Data Assumptions'!I$107))*'Prac. Rec. Assumptions'!$B39</f>
        <v>945.35287594594604</v>
      </c>
      <c r="I47" s="16" t="str">
        <f>IF('Conversion Tables'!F42="NA","NA",(E47*'Conversion Tables'!$C42)/'Conversion Tables'!F42)</f>
        <v>NA</v>
      </c>
      <c r="J47" s="16" t="str">
        <f>IF('Conversion Tables'!G42="NA","NA",(F47*'Conversion Tables'!$C42)/'Conversion Tables'!G42)</f>
        <v>NA</v>
      </c>
      <c r="K47" s="16" t="str">
        <f>IF('Conversion Tables'!H42="NA","NA",(G47*'Conversion Tables'!$C42)/'Conversion Tables'!H42)</f>
        <v>NA</v>
      </c>
      <c r="L47" s="16" t="str">
        <f>IF('Conversion Tables'!I42="NA","NA",(H47*'Conversion Tables'!$C42)/'Conversion Tables'!I42)</f>
        <v>NA</v>
      </c>
      <c r="M47" s="16" t="str">
        <f>IF('Conversion Tables'!K42="NA","NA",E47*'Conversion Tables'!K42)</f>
        <v>NA</v>
      </c>
      <c r="N47" s="16" t="str">
        <f>IF('Conversion Tables'!L42="NA","NA",F47*'Conversion Tables'!L42)</f>
        <v>NA</v>
      </c>
      <c r="O47" s="16" t="str">
        <f>IF('Conversion Tables'!M42="NA","NA",G47*'Conversion Tables'!M42)</f>
        <v>NA</v>
      </c>
      <c r="P47" s="16" t="str">
        <f>IF('Conversion Tables'!N42="NA","NA",H47*'Conversion Tables'!N42)</f>
        <v>NA</v>
      </c>
      <c r="Q47" s="7"/>
    </row>
    <row r="48" spans="1:17" x14ac:dyDescent="0.25">
      <c r="A48" s="1065"/>
      <c r="B48" s="1" t="s">
        <v>509</v>
      </c>
      <c r="C48" s="294">
        <f t="shared" si="5"/>
        <v>167.53479049999999</v>
      </c>
      <c r="D48" s="294"/>
      <c r="E48" s="294">
        <f>C48*'Prac. Rec. Assumptions'!B40</f>
        <v>167.53479049999999</v>
      </c>
      <c r="F48" s="294">
        <f>($C48*(1+'Biomass Data Assumptions'!G$107))*'Prac. Rec. Assumptions'!$B40</f>
        <v>167.91212110923422</v>
      </c>
      <c r="G48" s="294">
        <f>($C48*(1+'Biomass Data Assumptions'!H$107))*'Prac. Rec. Assumptions'!$B40</f>
        <v>168.3237545011261</v>
      </c>
      <c r="H48" s="294">
        <f>($C48*(1+'Biomass Data Assumptions'!I$107))*'Prac. Rec. Assumptions'!$B40</f>
        <v>168.9755073716216</v>
      </c>
      <c r="I48" s="16" t="str">
        <f>IF('Conversion Tables'!F43="NA","NA",(E48*'Conversion Tables'!$C43)/'Conversion Tables'!F43)</f>
        <v>NA</v>
      </c>
      <c r="J48" s="16" t="str">
        <f>IF('Conversion Tables'!G43="NA","NA",(F48*'Conversion Tables'!$C43)/'Conversion Tables'!G43)</f>
        <v>NA</v>
      </c>
      <c r="K48" s="16" t="str">
        <f>IF('Conversion Tables'!H43="NA","NA",(G48*'Conversion Tables'!$C43)/'Conversion Tables'!H43)</f>
        <v>NA</v>
      </c>
      <c r="L48" s="16" t="str">
        <f>IF('Conversion Tables'!I43="NA","NA",(H48*'Conversion Tables'!$C43)/'Conversion Tables'!I43)</f>
        <v>NA</v>
      </c>
      <c r="M48" s="16" t="str">
        <f>IF('Conversion Tables'!K43="NA","NA",E48*'Conversion Tables'!K43)</f>
        <v>NA</v>
      </c>
      <c r="N48" s="16" t="str">
        <f>IF('Conversion Tables'!L43="NA","NA",F48*'Conversion Tables'!L43)</f>
        <v>NA</v>
      </c>
      <c r="O48" s="16" t="str">
        <f>IF('Conversion Tables'!M43="NA","NA",G48*'Conversion Tables'!M43)</f>
        <v>NA</v>
      </c>
      <c r="P48" s="16" t="str">
        <f>IF('Conversion Tables'!N43="NA","NA",H48*'Conversion Tables'!N43)</f>
        <v>NA</v>
      </c>
      <c r="Q48" s="7"/>
    </row>
    <row r="49" spans="1:17" x14ac:dyDescent="0.25">
      <c r="A49" s="1065"/>
      <c r="B49" s="9" t="s">
        <v>524</v>
      </c>
      <c r="C49" s="295">
        <f t="shared" ref="C49:P49" si="6">SUM(C45:C48)</f>
        <v>2042.1200305000002</v>
      </c>
      <c r="D49" s="295">
        <f>SUM(D45:D48)</f>
        <v>0</v>
      </c>
      <c r="E49" s="295">
        <f t="shared" si="6"/>
        <v>1104.8274105</v>
      </c>
      <c r="F49" s="295">
        <f>SUM(F45:F48)</f>
        <v>1107.3157605236488</v>
      </c>
      <c r="G49" s="295">
        <f>SUM(G45:G48)</f>
        <v>1110.030324185811</v>
      </c>
      <c r="H49" s="295">
        <f>SUM(H45:H48)</f>
        <v>1114.3283833175676</v>
      </c>
      <c r="I49" s="19">
        <f t="shared" si="6"/>
        <v>0</v>
      </c>
      <c r="J49" s="19">
        <f t="shared" si="6"/>
        <v>0</v>
      </c>
      <c r="K49" s="19">
        <f t="shared" si="6"/>
        <v>0</v>
      </c>
      <c r="L49" s="19">
        <f t="shared" si="6"/>
        <v>0</v>
      </c>
      <c r="M49" s="19">
        <f t="shared" si="6"/>
        <v>0</v>
      </c>
      <c r="N49" s="19">
        <f t="shared" si="6"/>
        <v>0</v>
      </c>
      <c r="O49" s="19">
        <f t="shared" si="6"/>
        <v>0</v>
      </c>
      <c r="P49" s="19">
        <f t="shared" si="6"/>
        <v>0</v>
      </c>
      <c r="Q49" s="19"/>
    </row>
    <row r="50" spans="1:17" x14ac:dyDescent="0.25">
      <c r="A50" s="8"/>
      <c r="C50" s="296"/>
      <c r="D50" s="296"/>
      <c r="E50" s="296"/>
      <c r="F50" s="296"/>
      <c r="G50" s="296"/>
      <c r="H50" s="296"/>
      <c r="I50" s="28"/>
      <c r="J50" s="28"/>
      <c r="K50" s="28"/>
      <c r="L50" s="28"/>
      <c r="M50" s="28"/>
      <c r="N50" s="28"/>
      <c r="O50" s="28"/>
      <c r="P50" s="28"/>
    </row>
    <row r="51" spans="1:17" x14ac:dyDescent="0.25">
      <c r="A51" s="1200" t="s">
        <v>517</v>
      </c>
      <c r="B51" s="2" t="s">
        <v>505</v>
      </c>
      <c r="C51" s="294"/>
      <c r="D51" s="294"/>
      <c r="E51" s="294"/>
      <c r="F51" s="294"/>
      <c r="G51" s="294"/>
      <c r="H51" s="294"/>
      <c r="I51" s="16"/>
      <c r="J51" s="16"/>
      <c r="K51" s="16"/>
      <c r="L51" s="16"/>
      <c r="M51" s="16"/>
      <c r="N51" s="16"/>
      <c r="O51" s="16"/>
      <c r="P51" s="16"/>
      <c r="Q51" s="7"/>
    </row>
    <row r="52" spans="1:17" x14ac:dyDescent="0.25">
      <c r="A52" s="1201"/>
      <c r="B52" s="12" t="s">
        <v>535</v>
      </c>
      <c r="C52" s="294">
        <f>G97</f>
        <v>20.393280000000001</v>
      </c>
      <c r="D52" s="299">
        <f>E52*'Conversion Tables'!C45</f>
        <v>60.217277184000004</v>
      </c>
      <c r="E52" s="299">
        <f>C52*'Prac. Rec. Assumptions'!B42</f>
        <v>4.0786560000000005</v>
      </c>
      <c r="F52" s="294">
        <f t="shared" ref="F52:H59" si="7">$E52</f>
        <v>4.0786560000000005</v>
      </c>
      <c r="G52" s="294">
        <f t="shared" si="7"/>
        <v>4.0786560000000005</v>
      </c>
      <c r="H52" s="294">
        <f t="shared" si="7"/>
        <v>4.0786560000000005</v>
      </c>
      <c r="I52" s="16" t="str">
        <f>IF('Conversion Tables'!F45="NA","NA",(E52*'Conversion Tables'!$C45)/'Conversion Tables'!F45)</f>
        <v>NA</v>
      </c>
      <c r="J52" s="16" t="str">
        <f>IF('Conversion Tables'!G45="NA","NA",(F52*'Conversion Tables'!$C45)/'Conversion Tables'!G45)</f>
        <v>NA</v>
      </c>
      <c r="K52" s="16" t="str">
        <f>IF('Conversion Tables'!H45="NA","NA",(G52*'Conversion Tables'!$C45)/'Conversion Tables'!H45)</f>
        <v>NA</v>
      </c>
      <c r="L52" s="16" t="str">
        <f>IF('Conversion Tables'!I45="NA","NA",(H52*'Conversion Tables'!$C45)/'Conversion Tables'!I45)</f>
        <v>NA</v>
      </c>
      <c r="M52" s="16" t="str">
        <f>IF('Conversion Tables'!K45="NA","NA",E52*'Conversion Tables'!K45)</f>
        <v>NA</v>
      </c>
      <c r="N52" s="16" t="str">
        <f>IF('Conversion Tables'!L45="NA","NA",F52*'Conversion Tables'!L45)</f>
        <v>NA</v>
      </c>
      <c r="O52" s="16" t="str">
        <f>IF('Conversion Tables'!M45="NA","NA",G52*'Conversion Tables'!M45)</f>
        <v>NA</v>
      </c>
      <c r="P52" s="16" t="str">
        <f>IF('Conversion Tables'!N45="NA","NA",H52*'Conversion Tables'!N45)</f>
        <v>NA</v>
      </c>
      <c r="Q52" s="27"/>
    </row>
    <row r="53" spans="1:17" x14ac:dyDescent="0.25">
      <c r="A53" s="1201"/>
      <c r="B53" s="12" t="s">
        <v>539</v>
      </c>
      <c r="C53" s="294">
        <f>G104</f>
        <v>48.73845</v>
      </c>
      <c r="D53" s="299">
        <f>E53*'Conversion Tables'!C46</f>
        <v>431.74468547999999</v>
      </c>
      <c r="E53" s="299">
        <f>C53*'Prac. Rec. Assumptions'!B43</f>
        <v>29.243069999999999</v>
      </c>
      <c r="F53" s="294">
        <f t="shared" si="7"/>
        <v>29.243069999999999</v>
      </c>
      <c r="G53" s="294">
        <f t="shared" si="7"/>
        <v>29.243069999999999</v>
      </c>
      <c r="H53" s="294">
        <f t="shared" si="7"/>
        <v>29.243069999999999</v>
      </c>
      <c r="I53" s="16" t="str">
        <f>IF('Conversion Tables'!F46="NA","NA",(E53*'Conversion Tables'!$C46)/'Conversion Tables'!F46)</f>
        <v>NA</v>
      </c>
      <c r="J53" s="16" t="str">
        <f>IF('Conversion Tables'!G46="NA","NA",(F53*'Conversion Tables'!$C46)/'Conversion Tables'!G46)</f>
        <v>NA</v>
      </c>
      <c r="K53" s="16" t="str">
        <f>IF('Conversion Tables'!H46="NA","NA",(G53*'Conversion Tables'!$C46)/'Conversion Tables'!H46)</f>
        <v>NA</v>
      </c>
      <c r="L53" s="16" t="str">
        <f>IF('Conversion Tables'!I46="NA","NA",(H53*'Conversion Tables'!$C46)/'Conversion Tables'!I46)</f>
        <v>NA</v>
      </c>
      <c r="M53" s="16" t="str">
        <f>IF('Conversion Tables'!K46="NA","NA",E53*'Conversion Tables'!K46)</f>
        <v>NA</v>
      </c>
      <c r="N53" s="16" t="str">
        <f>IF('Conversion Tables'!L46="NA","NA",F53*'Conversion Tables'!L46)</f>
        <v>NA</v>
      </c>
      <c r="O53" s="16" t="str">
        <f>IF('Conversion Tables'!M46="NA","NA",G53*'Conversion Tables'!M46)</f>
        <v>NA</v>
      </c>
      <c r="P53" s="16" t="str">
        <f>IF('Conversion Tables'!N46="NA","NA",H53*'Conversion Tables'!N46)</f>
        <v>NA</v>
      </c>
      <c r="Q53" s="27"/>
    </row>
    <row r="54" spans="1:17" x14ac:dyDescent="0.25">
      <c r="A54" s="1201"/>
      <c r="B54" s="12" t="s">
        <v>545</v>
      </c>
      <c r="C54" s="294">
        <f>G106</f>
        <v>1471.6608375000001</v>
      </c>
      <c r="D54" s="299">
        <f>E54*'Conversion Tables'!C47</f>
        <v>13036.560362910001</v>
      </c>
      <c r="E54" s="299">
        <f>C54*'Prac. Rec. Assumptions'!B44</f>
        <v>882.99650250000002</v>
      </c>
      <c r="F54" s="294">
        <f t="shared" si="7"/>
        <v>882.99650250000002</v>
      </c>
      <c r="G54" s="294">
        <f t="shared" si="7"/>
        <v>882.99650250000002</v>
      </c>
      <c r="H54" s="294">
        <f t="shared" si="7"/>
        <v>882.99650250000002</v>
      </c>
      <c r="I54" s="16" t="str">
        <f>IF('Conversion Tables'!F47="NA","NA",(E54*'Conversion Tables'!$C47)/'Conversion Tables'!F47)</f>
        <v>NA</v>
      </c>
      <c r="J54" s="16" t="str">
        <f>IF('Conversion Tables'!G47="NA","NA",(F54*'Conversion Tables'!$C47)/'Conversion Tables'!G47)</f>
        <v>NA</v>
      </c>
      <c r="K54" s="16" t="str">
        <f>IF('Conversion Tables'!H47="NA","NA",(G54*'Conversion Tables'!$C47)/'Conversion Tables'!H47)</f>
        <v>NA</v>
      </c>
      <c r="L54" s="16" t="str">
        <f>IF('Conversion Tables'!I47="NA","NA",(H54*'Conversion Tables'!$C47)/'Conversion Tables'!I47)</f>
        <v>NA</v>
      </c>
      <c r="M54" s="16" t="str">
        <f>IF('Conversion Tables'!K47="NA","NA",E54*'Conversion Tables'!K47)</f>
        <v>NA</v>
      </c>
      <c r="N54" s="16" t="str">
        <f>IF('Conversion Tables'!L47="NA","NA",F54*'Conversion Tables'!L47)</f>
        <v>NA</v>
      </c>
      <c r="O54" s="16" t="str">
        <f>IF('Conversion Tables'!M47="NA","NA",G54*'Conversion Tables'!M47)</f>
        <v>NA</v>
      </c>
      <c r="P54" s="16" t="str">
        <f>IF('Conversion Tables'!N47="NA","NA",H54*'Conversion Tables'!N47)</f>
        <v>NA</v>
      </c>
      <c r="Q54" s="27"/>
    </row>
    <row r="55" spans="1:17" x14ac:dyDescent="0.25">
      <c r="A55" s="1201"/>
      <c r="B55" s="12" t="s">
        <v>546</v>
      </c>
      <c r="C55" s="294">
        <f>G108</f>
        <v>11.178125</v>
      </c>
      <c r="D55" s="299">
        <f>E55*'Conversion Tables'!C48</f>
        <v>33.006767500000002</v>
      </c>
      <c r="E55" s="299">
        <f>C55*'Prac. Rec. Assumptions'!B45</f>
        <v>2.2356250000000002</v>
      </c>
      <c r="F55" s="294">
        <f t="shared" si="7"/>
        <v>2.2356250000000002</v>
      </c>
      <c r="G55" s="294">
        <f t="shared" si="7"/>
        <v>2.2356250000000002</v>
      </c>
      <c r="H55" s="294">
        <f t="shared" si="7"/>
        <v>2.2356250000000002</v>
      </c>
      <c r="I55" s="16" t="str">
        <f>IF('Conversion Tables'!F48="NA","NA",(E55*'Conversion Tables'!$C48)/'Conversion Tables'!F48)</f>
        <v>NA</v>
      </c>
      <c r="J55" s="16" t="str">
        <f>IF('Conversion Tables'!G48="NA","NA",(F55*'Conversion Tables'!$C48)/'Conversion Tables'!G48)</f>
        <v>NA</v>
      </c>
      <c r="K55" s="16" t="str">
        <f>IF('Conversion Tables'!H48="NA","NA",(G55*'Conversion Tables'!$C48)/'Conversion Tables'!H48)</f>
        <v>NA</v>
      </c>
      <c r="L55" s="16" t="str">
        <f>IF('Conversion Tables'!I48="NA","NA",(H55*'Conversion Tables'!$C48)/'Conversion Tables'!I48)</f>
        <v>NA</v>
      </c>
      <c r="M55" s="16" t="str">
        <f>IF('Conversion Tables'!K48="NA","NA",E55*'Conversion Tables'!K48)</f>
        <v>NA</v>
      </c>
      <c r="N55" s="16" t="str">
        <f>IF('Conversion Tables'!L48="NA","NA",F55*'Conversion Tables'!L48)</f>
        <v>NA</v>
      </c>
      <c r="O55" s="16" t="str">
        <f>IF('Conversion Tables'!M48="NA","NA",G55*'Conversion Tables'!M48)</f>
        <v>NA</v>
      </c>
      <c r="P55" s="16" t="str">
        <f>IF('Conversion Tables'!N48="NA","NA",H55*'Conversion Tables'!N48)</f>
        <v>NA</v>
      </c>
      <c r="Q55" s="27"/>
    </row>
    <row r="56" spans="1:17" x14ac:dyDescent="0.25">
      <c r="A56" s="1201"/>
      <c r="B56" s="12" t="s">
        <v>547</v>
      </c>
      <c r="C56" s="294">
        <f>G110</f>
        <v>24.555375000000002</v>
      </c>
      <c r="D56" s="299">
        <f>E56*'Conversion Tables'!C49</f>
        <v>72.507111300000005</v>
      </c>
      <c r="E56" s="299">
        <f>C56*'Prac. Rec. Assumptions'!B46</f>
        <v>4.9110750000000003</v>
      </c>
      <c r="F56" s="294">
        <f t="shared" si="7"/>
        <v>4.9110750000000003</v>
      </c>
      <c r="G56" s="294">
        <f t="shared" si="7"/>
        <v>4.9110750000000003</v>
      </c>
      <c r="H56" s="294">
        <f t="shared" si="7"/>
        <v>4.9110750000000003</v>
      </c>
      <c r="I56" s="16" t="str">
        <f>IF('Conversion Tables'!F49="NA","NA",(E56*'Conversion Tables'!$C49)/'Conversion Tables'!F49)</f>
        <v>NA</v>
      </c>
      <c r="J56" s="16" t="str">
        <f>IF('Conversion Tables'!G49="NA","NA",(F56*'Conversion Tables'!$C49)/'Conversion Tables'!G49)</f>
        <v>NA</v>
      </c>
      <c r="K56" s="16" t="str">
        <f>IF('Conversion Tables'!H49="NA","NA",(G56*'Conversion Tables'!$C49)/'Conversion Tables'!H49)</f>
        <v>NA</v>
      </c>
      <c r="L56" s="16" t="str">
        <f>IF('Conversion Tables'!I49="NA","NA",(H56*'Conversion Tables'!$C49)/'Conversion Tables'!I49)</f>
        <v>NA</v>
      </c>
      <c r="M56" s="16" t="str">
        <f>IF('Conversion Tables'!K49="NA","NA",E56*'Conversion Tables'!K49)</f>
        <v>NA</v>
      </c>
      <c r="N56" s="16" t="str">
        <f>IF('Conversion Tables'!L49="NA","NA",F56*'Conversion Tables'!L49)</f>
        <v>NA</v>
      </c>
      <c r="O56" s="16" t="str">
        <f>IF('Conversion Tables'!M49="NA","NA",G56*'Conversion Tables'!M49)</f>
        <v>NA</v>
      </c>
      <c r="P56" s="16" t="str">
        <f>IF('Conversion Tables'!N49="NA","NA",H56*'Conversion Tables'!N49)</f>
        <v>NA</v>
      </c>
      <c r="Q56" s="27"/>
    </row>
    <row r="57" spans="1:17" x14ac:dyDescent="0.25">
      <c r="A57" s="1201"/>
      <c r="B57" s="133" t="s">
        <v>605</v>
      </c>
      <c r="C57" s="294">
        <f>G115</f>
        <v>7.2908749999999998</v>
      </c>
      <c r="D57" s="299">
        <f>E57*'Conversion Tables'!C50</f>
        <v>53.821239249999998</v>
      </c>
      <c r="E57" s="299">
        <f>C57*'Prac. Rec. Assumptions'!B47</f>
        <v>3.6454374999999999</v>
      </c>
      <c r="F57" s="294">
        <f t="shared" si="7"/>
        <v>3.6454374999999999</v>
      </c>
      <c r="G57" s="294">
        <f t="shared" si="7"/>
        <v>3.6454374999999999</v>
      </c>
      <c r="H57" s="294">
        <f t="shared" si="7"/>
        <v>3.6454374999999999</v>
      </c>
      <c r="I57" s="16" t="str">
        <f>IF('Conversion Tables'!F50="NA","NA",(E57*'Conversion Tables'!$C50)/'Conversion Tables'!F50)</f>
        <v>NA</v>
      </c>
      <c r="J57" s="16" t="str">
        <f>IF('Conversion Tables'!G50="NA","NA",(F57*'Conversion Tables'!$C50)/'Conversion Tables'!G50)</f>
        <v>NA</v>
      </c>
      <c r="K57" s="16" t="str">
        <f>IF('Conversion Tables'!H50="NA","NA",(G57*'Conversion Tables'!$C50)/'Conversion Tables'!H50)</f>
        <v>NA</v>
      </c>
      <c r="L57" s="16" t="str">
        <f>IF('Conversion Tables'!I50="NA","NA",(H57*'Conversion Tables'!$C50)/'Conversion Tables'!I50)</f>
        <v>NA</v>
      </c>
      <c r="M57" s="16" t="str">
        <f>IF('Conversion Tables'!K50="NA","NA",E57*'Conversion Tables'!K50)</f>
        <v>NA</v>
      </c>
      <c r="N57" s="16" t="str">
        <f>IF('Conversion Tables'!L50="NA","NA",F57*'Conversion Tables'!L50)</f>
        <v>NA</v>
      </c>
      <c r="O57" s="16" t="str">
        <f>IF('Conversion Tables'!M50="NA","NA",G57*'Conversion Tables'!M50)</f>
        <v>NA</v>
      </c>
      <c r="P57" s="16" t="str">
        <f>IF('Conversion Tables'!N50="NA","NA",H57*'Conversion Tables'!N50)</f>
        <v>NA</v>
      </c>
      <c r="Q57" s="27"/>
    </row>
    <row r="58" spans="1:17" x14ac:dyDescent="0.25">
      <c r="A58" s="1201"/>
      <c r="B58" s="12" t="s">
        <v>551</v>
      </c>
      <c r="C58" s="294">
        <f>G117</f>
        <v>8.8968749999999996</v>
      </c>
      <c r="D58" s="299">
        <f>E58*'Conversion Tables'!C51</f>
        <v>106.76249999999999</v>
      </c>
      <c r="E58" s="299">
        <f>C58*'Prac. Rec. Assumptions'!B48</f>
        <v>8.8968749999999996</v>
      </c>
      <c r="F58" s="294">
        <f t="shared" si="7"/>
        <v>8.8968749999999996</v>
      </c>
      <c r="G58" s="294">
        <f t="shared" si="7"/>
        <v>8.8968749999999996</v>
      </c>
      <c r="H58" s="294">
        <f t="shared" si="7"/>
        <v>8.8968749999999996</v>
      </c>
      <c r="I58" s="16" t="str">
        <f>IF('Conversion Tables'!F51="NA","NA",(E58*'Conversion Tables'!$C51)/'Conversion Tables'!F51)</f>
        <v>NA</v>
      </c>
      <c r="J58" s="16" t="str">
        <f>IF('Conversion Tables'!G51="NA","NA",(F58*'Conversion Tables'!$C51)/'Conversion Tables'!G51)</f>
        <v>NA</v>
      </c>
      <c r="K58" s="16" t="str">
        <f>IF('Conversion Tables'!H51="NA","NA",(G58*'Conversion Tables'!$C51)/'Conversion Tables'!H51)</f>
        <v>NA</v>
      </c>
      <c r="L58" s="16" t="str">
        <f>IF('Conversion Tables'!I51="NA","NA",(H58*'Conversion Tables'!$C51)/'Conversion Tables'!I51)</f>
        <v>NA</v>
      </c>
      <c r="M58" s="16" t="str">
        <f>IF('Conversion Tables'!K51="NA","NA",E58*'Conversion Tables'!K51)</f>
        <v>NA</v>
      </c>
      <c r="N58" s="16" t="str">
        <f>IF('Conversion Tables'!L51="NA","NA",F58*'Conversion Tables'!L51)</f>
        <v>NA</v>
      </c>
      <c r="O58" s="16" t="str">
        <f>IF('Conversion Tables'!M51="NA","NA",G58*'Conversion Tables'!M51)</f>
        <v>NA</v>
      </c>
      <c r="P58" s="16" t="str">
        <f>IF('Conversion Tables'!N51="NA","NA",H58*'Conversion Tables'!N51)</f>
        <v>NA</v>
      </c>
      <c r="Q58" s="27"/>
    </row>
    <row r="59" spans="1:17" x14ac:dyDescent="0.25">
      <c r="A59" s="1201"/>
      <c r="B59" s="12" t="s">
        <v>552</v>
      </c>
      <c r="C59" s="294">
        <f>G119</f>
        <v>2.5253437500000002</v>
      </c>
      <c r="D59" s="299">
        <f>E59*'Conversion Tables'!C52</f>
        <v>37.284175125000004</v>
      </c>
      <c r="E59" s="299">
        <f>C59*'Prac. Rec. Assumptions'!B49</f>
        <v>2.5253437500000002</v>
      </c>
      <c r="F59" s="294">
        <f t="shared" si="7"/>
        <v>2.5253437500000002</v>
      </c>
      <c r="G59" s="294">
        <f t="shared" si="7"/>
        <v>2.5253437500000002</v>
      </c>
      <c r="H59" s="294">
        <f t="shared" si="7"/>
        <v>2.5253437500000002</v>
      </c>
      <c r="I59" s="16" t="str">
        <f>IF('Conversion Tables'!F52="NA","NA",(E59*'Conversion Tables'!$C52)/'Conversion Tables'!F52)</f>
        <v>NA</v>
      </c>
      <c r="J59" s="16" t="str">
        <f>IF('Conversion Tables'!G52="NA","NA",(F59*'Conversion Tables'!$C52)/'Conversion Tables'!G52)</f>
        <v>NA</v>
      </c>
      <c r="K59" s="16" t="str">
        <f>IF('Conversion Tables'!H52="NA","NA",(G59*'Conversion Tables'!$C52)/'Conversion Tables'!H52)</f>
        <v>NA</v>
      </c>
      <c r="L59" s="16" t="str">
        <f>IF('Conversion Tables'!I52="NA","NA",(H59*'Conversion Tables'!$C52)/'Conversion Tables'!I52)</f>
        <v>NA</v>
      </c>
      <c r="M59" s="16" t="str">
        <f>IF('Conversion Tables'!K52="NA","NA",E59*'Conversion Tables'!K52)</f>
        <v>NA</v>
      </c>
      <c r="N59" s="16" t="str">
        <f>IF('Conversion Tables'!L52="NA","NA",F59*'Conversion Tables'!L52)</f>
        <v>NA</v>
      </c>
      <c r="O59" s="16" t="str">
        <f>IF('Conversion Tables'!M52="NA","NA",G59*'Conversion Tables'!M52)</f>
        <v>NA</v>
      </c>
      <c r="P59" s="16" t="str">
        <f>IF('Conversion Tables'!N52="NA","NA",H59*'Conversion Tables'!N52)</f>
        <v>NA</v>
      </c>
      <c r="Q59" s="27"/>
    </row>
    <row r="60" spans="1:17" x14ac:dyDescent="0.25">
      <c r="A60" s="1202"/>
      <c r="B60" s="129" t="s">
        <v>305</v>
      </c>
      <c r="C60" s="294">
        <f>'Biomass Data Assumptions'!AE22</f>
        <v>1749.1455079999998</v>
      </c>
      <c r="D60" s="299">
        <f>E60*'Conversion Tables'!C53</f>
        <v>20989.746095999999</v>
      </c>
      <c r="E60" s="299">
        <f>C60*'Prac. Rec. Assumptions'!B50</f>
        <v>1749.1455079999998</v>
      </c>
      <c r="F60" s="294">
        <f>($C60*(1+'Biomass Data Assumptions'!G$107*(4/5)))*'Prac. Rec. Assumptions'!$B50</f>
        <v>1752.2971215279276</v>
      </c>
      <c r="G60" s="294">
        <f>($C60*(1+'Biomass Data Assumptions'!H$107*(9/10)))*'Prac. Rec. Assumptions'!$B50</f>
        <v>1756.5589625486484</v>
      </c>
      <c r="H60" s="294">
        <f>($C60*(1+'Biomass Data Assumptions'!I$107*(14/15)))*'Prac. Rec. Assumptions'!$B50</f>
        <v>1763.1845137153152</v>
      </c>
      <c r="I60" s="16" t="str">
        <f>IF('Conversion Tables'!F53="NA","NA",(E60*'Conversion Tables'!$C53)/'Conversion Tables'!F53)</f>
        <v>NA</v>
      </c>
      <c r="J60" s="16" t="str">
        <f>IF('Conversion Tables'!G53="NA","NA",(F60*'Conversion Tables'!$C53)/'Conversion Tables'!G53)</f>
        <v>NA</v>
      </c>
      <c r="K60" s="16" t="str">
        <f>IF('Conversion Tables'!H53="NA","NA",(G60*'Conversion Tables'!$C53)/'Conversion Tables'!H53)</f>
        <v>NA</v>
      </c>
      <c r="L60" s="16" t="str">
        <f>IF('Conversion Tables'!I53="NA","NA",(H60*'Conversion Tables'!$C53)/'Conversion Tables'!I53)</f>
        <v>NA</v>
      </c>
      <c r="M60" s="16" t="str">
        <f>IF('Conversion Tables'!K53="NA","NA",E60*'Conversion Tables'!K53)</f>
        <v>NA</v>
      </c>
      <c r="N60" s="16" t="str">
        <f>IF('Conversion Tables'!L53="NA","NA",F60*'Conversion Tables'!L53)</f>
        <v>NA</v>
      </c>
      <c r="O60" s="16" t="str">
        <f>IF('Conversion Tables'!M53="NA","NA",G60*'Conversion Tables'!M53)</f>
        <v>NA</v>
      </c>
      <c r="P60" s="16" t="str">
        <f>IF('Conversion Tables'!N53="NA","NA",H60*'Conversion Tables'!N53)</f>
        <v>NA</v>
      </c>
      <c r="Q60" s="7"/>
    </row>
    <row r="61" spans="1:17" x14ac:dyDescent="0.25">
      <c r="A61" s="1202"/>
      <c r="B61" s="9" t="s">
        <v>257</v>
      </c>
      <c r="C61" s="295">
        <f>SUM(C52:C60)</f>
        <v>3344.3846692499997</v>
      </c>
      <c r="D61" s="295">
        <f>SUM(D52:D60)</f>
        <v>34821.650214748995</v>
      </c>
      <c r="E61" s="295">
        <f t="shared" ref="E61:P61" si="8">SUM(E52:E60)</f>
        <v>2687.6780927499999</v>
      </c>
      <c r="F61" s="295">
        <f>SUM(F52:F60)</f>
        <v>2690.8297062779275</v>
      </c>
      <c r="G61" s="295">
        <f>SUM(G52:G60)</f>
        <v>2695.0915472986485</v>
      </c>
      <c r="H61" s="295">
        <f>SUM(H52:H60)</f>
        <v>2701.7170984653153</v>
      </c>
      <c r="I61" s="19">
        <f t="shared" si="8"/>
        <v>0</v>
      </c>
      <c r="J61" s="19">
        <f t="shared" si="8"/>
        <v>0</v>
      </c>
      <c r="K61" s="19">
        <f t="shared" si="8"/>
        <v>0</v>
      </c>
      <c r="L61" s="19">
        <f t="shared" si="8"/>
        <v>0</v>
      </c>
      <c r="M61" s="19">
        <f t="shared" si="8"/>
        <v>0</v>
      </c>
      <c r="N61" s="19">
        <f t="shared" si="8"/>
        <v>0</v>
      </c>
      <c r="O61" s="19">
        <f t="shared" si="8"/>
        <v>0</v>
      </c>
      <c r="P61" s="19">
        <f t="shared" si="8"/>
        <v>0</v>
      </c>
      <c r="Q61" s="7"/>
    </row>
    <row r="62" spans="1:17" x14ac:dyDescent="0.25">
      <c r="A62" s="1202"/>
      <c r="B62" s="7" t="s">
        <v>256</v>
      </c>
      <c r="C62" s="298" t="s">
        <v>251</v>
      </c>
      <c r="D62" s="13"/>
      <c r="E62" s="298" t="s">
        <v>251</v>
      </c>
      <c r="F62" s="298"/>
      <c r="G62" s="298"/>
      <c r="H62" s="298"/>
      <c r="I62" s="7"/>
      <c r="J62" s="7"/>
      <c r="K62" s="7"/>
      <c r="L62" s="7"/>
      <c r="M62" s="7"/>
      <c r="N62" s="7"/>
      <c r="O62" s="7"/>
      <c r="P62" s="7"/>
      <c r="Q62" s="7"/>
    </row>
    <row r="63" spans="1:17" x14ac:dyDescent="0.25">
      <c r="A63" s="1203"/>
      <c r="B63" s="133" t="s">
        <v>304</v>
      </c>
      <c r="C63" s="294">
        <f>'Biomass Data Assumptions'!AB22</f>
        <v>28.294613850000001</v>
      </c>
      <c r="D63" s="300">
        <f>E63*'Conversion Tables'!C55</f>
        <v>17514.365973150001</v>
      </c>
      <c r="E63" s="299">
        <f>C63*'Prac. Rec. Assumptions'!B51</f>
        <v>28.294613850000001</v>
      </c>
      <c r="F63" s="294">
        <f>($C63*(1+'Biomass Data Assumptions'!G$107*(4/5)))*'Prac. Rec. Assumptions'!$B51</f>
        <v>28.345595136216218</v>
      </c>
      <c r="G63" s="294">
        <f>($C63*(1+'Biomass Data Assumptions'!H$107*(9/10)))*'Prac. Rec. Assumptions'!$B51</f>
        <v>28.41453573916769</v>
      </c>
      <c r="H63" s="294">
        <f>($C63*(1+'Biomass Data Assumptions'!I$107*(14/15)))*'Prac. Rec. Assumptions'!$B51</f>
        <v>28.521712306781332</v>
      </c>
      <c r="I63" s="16" t="str">
        <f>IF('Conversion Tables'!F55="NA","NA",(E63*'Conversion Tables'!$C55)/'Conversion Tables'!F55)</f>
        <v>NA</v>
      </c>
      <c r="J63" s="16" t="str">
        <f>IF('Conversion Tables'!G55="NA","NA",(F63*'Conversion Tables'!$C55)/'Conversion Tables'!G55)</f>
        <v>NA</v>
      </c>
      <c r="K63" s="16" t="str">
        <f>IF('Conversion Tables'!H55="NA","NA",(G63*'Conversion Tables'!$C55)/'Conversion Tables'!H55)</f>
        <v>NA</v>
      </c>
      <c r="L63" s="16" t="str">
        <f>IF('Conversion Tables'!I55="NA","NA",(H63*'Conversion Tables'!$C55)/'Conversion Tables'!I55)</f>
        <v>NA</v>
      </c>
      <c r="M63" s="16" t="str">
        <f>IF('Conversion Tables'!K55="NA","NA",E63*'Conversion Tables'!K55)</f>
        <v>NA</v>
      </c>
      <c r="N63" s="16" t="str">
        <f>IF('Conversion Tables'!L55="NA","NA",F63*'Conversion Tables'!L55)</f>
        <v>NA</v>
      </c>
      <c r="O63" s="16" t="str">
        <f>IF('Conversion Tables'!M55="NA","NA",G63*'Conversion Tables'!M55)</f>
        <v>NA</v>
      </c>
      <c r="P63" s="16" t="str">
        <f>IF('Conversion Tables'!N55="NA","NA",H63*'Conversion Tables'!N55)</f>
        <v>NA</v>
      </c>
      <c r="Q63" s="7"/>
    </row>
    <row r="64" spans="1:17" x14ac:dyDescent="0.25">
      <c r="A64" s="1204"/>
      <c r="B64" s="17" t="s">
        <v>512</v>
      </c>
      <c r="C64" s="294">
        <f>'Biomass Data Assumptions'!X22</f>
        <v>0</v>
      </c>
      <c r="D64" s="300">
        <f>E64*'Conversion Tables'!C56</f>
        <v>0</v>
      </c>
      <c r="E64" s="299">
        <f>C64*'Prac. Rec. Assumptions'!B52</f>
        <v>0</v>
      </c>
      <c r="F64" s="545">
        <f>($C64*(1+'Biomass Data Assumptions'!G$107*(3/5))*(1+('Biomass Data Assumptions'!C$82-((1+'Biomass Data Assumptions'!$B$82)^2 - 1))))*'Prac. Rec. Assumptions'!$B52</f>
        <v>0</v>
      </c>
      <c r="G64" s="545">
        <f>($C64*(1+'Biomass Data Assumptions'!H$107*(4/5))*(1+('Biomass Data Assumptions'!D$82-((1+'Biomass Data Assumptions'!$B$82)^2 - 1))))*'Prac. Rec. Assumptions'!$B52</f>
        <v>0</v>
      </c>
      <c r="H64" s="545">
        <f>($C64*(1+'Biomass Data Assumptions'!I$107*(13/15))*(1+('Biomass Data Assumptions'!E$82-((1+'Biomass Data Assumptions'!$B$82)^2 - 1))))*'Prac. Rec. Assumptions'!$B52</f>
        <v>0</v>
      </c>
      <c r="I64" s="16" t="str">
        <f>IF('Conversion Tables'!F56="NA","NA",(E64*'Conversion Tables'!$C56)/'Conversion Tables'!F56)</f>
        <v>NA</v>
      </c>
      <c r="J64" s="16" t="str">
        <f>IF('Conversion Tables'!G56="NA","NA",(F64*'Conversion Tables'!$C56)/'Conversion Tables'!G56)</f>
        <v>NA</v>
      </c>
      <c r="K64" s="16" t="str">
        <f>IF('Conversion Tables'!H56="NA","NA",(G64*'Conversion Tables'!$C56)/'Conversion Tables'!H56)</f>
        <v>NA</v>
      </c>
      <c r="L64" s="16" t="str">
        <f>IF('Conversion Tables'!I56="NA","NA",(H64*'Conversion Tables'!$C56)/'Conversion Tables'!I56)</f>
        <v>NA</v>
      </c>
      <c r="M64" s="16" t="str">
        <f>IF('Conversion Tables'!K56="NA","NA",E64*'Conversion Tables'!K56)</f>
        <v>NA</v>
      </c>
      <c r="N64" s="16" t="str">
        <f>IF('Conversion Tables'!L56="NA","NA",F64*'Conversion Tables'!L56)</f>
        <v>NA</v>
      </c>
      <c r="O64" s="16" t="str">
        <f>IF('Conversion Tables'!M56="NA","NA",G64*'Conversion Tables'!M56)</f>
        <v>NA</v>
      </c>
      <c r="P64" s="16" t="str">
        <f>IF('Conversion Tables'!N56="NA","NA",H64*'Conversion Tables'!N56)</f>
        <v>NA</v>
      </c>
      <c r="Q64" s="7"/>
    </row>
    <row r="65" spans="1:19" x14ac:dyDescent="0.25">
      <c r="A65" s="1204"/>
      <c r="B65" s="9" t="s">
        <v>248</v>
      </c>
      <c r="C65" s="295">
        <f>SUM(C63:C64)</f>
        <v>28.294613850000001</v>
      </c>
      <c r="D65" s="295">
        <f>SUM(D63:D64)</f>
        <v>17514.365973150001</v>
      </c>
      <c r="E65" s="295">
        <f t="shared" ref="E65:P65" si="9">SUM(E63:E64)</f>
        <v>28.294613850000001</v>
      </c>
      <c r="F65" s="295">
        <f>SUM(F63:F64)</f>
        <v>28.345595136216218</v>
      </c>
      <c r="G65" s="295">
        <f>SUM(G63:G64)</f>
        <v>28.41453573916769</v>
      </c>
      <c r="H65" s="295">
        <f>SUM(H63:H64)</f>
        <v>28.521712306781332</v>
      </c>
      <c r="I65" s="19">
        <f t="shared" si="9"/>
        <v>0</v>
      </c>
      <c r="J65" s="19">
        <f t="shared" si="9"/>
        <v>0</v>
      </c>
      <c r="K65" s="19">
        <f t="shared" si="9"/>
        <v>0</v>
      </c>
      <c r="L65" s="19">
        <f t="shared" si="9"/>
        <v>0</v>
      </c>
      <c r="M65" s="19">
        <f t="shared" si="9"/>
        <v>0</v>
      </c>
      <c r="N65" s="19">
        <f t="shared" si="9"/>
        <v>0</v>
      </c>
      <c r="O65" s="19">
        <f t="shared" si="9"/>
        <v>0</v>
      </c>
      <c r="P65" s="19">
        <f t="shared" si="9"/>
        <v>0</v>
      </c>
      <c r="Q65" s="19">
        <f>SUM(Q51:Q64)</f>
        <v>0</v>
      </c>
    </row>
    <row r="66" spans="1:19" x14ac:dyDescent="0.25">
      <c r="A66" s="1204"/>
      <c r="B66" s="9"/>
      <c r="C66" s="295"/>
      <c r="D66" s="295"/>
      <c r="E66" s="295"/>
      <c r="F66" s="295"/>
      <c r="G66" s="295"/>
      <c r="H66" s="295"/>
      <c r="I66" s="19"/>
      <c r="J66" s="19"/>
      <c r="K66" s="19"/>
      <c r="L66" s="19"/>
      <c r="M66" s="19"/>
      <c r="N66" s="19"/>
      <c r="O66" s="19"/>
      <c r="P66" s="19"/>
      <c r="Q66" s="19"/>
    </row>
    <row r="67" spans="1:19" x14ac:dyDescent="0.25">
      <c r="A67" s="1205"/>
      <c r="B67" s="9" t="s">
        <v>258</v>
      </c>
      <c r="C67" s="295">
        <f>C61+(C63*1000000/29487.1582406855)+(C64*1000000/25364.5039539246)</f>
        <v>4303.9418303385155</v>
      </c>
      <c r="D67" s="295">
        <f t="shared" ref="D67" si="10">D61+D65</f>
        <v>52336.016187898997</v>
      </c>
      <c r="E67" s="295">
        <f>E61+(E63*1000000/29487.1582406855)+(E64*1000000/25364.5039539246)</f>
        <v>3647.2352538385153</v>
      </c>
      <c r="F67" s="295">
        <f t="shared" ref="F67:H67" si="11">F61+(F63*1000000/29487.1582406855)+(F64*1000000/25364.5039539246)</f>
        <v>3652.1157991882242</v>
      </c>
      <c r="G67" s="295">
        <f t="shared" si="11"/>
        <v>3658.7156275588536</v>
      </c>
      <c r="H67" s="295">
        <f t="shared" si="11"/>
        <v>3668.9758649417649</v>
      </c>
      <c r="I67" s="19">
        <f t="shared" ref="I67:P67" si="12">I61+I65</f>
        <v>0</v>
      </c>
      <c r="J67" s="19">
        <f t="shared" si="12"/>
        <v>0</v>
      </c>
      <c r="K67" s="19">
        <f t="shared" si="12"/>
        <v>0</v>
      </c>
      <c r="L67" s="19">
        <f t="shared" si="12"/>
        <v>0</v>
      </c>
      <c r="M67" s="19">
        <f t="shared" si="12"/>
        <v>0</v>
      </c>
      <c r="N67" s="19">
        <f t="shared" si="12"/>
        <v>0</v>
      </c>
      <c r="O67" s="19">
        <f t="shared" si="12"/>
        <v>0</v>
      </c>
      <c r="P67" s="19">
        <f t="shared" si="12"/>
        <v>0</v>
      </c>
      <c r="Q67" s="19"/>
    </row>
    <row r="68" spans="1:19" customFormat="1" x14ac:dyDescent="0.25">
      <c r="B68" s="270" t="s">
        <v>162</v>
      </c>
      <c r="C68" s="132">
        <f>C11+C29+C43+C49+C67</f>
        <v>338788.86311017181</v>
      </c>
      <c r="D68" s="132"/>
      <c r="E68" s="132">
        <f>E11+E29+E43+E49+E67</f>
        <v>179776.30038807186</v>
      </c>
      <c r="F68" s="132">
        <f>F11+F29+F43+F49+F67</f>
        <v>182942.53409277499</v>
      </c>
      <c r="G68" s="132">
        <f>G11+G29+G43+G49+G67</f>
        <v>186354.74269055045</v>
      </c>
      <c r="H68" s="132">
        <f>H11+H29+H43+H49+H67</f>
        <v>190238.68807734796</v>
      </c>
      <c r="I68" s="264"/>
    </row>
    <row r="69" spans="1:19" ht="13.8" thickBot="1" x14ac:dyDescent="0.3">
      <c r="A69" s="10"/>
      <c r="B69" s="10"/>
      <c r="C69" s="10"/>
      <c r="D69" s="10"/>
      <c r="E69" s="10"/>
      <c r="F69" s="10"/>
      <c r="G69" s="10"/>
      <c r="H69" s="10"/>
      <c r="I69" s="1003">
        <f>SUM(I8:I66)/2</f>
        <v>0</v>
      </c>
      <c r="J69" s="1003">
        <f>SUM(J8:J66)/2</f>
        <v>0</v>
      </c>
      <c r="K69" s="1003">
        <f>SUM(K8:K66)/2</f>
        <v>0</v>
      </c>
      <c r="L69" s="1003">
        <f>SUM(L8:L66)/2</f>
        <v>0</v>
      </c>
      <c r="M69" s="1003">
        <f>SUM(M8:M66)/2</f>
        <v>0</v>
      </c>
      <c r="N69" s="1003">
        <f t="shared" ref="N69:P69" si="13">SUM(N8:N66)/2</f>
        <v>0</v>
      </c>
      <c r="O69" s="1003">
        <f t="shared" si="13"/>
        <v>0</v>
      </c>
      <c r="P69" s="1003">
        <f t="shared" si="13"/>
        <v>0</v>
      </c>
      <c r="Q69" s="10"/>
      <c r="R69" s="10"/>
      <c r="S69" s="10"/>
    </row>
    <row r="70" spans="1:19" x14ac:dyDescent="0.25">
      <c r="A70" s="35" t="s">
        <v>23</v>
      </c>
      <c r="B70" s="36"/>
      <c r="C70" s="36"/>
      <c r="D70" s="36"/>
      <c r="E70" s="36"/>
      <c r="F70" s="36"/>
      <c r="G70" s="36"/>
      <c r="H70" s="36"/>
      <c r="I70" s="36"/>
      <c r="J70" s="36"/>
      <c r="K70" s="36"/>
      <c r="L70" s="36"/>
      <c r="M70" s="36"/>
      <c r="N70" s="36"/>
      <c r="O70" s="36"/>
      <c r="P70" s="36"/>
      <c r="Q70" s="36"/>
      <c r="R70" s="36"/>
    </row>
    <row r="71" spans="1:19" x14ac:dyDescent="0.25">
      <c r="A71" s="36"/>
      <c r="B71" s="36"/>
      <c r="C71" s="36"/>
      <c r="D71" s="36"/>
      <c r="E71" s="36"/>
      <c r="F71" s="36"/>
      <c r="G71" s="36"/>
      <c r="H71" s="36"/>
      <c r="I71" s="36"/>
      <c r="J71" s="36"/>
      <c r="K71" s="36"/>
      <c r="L71" s="36"/>
      <c r="M71" s="36"/>
      <c r="N71" s="36"/>
      <c r="O71" s="36"/>
      <c r="P71" s="36"/>
      <c r="Q71" s="36"/>
      <c r="R71" s="36"/>
    </row>
    <row r="72" spans="1:19" x14ac:dyDescent="0.25">
      <c r="A72" s="36"/>
      <c r="B72" s="36"/>
      <c r="C72" s="36"/>
      <c r="D72" s="36"/>
      <c r="E72" s="36"/>
      <c r="F72" s="36"/>
      <c r="G72" s="36"/>
      <c r="H72" s="36"/>
      <c r="I72" s="36"/>
      <c r="J72" s="36"/>
      <c r="K72" s="36"/>
      <c r="L72" s="36"/>
      <c r="M72" s="36"/>
      <c r="N72" s="36"/>
      <c r="O72" s="36"/>
      <c r="P72" s="36"/>
      <c r="Q72" s="36"/>
      <c r="R72" s="36"/>
    </row>
    <row r="73" spans="1:19" ht="26.4" x14ac:dyDescent="0.25">
      <c r="A73" s="37" t="s">
        <v>1037</v>
      </c>
      <c r="B73" s="454" t="s">
        <v>297</v>
      </c>
      <c r="C73" s="37" t="s">
        <v>1042</v>
      </c>
      <c r="D73" s="37" t="s">
        <v>1041</v>
      </c>
      <c r="E73" s="36" t="s">
        <v>598</v>
      </c>
      <c r="F73" s="38"/>
      <c r="G73" s="38"/>
      <c r="H73" s="36"/>
      <c r="I73" s="36"/>
      <c r="J73" s="36"/>
      <c r="K73" s="36"/>
      <c r="L73" s="36"/>
      <c r="M73" s="36"/>
      <c r="N73" s="36"/>
      <c r="O73" s="36"/>
      <c r="P73" s="36"/>
      <c r="Q73" s="36"/>
      <c r="R73" s="36"/>
    </row>
    <row r="74" spans="1:19" x14ac:dyDescent="0.25">
      <c r="A74" s="39" t="s">
        <v>519</v>
      </c>
      <c r="B74" s="21">
        <v>0</v>
      </c>
      <c r="C74" s="40">
        <f>'Biomass Data Assumptions'!B38*B74</f>
        <v>0</v>
      </c>
      <c r="D74" s="40">
        <f>(C74*'Biomass Data Assumptions'!C38)/2000</f>
        <v>0</v>
      </c>
      <c r="E74" s="41"/>
      <c r="F74" s="41"/>
      <c r="G74" s="41"/>
      <c r="H74" s="36"/>
      <c r="I74" s="36"/>
      <c r="J74" s="36"/>
      <c r="K74" s="36"/>
      <c r="L74" s="36"/>
      <c r="M74" s="36"/>
      <c r="N74" s="36"/>
      <c r="O74" s="36"/>
      <c r="P74" s="36"/>
      <c r="Q74" s="36"/>
      <c r="R74" s="36"/>
    </row>
    <row r="75" spans="1:19" x14ac:dyDescent="0.25">
      <c r="A75" s="39" t="s">
        <v>520</v>
      </c>
      <c r="B75" s="21">
        <v>0</v>
      </c>
      <c r="C75" s="40">
        <f>'Biomass Data Assumptions'!B39*B75</f>
        <v>0</v>
      </c>
      <c r="D75" s="40">
        <f>(C75*'Biomass Data Assumptions'!C39)/2000</f>
        <v>0</v>
      </c>
      <c r="E75" s="41"/>
      <c r="F75" s="41"/>
      <c r="G75" s="41"/>
      <c r="H75" s="36"/>
      <c r="I75" s="36"/>
      <c r="J75" s="36"/>
      <c r="K75" s="36"/>
      <c r="L75" s="36"/>
      <c r="M75" s="36"/>
      <c r="N75" s="36"/>
      <c r="O75" s="36"/>
      <c r="P75" s="36"/>
      <c r="Q75" s="36"/>
      <c r="R75" s="36"/>
    </row>
    <row r="76" spans="1:19" x14ac:dyDescent="0.25">
      <c r="A76" s="39" t="s">
        <v>521</v>
      </c>
      <c r="B76" s="21">
        <v>1</v>
      </c>
      <c r="C76" s="40">
        <f>'Biomass Data Assumptions'!B40*B76</f>
        <v>125</v>
      </c>
      <c r="D76" s="40">
        <f>(C76*'Biomass Data Assumptions'!C40)/2000</f>
        <v>3.5</v>
      </c>
      <c r="E76" s="41"/>
      <c r="F76" s="41"/>
      <c r="G76" s="41"/>
      <c r="H76" s="36"/>
      <c r="I76" s="36"/>
      <c r="J76" s="36"/>
      <c r="K76" s="36"/>
      <c r="L76" s="36"/>
      <c r="M76" s="36"/>
      <c r="N76" s="36"/>
      <c r="O76" s="36"/>
      <c r="P76" s="36"/>
      <c r="Q76" s="36"/>
      <c r="R76" s="36"/>
    </row>
    <row r="77" spans="1:19" x14ac:dyDescent="0.25">
      <c r="A77" s="39" t="s">
        <v>525</v>
      </c>
      <c r="B77" s="21">
        <v>0</v>
      </c>
      <c r="C77" s="40">
        <f>'Biomass Data Assumptions'!B41*B77</f>
        <v>0</v>
      </c>
      <c r="D77" s="40">
        <f>(C77*'Biomass Data Assumptions'!C41)/2000</f>
        <v>0</v>
      </c>
      <c r="E77" s="41"/>
      <c r="F77" s="41"/>
      <c r="G77" s="41"/>
      <c r="H77" s="36"/>
      <c r="I77" s="36"/>
      <c r="J77" s="36"/>
      <c r="K77" s="36"/>
      <c r="L77" s="36"/>
      <c r="M77" s="36"/>
      <c r="N77" s="36"/>
      <c r="O77" s="36"/>
      <c r="P77" s="36"/>
      <c r="Q77" s="36"/>
      <c r="R77" s="36"/>
    </row>
    <row r="78" spans="1:19" x14ac:dyDescent="0.25">
      <c r="A78" s="39" t="s">
        <v>522</v>
      </c>
      <c r="B78" s="21">
        <v>0</v>
      </c>
      <c r="C78" s="40">
        <f>'Biomass Data Assumptions'!B42*B78</f>
        <v>0</v>
      </c>
      <c r="D78" s="40">
        <f>(C78*'Biomass Data Assumptions'!C42)/2000</f>
        <v>0</v>
      </c>
      <c r="E78" s="41"/>
      <c r="F78" s="41"/>
      <c r="G78" s="41"/>
      <c r="H78" s="36"/>
      <c r="I78" s="36"/>
      <c r="J78" s="36"/>
      <c r="K78" s="36"/>
      <c r="L78" s="36"/>
      <c r="M78" s="36"/>
      <c r="N78" s="36"/>
      <c r="O78" s="36"/>
      <c r="P78" s="36"/>
      <c r="Q78" s="36"/>
      <c r="R78" s="36"/>
    </row>
    <row r="79" spans="1:19" x14ac:dyDescent="0.25">
      <c r="A79" s="36"/>
      <c r="B79" s="36"/>
      <c r="C79" s="36"/>
      <c r="D79" s="36"/>
      <c r="E79" s="36"/>
      <c r="F79" s="36"/>
      <c r="G79" s="36"/>
      <c r="H79" s="36"/>
      <c r="I79" s="36"/>
      <c r="J79" s="36"/>
      <c r="K79" s="36"/>
      <c r="L79" s="36"/>
      <c r="M79" s="36"/>
      <c r="N79" s="36"/>
      <c r="O79" s="36"/>
      <c r="P79" s="36"/>
      <c r="Q79" s="36"/>
      <c r="R79" s="36"/>
    </row>
    <row r="80" spans="1:19" ht="39.6" x14ac:dyDescent="0.25">
      <c r="A80" s="37" t="s">
        <v>1038</v>
      </c>
      <c r="B80" s="454" t="s">
        <v>297</v>
      </c>
      <c r="C80" s="37" t="s">
        <v>1041</v>
      </c>
      <c r="D80" s="37" t="s">
        <v>1036</v>
      </c>
      <c r="E80" s="36" t="s">
        <v>598</v>
      </c>
      <c r="F80" s="38"/>
      <c r="G80" s="38"/>
      <c r="H80" s="36"/>
      <c r="I80" s="36"/>
      <c r="J80" s="36"/>
      <c r="K80" s="36"/>
      <c r="L80" s="36"/>
      <c r="M80" s="36"/>
      <c r="N80" s="36"/>
      <c r="O80" s="36"/>
      <c r="P80" s="36"/>
      <c r="Q80" s="36"/>
      <c r="R80" s="36"/>
    </row>
    <row r="81" spans="1:18" x14ac:dyDescent="0.25">
      <c r="A81" s="39" t="s">
        <v>527</v>
      </c>
      <c r="B81" s="21">
        <v>18</v>
      </c>
      <c r="C81" s="40">
        <f>'Biomass Data Assumptions'!B49*B81</f>
        <v>18</v>
      </c>
      <c r="D81" s="40">
        <f>C81*'Energy Content Assumptions'!C11</f>
        <v>15.299999999999999</v>
      </c>
      <c r="E81" s="41"/>
      <c r="F81" s="41"/>
      <c r="G81" s="41"/>
      <c r="H81" s="36"/>
      <c r="I81" s="36"/>
      <c r="J81" s="36"/>
      <c r="K81" s="36"/>
      <c r="L81" s="36"/>
      <c r="M81" s="36"/>
      <c r="N81" s="36"/>
      <c r="O81" s="36"/>
      <c r="P81" s="36"/>
      <c r="Q81" s="36"/>
      <c r="R81" s="36"/>
    </row>
    <row r="82" spans="1:18" x14ac:dyDescent="0.25">
      <c r="A82" s="39" t="s">
        <v>520</v>
      </c>
      <c r="B82" s="21">
        <v>1</v>
      </c>
      <c r="C82" s="40">
        <f>'Biomass Data Assumptions'!B50*B82</f>
        <v>2.25</v>
      </c>
      <c r="D82" s="40">
        <f>C82*'Energy Content Assumptions'!C12</f>
        <v>1.9124999999999999</v>
      </c>
      <c r="E82" s="41"/>
      <c r="F82" s="41"/>
      <c r="G82" s="41"/>
      <c r="H82" s="36"/>
      <c r="I82" s="36"/>
      <c r="J82" s="36"/>
      <c r="K82" s="36"/>
      <c r="L82" s="36"/>
      <c r="M82" s="36"/>
      <c r="N82" s="36"/>
      <c r="O82" s="36"/>
      <c r="P82" s="36"/>
      <c r="Q82" s="36"/>
      <c r="R82" s="36"/>
    </row>
    <row r="83" spans="1:18" x14ac:dyDescent="0.25">
      <c r="A83" s="39" t="s">
        <v>521</v>
      </c>
      <c r="B83" s="21">
        <v>0</v>
      </c>
      <c r="C83" s="40">
        <f>'Biomass Data Assumptions'!B51*B83</f>
        <v>0</v>
      </c>
      <c r="D83" s="40">
        <f>C83*'Energy Content Assumptions'!C13</f>
        <v>0</v>
      </c>
      <c r="E83" s="41"/>
      <c r="F83" s="41"/>
      <c r="G83" s="41"/>
      <c r="H83" s="36"/>
      <c r="I83" s="36"/>
      <c r="J83" s="36"/>
      <c r="K83" s="36"/>
      <c r="L83" s="36"/>
      <c r="M83" s="36"/>
      <c r="N83" s="36"/>
      <c r="O83" s="36"/>
      <c r="P83" s="36"/>
      <c r="Q83" s="36"/>
      <c r="R83" s="36"/>
    </row>
    <row r="84" spans="1:18" x14ac:dyDescent="0.25">
      <c r="A84" s="39" t="s">
        <v>528</v>
      </c>
      <c r="B84" s="21">
        <v>0</v>
      </c>
      <c r="C84" s="40">
        <f>'Biomass Data Assumptions'!B52*B84</f>
        <v>0</v>
      </c>
      <c r="D84" s="40">
        <f>C84*'Energy Content Assumptions'!C14</f>
        <v>0</v>
      </c>
      <c r="E84" s="41"/>
      <c r="F84" s="41"/>
      <c r="G84" s="41"/>
      <c r="H84" s="36"/>
      <c r="I84" s="36"/>
      <c r="J84" s="36"/>
      <c r="K84" s="36"/>
      <c r="L84" s="36"/>
      <c r="M84" s="36"/>
      <c r="N84" s="36"/>
      <c r="O84" s="36"/>
      <c r="P84" s="36"/>
      <c r="Q84" s="36"/>
      <c r="R84" s="36"/>
    </row>
    <row r="85" spans="1:18" x14ac:dyDescent="0.25">
      <c r="A85" s="39" t="s">
        <v>529</v>
      </c>
      <c r="B85" s="21">
        <v>7</v>
      </c>
      <c r="C85" s="40">
        <f>'Biomass Data Assumptions'!B53*B85</f>
        <v>22.400000000000002</v>
      </c>
      <c r="D85" s="40">
        <f>C85*'Energy Content Assumptions'!C15</f>
        <v>19.040000000000003</v>
      </c>
      <c r="E85" s="41"/>
      <c r="F85" s="41"/>
      <c r="G85" s="41"/>
      <c r="H85" s="36"/>
      <c r="I85" s="36"/>
      <c r="J85" s="36"/>
      <c r="K85" s="36"/>
      <c r="L85" s="36"/>
      <c r="M85" s="36"/>
      <c r="N85" s="36"/>
      <c r="O85" s="36"/>
      <c r="P85" s="36"/>
      <c r="Q85" s="36"/>
      <c r="R85" s="36"/>
    </row>
    <row r="86" spans="1:18" x14ac:dyDescent="0.25">
      <c r="A86" s="39" t="s">
        <v>530</v>
      </c>
      <c r="B86" s="21">
        <v>36</v>
      </c>
      <c r="C86" s="40">
        <f>'Biomass Data Assumptions'!B54*B86</f>
        <v>61.199999999999996</v>
      </c>
      <c r="D86" s="40">
        <f>C86*'Energy Content Assumptions'!C16</f>
        <v>52.019999999999996</v>
      </c>
      <c r="E86" s="41"/>
      <c r="F86" s="41"/>
      <c r="G86" s="41"/>
      <c r="H86" s="36"/>
      <c r="I86" s="36"/>
      <c r="J86" s="36"/>
      <c r="K86" s="36"/>
      <c r="L86" s="36"/>
      <c r="M86" s="36"/>
      <c r="N86" s="36"/>
      <c r="O86" s="36"/>
      <c r="P86" s="36"/>
      <c r="Q86" s="36"/>
      <c r="R86" s="36"/>
    </row>
    <row r="87" spans="1:18" x14ac:dyDescent="0.25">
      <c r="A87" s="39" t="s">
        <v>522</v>
      </c>
      <c r="B87" s="21">
        <v>0</v>
      </c>
      <c r="C87" s="40">
        <f>'Biomass Data Assumptions'!B55*B87</f>
        <v>0</v>
      </c>
      <c r="D87" s="40">
        <f>C87*'Energy Content Assumptions'!C17</f>
        <v>0</v>
      </c>
      <c r="E87" s="41"/>
      <c r="F87" s="41"/>
      <c r="G87" s="41"/>
      <c r="H87" s="36"/>
      <c r="I87" s="36"/>
      <c r="J87" s="36"/>
      <c r="K87" s="36"/>
      <c r="L87" s="36"/>
      <c r="M87" s="36"/>
      <c r="N87" s="36"/>
      <c r="O87" s="36"/>
      <c r="P87" s="36"/>
      <c r="Q87" s="36"/>
      <c r="R87" s="36"/>
    </row>
    <row r="88" spans="1:18" x14ac:dyDescent="0.25">
      <c r="A88" s="43"/>
      <c r="B88" s="41"/>
      <c r="C88" s="41"/>
      <c r="D88" s="41"/>
      <c r="E88" s="41"/>
      <c r="F88" s="41"/>
      <c r="G88" s="41"/>
      <c r="H88" s="36"/>
      <c r="I88" s="36"/>
      <c r="J88" s="36"/>
      <c r="K88" s="36"/>
      <c r="L88" s="36"/>
      <c r="M88" s="36"/>
      <c r="N88" s="36"/>
      <c r="O88" s="36"/>
      <c r="P88" s="36"/>
      <c r="Q88" s="36"/>
      <c r="R88" s="36"/>
    </row>
    <row r="89" spans="1:18" x14ac:dyDescent="0.25">
      <c r="A89" s="43"/>
      <c r="B89" s="640" t="s">
        <v>297</v>
      </c>
      <c r="C89" s="122" t="s">
        <v>299</v>
      </c>
      <c r="D89" s="122" t="s">
        <v>300</v>
      </c>
      <c r="E89" s="41"/>
      <c r="F89" s="41"/>
      <c r="G89" s="41"/>
      <c r="H89" s="36"/>
      <c r="I89" s="36"/>
      <c r="J89" s="36"/>
      <c r="K89" s="36"/>
      <c r="L89" s="36"/>
      <c r="M89" s="36"/>
      <c r="N89" s="36"/>
      <c r="O89" s="36"/>
      <c r="P89" s="36"/>
      <c r="Q89" s="36"/>
      <c r="R89" s="36"/>
    </row>
    <row r="90" spans="1:18" x14ac:dyDescent="0.25">
      <c r="A90" s="43" t="s">
        <v>296</v>
      </c>
      <c r="B90" s="85">
        <f>IF('Prac. Rec. Assumptions'!B56='Prac. Rec. Assumptions'!V3,0,SUM(IF('Prac. Rec. Assumptions'!B57="Yes",B74,0),IF('Prac. Rec. Assumptions'!B58="Yes",B81,0),IF('Prac. Rec. Assumptions'!B59="Yes",B82,0),IF('Prac. Rec. Assumptions'!B60="Yes",B83,0),IF('Prac. Rec. Assumptions'!B61="Yes",B84,0),IF('Prac. Rec. Assumptions'!B62="Yes",B85,0),IF('Prac. Rec. Assumptions'!B63="Yes",B86,0),IF('Prac. Rec. Assumptions'!B64="Yes",B87,0)))</f>
        <v>0</v>
      </c>
      <c r="C90" s="41">
        <f>IF('Prac. Rec. Assumptions'!B56='Prac. Rec. Assumptions'!V1,'Biomass Data Assumptions'!C46,IF('Prac. Rec. Assumptions'!B56='Prac. Rec. Assumptions'!V2,'Biomass Data Assumptions'!C45,0))</f>
        <v>0</v>
      </c>
      <c r="D90" s="41">
        <f>(C90*'Energy Content Assumptions'!C9)*B90</f>
        <v>0</v>
      </c>
      <c r="E90" s="41"/>
      <c r="F90" s="41"/>
      <c r="G90" s="41"/>
      <c r="H90" s="36"/>
      <c r="I90" s="36"/>
      <c r="J90" s="36"/>
      <c r="K90" s="36"/>
      <c r="L90" s="36"/>
      <c r="M90" s="36"/>
      <c r="N90" s="36"/>
      <c r="O90" s="36"/>
      <c r="P90" s="36"/>
      <c r="Q90" s="36"/>
      <c r="R90" s="36"/>
    </row>
    <row r="91" spans="1:18" x14ac:dyDescent="0.25">
      <c r="A91" s="36"/>
      <c r="B91" s="36"/>
      <c r="C91" s="36"/>
      <c r="D91" s="36"/>
      <c r="E91" s="36"/>
      <c r="F91" s="36"/>
      <c r="G91" s="36"/>
      <c r="H91" s="36"/>
      <c r="I91" s="36"/>
      <c r="J91" s="36"/>
      <c r="K91" s="36"/>
      <c r="L91" s="36"/>
      <c r="M91" s="36"/>
      <c r="N91" s="36"/>
      <c r="O91" s="36"/>
      <c r="P91" s="36"/>
      <c r="Q91" s="36"/>
      <c r="R91" s="36"/>
    </row>
    <row r="92" spans="1:18" ht="39.6" x14ac:dyDescent="0.25">
      <c r="A92" s="42" t="s">
        <v>531</v>
      </c>
      <c r="B92" s="455" t="s">
        <v>298</v>
      </c>
      <c r="C92" s="38" t="s">
        <v>533</v>
      </c>
      <c r="D92" s="38" t="s">
        <v>534</v>
      </c>
      <c r="E92" s="38" t="s">
        <v>568</v>
      </c>
      <c r="F92" s="38" t="s">
        <v>569</v>
      </c>
      <c r="G92" s="38" t="s">
        <v>554</v>
      </c>
      <c r="H92" s="36" t="s">
        <v>599</v>
      </c>
      <c r="I92" s="36"/>
      <c r="J92" s="38"/>
      <c r="K92" s="38"/>
      <c r="L92" s="38"/>
      <c r="M92" s="38"/>
      <c r="N92" s="36"/>
      <c r="O92" s="36"/>
      <c r="P92" s="36"/>
      <c r="Q92" s="36"/>
      <c r="R92" s="36"/>
    </row>
    <row r="93" spans="1:18" x14ac:dyDescent="0.25">
      <c r="A93" s="42"/>
      <c r="B93" s="38"/>
      <c r="C93" s="38"/>
      <c r="D93" s="38"/>
      <c r="E93" s="38"/>
      <c r="F93" s="36"/>
      <c r="G93" s="36"/>
      <c r="H93" s="36"/>
      <c r="I93" s="36"/>
      <c r="J93" s="38"/>
      <c r="K93" s="38"/>
      <c r="L93" s="38"/>
      <c r="M93" s="38"/>
      <c r="N93" s="36"/>
      <c r="O93" s="36"/>
      <c r="P93" s="36"/>
      <c r="Q93" s="36"/>
      <c r="R93" s="36"/>
    </row>
    <row r="94" spans="1:18" ht="0.75" customHeight="1" x14ac:dyDescent="0.25">
      <c r="A94" s="43"/>
      <c r="B94" s="36"/>
      <c r="C94" s="41"/>
      <c r="D94" s="41"/>
      <c r="E94" s="44"/>
      <c r="F94" s="36"/>
      <c r="G94" s="36"/>
      <c r="H94" s="36"/>
      <c r="I94" s="36"/>
      <c r="J94" s="44"/>
      <c r="K94" s="44"/>
      <c r="L94" s="44"/>
      <c r="M94" s="44"/>
      <c r="N94" s="36"/>
      <c r="O94" s="36"/>
      <c r="P94" s="36"/>
      <c r="Q94" s="36"/>
      <c r="R94" s="36"/>
    </row>
    <row r="95" spans="1:18" hidden="1" x14ac:dyDescent="0.25">
      <c r="A95" s="45"/>
      <c r="B95" s="85"/>
      <c r="C95" s="41"/>
      <c r="D95" s="41"/>
      <c r="E95" s="41"/>
      <c r="F95" s="41"/>
      <c r="G95" s="41"/>
      <c r="H95" s="36"/>
      <c r="I95" s="36"/>
      <c r="J95" s="41"/>
      <c r="K95" s="41"/>
      <c r="L95" s="41"/>
      <c r="M95" s="41"/>
      <c r="N95" s="36"/>
      <c r="O95" s="36"/>
      <c r="P95" s="36"/>
      <c r="Q95" s="36"/>
      <c r="R95" s="36"/>
    </row>
    <row r="96" spans="1:18" x14ac:dyDescent="0.25">
      <c r="A96" s="45"/>
      <c r="B96" s="458"/>
      <c r="C96" s="41"/>
      <c r="D96" s="41"/>
      <c r="E96" s="41"/>
      <c r="F96" s="41"/>
      <c r="G96" s="41"/>
      <c r="H96" s="36"/>
      <c r="I96" s="36"/>
      <c r="J96" s="41"/>
      <c r="K96" s="41"/>
      <c r="L96" s="41"/>
      <c r="M96" s="41"/>
      <c r="N96" s="36"/>
      <c r="O96" s="36"/>
      <c r="P96" s="36"/>
      <c r="Q96" s="36"/>
      <c r="R96" s="36"/>
    </row>
    <row r="97" spans="1:18" x14ac:dyDescent="0.25">
      <c r="A97" s="467" t="s">
        <v>535</v>
      </c>
      <c r="B97" s="85">
        <v>18</v>
      </c>
      <c r="C97" s="41">
        <f>ROUND('Biomass Data Assumptions'!$B$60/1000*B97,0)</f>
        <v>18</v>
      </c>
      <c r="D97" s="41">
        <f>'Biomass Data Assumptions'!$C$60*C97</f>
        <v>604440</v>
      </c>
      <c r="E97" s="41">
        <f>('Biomass Data Assumptions'!$D$60*'Energy Content Assumptions'!$C$44*D97)/2000</f>
        <v>7.2532800000000002</v>
      </c>
      <c r="F97" s="41">
        <f>('Biomass Data Assumptions'!$E$60*B97*365)/2000</f>
        <v>13.14</v>
      </c>
      <c r="G97" s="41">
        <f>F97+E97</f>
        <v>20.393280000000001</v>
      </c>
      <c r="H97" s="36"/>
      <c r="I97" s="36"/>
      <c r="J97" s="41"/>
      <c r="K97" s="41"/>
      <c r="L97" s="41"/>
      <c r="M97" s="41"/>
      <c r="N97" s="36"/>
      <c r="O97" s="36"/>
      <c r="P97" s="36"/>
      <c r="Q97" s="36"/>
      <c r="R97" s="36"/>
    </row>
    <row r="98" spans="1:18" x14ac:dyDescent="0.25">
      <c r="A98" s="46"/>
      <c r="B98" s="41"/>
      <c r="C98" s="41"/>
      <c r="D98" s="41"/>
      <c r="E98" s="41"/>
      <c r="F98" s="41"/>
      <c r="G98" s="41"/>
      <c r="H98" s="36"/>
      <c r="I98" s="36"/>
      <c r="J98" s="41"/>
      <c r="K98" s="41"/>
      <c r="L98" s="41"/>
      <c r="M98" s="41"/>
      <c r="N98" s="36"/>
      <c r="O98" s="36"/>
      <c r="P98" s="36"/>
      <c r="Q98" s="36"/>
      <c r="R98" s="36"/>
    </row>
    <row r="99" spans="1:18" x14ac:dyDescent="0.25">
      <c r="A99" s="43" t="s">
        <v>539</v>
      </c>
      <c r="B99" s="47"/>
      <c r="C99" s="41"/>
      <c r="D99" s="41"/>
      <c r="E99" s="41"/>
      <c r="F99" s="41"/>
      <c r="G99" s="41"/>
      <c r="H99" s="36"/>
      <c r="I99" s="36"/>
      <c r="J99" s="41"/>
      <c r="K99" s="41"/>
      <c r="L99" s="41"/>
      <c r="M99" s="41"/>
      <c r="N99" s="36"/>
      <c r="O99" s="36"/>
      <c r="P99" s="36"/>
      <c r="Q99" s="36"/>
      <c r="R99" s="36"/>
    </row>
    <row r="100" spans="1:18" x14ac:dyDescent="0.25">
      <c r="A100" s="460" t="s">
        <v>603</v>
      </c>
      <c r="B100" s="85">
        <v>4</v>
      </c>
      <c r="C100" s="41">
        <f>ROUND('Biomass Data Assumptions'!B62/1000*B100,0)</f>
        <v>1</v>
      </c>
      <c r="D100" s="41">
        <f>'Biomass Data Assumptions'!C62*C100</f>
        <v>29200</v>
      </c>
      <c r="E100" s="41">
        <f>('Biomass Data Assumptions'!D62*'Energy Content Assumptions'!C46*D100)/2000</f>
        <v>1.3140000000000001</v>
      </c>
      <c r="F100" s="41">
        <f>('Biomass Data Assumptions'!E62*B100*365)/2000</f>
        <v>3.65</v>
      </c>
      <c r="G100" s="41">
        <f>F100+E100</f>
        <v>4.9640000000000004</v>
      </c>
      <c r="H100" s="36"/>
      <c r="I100" s="36"/>
      <c r="J100" s="41"/>
      <c r="K100" s="41"/>
      <c r="L100" s="41"/>
      <c r="M100" s="41"/>
      <c r="N100" s="36"/>
      <c r="O100" s="36"/>
      <c r="P100" s="36"/>
      <c r="Q100" s="36"/>
      <c r="R100" s="36"/>
    </row>
    <row r="101" spans="1:18" hidden="1" x14ac:dyDescent="0.25">
      <c r="A101" s="45"/>
      <c r="B101" s="85"/>
      <c r="C101" s="41"/>
      <c r="D101" s="41"/>
      <c r="E101" s="41"/>
      <c r="F101" s="41"/>
      <c r="G101" s="41"/>
      <c r="H101" s="36"/>
      <c r="I101" s="36"/>
      <c r="J101" s="41"/>
      <c r="K101" s="41"/>
      <c r="L101" s="41"/>
      <c r="M101" s="41"/>
      <c r="N101" s="36"/>
      <c r="O101" s="36"/>
      <c r="P101" s="36"/>
      <c r="Q101" s="36"/>
      <c r="R101" s="36"/>
    </row>
    <row r="102" spans="1:18" x14ac:dyDescent="0.25">
      <c r="A102" s="460" t="s">
        <v>604</v>
      </c>
      <c r="B102" s="85">
        <v>10</v>
      </c>
      <c r="C102" s="41">
        <f>ROUND('Biomass Data Assumptions'!B64/1000*B102,0)</f>
        <v>14</v>
      </c>
      <c r="D102" s="41">
        <f>'Biomass Data Assumptions'!C64*C102</f>
        <v>567210</v>
      </c>
      <c r="E102" s="41">
        <f>('Biomass Data Assumptions'!D64*'Energy Content Assumptions'!C48*D102)/2000</f>
        <v>25.524450000000002</v>
      </c>
      <c r="F102" s="41">
        <f>'Biomass Data Assumptions'!E64*B102*365/2000</f>
        <v>18.25</v>
      </c>
      <c r="G102" s="41">
        <f>F102+E102</f>
        <v>43.774450000000002</v>
      </c>
      <c r="H102" s="36"/>
      <c r="I102" s="36"/>
      <c r="J102" s="41"/>
      <c r="K102" s="41"/>
      <c r="L102" s="41"/>
      <c r="M102" s="41"/>
      <c r="N102" s="36"/>
      <c r="O102" s="36"/>
      <c r="P102" s="36"/>
      <c r="Q102" s="36"/>
      <c r="R102" s="36"/>
    </row>
    <row r="103" spans="1:18" hidden="1" x14ac:dyDescent="0.25">
      <c r="A103" s="45"/>
      <c r="B103" s="85"/>
      <c r="C103" s="41"/>
      <c r="D103" s="41"/>
      <c r="E103" s="41"/>
      <c r="F103" s="41"/>
      <c r="G103" s="41"/>
      <c r="H103" s="36"/>
      <c r="I103" s="36"/>
      <c r="J103" s="41"/>
      <c r="K103" s="41"/>
      <c r="L103" s="41"/>
      <c r="M103" s="41"/>
      <c r="N103" s="36"/>
      <c r="O103" s="36"/>
      <c r="P103" s="36"/>
      <c r="Q103" s="36"/>
      <c r="R103" s="36"/>
    </row>
    <row r="104" spans="1:18" x14ac:dyDescent="0.25">
      <c r="A104" s="467" t="s">
        <v>544</v>
      </c>
      <c r="B104" s="85">
        <v>14</v>
      </c>
      <c r="C104" s="41">
        <f>SUM(C100:C103)</f>
        <v>15</v>
      </c>
      <c r="D104" s="41">
        <f>SUM(D100:D103)</f>
        <v>596410</v>
      </c>
      <c r="E104" s="41">
        <f>SUM(E100:E103)</f>
        <v>26.838450000000002</v>
      </c>
      <c r="F104" s="41">
        <f>SUM(F100:F103)</f>
        <v>21.9</v>
      </c>
      <c r="G104" s="41">
        <f>SUM(G100:G103)</f>
        <v>48.73845</v>
      </c>
      <c r="H104" s="36"/>
      <c r="I104" s="36"/>
      <c r="J104" s="41"/>
      <c r="K104" s="41"/>
      <c r="L104" s="41"/>
      <c r="M104" s="41"/>
      <c r="N104" s="36"/>
      <c r="O104" s="36"/>
      <c r="P104" s="36"/>
      <c r="Q104" s="36"/>
      <c r="R104" s="36"/>
    </row>
    <row r="105" spans="1:18" x14ac:dyDescent="0.25">
      <c r="A105" s="46"/>
      <c r="B105" s="41"/>
      <c r="C105" s="41"/>
      <c r="D105" s="41"/>
      <c r="E105" s="41"/>
      <c r="F105" s="41"/>
      <c r="G105" s="41"/>
      <c r="H105" s="36"/>
      <c r="I105" s="36"/>
      <c r="J105" s="41"/>
      <c r="K105" s="41"/>
      <c r="L105" s="41"/>
      <c r="M105" s="41"/>
      <c r="N105" s="36"/>
      <c r="O105" s="36"/>
      <c r="P105" s="36"/>
      <c r="Q105" s="36"/>
      <c r="R105" s="36"/>
    </row>
    <row r="106" spans="1:18" x14ac:dyDescent="0.25">
      <c r="A106" s="43" t="s">
        <v>545</v>
      </c>
      <c r="B106" s="85">
        <v>427</v>
      </c>
      <c r="C106" s="41">
        <f>ROUND('Biomass Data Assumptions'!B66/1000*B106,0)</f>
        <v>427</v>
      </c>
      <c r="D106" s="41">
        <f>'Biomass Data Assumptions'!C66*C106</f>
        <v>8649952.5</v>
      </c>
      <c r="E106" s="41">
        <f>('Biomass Data Assumptions'!D66*'Energy Content Assumptions'!C50*D106)/2000</f>
        <v>302.74833750000005</v>
      </c>
      <c r="F106" s="41">
        <f>'Biomass Data Assumptions'!E66*B106*365/2000</f>
        <v>1168.9124999999999</v>
      </c>
      <c r="G106" s="41">
        <f>F106+E106</f>
        <v>1471.6608375000001</v>
      </c>
      <c r="H106" s="36"/>
      <c r="I106" s="36"/>
      <c r="J106" s="41"/>
      <c r="K106" s="41"/>
      <c r="L106" s="41"/>
      <c r="M106" s="41"/>
      <c r="N106" s="36"/>
      <c r="O106" s="36"/>
      <c r="P106" s="36"/>
      <c r="Q106" s="36"/>
      <c r="R106" s="36"/>
    </row>
    <row r="107" spans="1:18" x14ac:dyDescent="0.25">
      <c r="A107" s="43"/>
      <c r="B107" s="41"/>
      <c r="C107" s="41"/>
      <c r="D107" s="41"/>
      <c r="E107" s="41"/>
      <c r="F107" s="41"/>
      <c r="G107" s="41"/>
      <c r="H107" s="36"/>
      <c r="I107" s="36"/>
      <c r="J107" s="41"/>
      <c r="K107" s="41"/>
      <c r="L107" s="41"/>
      <c r="M107" s="41"/>
      <c r="N107" s="36"/>
      <c r="O107" s="36"/>
      <c r="P107" s="36"/>
      <c r="Q107" s="36"/>
      <c r="R107" s="36"/>
    </row>
    <row r="108" spans="1:18" x14ac:dyDescent="0.25">
      <c r="A108" s="43" t="s">
        <v>546</v>
      </c>
      <c r="B108" s="85">
        <v>51</v>
      </c>
      <c r="C108" s="41">
        <f>ROUND('Biomass Data Assumptions'!B67/1000*B108,0)</f>
        <v>5</v>
      </c>
      <c r="D108" s="41">
        <f>'Biomass Data Assumptions'!C67*C108</f>
        <v>74825</v>
      </c>
      <c r="E108" s="41">
        <f>('Biomass Data Assumptions'!D67*'Energy Content Assumptions'!C51*D108)/2000</f>
        <v>1.870625</v>
      </c>
      <c r="F108" s="41">
        <f>'Biomass Data Assumptions'!E67*B108*365/2000</f>
        <v>9.3074999999999992</v>
      </c>
      <c r="G108" s="41">
        <f>F108+E108</f>
        <v>11.178125</v>
      </c>
      <c r="H108" s="36"/>
      <c r="I108" s="36"/>
      <c r="J108" s="41"/>
      <c r="K108" s="41"/>
      <c r="L108" s="41"/>
      <c r="M108" s="41"/>
      <c r="N108" s="36"/>
      <c r="O108" s="36"/>
      <c r="P108" s="36"/>
      <c r="Q108" s="36"/>
      <c r="R108" s="36"/>
    </row>
    <row r="109" spans="1:18" x14ac:dyDescent="0.25">
      <c r="A109" s="43"/>
      <c r="B109" s="41"/>
      <c r="C109" s="41"/>
      <c r="D109" s="41"/>
      <c r="E109" s="41"/>
      <c r="F109" s="41"/>
      <c r="G109" s="41"/>
      <c r="H109" s="36"/>
      <c r="I109" s="36"/>
      <c r="J109" s="41"/>
      <c r="K109" s="41"/>
      <c r="L109" s="41"/>
      <c r="M109" s="41"/>
      <c r="N109" s="36"/>
      <c r="O109" s="36"/>
      <c r="P109" s="36"/>
      <c r="Q109" s="36"/>
      <c r="R109" s="36"/>
    </row>
    <row r="110" spans="1:18" x14ac:dyDescent="0.25">
      <c r="A110" s="43" t="s">
        <v>547</v>
      </c>
      <c r="B110" s="85">
        <v>112</v>
      </c>
      <c r="C110" s="41">
        <f>ROUND('Biomass Data Assumptions'!B68/1000*B110,0)</f>
        <v>11</v>
      </c>
      <c r="D110" s="41">
        <f>'Biomass Data Assumptions'!C68*C110</f>
        <v>164615</v>
      </c>
      <c r="E110" s="41">
        <f>('Biomass Data Assumptions'!D68*'Energy Content Assumptions'!C52*D110)/2000</f>
        <v>4.1153750000000002</v>
      </c>
      <c r="F110" s="41">
        <f>'Biomass Data Assumptions'!E68*B110*365/2000</f>
        <v>20.440000000000001</v>
      </c>
      <c r="G110" s="41">
        <f>F110+E110</f>
        <v>24.555375000000002</v>
      </c>
      <c r="H110" s="36"/>
      <c r="I110" s="36"/>
      <c r="J110" s="41"/>
      <c r="K110" s="41"/>
      <c r="L110" s="41"/>
      <c r="M110" s="41"/>
      <c r="N110" s="36"/>
      <c r="O110" s="36"/>
      <c r="P110" s="36"/>
      <c r="Q110" s="36"/>
      <c r="R110" s="36"/>
    </row>
    <row r="111" spans="1:18" x14ac:dyDescent="0.25">
      <c r="A111" s="43"/>
      <c r="B111" s="41"/>
      <c r="C111" s="41"/>
      <c r="D111" s="41"/>
      <c r="E111" s="41"/>
      <c r="F111" s="41"/>
      <c r="G111" s="41"/>
      <c r="H111" s="36"/>
      <c r="I111" s="36"/>
      <c r="J111" s="41"/>
      <c r="K111" s="41"/>
      <c r="L111" s="41"/>
      <c r="M111" s="41"/>
      <c r="N111" s="36"/>
      <c r="O111" s="36"/>
      <c r="P111" s="36"/>
      <c r="Q111" s="36"/>
      <c r="R111" s="36"/>
    </row>
    <row r="112" spans="1:18" hidden="1" x14ac:dyDescent="0.25">
      <c r="A112" s="43"/>
      <c r="B112" s="36"/>
      <c r="C112" s="41"/>
      <c r="D112" s="41"/>
      <c r="E112" s="41"/>
      <c r="F112" s="41"/>
      <c r="G112" s="41"/>
      <c r="H112" s="36"/>
      <c r="I112" s="36"/>
      <c r="J112" s="41"/>
      <c r="K112" s="41"/>
      <c r="L112" s="41"/>
      <c r="M112" s="41"/>
      <c r="N112" s="36"/>
      <c r="O112" s="36"/>
      <c r="P112" s="36"/>
      <c r="Q112" s="36"/>
      <c r="R112" s="36"/>
    </row>
    <row r="113" spans="1:18" hidden="1" x14ac:dyDescent="0.25">
      <c r="A113" s="45"/>
      <c r="B113" s="458"/>
      <c r="C113" s="41"/>
      <c r="D113" s="41"/>
      <c r="E113" s="41"/>
      <c r="F113" s="41"/>
      <c r="G113" s="41"/>
      <c r="H113" s="36"/>
      <c r="I113" s="36"/>
      <c r="J113" s="41"/>
      <c r="K113" s="41"/>
      <c r="L113" s="41"/>
      <c r="M113" s="41"/>
      <c r="N113" s="36"/>
      <c r="O113" s="36"/>
      <c r="P113" s="36"/>
      <c r="Q113" s="36"/>
      <c r="R113" s="36"/>
    </row>
    <row r="114" spans="1:18" hidden="1" x14ac:dyDescent="0.25">
      <c r="A114" s="45"/>
      <c r="B114" s="85"/>
      <c r="C114" s="41"/>
      <c r="D114" s="41"/>
      <c r="E114" s="41"/>
      <c r="F114" s="41"/>
      <c r="G114" s="41"/>
      <c r="H114" s="36"/>
      <c r="I114" s="36"/>
      <c r="J114" s="41"/>
      <c r="K114" s="41"/>
      <c r="L114" s="41"/>
      <c r="M114" s="41"/>
      <c r="N114" s="36"/>
      <c r="O114" s="36"/>
      <c r="P114" s="36"/>
      <c r="Q114" s="36"/>
      <c r="R114" s="36"/>
    </row>
    <row r="115" spans="1:18" x14ac:dyDescent="0.25">
      <c r="A115" s="467" t="s">
        <v>605</v>
      </c>
      <c r="B115" s="85">
        <v>43</v>
      </c>
      <c r="C115" s="41">
        <f>ROUND('Biomass Data Assumptions'!$B$71/1000*B115,0)</f>
        <v>17</v>
      </c>
      <c r="D115" s="41">
        <f>'Biomass Data Assumptions'!$C$71*C115</f>
        <v>291635</v>
      </c>
      <c r="E115" s="41">
        <f>('Biomass Data Assumptions'!$D$71*'Energy Content Assumptions'!$C$55*D115)/2000</f>
        <v>7.2908749999999998</v>
      </c>
      <c r="F115" s="41">
        <f>'Biomass Data Assumptions'!$E$71*B115*365/2000</f>
        <v>0</v>
      </c>
      <c r="G115" s="41">
        <f>F115+E115</f>
        <v>7.2908749999999998</v>
      </c>
      <c r="H115" s="36"/>
      <c r="I115" s="36"/>
      <c r="J115" s="41"/>
      <c r="K115" s="41"/>
      <c r="L115" s="41"/>
      <c r="M115" s="41"/>
      <c r="N115" s="36"/>
      <c r="O115" s="36"/>
      <c r="P115" s="36"/>
      <c r="Q115" s="36"/>
      <c r="R115" s="36"/>
    </row>
    <row r="116" spans="1:18" x14ac:dyDescent="0.25">
      <c r="A116" s="46"/>
      <c r="B116" s="41"/>
      <c r="C116" s="41"/>
      <c r="D116" s="41"/>
      <c r="E116" s="41"/>
      <c r="F116" s="41"/>
      <c r="G116" s="41"/>
      <c r="H116" s="36"/>
      <c r="I116" s="36"/>
      <c r="J116" s="41"/>
      <c r="K116" s="41"/>
      <c r="L116" s="41"/>
      <c r="M116" s="41"/>
      <c r="N116" s="36"/>
      <c r="O116" s="36"/>
      <c r="P116" s="36"/>
      <c r="Q116" s="36"/>
      <c r="R116" s="36"/>
    </row>
    <row r="117" spans="1:18" x14ac:dyDescent="0.25">
      <c r="A117" s="43" t="s">
        <v>551</v>
      </c>
      <c r="B117" s="85">
        <f>44+138+891</f>
        <v>1073</v>
      </c>
      <c r="C117" s="41">
        <f>ROUND('Biomass Data Assumptions'!B72/1000*B117,0)</f>
        <v>5</v>
      </c>
      <c r="D117" s="41">
        <f>'Biomass Data Assumptions'!C72*C117</f>
        <v>91250</v>
      </c>
      <c r="E117" s="41">
        <f>('Biomass Data Assumptions'!D72*'Energy Content Assumptions'!C56*D117)/2000</f>
        <v>8.8968749999999996</v>
      </c>
      <c r="F117" s="41">
        <f>'Biomass Data Assumptions'!E72*B117*365/2000</f>
        <v>0</v>
      </c>
      <c r="G117" s="41">
        <f>F117+E117</f>
        <v>8.8968749999999996</v>
      </c>
      <c r="H117" s="150" t="s">
        <v>609</v>
      </c>
      <c r="I117" s="36"/>
      <c r="J117" s="41"/>
      <c r="K117" s="41"/>
      <c r="L117" s="41"/>
      <c r="M117" s="41"/>
      <c r="N117" s="36"/>
      <c r="O117" s="36"/>
      <c r="P117" s="36"/>
      <c r="Q117" s="36"/>
      <c r="R117" s="36"/>
    </row>
    <row r="118" spans="1:18" x14ac:dyDescent="0.25">
      <c r="A118" s="43"/>
      <c r="B118" s="41"/>
      <c r="C118" s="41"/>
      <c r="D118" s="41"/>
      <c r="E118" s="41"/>
      <c r="F118" s="41"/>
      <c r="G118" s="41"/>
      <c r="H118" s="36"/>
      <c r="I118" s="36"/>
      <c r="J118" s="41"/>
      <c r="K118" s="41"/>
      <c r="L118" s="41"/>
      <c r="M118" s="41"/>
      <c r="N118" s="36"/>
      <c r="O118" s="36"/>
      <c r="P118" s="36"/>
      <c r="Q118" s="36"/>
      <c r="R118" s="36"/>
    </row>
    <row r="119" spans="1:18" x14ac:dyDescent="0.25">
      <c r="A119" s="43" t="s">
        <v>552</v>
      </c>
      <c r="B119" s="85">
        <v>69</v>
      </c>
      <c r="C119" s="41">
        <f>ROUND('Biomass Data Assumptions'!B73/1000*B119,0)</f>
        <v>1</v>
      </c>
      <c r="D119" s="41">
        <f>'Biomass Data Assumptions'!C73*C119</f>
        <v>13505</v>
      </c>
      <c r="E119" s="41">
        <f>('Biomass Data Assumptions'!D73*'Energy Content Assumptions'!C57*D119)/2000</f>
        <v>1.26609375</v>
      </c>
      <c r="F119" s="41">
        <f>'Biomass Data Assumptions'!E73*B119*365/2000</f>
        <v>1.25925</v>
      </c>
      <c r="G119" s="41">
        <f>F119+E119</f>
        <v>2.5253437500000002</v>
      </c>
      <c r="H119" s="36"/>
      <c r="I119" s="36"/>
      <c r="J119" s="41"/>
      <c r="K119" s="41"/>
      <c r="L119" s="41"/>
      <c r="M119" s="41"/>
      <c r="N119" s="36"/>
      <c r="O119" s="36"/>
      <c r="P119" s="36"/>
      <c r="Q119" s="36"/>
      <c r="R119" s="36"/>
    </row>
    <row r="120" spans="1:18" x14ac:dyDescent="0.25">
      <c r="A120" s="43"/>
      <c r="B120" s="41"/>
      <c r="C120" s="41"/>
      <c r="D120" s="41"/>
      <c r="E120" s="41"/>
      <c r="F120" s="41"/>
      <c r="G120" s="41"/>
      <c r="H120" s="36"/>
      <c r="I120" s="36"/>
      <c r="J120" s="41"/>
      <c r="K120" s="41"/>
      <c r="L120" s="41"/>
      <c r="M120" s="41"/>
      <c r="N120" s="36"/>
      <c r="O120" s="36"/>
      <c r="P120" s="36"/>
      <c r="Q120" s="36"/>
      <c r="R120" s="36"/>
    </row>
    <row r="121" spans="1:18" x14ac:dyDescent="0.25">
      <c r="A121" s="43" t="s">
        <v>553</v>
      </c>
      <c r="B121" s="86">
        <f t="shared" ref="B121:G121" si="14">B97+B104+B106+B108+B110+B115+B117+B119</f>
        <v>1807</v>
      </c>
      <c r="C121" s="48">
        <f t="shared" si="14"/>
        <v>499</v>
      </c>
      <c r="D121" s="48">
        <f t="shared" si="14"/>
        <v>10486632.5</v>
      </c>
      <c r="E121" s="48">
        <f t="shared" si="14"/>
        <v>360.27991125000005</v>
      </c>
      <c r="F121" s="48">
        <f t="shared" si="14"/>
        <v>1234.9592499999999</v>
      </c>
      <c r="G121" s="48">
        <f t="shared" si="14"/>
        <v>1595.2391612499998</v>
      </c>
      <c r="H121" s="36"/>
      <c r="I121" s="36"/>
      <c r="J121" s="48"/>
      <c r="K121" s="48"/>
      <c r="L121" s="48"/>
      <c r="M121" s="48"/>
      <c r="N121" s="36"/>
      <c r="O121" s="36"/>
      <c r="P121" s="36"/>
      <c r="Q121" s="36"/>
      <c r="R121" s="36"/>
    </row>
    <row r="122" spans="1:18" x14ac:dyDescent="0.25">
      <c r="A122" s="36"/>
      <c r="B122" s="36"/>
      <c r="C122" s="36"/>
      <c r="D122" s="36"/>
      <c r="E122" s="36"/>
      <c r="F122" s="36"/>
      <c r="G122" s="36"/>
      <c r="H122" s="36"/>
      <c r="I122" s="36"/>
      <c r="J122" s="36"/>
      <c r="K122" s="36"/>
      <c r="L122" s="36"/>
      <c r="M122" s="36"/>
      <c r="N122" s="36"/>
      <c r="O122" s="36"/>
      <c r="P122" s="36"/>
      <c r="Q122" s="36"/>
      <c r="R122" s="36"/>
    </row>
    <row r="123" spans="1:18" x14ac:dyDescent="0.25">
      <c r="A123" s="49" t="s">
        <v>1014</v>
      </c>
      <c r="B123" s="49" t="s">
        <v>1043</v>
      </c>
      <c r="C123" s="49" t="s">
        <v>1044</v>
      </c>
      <c r="D123" s="546" t="s">
        <v>1013</v>
      </c>
      <c r="E123" s="36"/>
      <c r="F123" s="36"/>
      <c r="G123" s="36"/>
      <c r="H123" s="36"/>
      <c r="I123" s="36"/>
      <c r="J123" s="36"/>
      <c r="K123" s="36"/>
      <c r="L123" s="36"/>
      <c r="M123" s="36"/>
      <c r="N123" s="36"/>
      <c r="O123" s="36"/>
      <c r="P123" s="36"/>
      <c r="Q123" s="36"/>
      <c r="R123" s="36"/>
    </row>
    <row r="124" spans="1:18" x14ac:dyDescent="0.25">
      <c r="A124" s="50" t="s">
        <v>555</v>
      </c>
      <c r="B124" s="87">
        <v>62968.11</v>
      </c>
      <c r="C124" s="543">
        <f>B124*'Energy Content Assumptions'!C33</f>
        <v>56671.298999999999</v>
      </c>
      <c r="D124" s="36"/>
      <c r="E124" s="36"/>
      <c r="F124" s="36"/>
      <c r="G124" s="36"/>
      <c r="H124" s="36"/>
      <c r="I124" s="36"/>
      <c r="J124" s="36"/>
      <c r="K124" s="36"/>
      <c r="L124" s="36"/>
      <c r="M124" s="36"/>
      <c r="N124" s="36"/>
      <c r="O124" s="36"/>
      <c r="P124" s="36"/>
      <c r="Q124" s="36"/>
      <c r="R124" s="36"/>
    </row>
    <row r="125" spans="1:18" x14ac:dyDescent="0.25">
      <c r="A125" s="50" t="s">
        <v>556</v>
      </c>
      <c r="B125" s="87">
        <v>15032.37</v>
      </c>
      <c r="C125" s="543">
        <f>B125*'Energy Content Assumptions'!C34</f>
        <v>13529.133000000002</v>
      </c>
      <c r="D125" s="36"/>
      <c r="E125" s="36"/>
      <c r="F125" s="36"/>
      <c r="G125" s="36"/>
      <c r="H125" s="36"/>
      <c r="I125" s="36"/>
      <c r="J125" s="36"/>
      <c r="K125" s="36"/>
      <c r="L125" s="36"/>
      <c r="M125" s="36"/>
      <c r="N125" s="36"/>
      <c r="O125" s="36"/>
      <c r="P125" s="36"/>
      <c r="Q125" s="36"/>
      <c r="R125" s="36"/>
    </row>
    <row r="126" spans="1:18" x14ac:dyDescent="0.25">
      <c r="A126" s="50" t="s">
        <v>557</v>
      </c>
      <c r="B126" s="87">
        <v>21145.67</v>
      </c>
      <c r="C126" s="543">
        <f>B126*'Energy Content Assumptions'!C35</f>
        <v>19031.102999999999</v>
      </c>
      <c r="D126" s="36"/>
      <c r="E126" s="36"/>
      <c r="F126" s="36"/>
      <c r="G126" s="36"/>
      <c r="H126" s="36"/>
      <c r="I126" s="36"/>
      <c r="J126" s="36"/>
      <c r="K126" s="36"/>
      <c r="L126" s="36"/>
      <c r="M126" s="36"/>
      <c r="N126" s="36"/>
      <c r="O126" s="36"/>
      <c r="P126" s="36"/>
      <c r="Q126" s="36"/>
      <c r="R126" s="36"/>
    </row>
    <row r="127" spans="1:18" x14ac:dyDescent="0.25">
      <c r="A127" s="50" t="s">
        <v>558</v>
      </c>
      <c r="B127" s="87">
        <v>9558.09</v>
      </c>
      <c r="C127" s="543">
        <f>B127*'Energy Content Assumptions'!C36</f>
        <v>8602.2810000000009</v>
      </c>
      <c r="D127" s="36"/>
      <c r="E127" s="36"/>
      <c r="F127" s="36"/>
      <c r="G127" s="36"/>
      <c r="H127" s="36"/>
      <c r="I127" s="36"/>
      <c r="J127" s="36"/>
      <c r="K127" s="36"/>
      <c r="L127" s="36"/>
      <c r="M127" s="36"/>
      <c r="N127" s="36"/>
      <c r="O127" s="36"/>
      <c r="P127" s="36"/>
      <c r="Q127" s="36"/>
      <c r="R127" s="36"/>
    </row>
    <row r="128" spans="1:18" x14ac:dyDescent="0.25">
      <c r="A128" s="50" t="s">
        <v>559</v>
      </c>
      <c r="B128" s="87">
        <v>17817.18</v>
      </c>
      <c r="C128" s="543">
        <f>B128*'Energy Content Assumptions'!C21</f>
        <v>8908.59</v>
      </c>
      <c r="D128" s="36"/>
      <c r="E128" s="36"/>
      <c r="F128" s="36"/>
      <c r="G128" s="36"/>
      <c r="H128" s="36"/>
      <c r="I128" s="36"/>
      <c r="J128" s="36"/>
      <c r="K128" s="36"/>
      <c r="L128" s="36"/>
      <c r="M128" s="36"/>
      <c r="N128" s="36"/>
      <c r="O128" s="36"/>
      <c r="P128" s="36"/>
      <c r="Q128" s="36"/>
      <c r="R128" s="36"/>
    </row>
    <row r="129" spans="1:18" x14ac:dyDescent="0.25">
      <c r="A129" s="50" t="s">
        <v>560</v>
      </c>
      <c r="B129" s="87">
        <v>11754.75</v>
      </c>
      <c r="C129" s="543">
        <f>B129*'Energy Content Assumptions'!C22</f>
        <v>3918.25</v>
      </c>
      <c r="D129" s="36"/>
      <c r="E129" s="36"/>
      <c r="F129" s="36"/>
      <c r="G129" s="36"/>
      <c r="H129" s="36"/>
      <c r="I129" s="36"/>
      <c r="J129" s="36"/>
      <c r="K129" s="36"/>
      <c r="L129" s="36"/>
      <c r="M129" s="36"/>
      <c r="N129" s="36"/>
      <c r="O129" s="36"/>
      <c r="P129" s="36"/>
      <c r="Q129" s="36"/>
      <c r="R129" s="36"/>
    </row>
    <row r="130" spans="1:18" x14ac:dyDescent="0.25">
      <c r="A130" s="50" t="s">
        <v>561</v>
      </c>
      <c r="B130" s="87">
        <v>27127.54</v>
      </c>
      <c r="C130" s="543">
        <f>B130*'Energy Content Assumptions'!C23</f>
        <v>9042.5133333333324</v>
      </c>
      <c r="D130" s="36"/>
      <c r="E130" s="36"/>
      <c r="F130" s="36"/>
      <c r="G130" s="36"/>
      <c r="H130" s="36"/>
      <c r="I130" s="36"/>
      <c r="J130" s="36"/>
      <c r="K130" s="36"/>
      <c r="L130" s="36"/>
      <c r="M130" s="36"/>
      <c r="N130" s="36"/>
      <c r="O130" s="36"/>
      <c r="P130" s="36"/>
      <c r="Q130" s="36"/>
      <c r="R130" s="36"/>
    </row>
    <row r="131" spans="1:18" x14ac:dyDescent="0.25">
      <c r="A131" s="50" t="s">
        <v>562</v>
      </c>
      <c r="B131" s="87">
        <v>1213.45</v>
      </c>
      <c r="C131" s="543">
        <f>B131*'Energy Content Assumptions'!C24</f>
        <v>606.72500000000002</v>
      </c>
      <c r="D131" s="36"/>
      <c r="E131" s="36"/>
      <c r="F131" s="36"/>
      <c r="G131" s="36"/>
      <c r="H131" s="36"/>
      <c r="I131" s="36"/>
      <c r="J131" s="36"/>
      <c r="K131" s="36"/>
      <c r="L131" s="36"/>
      <c r="M131" s="36"/>
      <c r="N131" s="36"/>
      <c r="O131" s="36"/>
      <c r="P131" s="36"/>
      <c r="Q131" s="36"/>
      <c r="R131" s="36"/>
    </row>
    <row r="132" spans="1:18" x14ac:dyDescent="0.25">
      <c r="A132" s="50" t="s">
        <v>563</v>
      </c>
      <c r="B132" s="87">
        <v>12282.58</v>
      </c>
      <c r="C132" s="543">
        <f>B132*'Energy Content Assumptions'!C31</f>
        <v>3070.645</v>
      </c>
      <c r="D132" s="36"/>
      <c r="E132" s="36"/>
      <c r="F132" s="36"/>
      <c r="G132" s="36"/>
      <c r="H132" s="36"/>
      <c r="I132" s="36"/>
      <c r="J132" s="36"/>
      <c r="K132" s="36"/>
      <c r="L132" s="36"/>
      <c r="M132" s="36"/>
      <c r="N132" s="36"/>
      <c r="O132" s="36"/>
      <c r="P132" s="36"/>
      <c r="Q132" s="36"/>
      <c r="R132" s="36"/>
    </row>
    <row r="133" spans="1:18" x14ac:dyDescent="0.25">
      <c r="A133" s="50" t="s">
        <v>564</v>
      </c>
      <c r="B133" s="87">
        <v>206.74</v>
      </c>
      <c r="C133" s="543">
        <f>B133*'Energy Content Assumptions'!C19</f>
        <v>186.066</v>
      </c>
      <c r="D133" s="36"/>
      <c r="E133" s="36"/>
      <c r="F133" s="36"/>
      <c r="G133" s="36"/>
      <c r="H133" s="36"/>
      <c r="I133" s="36"/>
      <c r="J133" s="36"/>
      <c r="K133" s="36"/>
      <c r="L133" s="36"/>
      <c r="M133" s="36"/>
      <c r="N133" s="36"/>
      <c r="O133" s="36"/>
      <c r="P133" s="36"/>
      <c r="Q133" s="36"/>
      <c r="R133" s="36"/>
    </row>
    <row r="134" spans="1:18" x14ac:dyDescent="0.25">
      <c r="A134" s="50" t="s">
        <v>565</v>
      </c>
      <c r="B134" s="87">
        <v>3930.35</v>
      </c>
      <c r="C134" s="543">
        <f>B134*'Energy Content Assumptions'!C32</f>
        <v>3144.28</v>
      </c>
      <c r="D134" s="36"/>
      <c r="E134" s="36"/>
      <c r="F134" s="36"/>
      <c r="G134" s="36"/>
      <c r="H134" s="36"/>
      <c r="I134" s="36"/>
      <c r="J134" s="36"/>
      <c r="K134" s="36"/>
      <c r="L134" s="36"/>
      <c r="M134" s="36"/>
      <c r="N134" s="36"/>
      <c r="O134" s="36"/>
      <c r="P134" s="36"/>
      <c r="Q134" s="36"/>
      <c r="R134" s="36"/>
    </row>
    <row r="135" spans="1:18" x14ac:dyDescent="0.25">
      <c r="A135" s="36"/>
      <c r="B135" s="36"/>
      <c r="C135" s="36"/>
      <c r="D135" s="36"/>
      <c r="E135" s="36"/>
      <c r="F135" s="36"/>
      <c r="G135" s="36"/>
      <c r="H135" s="36"/>
      <c r="I135" s="36"/>
      <c r="J135" s="36"/>
      <c r="K135" s="36"/>
      <c r="L135" s="36"/>
      <c r="M135" s="36"/>
      <c r="N135" s="36"/>
      <c r="O135" s="36"/>
      <c r="P135" s="36"/>
      <c r="Q135" s="36"/>
      <c r="R135" s="36"/>
    </row>
    <row r="136" spans="1:18" x14ac:dyDescent="0.25">
      <c r="A136" s="49" t="s">
        <v>462</v>
      </c>
      <c r="B136" s="49" t="s">
        <v>1039</v>
      </c>
      <c r="C136" s="49" t="s">
        <v>1040</v>
      </c>
      <c r="D136" s="36"/>
      <c r="E136" s="36"/>
      <c r="F136" s="36"/>
      <c r="G136" s="36"/>
      <c r="H136" s="36"/>
      <c r="I136" s="36"/>
      <c r="J136" s="36"/>
      <c r="K136" s="36"/>
      <c r="L136" s="36"/>
      <c r="M136" s="36"/>
      <c r="N136" s="36"/>
      <c r="O136" s="36"/>
      <c r="P136" s="36"/>
      <c r="Q136" s="36"/>
      <c r="R136" s="36"/>
    </row>
    <row r="137" spans="1:18" x14ac:dyDescent="0.25">
      <c r="A137" s="50" t="s">
        <v>211</v>
      </c>
      <c r="B137" s="87">
        <f>'Biomass Data Assumptions'!$M$22</f>
        <v>633403.22</v>
      </c>
      <c r="C137" s="544"/>
      <c r="D137" s="546" t="s">
        <v>1016</v>
      </c>
      <c r="E137" s="36"/>
      <c r="F137" s="36"/>
      <c r="G137" s="36"/>
      <c r="H137" s="36"/>
      <c r="I137" s="36"/>
      <c r="J137" s="36"/>
      <c r="K137" s="36"/>
      <c r="L137" s="36"/>
      <c r="M137" s="36"/>
      <c r="N137" s="36"/>
      <c r="O137" s="36"/>
      <c r="P137" s="36"/>
      <c r="Q137" s="36"/>
      <c r="R137" s="36"/>
    </row>
    <row r="138" spans="1:18" x14ac:dyDescent="0.25">
      <c r="A138" s="50" t="s">
        <v>208</v>
      </c>
      <c r="B138" s="87">
        <f>'Biomass Data Assumptions'!$F$22</f>
        <v>411253.1</v>
      </c>
      <c r="C138" s="543">
        <f>B138*'Energy Content Assumptions'!$C$28</f>
        <v>205626.55</v>
      </c>
      <c r="D138" s="546" t="s">
        <v>1016</v>
      </c>
      <c r="E138" s="36"/>
      <c r="F138" s="36"/>
      <c r="G138" s="36"/>
      <c r="H138" s="36"/>
      <c r="I138" s="36"/>
      <c r="J138" s="36"/>
      <c r="K138" s="36"/>
      <c r="L138" s="36"/>
      <c r="M138" s="36"/>
      <c r="N138" s="36"/>
      <c r="O138" s="36"/>
      <c r="P138" s="36"/>
      <c r="Q138" s="36"/>
      <c r="R138" s="36"/>
    </row>
    <row r="139" spans="1:18" x14ac:dyDescent="0.25">
      <c r="A139" s="50" t="s">
        <v>209</v>
      </c>
      <c r="B139" s="87">
        <f>'Biomass Data Assumptions'!$H$22</f>
        <v>75330.5</v>
      </c>
      <c r="C139" s="543"/>
      <c r="D139" s="36" t="s">
        <v>1020</v>
      </c>
      <c r="E139" s="36"/>
      <c r="F139" s="36"/>
      <c r="G139" s="36"/>
      <c r="H139" s="36"/>
      <c r="I139" s="36"/>
      <c r="J139" s="36"/>
      <c r="K139" s="36"/>
      <c r="L139" s="36"/>
      <c r="M139" s="36"/>
      <c r="N139" s="36"/>
      <c r="O139" s="36"/>
      <c r="P139" s="36"/>
      <c r="Q139" s="36"/>
      <c r="R139" s="36"/>
    </row>
    <row r="140" spans="1:18" x14ac:dyDescent="0.25">
      <c r="A140" s="50" t="s">
        <v>210</v>
      </c>
      <c r="B140" s="87">
        <f>'Biomass Data Assumptions'!$I$22</f>
        <v>335922.6</v>
      </c>
      <c r="C140" s="543">
        <f>B140*'Energy Content Assumptions'!$C$28</f>
        <v>167961.3</v>
      </c>
      <c r="D140" s="36" t="s">
        <v>1021</v>
      </c>
      <c r="E140" s="36"/>
      <c r="F140" s="36"/>
      <c r="G140" s="36"/>
      <c r="H140" s="36"/>
      <c r="I140" s="36"/>
      <c r="J140" s="36"/>
      <c r="K140" s="36"/>
      <c r="L140" s="36"/>
      <c r="M140" s="36"/>
      <c r="N140" s="36"/>
      <c r="O140" s="36"/>
      <c r="P140" s="36"/>
      <c r="Q140" s="36"/>
      <c r="R140" s="36"/>
    </row>
    <row r="141" spans="1:18" x14ac:dyDescent="0.25">
      <c r="A141" s="50" t="str">
        <f>'Bioenergy Calculator'!B35</f>
        <v>Food waste, Landfilled</v>
      </c>
      <c r="B141" s="87">
        <f>IF('Bioenergy Calculator'!H75="No",'Biomass Data Assumptions'!J22,'Biomass Data Assumptions'!F22*'Biomass Data Assumptions'!I41)</f>
        <v>53142.955320000001</v>
      </c>
      <c r="C141" s="543">
        <f>B141*'Energy Content Assumptions'!C26</f>
        <v>15942.886596</v>
      </c>
      <c r="D141" s="36" t="s">
        <v>1063</v>
      </c>
      <c r="E141" s="36"/>
      <c r="F141" s="36"/>
      <c r="G141" s="36"/>
      <c r="H141" s="36"/>
      <c r="I141" s="36"/>
      <c r="J141" s="36"/>
      <c r="K141" s="36"/>
      <c r="L141" s="36"/>
      <c r="M141" s="36"/>
      <c r="N141" s="36"/>
      <c r="O141" s="36"/>
      <c r="P141" s="36"/>
      <c r="Q141" s="36"/>
      <c r="R141" s="36"/>
    </row>
    <row r="142" spans="1:18" x14ac:dyDescent="0.25">
      <c r="A142" s="50" t="str">
        <f>'Bioenergy Calculator'!B36</f>
        <v>Waste paper, Landfilled</v>
      </c>
      <c r="B142" s="87">
        <f>IF('Bioenergy Calculator'!H75="No",'Biomass Data Assumptions'!K22,'Biomass Data Assumptions'!F22*'Biomass Data Assumptions'!I42)</f>
        <v>65336.945699999997</v>
      </c>
      <c r="C142" s="543">
        <f>B142*'Energy Content Assumptions'!C27</f>
        <v>58803.251129999997</v>
      </c>
      <c r="D142" s="36" t="s">
        <v>1063</v>
      </c>
      <c r="E142" s="36"/>
      <c r="F142" s="36"/>
      <c r="G142" s="36"/>
      <c r="H142" s="36"/>
      <c r="I142" s="36"/>
      <c r="J142" s="36"/>
      <c r="K142" s="36"/>
      <c r="L142" s="36"/>
      <c r="M142" s="36"/>
      <c r="N142" s="36"/>
      <c r="O142" s="36"/>
      <c r="P142" s="36"/>
      <c r="Q142" s="36"/>
      <c r="R142" s="36"/>
    </row>
    <row r="143" spans="1:18" x14ac:dyDescent="0.25">
      <c r="A143" s="50" t="str">
        <f>'Bioenergy Calculator'!B37</f>
        <v>Other Biomass, Landfilled</v>
      </c>
      <c r="B143" s="87">
        <f>IF('Bioenergy Calculator'!H75="No",'Biomass Data Assumptions'!L22,'Biomass Data Assumptions'!F22*'Biomass Data Assumptions'!I43)</f>
        <v>90463.956179999994</v>
      </c>
      <c r="C143" s="543">
        <f>B143*'Energy Content Assumptions'!$C$28</f>
        <v>45231.978089999997</v>
      </c>
      <c r="D143" s="546" t="s">
        <v>1064</v>
      </c>
      <c r="E143" s="36"/>
      <c r="F143" s="36"/>
      <c r="G143" s="36"/>
      <c r="H143" s="36"/>
      <c r="I143" s="36"/>
      <c r="J143" s="36"/>
      <c r="K143" s="36"/>
      <c r="L143" s="36"/>
      <c r="M143" s="36"/>
      <c r="N143" s="36"/>
      <c r="O143" s="36"/>
      <c r="P143" s="36"/>
      <c r="Q143" s="36"/>
      <c r="R143" s="36"/>
    </row>
    <row r="144" spans="1:18" x14ac:dyDescent="0.25">
      <c r="A144" s="50" t="s">
        <v>463</v>
      </c>
      <c r="B144" s="87">
        <v>157635.48000000001</v>
      </c>
      <c r="C144" s="543">
        <f>B144*'Energy Content Assumptions'!C29</f>
        <v>126108.38400000002</v>
      </c>
      <c r="D144" s="151" t="s">
        <v>206</v>
      </c>
      <c r="E144" s="36"/>
      <c r="F144" s="36"/>
      <c r="G144" s="36"/>
      <c r="H144" s="36"/>
      <c r="I144" s="36"/>
      <c r="J144" s="36"/>
      <c r="K144" s="36"/>
      <c r="L144" s="36"/>
      <c r="M144" s="36"/>
      <c r="N144" s="36"/>
      <c r="O144" s="36"/>
      <c r="P144" s="36"/>
      <c r="Q144" s="36"/>
      <c r="R144" s="36"/>
    </row>
    <row r="145" spans="1:18" x14ac:dyDescent="0.25">
      <c r="A145" s="709" t="s">
        <v>179</v>
      </c>
      <c r="B145" s="710">
        <v>0.4</v>
      </c>
      <c r="C145" s="543">
        <f>C144*B145</f>
        <v>50443.353600000009</v>
      </c>
      <c r="D145" s="36" t="s">
        <v>1202</v>
      </c>
      <c r="E145" s="36"/>
      <c r="F145" s="36"/>
      <c r="G145" s="36"/>
      <c r="H145" s="36"/>
      <c r="I145" s="36"/>
      <c r="J145" s="36"/>
      <c r="K145" s="36"/>
      <c r="L145" s="36"/>
      <c r="M145" s="36"/>
      <c r="N145" s="36"/>
      <c r="O145" s="36"/>
      <c r="P145" s="36"/>
      <c r="Q145" s="36"/>
      <c r="R145" s="36"/>
    </row>
    <row r="146" spans="1:18" x14ac:dyDescent="0.25">
      <c r="A146" s="712"/>
      <c r="B146" s="713"/>
      <c r="C146" s="543"/>
      <c r="D146" s="150" t="s">
        <v>1553</v>
      </c>
      <c r="E146" s="36"/>
      <c r="F146" s="36"/>
      <c r="G146" s="36"/>
      <c r="H146" s="36"/>
      <c r="I146" s="36"/>
      <c r="J146" s="36"/>
      <c r="K146" s="36"/>
      <c r="L146" s="36"/>
      <c r="M146" s="36"/>
      <c r="N146" s="36"/>
      <c r="O146" s="36"/>
      <c r="P146" s="36"/>
      <c r="Q146" s="36"/>
      <c r="R146" s="36"/>
    </row>
    <row r="147" spans="1:18" x14ac:dyDescent="0.25">
      <c r="A147" s="1238" t="s">
        <v>1568</v>
      </c>
      <c r="B147" s="49" t="s">
        <v>1039</v>
      </c>
      <c r="C147" s="49" t="s">
        <v>1571</v>
      </c>
      <c r="D147" s="150"/>
      <c r="E147" s="36"/>
      <c r="F147" s="36"/>
      <c r="G147" s="36"/>
      <c r="H147" s="36"/>
      <c r="I147" s="36"/>
      <c r="J147" s="36"/>
      <c r="K147" s="36"/>
      <c r="L147" s="36"/>
      <c r="M147" s="36"/>
      <c r="N147" s="36"/>
      <c r="O147" s="36"/>
      <c r="P147" s="36"/>
      <c r="Q147" s="36"/>
      <c r="R147" s="36"/>
    </row>
    <row r="148" spans="1:18" x14ac:dyDescent="0.25">
      <c r="A148" s="1236" t="s">
        <v>508</v>
      </c>
      <c r="B148" s="549">
        <f>'Biomass Data Assumptions'!R22/2000</f>
        <v>2205.3944000000006</v>
      </c>
      <c r="C148" s="1239">
        <f>B148*'Energy Content Assumptions'!C39</f>
        <v>1874.5852400000003</v>
      </c>
      <c r="D148" s="150" t="s">
        <v>1569</v>
      </c>
      <c r="E148" s="36"/>
      <c r="F148" s="36"/>
      <c r="G148" s="36"/>
      <c r="H148" s="36"/>
      <c r="I148" s="36"/>
      <c r="J148" s="36"/>
      <c r="K148" s="36"/>
      <c r="L148" s="36"/>
      <c r="M148" s="36"/>
      <c r="N148" s="36"/>
      <c r="O148" s="36"/>
      <c r="P148" s="36"/>
      <c r="Q148" s="36"/>
      <c r="R148" s="36"/>
    </row>
    <row r="149" spans="1:18" x14ac:dyDescent="0.25">
      <c r="A149" s="1236" t="s">
        <v>509</v>
      </c>
      <c r="B149" s="549">
        <f>'Biomass Data Assumptions'!S22/2000</f>
        <v>3350.6958099999997</v>
      </c>
      <c r="C149" s="1239">
        <f>B149*'Energy Content Assumptions'!C40</f>
        <v>167.53479049999999</v>
      </c>
      <c r="D149" s="150" t="s">
        <v>1570</v>
      </c>
      <c r="E149" s="36"/>
      <c r="F149" s="36"/>
      <c r="G149" s="36"/>
      <c r="H149" s="36"/>
      <c r="I149" s="36"/>
      <c r="J149" s="36"/>
      <c r="K149" s="36"/>
      <c r="L149" s="36"/>
      <c r="M149" s="36"/>
      <c r="N149" s="36"/>
      <c r="O149" s="36"/>
      <c r="P149" s="36"/>
      <c r="Q149" s="36"/>
      <c r="R149" s="36"/>
    </row>
    <row r="150" spans="1:18" x14ac:dyDescent="0.25">
      <c r="A150" s="36"/>
      <c r="B150" s="36"/>
      <c r="C150" s="36"/>
      <c r="D150" s="36"/>
      <c r="E150" s="36"/>
      <c r="F150" s="36"/>
      <c r="G150" s="36"/>
      <c r="H150" s="36"/>
      <c r="I150" s="36"/>
      <c r="J150" s="36"/>
      <c r="K150" s="36"/>
      <c r="L150" s="36"/>
      <c r="M150" s="36"/>
      <c r="N150" s="36"/>
      <c r="O150" s="36"/>
      <c r="P150" s="36"/>
      <c r="Q150" s="36"/>
      <c r="R150" s="36"/>
    </row>
    <row r="151" spans="1:18" x14ac:dyDescent="0.25">
      <c r="A151" s="36"/>
      <c r="B151" s="36"/>
      <c r="C151" s="36"/>
      <c r="D151" s="36"/>
      <c r="E151" s="36"/>
      <c r="F151" s="36"/>
      <c r="G151" s="36"/>
      <c r="H151" s="36"/>
      <c r="I151" s="36"/>
      <c r="J151" s="36"/>
      <c r="K151" s="36"/>
      <c r="L151" s="36"/>
      <c r="M151" s="36"/>
      <c r="N151" s="36"/>
      <c r="O151" s="36"/>
      <c r="P151" s="36"/>
      <c r="Q151" s="36"/>
      <c r="R151" s="36"/>
    </row>
    <row r="152" spans="1:18" x14ac:dyDescent="0.25">
      <c r="A152" s="36"/>
      <c r="B152" s="36"/>
      <c r="C152" s="36"/>
      <c r="D152" s="36"/>
      <c r="E152" s="36"/>
      <c r="F152" s="36"/>
      <c r="G152" s="36"/>
      <c r="H152" s="36"/>
      <c r="I152" s="36"/>
      <c r="J152" s="36"/>
      <c r="K152" s="36"/>
      <c r="L152" s="36"/>
      <c r="M152" s="36"/>
      <c r="N152" s="36"/>
      <c r="O152" s="36"/>
      <c r="P152" s="36"/>
      <c r="Q152" s="36"/>
      <c r="R152" s="36"/>
    </row>
    <row r="153" spans="1:18" x14ac:dyDescent="0.25">
      <c r="A153" s="36"/>
      <c r="B153" s="36"/>
      <c r="C153" s="36"/>
      <c r="D153" s="36"/>
      <c r="E153" s="36"/>
      <c r="F153" s="36"/>
      <c r="G153" s="36"/>
      <c r="H153" s="36"/>
      <c r="I153" s="36"/>
      <c r="J153" s="36"/>
      <c r="K153" s="36"/>
      <c r="L153" s="36"/>
      <c r="M153" s="36"/>
      <c r="N153" s="36"/>
      <c r="O153" s="36"/>
      <c r="P153" s="36"/>
      <c r="Q153" s="36"/>
      <c r="R153" s="36"/>
    </row>
    <row r="154" spans="1:18" x14ac:dyDescent="0.25">
      <c r="A154" s="36"/>
      <c r="B154" s="36"/>
      <c r="C154" s="36"/>
      <c r="D154" s="36"/>
      <c r="E154" s="36"/>
      <c r="F154" s="36"/>
      <c r="G154" s="36"/>
      <c r="H154" s="36"/>
      <c r="I154" s="36"/>
      <c r="J154" s="36"/>
      <c r="K154" s="36"/>
      <c r="L154" s="36"/>
      <c r="M154" s="36"/>
      <c r="N154" s="36"/>
      <c r="O154" s="36"/>
      <c r="P154" s="36"/>
      <c r="Q154" s="36"/>
      <c r="R154" s="36"/>
    </row>
    <row r="155" spans="1:18" x14ac:dyDescent="0.25">
      <c r="A155" s="36"/>
      <c r="B155" s="36"/>
      <c r="C155" s="36"/>
      <c r="D155" s="36"/>
      <c r="E155" s="36"/>
      <c r="F155" s="36"/>
      <c r="G155" s="36"/>
      <c r="H155" s="36"/>
      <c r="I155" s="36"/>
      <c r="J155" s="36"/>
      <c r="K155" s="36"/>
      <c r="L155" s="36"/>
      <c r="M155" s="36"/>
      <c r="N155" s="36"/>
      <c r="O155" s="36"/>
      <c r="P155" s="36"/>
      <c r="Q155" s="36"/>
      <c r="R155" s="36"/>
    </row>
    <row r="156" spans="1:18" x14ac:dyDescent="0.25">
      <c r="A156" s="36"/>
      <c r="B156" s="36"/>
      <c r="C156" s="36"/>
      <c r="D156" s="36"/>
      <c r="E156" s="36"/>
      <c r="F156" s="36"/>
      <c r="G156" s="36"/>
      <c r="H156" s="36"/>
      <c r="I156" s="36"/>
      <c r="J156" s="36"/>
      <c r="K156" s="36"/>
      <c r="L156" s="36"/>
      <c r="M156" s="36"/>
      <c r="N156" s="36"/>
      <c r="O156" s="36"/>
      <c r="P156" s="36"/>
      <c r="Q156" s="36"/>
      <c r="R156" s="36"/>
    </row>
    <row r="157" spans="1:18" x14ac:dyDescent="0.25">
      <c r="A157" s="36"/>
      <c r="B157" s="36"/>
      <c r="C157" s="36"/>
      <c r="D157" s="36"/>
      <c r="E157" s="36"/>
      <c r="F157" s="36"/>
      <c r="G157" s="36"/>
      <c r="H157" s="36"/>
      <c r="I157" s="36"/>
      <c r="J157" s="36"/>
      <c r="K157" s="36"/>
      <c r="L157" s="36"/>
      <c r="M157" s="36"/>
      <c r="N157" s="36"/>
      <c r="O157" s="36"/>
      <c r="P157" s="36"/>
      <c r="Q157" s="36"/>
      <c r="R157" s="36"/>
    </row>
    <row r="158" spans="1:18" x14ac:dyDescent="0.25">
      <c r="A158" s="36"/>
      <c r="B158" s="36"/>
      <c r="C158" s="36"/>
      <c r="D158" s="36"/>
      <c r="E158" s="36"/>
      <c r="F158" s="36"/>
      <c r="G158" s="36"/>
      <c r="H158" s="36"/>
      <c r="I158" s="36"/>
      <c r="J158" s="36"/>
      <c r="K158" s="36"/>
      <c r="L158" s="36"/>
      <c r="M158" s="36"/>
      <c r="N158" s="36"/>
      <c r="O158" s="36"/>
      <c r="P158" s="36"/>
      <c r="Q158" s="36"/>
      <c r="R158" s="36"/>
    </row>
    <row r="159" spans="1:18" x14ac:dyDescent="0.25">
      <c r="A159" s="36"/>
      <c r="B159" s="36"/>
      <c r="C159" s="36"/>
      <c r="D159" s="36"/>
      <c r="E159" s="36"/>
      <c r="F159" s="36"/>
      <c r="G159" s="36"/>
      <c r="H159" s="36"/>
      <c r="I159" s="36"/>
      <c r="J159" s="36"/>
      <c r="K159" s="36"/>
      <c r="L159" s="36"/>
      <c r="M159" s="36"/>
      <c r="N159" s="36"/>
      <c r="O159" s="36"/>
      <c r="P159" s="36"/>
      <c r="Q159" s="36"/>
      <c r="R159" s="36"/>
    </row>
    <row r="160" spans="1:18" x14ac:dyDescent="0.25">
      <c r="A160" s="36"/>
      <c r="B160" s="36"/>
      <c r="C160" s="36"/>
      <c r="D160" s="36"/>
      <c r="E160" s="36"/>
      <c r="F160" s="36"/>
      <c r="G160" s="36"/>
      <c r="H160" s="36"/>
      <c r="I160" s="36"/>
      <c r="J160" s="36"/>
      <c r="K160" s="36"/>
      <c r="L160" s="36"/>
      <c r="M160" s="36"/>
      <c r="N160" s="36"/>
      <c r="O160" s="36"/>
      <c r="P160" s="36"/>
      <c r="Q160" s="36"/>
      <c r="R160" s="36"/>
    </row>
    <row r="161" spans="1:18" x14ac:dyDescent="0.25">
      <c r="A161" s="36"/>
      <c r="B161" s="36"/>
      <c r="C161" s="36"/>
      <c r="D161" s="36"/>
      <c r="E161" s="36"/>
      <c r="F161" s="36"/>
      <c r="G161" s="36"/>
      <c r="H161" s="36"/>
      <c r="I161" s="36"/>
      <c r="J161" s="36"/>
      <c r="K161" s="36"/>
      <c r="L161" s="36"/>
      <c r="M161" s="36"/>
      <c r="N161" s="36"/>
      <c r="O161" s="36"/>
      <c r="P161" s="36"/>
      <c r="Q161" s="36"/>
      <c r="R161" s="36"/>
    </row>
    <row r="162" spans="1:18" x14ac:dyDescent="0.25">
      <c r="A162" s="36"/>
      <c r="B162" s="36"/>
      <c r="C162" s="36"/>
      <c r="D162" s="36"/>
      <c r="E162" s="36"/>
      <c r="F162" s="36"/>
      <c r="G162" s="36"/>
      <c r="H162" s="36"/>
      <c r="I162" s="36"/>
      <c r="J162" s="36"/>
      <c r="K162" s="36"/>
      <c r="L162" s="36"/>
      <c r="M162" s="36"/>
      <c r="N162" s="36"/>
      <c r="O162" s="36"/>
      <c r="P162" s="36"/>
      <c r="Q162" s="36"/>
      <c r="R162" s="36"/>
    </row>
    <row r="163" spans="1:18" x14ac:dyDescent="0.25">
      <c r="A163" s="36"/>
      <c r="B163" s="36"/>
      <c r="C163" s="36"/>
      <c r="D163" s="36"/>
      <c r="E163" s="36"/>
      <c r="F163" s="36"/>
      <c r="G163" s="36"/>
      <c r="H163" s="36"/>
      <c r="I163" s="36"/>
      <c r="J163" s="36"/>
      <c r="K163" s="36"/>
      <c r="L163" s="36"/>
      <c r="M163" s="36"/>
      <c r="N163" s="36"/>
      <c r="O163" s="36"/>
      <c r="P163" s="36"/>
      <c r="Q163" s="36"/>
      <c r="R163" s="36"/>
    </row>
    <row r="164" spans="1:18" x14ac:dyDescent="0.25">
      <c r="A164" s="36"/>
      <c r="B164" s="36"/>
      <c r="C164" s="36"/>
      <c r="D164" s="36"/>
      <c r="E164" s="36"/>
      <c r="F164" s="36"/>
      <c r="G164" s="36"/>
      <c r="H164" s="36"/>
      <c r="I164" s="36"/>
      <c r="J164" s="36"/>
      <c r="K164" s="36"/>
      <c r="L164" s="36"/>
      <c r="M164" s="36"/>
      <c r="N164" s="36"/>
      <c r="O164" s="36"/>
      <c r="P164" s="36"/>
      <c r="Q164" s="36"/>
      <c r="R164" s="36"/>
    </row>
    <row r="165" spans="1:18" x14ac:dyDescent="0.25">
      <c r="A165" s="36"/>
      <c r="B165" s="36"/>
      <c r="C165" s="36"/>
      <c r="D165" s="36"/>
      <c r="E165" s="36"/>
      <c r="F165" s="36"/>
      <c r="G165" s="36"/>
      <c r="H165" s="36"/>
      <c r="I165" s="36"/>
      <c r="J165" s="36"/>
      <c r="K165" s="36"/>
      <c r="L165" s="36"/>
      <c r="M165" s="36"/>
      <c r="N165" s="36"/>
      <c r="O165" s="36"/>
      <c r="P165" s="36"/>
      <c r="Q165" s="36"/>
      <c r="R165" s="36"/>
    </row>
    <row r="166" spans="1:18" x14ac:dyDescent="0.25">
      <c r="A166" s="36"/>
      <c r="B166" s="36"/>
      <c r="C166" s="36"/>
      <c r="D166" s="36"/>
      <c r="E166" s="36"/>
      <c r="F166" s="36"/>
      <c r="G166" s="36"/>
      <c r="H166" s="36"/>
      <c r="I166" s="36"/>
      <c r="J166" s="36"/>
      <c r="K166" s="36"/>
      <c r="L166" s="36"/>
      <c r="M166" s="36"/>
      <c r="N166" s="36"/>
      <c r="O166" s="36"/>
      <c r="P166" s="36"/>
      <c r="Q166" s="36"/>
      <c r="R166" s="36"/>
    </row>
    <row r="167" spans="1:18" x14ac:dyDescent="0.25">
      <c r="A167" s="36"/>
      <c r="B167" s="36"/>
      <c r="C167" s="36"/>
      <c r="D167" s="36"/>
      <c r="E167" s="36"/>
      <c r="F167" s="36"/>
      <c r="G167" s="36"/>
      <c r="H167" s="36"/>
      <c r="I167" s="36"/>
      <c r="J167" s="36"/>
      <c r="K167" s="36"/>
      <c r="L167" s="36"/>
      <c r="M167" s="36"/>
      <c r="N167" s="36"/>
      <c r="O167" s="36"/>
      <c r="P167" s="36"/>
      <c r="Q167" s="36"/>
      <c r="R167" s="36"/>
    </row>
    <row r="168" spans="1:18" x14ac:dyDescent="0.25">
      <c r="A168" s="36"/>
      <c r="B168" s="36"/>
      <c r="C168" s="36"/>
      <c r="D168" s="36"/>
      <c r="E168" s="36"/>
      <c r="F168" s="36"/>
      <c r="G168" s="36"/>
      <c r="H168" s="36"/>
      <c r="I168" s="36"/>
      <c r="J168" s="36"/>
      <c r="K168" s="36"/>
      <c r="L168" s="36"/>
      <c r="M168" s="36"/>
      <c r="N168" s="36"/>
      <c r="O168" s="36"/>
      <c r="P168" s="36"/>
      <c r="Q168" s="36"/>
      <c r="R168" s="36"/>
    </row>
    <row r="169" spans="1:18" x14ac:dyDescent="0.25">
      <c r="A169" s="36"/>
      <c r="B169" s="36"/>
      <c r="C169" s="36"/>
      <c r="D169" s="36"/>
      <c r="E169" s="36"/>
      <c r="F169" s="36"/>
      <c r="G169" s="36"/>
      <c r="H169" s="36"/>
      <c r="I169" s="36"/>
      <c r="J169" s="36"/>
      <c r="K169" s="36"/>
      <c r="L169" s="36"/>
      <c r="M169" s="36"/>
      <c r="N169" s="36"/>
      <c r="O169" s="36"/>
      <c r="P169" s="36"/>
      <c r="Q169" s="36"/>
      <c r="R169" s="36"/>
    </row>
    <row r="170" spans="1:18" x14ac:dyDescent="0.25">
      <c r="A170" s="36"/>
      <c r="B170" s="36"/>
      <c r="C170" s="36"/>
      <c r="D170" s="36"/>
      <c r="E170" s="36"/>
      <c r="F170" s="36"/>
      <c r="G170" s="36"/>
      <c r="H170" s="36"/>
      <c r="I170" s="36"/>
      <c r="J170" s="36"/>
      <c r="K170" s="36"/>
      <c r="L170" s="36"/>
      <c r="M170" s="36"/>
      <c r="N170" s="36"/>
      <c r="O170" s="36"/>
      <c r="P170" s="36"/>
      <c r="Q170" s="36"/>
      <c r="R170" s="36"/>
    </row>
    <row r="171" spans="1:18" x14ac:dyDescent="0.25">
      <c r="P171" s="36"/>
      <c r="Q171" s="36"/>
      <c r="R171" s="36"/>
    </row>
    <row r="172" spans="1:18" x14ac:dyDescent="0.25">
      <c r="P172" s="36"/>
      <c r="Q172" s="36"/>
      <c r="R172" s="36"/>
    </row>
    <row r="173" spans="1:18" x14ac:dyDescent="0.25">
      <c r="P173" s="36"/>
      <c r="Q173" s="36"/>
      <c r="R173" s="36"/>
    </row>
    <row r="174" spans="1:18" x14ac:dyDescent="0.25">
      <c r="P174" s="36"/>
      <c r="Q174" s="36"/>
      <c r="R174" s="36"/>
    </row>
    <row r="175" spans="1:18" x14ac:dyDescent="0.25">
      <c r="P175" s="36"/>
      <c r="Q175" s="36"/>
      <c r="R175" s="36"/>
    </row>
    <row r="176" spans="1:18" x14ac:dyDescent="0.25">
      <c r="P176" s="36"/>
      <c r="Q176" s="36"/>
      <c r="R176" s="36"/>
    </row>
    <row r="177" spans="16:18" x14ac:dyDescent="0.25">
      <c r="P177" s="36"/>
      <c r="Q177" s="36"/>
      <c r="R177" s="36"/>
    </row>
    <row r="178" spans="16:18" x14ac:dyDescent="0.25">
      <c r="P178" s="36"/>
      <c r="Q178" s="36"/>
      <c r="R178" s="36"/>
    </row>
    <row r="179" spans="16:18" x14ac:dyDescent="0.25">
      <c r="P179" s="36"/>
      <c r="Q179" s="36"/>
      <c r="R179" s="36"/>
    </row>
    <row r="180" spans="16:18" x14ac:dyDescent="0.25">
      <c r="P180" s="36"/>
      <c r="Q180" s="36"/>
      <c r="R180" s="36"/>
    </row>
    <row r="181" spans="16:18" x14ac:dyDescent="0.25">
      <c r="P181" s="36"/>
      <c r="Q181" s="36"/>
      <c r="R181" s="36"/>
    </row>
    <row r="182" spans="16:18" x14ac:dyDescent="0.25">
      <c r="P182" s="36"/>
      <c r="Q182" s="36"/>
      <c r="R182" s="36"/>
    </row>
    <row r="183" spans="16:18" x14ac:dyDescent="0.25">
      <c r="P183" s="36"/>
      <c r="Q183" s="36"/>
      <c r="R183" s="36"/>
    </row>
    <row r="184" spans="16:18" x14ac:dyDescent="0.25">
      <c r="P184" s="36"/>
      <c r="Q184" s="36"/>
      <c r="R184" s="36"/>
    </row>
    <row r="185" spans="16:18" x14ac:dyDescent="0.25">
      <c r="P185" s="36"/>
      <c r="Q185" s="36"/>
      <c r="R185" s="36"/>
    </row>
    <row r="186" spans="16:18" x14ac:dyDescent="0.25">
      <c r="P186" s="36"/>
      <c r="Q186" s="36"/>
      <c r="R186" s="36"/>
    </row>
    <row r="187" spans="16:18" x14ac:dyDescent="0.25">
      <c r="P187" s="36"/>
      <c r="Q187" s="36"/>
      <c r="R187" s="36"/>
    </row>
    <row r="188" spans="16:18" x14ac:dyDescent="0.25">
      <c r="P188" s="36"/>
      <c r="Q188" s="36"/>
      <c r="R188" s="36"/>
    </row>
    <row r="189" spans="16:18" x14ac:dyDescent="0.25">
      <c r="P189" s="36"/>
      <c r="Q189" s="36"/>
      <c r="R189" s="36"/>
    </row>
    <row r="190" spans="16:18" x14ac:dyDescent="0.25">
      <c r="P190" s="36"/>
      <c r="Q190" s="36"/>
      <c r="R190" s="36"/>
    </row>
    <row r="191" spans="16:18" x14ac:dyDescent="0.25">
      <c r="P191" s="36"/>
      <c r="Q191" s="36"/>
      <c r="R191" s="36"/>
    </row>
    <row r="192" spans="16:18" x14ac:dyDescent="0.25">
      <c r="P192" s="36"/>
      <c r="Q192" s="36"/>
      <c r="R192" s="36"/>
    </row>
    <row r="193" spans="16:18" x14ac:dyDescent="0.25">
      <c r="P193" s="36"/>
      <c r="Q193" s="36"/>
      <c r="R193" s="36"/>
    </row>
    <row r="194" spans="16:18" x14ac:dyDescent="0.25">
      <c r="P194" s="36"/>
      <c r="Q194" s="36"/>
      <c r="R194" s="36"/>
    </row>
    <row r="195" spans="16:18" x14ac:dyDescent="0.25">
      <c r="P195" s="36"/>
      <c r="Q195" s="36"/>
      <c r="R195" s="36"/>
    </row>
    <row r="196" spans="16:18" x14ac:dyDescent="0.25">
      <c r="P196" s="36"/>
      <c r="Q196" s="36"/>
      <c r="R196" s="36"/>
    </row>
    <row r="197" spans="16:18" x14ac:dyDescent="0.25">
      <c r="P197" s="36"/>
      <c r="Q197" s="36"/>
      <c r="R197" s="36"/>
    </row>
    <row r="198" spans="16:18" x14ac:dyDescent="0.25">
      <c r="P198" s="36"/>
      <c r="Q198" s="36"/>
      <c r="R198" s="36"/>
    </row>
    <row r="199" spans="16:18" x14ac:dyDescent="0.25">
      <c r="P199" s="36"/>
      <c r="Q199" s="36"/>
      <c r="R199" s="36"/>
    </row>
  </sheetData>
  <mergeCells count="15">
    <mergeCell ref="A3:A4"/>
    <mergeCell ref="B3:B4"/>
    <mergeCell ref="C3:C4"/>
    <mergeCell ref="A51:A67"/>
    <mergeCell ref="A5:A11"/>
    <mergeCell ref="A13:A29"/>
    <mergeCell ref="A31:A43"/>
    <mergeCell ref="A45:A49"/>
    <mergeCell ref="I1:L1"/>
    <mergeCell ref="M1:P1"/>
    <mergeCell ref="Q3:Q4"/>
    <mergeCell ref="D3:D4"/>
    <mergeCell ref="I3:L3"/>
    <mergeCell ref="M3:P3"/>
    <mergeCell ref="E3:H3"/>
  </mergeCells>
  <phoneticPr fontId="0" type="noConversion"/>
  <pageMargins left="0.75" right="0.75" top="1" bottom="1" header="0.5" footer="0.5"/>
  <pageSetup paperSize="5" scale="50" orientation="landscape" r:id="rId1"/>
  <headerFooter alignWithMargins="0">
    <oddFooter>&amp;L&amp;"Arial,Italic" 7/02/07&amp;C&amp;"Arial,Italic"&amp;A&amp;R&amp;"Arial,Italic"NJAES Report 2007-1 ©2007
New Jersey Agricultural Experiment Station</oddFooter>
  </headerFooter>
  <ignoredErrors>
    <ignoredError sqref="D67" formula="1"/>
  </ignoredError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S199"/>
  <sheetViews>
    <sheetView topLeftCell="A100" zoomScale="70" zoomScaleNormal="70" workbookViewId="0">
      <selection activeCell="C147" sqref="C147"/>
    </sheetView>
  </sheetViews>
  <sheetFormatPr defaultColWidth="9.109375" defaultRowHeight="13.2" x14ac:dyDescent="0.25"/>
  <cols>
    <col min="1" max="1" width="28.6640625" style="5" customWidth="1"/>
    <col min="2" max="2" width="42.6640625" style="5" customWidth="1"/>
    <col min="3" max="3" width="23.6640625" style="5" customWidth="1"/>
    <col min="4" max="4" width="18.6640625" style="5" customWidth="1"/>
    <col min="5" max="16" width="14.6640625" style="5" customWidth="1"/>
    <col min="17" max="17" width="45.6640625" style="5" customWidth="1"/>
    <col min="18" max="18" width="34.44140625" style="5" customWidth="1"/>
    <col min="19" max="19" width="19.33203125" style="5" customWidth="1"/>
    <col min="20" max="20" width="14" style="5" customWidth="1"/>
    <col min="21" max="16384" width="9.109375" style="5"/>
  </cols>
  <sheetData>
    <row r="1" spans="1:17" ht="15.6" x14ac:dyDescent="0.3">
      <c r="A1" s="407" t="s">
        <v>575</v>
      </c>
      <c r="E1" s="412" t="s">
        <v>433</v>
      </c>
      <c r="I1" s="1195" t="str">
        <f>'Bioenergy Calculator'!B3</f>
        <v>None</v>
      </c>
      <c r="J1" s="1195"/>
      <c r="K1" s="1195"/>
      <c r="L1" s="1196"/>
      <c r="M1" s="1195" t="str">
        <f>'Bioenergy Calculator'!B4</f>
        <v>None</v>
      </c>
      <c r="N1" s="1195"/>
      <c r="O1" s="1195"/>
      <c r="P1" s="1196"/>
    </row>
    <row r="3" spans="1:17" s="6" customFormat="1" ht="24.75" customHeight="1" x14ac:dyDescent="0.25">
      <c r="A3" s="1062" t="s">
        <v>567</v>
      </c>
      <c r="B3" s="1062" t="s">
        <v>506</v>
      </c>
      <c r="C3" s="1062" t="s">
        <v>1035</v>
      </c>
      <c r="D3" s="1062" t="s">
        <v>1051</v>
      </c>
      <c r="E3" s="1083" t="s">
        <v>523</v>
      </c>
      <c r="F3" s="1209"/>
      <c r="G3" s="1209"/>
      <c r="H3" s="1198"/>
      <c r="I3" s="1072" t="s">
        <v>275</v>
      </c>
      <c r="J3" s="1073"/>
      <c r="K3" s="1074"/>
      <c r="L3" s="1075"/>
      <c r="M3" s="1083" t="s">
        <v>274</v>
      </c>
      <c r="N3" s="1084"/>
      <c r="O3" s="1197"/>
      <c r="P3" s="1198"/>
      <c r="Q3" s="1060" t="s">
        <v>570</v>
      </c>
    </row>
    <row r="4" spans="1:17" s="6" customFormat="1" x14ac:dyDescent="0.25">
      <c r="A4" s="1063"/>
      <c r="B4" s="1063"/>
      <c r="C4" s="1063"/>
      <c r="D4" s="1071"/>
      <c r="E4" s="22">
        <v>2010</v>
      </c>
      <c r="F4" s="22">
        <v>2015</v>
      </c>
      <c r="G4" s="22">
        <v>2020</v>
      </c>
      <c r="H4" s="22">
        <v>2025</v>
      </c>
      <c r="I4" s="22">
        <v>2012</v>
      </c>
      <c r="J4" s="22">
        <v>2015</v>
      </c>
      <c r="K4" s="22">
        <v>2020</v>
      </c>
      <c r="L4" s="22">
        <v>2025</v>
      </c>
      <c r="M4" s="22">
        <v>2012</v>
      </c>
      <c r="N4" s="22">
        <v>2015</v>
      </c>
      <c r="O4" s="22">
        <v>2020</v>
      </c>
      <c r="P4" s="22">
        <v>2025</v>
      </c>
      <c r="Q4" s="1061"/>
    </row>
    <row r="5" spans="1:17" x14ac:dyDescent="0.25">
      <c r="A5" s="1064" t="s">
        <v>513</v>
      </c>
      <c r="B5" s="1" t="s">
        <v>511</v>
      </c>
      <c r="C5" s="13"/>
      <c r="D5" s="13"/>
      <c r="E5" s="13"/>
      <c r="F5" s="13"/>
      <c r="G5" s="13"/>
      <c r="H5" s="13"/>
      <c r="I5" s="7"/>
      <c r="J5" s="7"/>
      <c r="K5" s="7"/>
      <c r="L5" s="7"/>
      <c r="M5" s="7"/>
      <c r="N5" s="7"/>
      <c r="O5" s="7"/>
      <c r="P5" s="7"/>
      <c r="Q5" s="7"/>
    </row>
    <row r="6" spans="1:17" x14ac:dyDescent="0.25">
      <c r="A6" s="1064"/>
      <c r="B6" s="11" t="str">
        <f>IF('Prac. Rec. Assumptions'!$B$56='Prac. Rec. Assumptions'!$V$3,A74,IF('Prac. Rec. Assumptions'!B57="No",A74,"Sorghum- Converted to Energy Crop"))</f>
        <v>Sorghum</v>
      </c>
      <c r="C6" s="294">
        <f>IF('Prac. Rec. Assumptions'!$B$56='Prac. Rec. Assumptions'!$V$3,D74,IF('Prac. Rec. Assumptions'!B57="No",D74,0))</f>
        <v>2278.1864</v>
      </c>
      <c r="D6" s="294" t="s">
        <v>431</v>
      </c>
      <c r="E6" s="294">
        <f>C6*'Prac. Rec. Assumptions'!B4</f>
        <v>0</v>
      </c>
      <c r="F6" s="294">
        <f>$E6</f>
        <v>0</v>
      </c>
      <c r="G6" s="294">
        <f>$E6</f>
        <v>0</v>
      </c>
      <c r="H6" s="294">
        <f>$E6</f>
        <v>0</v>
      </c>
      <c r="I6" s="16" t="str">
        <f>IF('Conversion Tables'!F7="NA","NA",$D6/'Conversion Tables'!F7)</f>
        <v>NA</v>
      </c>
      <c r="J6" s="16" t="str">
        <f>IF('Conversion Tables'!G7="NA","NA",$D6/'Conversion Tables'!G7)</f>
        <v>NA</v>
      </c>
      <c r="K6" s="16" t="str">
        <f>IF('Conversion Tables'!H7="NA","NA",$D6/'Conversion Tables'!H7)</f>
        <v>NA</v>
      </c>
      <c r="L6" s="16" t="str">
        <f>IF('Conversion Tables'!H7="NA","NA",$D6/'Conversion Tables'!H7)</f>
        <v>NA</v>
      </c>
      <c r="M6" s="16" t="str">
        <f>IF('Conversion Tables'!K7="NA","NA",$C74*'Conversion Tables'!K7)</f>
        <v>NA</v>
      </c>
      <c r="N6" s="16" t="str">
        <f>IF('Conversion Tables'!L7="NA","NA",$C74*'Conversion Tables'!L7)</f>
        <v>NA</v>
      </c>
      <c r="O6" s="16" t="str">
        <f>IF('Conversion Tables'!M7="NA","NA",$C74*'Conversion Tables'!M7)</f>
        <v>NA</v>
      </c>
      <c r="P6" s="16" t="str">
        <f>IF('Conversion Tables'!N7="NA","NA",$C74*'Conversion Tables'!N7)</f>
        <v>NA</v>
      </c>
      <c r="Q6" s="15"/>
    </row>
    <row r="7" spans="1:17" x14ac:dyDescent="0.25">
      <c r="A7" s="1064"/>
      <c r="B7" s="11" t="str">
        <f>IF('Prac. Rec. Assumptions'!$B$56='Prac. Rec. Assumptions'!$V$3,A75,IF('Prac. Rec. Assumptions'!B59="No",A75,"Rye- Converted to Energy Crop"))</f>
        <v>Rye</v>
      </c>
      <c r="C7" s="294">
        <f>IF('Prac. Rec. Assumptions'!$B$56='Prac. Rec. Assumptions'!$V$3,D75,IF('Prac. Rec. Assumptions'!B59="No",D75,0))</f>
        <v>521.32080000000008</v>
      </c>
      <c r="D7" s="294" t="s">
        <v>431</v>
      </c>
      <c r="E7" s="294">
        <f>C7*'Prac. Rec. Assumptions'!B5</f>
        <v>0</v>
      </c>
      <c r="F7" s="294">
        <f t="shared" ref="F7:H10" si="0">$E7</f>
        <v>0</v>
      </c>
      <c r="G7" s="294">
        <f t="shared" si="0"/>
        <v>0</v>
      </c>
      <c r="H7" s="294">
        <f t="shared" si="0"/>
        <v>0</v>
      </c>
      <c r="I7" s="16" t="str">
        <f>IF('Conversion Tables'!F8="NA","NA",$D7/'Conversion Tables'!F8)</f>
        <v>NA</v>
      </c>
      <c r="J7" s="16" t="str">
        <f>IF('Conversion Tables'!G8="NA","NA",$D7/'Conversion Tables'!G8)</f>
        <v>NA</v>
      </c>
      <c r="K7" s="16" t="str">
        <f>IF('Conversion Tables'!H8="NA","NA",$D7/'Conversion Tables'!H8)</f>
        <v>NA</v>
      </c>
      <c r="L7" s="16" t="str">
        <f>IF('Conversion Tables'!H8="NA","NA",$D7/'Conversion Tables'!H8)</f>
        <v>NA</v>
      </c>
      <c r="M7" s="16" t="str">
        <f>IF('Conversion Tables'!K8="NA","NA",$C75*'Conversion Tables'!K8)</f>
        <v>NA</v>
      </c>
      <c r="N7" s="16" t="str">
        <f>IF('Conversion Tables'!L8="NA","NA",$C75*'Conversion Tables'!L8)</f>
        <v>NA</v>
      </c>
      <c r="O7" s="16" t="str">
        <f>IF('Conversion Tables'!M8="NA","NA",$C75*'Conversion Tables'!M8)</f>
        <v>NA</v>
      </c>
      <c r="P7" s="16" t="str">
        <f>IF('Conversion Tables'!N8="NA","NA",$C75*'Conversion Tables'!N8)</f>
        <v>NA</v>
      </c>
      <c r="Q7" s="15"/>
    </row>
    <row r="8" spans="1:17" x14ac:dyDescent="0.25">
      <c r="A8" s="1064"/>
      <c r="B8" s="11" t="str">
        <f>IF('Prac. Rec. Assumptions'!$B$56='Prac. Rec. Assumptions'!$V$3,A76,IF('Prac. Rec. Assumptions'!B60="No",A76,"Corn for Grain- Converted to Energy Crop"))</f>
        <v>Corn for Grain</v>
      </c>
      <c r="C8" s="294">
        <f>IF('Prac. Rec. Assumptions'!$B$56='Prac. Rec. Assumptions'!$V$3,D76,IF('Prac. Rec. Assumptions'!B60="No",D76,0))</f>
        <v>48797</v>
      </c>
      <c r="D8" s="294" t="s">
        <v>431</v>
      </c>
      <c r="E8" s="294">
        <f>C8*'Prac. Rec. Assumptions'!B6</f>
        <v>0</v>
      </c>
      <c r="F8" s="294">
        <f t="shared" si="0"/>
        <v>0</v>
      </c>
      <c r="G8" s="294">
        <f t="shared" si="0"/>
        <v>0</v>
      </c>
      <c r="H8" s="294">
        <f t="shared" si="0"/>
        <v>0</v>
      </c>
      <c r="I8" s="16" t="str">
        <f>IF('Conversion Tables'!F9="NA","NA",$D8/'Conversion Tables'!F9)</f>
        <v>NA</v>
      </c>
      <c r="J8" s="16" t="str">
        <f>IF('Conversion Tables'!G9="NA","NA",$D8/'Conversion Tables'!G9)</f>
        <v>NA</v>
      </c>
      <c r="K8" s="16" t="str">
        <f>IF('Conversion Tables'!H9="NA","NA",$D8/'Conversion Tables'!H9)</f>
        <v>NA</v>
      </c>
      <c r="L8" s="16" t="str">
        <f>IF('Conversion Tables'!H9="NA","NA",$D8/'Conversion Tables'!H9)</f>
        <v>NA</v>
      </c>
      <c r="M8" s="16" t="str">
        <f>IF('Conversion Tables'!K9="NA","NA",$C76*'Conversion Tables'!K9)</f>
        <v>NA</v>
      </c>
      <c r="N8" s="16" t="str">
        <f>IF('Conversion Tables'!L9="NA","NA",$C76*'Conversion Tables'!L9)</f>
        <v>NA</v>
      </c>
      <c r="O8" s="16" t="str">
        <f>IF('Conversion Tables'!M9="NA","NA",$C76*'Conversion Tables'!M9)</f>
        <v>NA</v>
      </c>
      <c r="P8" s="16" t="str">
        <f>IF('Conversion Tables'!N9="NA","NA",$C76*'Conversion Tables'!N9)</f>
        <v>NA</v>
      </c>
      <c r="Q8" s="15"/>
    </row>
    <row r="9" spans="1:17" x14ac:dyDescent="0.25">
      <c r="A9" s="1064"/>
      <c r="B9" s="11" t="str">
        <f>IF('Prac. Rec. Assumptions'!$B$56='Prac. Rec. Assumptions'!$V$3,A78,IF('Prac. Rec. Assumptions'!B64="No",A78,"Wheat- Converted to Energy Crop"))</f>
        <v>Wheat</v>
      </c>
      <c r="C9" s="294">
        <f>IF('Prac. Rec. Assumptions'!$B$56='Prac. Rec. Assumptions'!$V$3,D78,IF('Prac. Rec. Assumptions'!B64="No",D78,0))</f>
        <v>11673.72</v>
      </c>
      <c r="D9" s="294" t="s">
        <v>431</v>
      </c>
      <c r="E9" s="294">
        <f>C9*'Prac. Rec. Assumptions'!B7</f>
        <v>0</v>
      </c>
      <c r="F9" s="294">
        <f t="shared" si="0"/>
        <v>0</v>
      </c>
      <c r="G9" s="294">
        <f t="shared" si="0"/>
        <v>0</v>
      </c>
      <c r="H9" s="294">
        <f t="shared" si="0"/>
        <v>0</v>
      </c>
      <c r="I9" s="16" t="str">
        <f>IF('Conversion Tables'!F10="NA","NA",$D9/'Conversion Tables'!F10)</f>
        <v>NA</v>
      </c>
      <c r="J9" s="16" t="str">
        <f>IF('Conversion Tables'!G10="NA","NA",$D9/'Conversion Tables'!G10)</f>
        <v>NA</v>
      </c>
      <c r="K9" s="16" t="str">
        <f>IF('Conversion Tables'!H10="NA","NA",$D9/'Conversion Tables'!H10)</f>
        <v>NA</v>
      </c>
      <c r="L9" s="16" t="str">
        <f>IF('Conversion Tables'!H10="NA","NA",$D9/'Conversion Tables'!H10)</f>
        <v>NA</v>
      </c>
      <c r="M9" s="16" t="str">
        <f>IF('Conversion Tables'!K10="NA","NA",$C78*'Conversion Tables'!K10)</f>
        <v>NA</v>
      </c>
      <c r="N9" s="16" t="str">
        <f>IF('Conversion Tables'!L10="NA","NA",$C78*'Conversion Tables'!L10)</f>
        <v>NA</v>
      </c>
      <c r="O9" s="16" t="str">
        <f>IF('Conversion Tables'!M10="NA","NA",$C78*'Conversion Tables'!M10)</f>
        <v>NA</v>
      </c>
      <c r="P9" s="16" t="str">
        <f>IF('Conversion Tables'!N10="NA","NA",$C78*'Conversion Tables'!N10)</f>
        <v>NA</v>
      </c>
      <c r="Q9" s="15"/>
    </row>
    <row r="10" spans="1:17" x14ac:dyDescent="0.25">
      <c r="A10" s="1064"/>
      <c r="B10" s="129" t="s">
        <v>301</v>
      </c>
      <c r="C10" s="294"/>
      <c r="D10" s="294" t="s">
        <v>431</v>
      </c>
      <c r="E10" s="294">
        <f>C10*'Prac. Rec. Assumptions'!B8</f>
        <v>0</v>
      </c>
      <c r="F10" s="294">
        <f t="shared" si="0"/>
        <v>0</v>
      </c>
      <c r="G10" s="294">
        <f t="shared" si="0"/>
        <v>0</v>
      </c>
      <c r="H10" s="294">
        <f t="shared" si="0"/>
        <v>0</v>
      </c>
      <c r="I10" s="16" t="str">
        <f>IF('Conversion Tables'!F11="NA","NA",$D10/'Conversion Tables'!F11)</f>
        <v>NA</v>
      </c>
      <c r="J10" s="16" t="str">
        <f>IF('Conversion Tables'!G11="NA","NA",$D10/'Conversion Tables'!G11)</f>
        <v>NA</v>
      </c>
      <c r="K10" s="16" t="str">
        <f>IF('Conversion Tables'!H11="NA","NA",$D10/'Conversion Tables'!H11)</f>
        <v>NA</v>
      </c>
      <c r="L10" s="16" t="str">
        <f>IF('Conversion Tables'!H11="NA","NA",$D10/'Conversion Tables'!H11)</f>
        <v>NA</v>
      </c>
      <c r="M10" s="16" t="str">
        <f>IF('Conversion Tables'!K11="NA","NA",E10*'Conversion Tables'!K11)</f>
        <v>NA</v>
      </c>
      <c r="N10" s="16" t="str">
        <f>IF('Conversion Tables'!L11="NA","NA",F10*'Conversion Tables'!L11)</f>
        <v>NA</v>
      </c>
      <c r="O10" s="16" t="str">
        <f>IF('Conversion Tables'!M11="NA","NA",G10*'Conversion Tables'!M11)</f>
        <v>NA</v>
      </c>
      <c r="P10" s="16" t="str">
        <f>IF('Conversion Tables'!N11="NA","NA",H10*'Conversion Tables'!N11)</f>
        <v>NA</v>
      </c>
      <c r="Q10" s="7"/>
    </row>
    <row r="11" spans="1:17" x14ac:dyDescent="0.25">
      <c r="A11" s="1065"/>
      <c r="B11" s="9" t="s">
        <v>524</v>
      </c>
      <c r="C11" s="295">
        <f t="shared" ref="C11:P11" si="1">SUM(C5:C10)</f>
        <v>63270.227200000001</v>
      </c>
      <c r="D11" s="295">
        <f t="shared" si="1"/>
        <v>0</v>
      </c>
      <c r="E11" s="295">
        <f t="shared" si="1"/>
        <v>0</v>
      </c>
      <c r="F11" s="295">
        <f t="shared" si="1"/>
        <v>0</v>
      </c>
      <c r="G11" s="295">
        <f t="shared" si="1"/>
        <v>0</v>
      </c>
      <c r="H11" s="295">
        <f t="shared" si="1"/>
        <v>0</v>
      </c>
      <c r="I11" s="19">
        <f t="shared" si="1"/>
        <v>0</v>
      </c>
      <c r="J11" s="19">
        <f t="shared" si="1"/>
        <v>0</v>
      </c>
      <c r="K11" s="19">
        <f t="shared" si="1"/>
        <v>0</v>
      </c>
      <c r="L11" s="19">
        <f t="shared" si="1"/>
        <v>0</v>
      </c>
      <c r="M11" s="19">
        <f t="shared" si="1"/>
        <v>0</v>
      </c>
      <c r="N11" s="19">
        <f t="shared" si="1"/>
        <v>0</v>
      </c>
      <c r="O11" s="19">
        <f t="shared" si="1"/>
        <v>0</v>
      </c>
      <c r="P11" s="19">
        <f t="shared" si="1"/>
        <v>0</v>
      </c>
      <c r="Q11" s="19"/>
    </row>
    <row r="12" spans="1:17" x14ac:dyDescent="0.25">
      <c r="A12" s="8"/>
      <c r="C12" s="296"/>
      <c r="D12" s="296"/>
      <c r="E12" s="296"/>
      <c r="F12" s="296"/>
      <c r="G12" s="296"/>
      <c r="H12" s="296"/>
      <c r="I12" s="28"/>
      <c r="J12" s="28"/>
      <c r="K12" s="28"/>
      <c r="L12" s="28"/>
      <c r="M12" s="28"/>
      <c r="N12" s="28"/>
      <c r="O12" s="28"/>
      <c r="P12" s="28"/>
    </row>
    <row r="13" spans="1:17" x14ac:dyDescent="0.25">
      <c r="A13" s="1206" t="s">
        <v>514</v>
      </c>
      <c r="B13" s="1" t="s">
        <v>507</v>
      </c>
      <c r="C13" s="294">
        <f>D90</f>
        <v>0</v>
      </c>
      <c r="D13" s="294">
        <f>E13*'Conversion Tables'!C12</f>
        <v>0</v>
      </c>
      <c r="E13" s="294">
        <f>C13*'Prac. Rec. Assumptions'!B9</f>
        <v>0</v>
      </c>
      <c r="F13" s="294">
        <f>$E13</f>
        <v>0</v>
      </c>
      <c r="G13" s="294">
        <f>$E13</f>
        <v>0</v>
      </c>
      <c r="H13" s="294">
        <f>$E13</f>
        <v>0</v>
      </c>
      <c r="I13" s="16" t="str">
        <f>IF('Conversion Tables'!F12="NA","NA",(E13*'Conversion Tables'!$C12)/'Conversion Tables'!F12)</f>
        <v>NA</v>
      </c>
      <c r="J13" s="16" t="str">
        <f>IF('Conversion Tables'!G12="NA","NA",(F13*'Conversion Tables'!$C12)/'Conversion Tables'!G12)</f>
        <v>NA</v>
      </c>
      <c r="K13" s="16" t="str">
        <f>IF('Conversion Tables'!H12="NA","NA",(G13*'Conversion Tables'!$C12)/'Conversion Tables'!H12)</f>
        <v>NA</v>
      </c>
      <c r="L13" s="16" t="str">
        <f>IF('Conversion Tables'!I12="NA","NA",(H13*'Conversion Tables'!$C12)/'Conversion Tables'!I12)</f>
        <v>NA</v>
      </c>
      <c r="M13" s="16" t="str">
        <f>IF('Conversion Tables'!K12="NA","NA",E13*'Conversion Tables'!K12)</f>
        <v>NA</v>
      </c>
      <c r="N13" s="16" t="str">
        <f>IF('Conversion Tables'!L12="NA","NA",F13*'Conversion Tables'!L12)</f>
        <v>NA</v>
      </c>
      <c r="O13" s="16" t="str">
        <f>IF('Conversion Tables'!M12="NA","NA",G13*'Conversion Tables'!M12)</f>
        <v>NA</v>
      </c>
      <c r="P13" s="16" t="str">
        <f>IF('Conversion Tables'!N12="NA","NA",H13*'Conversion Tables'!N12)</f>
        <v>NA</v>
      </c>
      <c r="Q13" s="7"/>
    </row>
    <row r="14" spans="1:17" x14ac:dyDescent="0.25">
      <c r="A14" s="1207"/>
      <c r="B14" s="1" t="s">
        <v>504</v>
      </c>
      <c r="C14" s="294"/>
      <c r="D14" s="294"/>
      <c r="E14" s="294"/>
      <c r="F14" s="294"/>
      <c r="G14" s="294"/>
      <c r="H14" s="294"/>
      <c r="I14" s="16"/>
      <c r="J14" s="16"/>
      <c r="K14" s="16"/>
      <c r="L14" s="16"/>
      <c r="M14" s="16"/>
      <c r="N14" s="16"/>
      <c r="O14" s="16"/>
      <c r="P14" s="16"/>
      <c r="Q14" s="7"/>
    </row>
    <row r="15" spans="1:17" x14ac:dyDescent="0.25">
      <c r="A15" s="1207"/>
      <c r="B15" s="11" t="str">
        <f>IF('Prac. Rec. Assumptions'!$B$56='Prac. Rec. Assumptions'!$V$3,A81,IF('Prac. Rec. Assumptions'!B57="No",A81,"Sweet Corn- Converted to Energy Crop"))</f>
        <v>Sweet Corn</v>
      </c>
      <c r="C15" s="294">
        <f>IF('Prac. Rec. Assumptions'!$B$56='Prac. Rec. Assumptions'!$V$3,D81,IF('Prac. Rec. Assumptions'!B58="No",D81,0))</f>
        <v>745.44999999999993</v>
      </c>
      <c r="D15" s="294">
        <f>E15*'Conversion Tables'!C14</f>
        <v>9381.9355199999991</v>
      </c>
      <c r="E15" s="294">
        <f>C15*'Prac. Rec. Assumptions'!B11</f>
        <v>596.36</v>
      </c>
      <c r="F15" s="294">
        <f>$E15</f>
        <v>596.36</v>
      </c>
      <c r="G15" s="294">
        <f>$E15</f>
        <v>596.36</v>
      </c>
      <c r="H15" s="294">
        <f>$E15</f>
        <v>596.36</v>
      </c>
      <c r="I15" s="16" t="str">
        <f>IF('Conversion Tables'!F14="NA","NA",(E15*'Conversion Tables'!$C14)/'Conversion Tables'!F14)</f>
        <v>NA</v>
      </c>
      <c r="J15" s="16" t="str">
        <f>IF('Conversion Tables'!G14="NA","NA",(F15*'Conversion Tables'!$C14)/'Conversion Tables'!G14)</f>
        <v>NA</v>
      </c>
      <c r="K15" s="16" t="str">
        <f>IF('Conversion Tables'!H14="NA","NA",(G15*'Conversion Tables'!$C14)/'Conversion Tables'!H14)</f>
        <v>NA</v>
      </c>
      <c r="L15" s="16" t="str">
        <f>IF('Conversion Tables'!I14="NA","NA",(H15*'Conversion Tables'!$C14)/'Conversion Tables'!I14)</f>
        <v>NA</v>
      </c>
      <c r="M15" s="16" t="str">
        <f>IF('Conversion Tables'!K14="NA","NA",E15*'Conversion Tables'!K14)</f>
        <v>NA</v>
      </c>
      <c r="N15" s="16" t="str">
        <f>IF('Conversion Tables'!L14="NA","NA",F15*'Conversion Tables'!L14)</f>
        <v>NA</v>
      </c>
      <c r="O15" s="16" t="str">
        <f>IF('Conversion Tables'!M14="NA","NA",G15*'Conversion Tables'!M14)</f>
        <v>NA</v>
      </c>
      <c r="P15" s="16" t="str">
        <f>IF('Conversion Tables'!N14="NA","NA",H15*'Conversion Tables'!N14)</f>
        <v>NA</v>
      </c>
      <c r="Q15" s="15"/>
    </row>
    <row r="16" spans="1:17" x14ac:dyDescent="0.25">
      <c r="A16" s="1207"/>
      <c r="B16" s="11" t="str">
        <f>IF('Prac. Rec. Assumptions'!$B$56='Prac. Rec. Assumptions'!$V$3,A82,IF('Prac. Rec. Assumptions'!B58="No",A82,"Rye- Converted to Energy Crop"))</f>
        <v>Rye</v>
      </c>
      <c r="C16" s="294">
        <f>IF('Prac. Rec. Assumptions'!$B$56='Prac. Rec. Assumptions'!$V$3,D82,IF('Prac. Rec. Assumptions'!B59="No",D82,0))</f>
        <v>2006.2124999999999</v>
      </c>
      <c r="D16" s="294">
        <f>E16*'Conversion Tables'!C15</f>
        <v>0</v>
      </c>
      <c r="E16" s="294">
        <f>C16*'Prac. Rec. Assumptions'!B12</f>
        <v>0</v>
      </c>
      <c r="F16" s="294">
        <f t="shared" ref="F16:H23" si="2">$E16</f>
        <v>0</v>
      </c>
      <c r="G16" s="294">
        <f t="shared" si="2"/>
        <v>0</v>
      </c>
      <c r="H16" s="294">
        <f t="shared" si="2"/>
        <v>0</v>
      </c>
      <c r="I16" s="16" t="str">
        <f>IF('Conversion Tables'!F15="NA","NA",(E16*'Conversion Tables'!$C15)/'Conversion Tables'!F15)</f>
        <v>NA</v>
      </c>
      <c r="J16" s="16" t="str">
        <f>IF('Conversion Tables'!G15="NA","NA",(F16*'Conversion Tables'!$C15)/'Conversion Tables'!G15)</f>
        <v>NA</v>
      </c>
      <c r="K16" s="16" t="str">
        <f>IF('Conversion Tables'!H15="NA","NA",(G16*'Conversion Tables'!$C15)/'Conversion Tables'!H15)</f>
        <v>NA</v>
      </c>
      <c r="L16" s="16" t="str">
        <f>IF('Conversion Tables'!I15="NA","NA",(H16*'Conversion Tables'!$C15)/'Conversion Tables'!I15)</f>
        <v>NA</v>
      </c>
      <c r="M16" s="16" t="str">
        <f>IF('Conversion Tables'!K15="NA","NA",E16*'Conversion Tables'!K15)</f>
        <v>NA</v>
      </c>
      <c r="N16" s="16" t="str">
        <f>IF('Conversion Tables'!L15="NA","NA",F16*'Conversion Tables'!L15)</f>
        <v>NA</v>
      </c>
      <c r="O16" s="16" t="str">
        <f>IF('Conversion Tables'!M15="NA","NA",G16*'Conversion Tables'!M15)</f>
        <v>NA</v>
      </c>
      <c r="P16" s="16" t="str">
        <f>IF('Conversion Tables'!N15="NA","NA",H16*'Conversion Tables'!N15)</f>
        <v>NA</v>
      </c>
      <c r="Q16" s="15"/>
    </row>
    <row r="17" spans="1:17" x14ac:dyDescent="0.25">
      <c r="A17" s="1207"/>
      <c r="B17" s="11" t="str">
        <f>IF('Prac. Rec. Assumptions'!$B$56='Prac. Rec. Assumptions'!$V$3,A83,IF('Prac. Rec. Assumptions'!B59="No",A83,"Corn for Grain- Converted to Energy Crop"))</f>
        <v>Corn for Grain</v>
      </c>
      <c r="C17" s="294">
        <f>IF('Prac. Rec. Assumptions'!$B$56='Prac. Rec. Assumptions'!$V$3,D83,IF('Prac. Rec. Assumptions'!B60="No",D83,0))</f>
        <v>29626.75</v>
      </c>
      <c r="D17" s="294">
        <f>E17*'Conversion Tables'!C16</f>
        <v>396174.82634999999</v>
      </c>
      <c r="E17" s="294">
        <f>C17*'Prac. Rec. Assumptions'!B13</f>
        <v>25182.737499999999</v>
      </c>
      <c r="F17" s="294">
        <f t="shared" si="2"/>
        <v>25182.737499999999</v>
      </c>
      <c r="G17" s="294">
        <f t="shared" si="2"/>
        <v>25182.737499999999</v>
      </c>
      <c r="H17" s="294">
        <f t="shared" si="2"/>
        <v>25182.737499999999</v>
      </c>
      <c r="I17" s="16" t="str">
        <f>IF('Conversion Tables'!F16="NA","NA",(E17*'Conversion Tables'!$C16)/'Conversion Tables'!F16)</f>
        <v>NA</v>
      </c>
      <c r="J17" s="16" t="str">
        <f>IF('Conversion Tables'!G16="NA","NA",(F17*'Conversion Tables'!$C16)/'Conversion Tables'!G16)</f>
        <v>NA</v>
      </c>
      <c r="K17" s="16" t="str">
        <f>IF('Conversion Tables'!H16="NA","NA",(G17*'Conversion Tables'!$C16)/'Conversion Tables'!H16)</f>
        <v>NA</v>
      </c>
      <c r="L17" s="16" t="str">
        <f>IF('Conversion Tables'!I16="NA","NA",(H17*'Conversion Tables'!$C16)/'Conversion Tables'!I16)</f>
        <v>NA</v>
      </c>
      <c r="M17" s="16" t="str">
        <f>IF('Conversion Tables'!K16="NA","NA",E17*'Conversion Tables'!K16)</f>
        <v>NA</v>
      </c>
      <c r="N17" s="16" t="str">
        <f>IF('Conversion Tables'!L16="NA","NA",F17*'Conversion Tables'!L16)</f>
        <v>NA</v>
      </c>
      <c r="O17" s="16" t="str">
        <f>IF('Conversion Tables'!M16="NA","NA",G17*'Conversion Tables'!M16)</f>
        <v>NA</v>
      </c>
      <c r="P17" s="16" t="str">
        <f>IF('Conversion Tables'!N16="NA","NA",H17*'Conversion Tables'!N16)</f>
        <v>NA</v>
      </c>
      <c r="Q17" s="15"/>
    </row>
    <row r="18" spans="1:17" x14ac:dyDescent="0.25">
      <c r="A18" s="1207"/>
      <c r="B18" s="11" t="str">
        <f>IF('Prac. Rec. Assumptions'!$B$56='Prac. Rec. Assumptions'!$V$3,A84,IF('Prac. Rec. Assumptions'!B60="No",A84,"Corn for Silage- Converted to Energy Crop"))</f>
        <v>Corn for Silage</v>
      </c>
      <c r="C18" s="294">
        <f>IF('Prac. Rec. Assumptions'!$B$56='Prac. Rec. Assumptions'!$V$3,D84,IF('Prac. Rec. Assumptions'!B61="No",D84,0))</f>
        <v>14912.519999999999</v>
      </c>
      <c r="D18" s="294">
        <f>E18*'Conversion Tables'!C17</f>
        <v>175952.82347999999</v>
      </c>
      <c r="E18" s="294">
        <f>C18*'Prac. Rec. Assumptions'!B14</f>
        <v>11184.39</v>
      </c>
      <c r="F18" s="294">
        <f t="shared" si="2"/>
        <v>11184.39</v>
      </c>
      <c r="G18" s="294">
        <f t="shared" si="2"/>
        <v>11184.39</v>
      </c>
      <c r="H18" s="294">
        <f t="shared" si="2"/>
        <v>11184.39</v>
      </c>
      <c r="I18" s="16" t="str">
        <f>IF('Conversion Tables'!F17="NA","NA",(E18*'Conversion Tables'!$C17)/'Conversion Tables'!F17)</f>
        <v>NA</v>
      </c>
      <c r="J18" s="16" t="str">
        <f>IF('Conversion Tables'!G17="NA","NA",(F18*'Conversion Tables'!$C17)/'Conversion Tables'!G17)</f>
        <v>NA</v>
      </c>
      <c r="K18" s="16" t="str">
        <f>IF('Conversion Tables'!H17="NA","NA",(G18*'Conversion Tables'!$C17)/'Conversion Tables'!H17)</f>
        <v>NA</v>
      </c>
      <c r="L18" s="16" t="str">
        <f>IF('Conversion Tables'!I17="NA","NA",(H18*'Conversion Tables'!$C17)/'Conversion Tables'!I17)</f>
        <v>NA</v>
      </c>
      <c r="M18" s="16" t="str">
        <f>IF('Conversion Tables'!K17="NA","NA",E18*'Conversion Tables'!K17)</f>
        <v>NA</v>
      </c>
      <c r="N18" s="16" t="str">
        <f>IF('Conversion Tables'!L17="NA","NA",F18*'Conversion Tables'!L17)</f>
        <v>NA</v>
      </c>
      <c r="O18" s="16" t="str">
        <f>IF('Conversion Tables'!M17="NA","NA",G18*'Conversion Tables'!M17)</f>
        <v>NA</v>
      </c>
      <c r="P18" s="16" t="str">
        <f>IF('Conversion Tables'!N17="NA","NA",H18*'Conversion Tables'!N17)</f>
        <v>NA</v>
      </c>
      <c r="Q18" s="15"/>
    </row>
    <row r="19" spans="1:17" x14ac:dyDescent="0.25">
      <c r="A19" s="1207"/>
      <c r="B19" s="11" t="str">
        <f>IF('Prac. Rec. Assumptions'!$B$56='Prac. Rec. Assumptions'!$V$3,A85,IF('Prac. Rec. Assumptions'!B61="No",A85,"Alfalfa Hay- Converted to Energy Crop"))</f>
        <v>Alfalfa Hay</v>
      </c>
      <c r="C19" s="294">
        <f>IF('Prac. Rec. Assumptions'!$B$56='Prac. Rec. Assumptions'!$V$3,D85,IF('Prac. Rec. Assumptions'!B62="No",D85,0))</f>
        <v>11951.68</v>
      </c>
      <c r="D19" s="294">
        <f>E19*'Conversion Tables'!C18</f>
        <v>0</v>
      </c>
      <c r="E19" s="294">
        <f>C19*'Prac. Rec. Assumptions'!B15</f>
        <v>0</v>
      </c>
      <c r="F19" s="294">
        <f t="shared" si="2"/>
        <v>0</v>
      </c>
      <c r="G19" s="294">
        <f t="shared" si="2"/>
        <v>0</v>
      </c>
      <c r="H19" s="294">
        <f t="shared" si="2"/>
        <v>0</v>
      </c>
      <c r="I19" s="16" t="str">
        <f>IF('Conversion Tables'!F18="NA","NA",(E19*'Conversion Tables'!$C18)/'Conversion Tables'!F18)</f>
        <v>NA</v>
      </c>
      <c r="J19" s="16" t="str">
        <f>IF('Conversion Tables'!G18="NA","NA",(F19*'Conversion Tables'!$C18)/'Conversion Tables'!G18)</f>
        <v>NA</v>
      </c>
      <c r="K19" s="16" t="str">
        <f>IF('Conversion Tables'!H18="NA","NA",(G19*'Conversion Tables'!$C18)/'Conversion Tables'!H18)</f>
        <v>NA</v>
      </c>
      <c r="L19" s="16" t="str">
        <f>IF('Conversion Tables'!I18="NA","NA",(H19*'Conversion Tables'!$C18)/'Conversion Tables'!I18)</f>
        <v>NA</v>
      </c>
      <c r="M19" s="16" t="str">
        <f>IF('Conversion Tables'!K18="NA","NA",E19*'Conversion Tables'!K18)</f>
        <v>NA</v>
      </c>
      <c r="N19" s="16" t="str">
        <f>IF('Conversion Tables'!L18="NA","NA",F19*'Conversion Tables'!L18)</f>
        <v>NA</v>
      </c>
      <c r="O19" s="16" t="str">
        <f>IF('Conversion Tables'!M18="NA","NA",G19*'Conversion Tables'!M18)</f>
        <v>NA</v>
      </c>
      <c r="P19" s="16" t="str">
        <f>IF('Conversion Tables'!N18="NA","NA",H19*'Conversion Tables'!N18)</f>
        <v>NA</v>
      </c>
      <c r="Q19" s="15"/>
    </row>
    <row r="20" spans="1:17" x14ac:dyDescent="0.25">
      <c r="A20" s="1207"/>
      <c r="B20" s="11" t="str">
        <f>IF('Prac. Rec. Assumptions'!$B$56='Prac. Rec. Assumptions'!$V$3,A86,IF('Prac. Rec. Assumptions'!B62="No",A86,"Other Hay- Converted to Energy Crop"))</f>
        <v>Other Hay</v>
      </c>
      <c r="C20" s="294">
        <f>IF('Prac. Rec. Assumptions'!$B$56='Prac. Rec. Assumptions'!$V$3,D86,IF('Prac. Rec. Assumptions'!B63="No",D86,0))</f>
        <v>11996.39</v>
      </c>
      <c r="D20" s="294">
        <f>E20*'Conversion Tables'!C19</f>
        <v>93571.84199999999</v>
      </c>
      <c r="E20" s="294">
        <f>C20*'Prac. Rec. Assumptions'!B16</f>
        <v>5998.1949999999997</v>
      </c>
      <c r="F20" s="294">
        <f t="shared" si="2"/>
        <v>5998.1949999999997</v>
      </c>
      <c r="G20" s="294">
        <f t="shared" si="2"/>
        <v>5998.1949999999997</v>
      </c>
      <c r="H20" s="294">
        <f t="shared" si="2"/>
        <v>5998.1949999999997</v>
      </c>
      <c r="I20" s="16" t="str">
        <f>IF('Conversion Tables'!F19="NA","NA",(E20*'Conversion Tables'!$C19)/'Conversion Tables'!F19)</f>
        <v>NA</v>
      </c>
      <c r="J20" s="16" t="str">
        <f>IF('Conversion Tables'!G19="NA","NA",(F20*'Conversion Tables'!$C19)/'Conversion Tables'!G19)</f>
        <v>NA</v>
      </c>
      <c r="K20" s="16" t="str">
        <f>IF('Conversion Tables'!H19="NA","NA",(G20*'Conversion Tables'!$C19)/'Conversion Tables'!H19)</f>
        <v>NA</v>
      </c>
      <c r="L20" s="16" t="str">
        <f>IF('Conversion Tables'!I19="NA","NA",(H20*'Conversion Tables'!$C19)/'Conversion Tables'!I19)</f>
        <v>NA</v>
      </c>
      <c r="M20" s="16" t="str">
        <f>IF('Conversion Tables'!K19="NA","NA",E20*'Conversion Tables'!K19)</f>
        <v>NA</v>
      </c>
      <c r="N20" s="16" t="str">
        <f>IF('Conversion Tables'!L19="NA","NA",F20*'Conversion Tables'!L19)</f>
        <v>NA</v>
      </c>
      <c r="O20" s="16" t="str">
        <f>IF('Conversion Tables'!M19="NA","NA",G20*'Conversion Tables'!M19)</f>
        <v>NA</v>
      </c>
      <c r="P20" s="16" t="str">
        <f>IF('Conversion Tables'!N19="NA","NA",H20*'Conversion Tables'!N19)</f>
        <v>NA</v>
      </c>
      <c r="Q20" s="15"/>
    </row>
    <row r="21" spans="1:17" x14ac:dyDescent="0.25">
      <c r="A21" s="1207"/>
      <c r="B21" s="11" t="str">
        <f>IF('Prac. Rec. Assumptions'!$B$56='Prac. Rec. Assumptions'!$V$3,A87,IF('Prac. Rec. Assumptions'!B63="No",A87,"Wheat- Converted to Energy Crop"))</f>
        <v>Wheat</v>
      </c>
      <c r="C21" s="294">
        <f>IF('Prac. Rec. Assumptions'!$B$56='Prac. Rec. Assumptions'!$V$3,D87,IF('Prac. Rec. Assumptions'!B64="No",D87,0))</f>
        <v>10921.225</v>
      </c>
      <c r="D21" s="294">
        <f>E21*'Conversion Tables'!C20</f>
        <v>0</v>
      </c>
      <c r="E21" s="294">
        <f>C21*'Prac. Rec. Assumptions'!B17</f>
        <v>0</v>
      </c>
      <c r="F21" s="294">
        <f t="shared" si="2"/>
        <v>0</v>
      </c>
      <c r="G21" s="294">
        <f t="shared" si="2"/>
        <v>0</v>
      </c>
      <c r="H21" s="294">
        <f t="shared" si="2"/>
        <v>0</v>
      </c>
      <c r="I21" s="16" t="str">
        <f>IF('Conversion Tables'!F20="NA","NA",(E21*'Conversion Tables'!$C20)/'Conversion Tables'!F20)</f>
        <v>NA</v>
      </c>
      <c r="J21" s="16" t="str">
        <f>IF('Conversion Tables'!G20="NA","NA",(F21*'Conversion Tables'!$C20)/'Conversion Tables'!G20)</f>
        <v>NA</v>
      </c>
      <c r="K21" s="16" t="str">
        <f>IF('Conversion Tables'!H20="NA","NA",(G21*'Conversion Tables'!$C20)/'Conversion Tables'!H20)</f>
        <v>NA</v>
      </c>
      <c r="L21" s="16" t="str">
        <f>IF('Conversion Tables'!I20="NA","NA",(H21*'Conversion Tables'!$C20)/'Conversion Tables'!I20)</f>
        <v>NA</v>
      </c>
      <c r="M21" s="16" t="str">
        <f>IF('Conversion Tables'!K20="NA","NA",E21*'Conversion Tables'!K20)</f>
        <v>NA</v>
      </c>
      <c r="N21" s="16" t="str">
        <f>IF('Conversion Tables'!L20="NA","NA",F21*'Conversion Tables'!L20)</f>
        <v>NA</v>
      </c>
      <c r="O21" s="16" t="str">
        <f>IF('Conversion Tables'!M20="NA","NA",G21*'Conversion Tables'!M20)</f>
        <v>NA</v>
      </c>
      <c r="P21" s="16" t="str">
        <f>IF('Conversion Tables'!N20="NA","NA",H21*'Conversion Tables'!N20)</f>
        <v>NA</v>
      </c>
      <c r="Q21" s="15"/>
    </row>
    <row r="22" spans="1:17" x14ac:dyDescent="0.25">
      <c r="A22" s="1207"/>
      <c r="B22" s="148" t="s">
        <v>205</v>
      </c>
      <c r="C22" s="294">
        <f>'Biomass Data Assumptions'!P23*1000*'Energy Content Assumptions'!C18</f>
        <v>32043</v>
      </c>
      <c r="D22" s="294">
        <f>E22*'Conversion Tables'!C21</f>
        <v>249935.4</v>
      </c>
      <c r="E22" s="294">
        <f>C22*'Prac. Rec. Assumptions'!B18</f>
        <v>16021.5</v>
      </c>
      <c r="F22" s="294">
        <f t="shared" si="2"/>
        <v>16021.5</v>
      </c>
      <c r="G22" s="294">
        <f t="shared" si="2"/>
        <v>16021.5</v>
      </c>
      <c r="H22" s="294">
        <f t="shared" si="2"/>
        <v>16021.5</v>
      </c>
      <c r="I22" s="16" t="str">
        <f>IF('Conversion Tables'!F21="NA","NA",(E22*'Conversion Tables'!$C21)/'Conversion Tables'!F21)</f>
        <v>NA</v>
      </c>
      <c r="J22" s="16" t="str">
        <f>IF('Conversion Tables'!G21="NA","NA",(F22*'Conversion Tables'!$C21)/'Conversion Tables'!G21)</f>
        <v>NA</v>
      </c>
      <c r="K22" s="16" t="str">
        <f>IF('Conversion Tables'!H21="NA","NA",(G22*'Conversion Tables'!$C21)/'Conversion Tables'!H21)</f>
        <v>NA</v>
      </c>
      <c r="L22" s="16" t="str">
        <f>IF('Conversion Tables'!I21="NA","NA",(H22*'Conversion Tables'!$C21)/'Conversion Tables'!I21)</f>
        <v>NA</v>
      </c>
      <c r="M22" s="16" t="str">
        <f>IF('Conversion Tables'!K21="NA","NA",E22*'Conversion Tables'!K21)</f>
        <v>NA</v>
      </c>
      <c r="N22" s="16" t="str">
        <f>IF('Conversion Tables'!L21="NA","NA",F22*'Conversion Tables'!L21)</f>
        <v>NA</v>
      </c>
      <c r="O22" s="16" t="str">
        <f>IF('Conversion Tables'!M21="NA","NA",G22*'Conversion Tables'!M21)</f>
        <v>NA</v>
      </c>
      <c r="P22" s="16" t="str">
        <f>IF('Conversion Tables'!N21="NA","NA",H22*'Conversion Tables'!N21)</f>
        <v>NA</v>
      </c>
      <c r="Q22" s="15"/>
    </row>
    <row r="23" spans="1:17" x14ac:dyDescent="0.25">
      <c r="A23" s="1207"/>
      <c r="B23" s="2" t="s">
        <v>302</v>
      </c>
      <c r="C23" s="294">
        <f>B133</f>
        <v>193.96</v>
      </c>
      <c r="D23" s="294">
        <f>E23*'Conversion Tables'!C22</f>
        <v>3168.5305599999997</v>
      </c>
      <c r="E23" s="294">
        <f>C23*'Prac. Rec. Assumptions'!B19</f>
        <v>193.96</v>
      </c>
      <c r="F23" s="297">
        <f t="shared" si="2"/>
        <v>193.96</v>
      </c>
      <c r="G23" s="297">
        <f t="shared" si="2"/>
        <v>193.96</v>
      </c>
      <c r="H23" s="297">
        <f t="shared" si="2"/>
        <v>193.96</v>
      </c>
      <c r="I23" s="16" t="str">
        <f>IF('Conversion Tables'!F22="NA","NA",(E23*'Conversion Tables'!$C22)/'Conversion Tables'!F22)</f>
        <v>NA</v>
      </c>
      <c r="J23" s="16" t="str">
        <f>IF('Conversion Tables'!G22="NA","NA",(F23*'Conversion Tables'!$C22)/'Conversion Tables'!G22)</f>
        <v>NA</v>
      </c>
      <c r="K23" s="16" t="str">
        <f>IF('Conversion Tables'!H22="NA","NA",(G23*'Conversion Tables'!$C22)/'Conversion Tables'!H22)</f>
        <v>NA</v>
      </c>
      <c r="L23" s="16" t="str">
        <f>IF('Conversion Tables'!I22="NA","NA",(H23*'Conversion Tables'!$C22)/'Conversion Tables'!I22)</f>
        <v>NA</v>
      </c>
      <c r="M23" s="16" t="str">
        <f>IF('Conversion Tables'!K22="NA","NA",E23*'Conversion Tables'!K22)</f>
        <v>NA</v>
      </c>
      <c r="N23" s="16" t="str">
        <f>IF('Conversion Tables'!L22="NA","NA",F23*'Conversion Tables'!L22)</f>
        <v>NA</v>
      </c>
      <c r="O23" s="16" t="str">
        <f>IF('Conversion Tables'!M22="NA","NA",G23*'Conversion Tables'!M22)</f>
        <v>NA</v>
      </c>
      <c r="P23" s="16" t="str">
        <f>IF('Conversion Tables'!N22="NA","NA",H23*'Conversion Tables'!N22)</f>
        <v>NA</v>
      </c>
      <c r="Q23" s="7"/>
    </row>
    <row r="24" spans="1:17" x14ac:dyDescent="0.25">
      <c r="A24" s="1207"/>
      <c r="B24" s="1" t="s">
        <v>518</v>
      </c>
      <c r="C24" s="294"/>
      <c r="D24" s="294"/>
      <c r="E24" s="294"/>
      <c r="F24" s="294"/>
      <c r="G24" s="294"/>
      <c r="H24" s="294"/>
      <c r="I24" s="16"/>
      <c r="J24" s="16"/>
      <c r="K24" s="16"/>
      <c r="L24" s="16"/>
      <c r="M24" s="16"/>
      <c r="N24" s="16"/>
      <c r="O24" s="16"/>
      <c r="P24" s="16"/>
      <c r="Q24" s="7"/>
    </row>
    <row r="25" spans="1:17" x14ac:dyDescent="0.25">
      <c r="A25" s="1207"/>
      <c r="B25" s="11" t="s">
        <v>559</v>
      </c>
      <c r="C25" s="294">
        <f>C128</f>
        <v>3307.2249999999999</v>
      </c>
      <c r="D25" s="294">
        <f>E25*'Conversion Tables'!C24</f>
        <v>58537.882499999992</v>
      </c>
      <c r="E25" s="294">
        <f>C25*'Prac. Rec. Assumptions'!B21</f>
        <v>3307.2249999999999</v>
      </c>
      <c r="F25" s="294">
        <f>($C25*(1+'Biomass Data Assumptions'!G$108))*'Prac. Rec. Assumptions'!$B21</f>
        <v>3332.2040407854984</v>
      </c>
      <c r="G25" s="294">
        <f>($C25*(1+'Biomass Data Assumptions'!H$108))*'Prac. Rec. Assumptions'!$B21</f>
        <v>3357.1830815709968</v>
      </c>
      <c r="H25" s="294">
        <f>($C25*(1+'Biomass Data Assumptions'!I$108))*'Prac. Rec. Assumptions'!$B21</f>
        <v>3387.1579305135951</v>
      </c>
      <c r="I25" s="16" t="str">
        <f>IF('Conversion Tables'!F24="NA","NA",(E25*'Conversion Tables'!$C24)/'Conversion Tables'!F24)</f>
        <v>NA</v>
      </c>
      <c r="J25" s="16" t="str">
        <f>IF('Conversion Tables'!G24="NA","NA",(F25*'Conversion Tables'!$C24)/'Conversion Tables'!G24)</f>
        <v>NA</v>
      </c>
      <c r="K25" s="16" t="str">
        <f>IF('Conversion Tables'!H24="NA","NA",(G25*'Conversion Tables'!$C24)/'Conversion Tables'!H24)</f>
        <v>NA</v>
      </c>
      <c r="L25" s="16" t="str">
        <f>IF('Conversion Tables'!I24="NA","NA",(H25*'Conversion Tables'!$C24)/'Conversion Tables'!I24)</f>
        <v>NA</v>
      </c>
      <c r="M25" s="16" t="str">
        <f>IF('Conversion Tables'!K24="NA","NA",E25*'Conversion Tables'!K24)</f>
        <v>NA</v>
      </c>
      <c r="N25" s="16" t="str">
        <f>IF('Conversion Tables'!L24="NA","NA",F25*'Conversion Tables'!L24)</f>
        <v>NA</v>
      </c>
      <c r="O25" s="16" t="str">
        <f>IF('Conversion Tables'!M24="NA","NA",G25*'Conversion Tables'!M24)</f>
        <v>NA</v>
      </c>
      <c r="P25" s="16" t="str">
        <f>IF('Conversion Tables'!N24="NA","NA",H25*'Conversion Tables'!N24)</f>
        <v>NA</v>
      </c>
      <c r="Q25" s="13"/>
    </row>
    <row r="26" spans="1:17" x14ac:dyDescent="0.25">
      <c r="A26" s="1207"/>
      <c r="B26" s="11" t="s">
        <v>560</v>
      </c>
      <c r="C26" s="294">
        <f>C129</f>
        <v>143.33333333333331</v>
      </c>
      <c r="D26" s="294">
        <f>E26*'Conversion Tables'!C25</f>
        <v>2235.9999999999995</v>
      </c>
      <c r="E26" s="294">
        <f>C26*'Prac. Rec. Assumptions'!B22</f>
        <v>143.33333333333331</v>
      </c>
      <c r="F26" s="294">
        <f>($C26*(1+'Biomass Data Assumptions'!G$108))*'Prac. Rec. Assumptions'!$B22</f>
        <v>144.41591137965759</v>
      </c>
      <c r="G26" s="294">
        <f>($C26*(1+'Biomass Data Assumptions'!H$108))*'Prac. Rec. Assumptions'!$B22</f>
        <v>145.49848942598186</v>
      </c>
      <c r="H26" s="294">
        <f>($C26*(1+'Biomass Data Assumptions'!I$108))*'Prac. Rec. Assumptions'!$B22</f>
        <v>146.79758308157099</v>
      </c>
      <c r="I26" s="16" t="str">
        <f>IF('Conversion Tables'!F25="NA","NA",(E26*'Conversion Tables'!$C25)/'Conversion Tables'!F25)</f>
        <v>NA</v>
      </c>
      <c r="J26" s="16" t="str">
        <f>IF('Conversion Tables'!G25="NA","NA",(F26*'Conversion Tables'!$C25)/'Conversion Tables'!G25)</f>
        <v>NA</v>
      </c>
      <c r="K26" s="16" t="str">
        <f>IF('Conversion Tables'!H25="NA","NA",(G26*'Conversion Tables'!$C25)/'Conversion Tables'!H25)</f>
        <v>NA</v>
      </c>
      <c r="L26" s="16" t="str">
        <f>IF('Conversion Tables'!I25="NA","NA",(H26*'Conversion Tables'!$C25)/'Conversion Tables'!I25)</f>
        <v>NA</v>
      </c>
      <c r="M26" s="16" t="str">
        <f>IF('Conversion Tables'!K25="NA","NA",E26*'Conversion Tables'!K25)</f>
        <v>NA</v>
      </c>
      <c r="N26" s="16" t="str">
        <f>IF('Conversion Tables'!L25="NA","NA",F26*'Conversion Tables'!L25)</f>
        <v>NA</v>
      </c>
      <c r="O26" s="16" t="str">
        <f>IF('Conversion Tables'!M25="NA","NA",G26*'Conversion Tables'!M25)</f>
        <v>NA</v>
      </c>
      <c r="P26" s="16" t="str">
        <f>IF('Conversion Tables'!N25="NA","NA",H26*'Conversion Tables'!N25)</f>
        <v>NA</v>
      </c>
      <c r="Q26" s="13"/>
    </row>
    <row r="27" spans="1:17" x14ac:dyDescent="0.25">
      <c r="A27" s="1207"/>
      <c r="B27" s="11" t="s">
        <v>561</v>
      </c>
      <c r="C27" s="294">
        <f>C130</f>
        <v>612.13666666666666</v>
      </c>
      <c r="D27" s="294">
        <f>E27*'Conversion Tables'!C26</f>
        <v>9549.3320000000003</v>
      </c>
      <c r="E27" s="294">
        <f>C27*'Prac. Rec. Assumptions'!B23</f>
        <v>612.13666666666666</v>
      </c>
      <c r="F27" s="294">
        <f>($C27*(1+'Biomass Data Assumptions'!G$108))*'Prac. Rec. Assumptions'!$B23</f>
        <v>616.76005538771403</v>
      </c>
      <c r="G27" s="294">
        <f>($C27*(1+'Biomass Data Assumptions'!H$108))*'Prac. Rec. Assumptions'!$B23</f>
        <v>621.3834441087613</v>
      </c>
      <c r="H27" s="294">
        <f>($C27*(1+'Biomass Data Assumptions'!I$108))*'Prac. Rec. Assumptions'!$B23</f>
        <v>626.93151057401815</v>
      </c>
      <c r="I27" s="16" t="str">
        <f>IF('Conversion Tables'!F26="NA","NA",(E27*'Conversion Tables'!$C26)/'Conversion Tables'!F26)</f>
        <v>NA</v>
      </c>
      <c r="J27" s="16" t="str">
        <f>IF('Conversion Tables'!G26="NA","NA",(F27*'Conversion Tables'!$C26)/'Conversion Tables'!G26)</f>
        <v>NA</v>
      </c>
      <c r="K27" s="16" t="str">
        <f>IF('Conversion Tables'!H26="NA","NA",(G27*'Conversion Tables'!$C26)/'Conversion Tables'!H26)</f>
        <v>NA</v>
      </c>
      <c r="L27" s="16" t="str">
        <f>IF('Conversion Tables'!I26="NA","NA",(H27*'Conversion Tables'!$C26)/'Conversion Tables'!I26)</f>
        <v>NA</v>
      </c>
      <c r="M27" s="16" t="str">
        <f>IF('Conversion Tables'!K26="NA","NA",E27*'Conversion Tables'!K26)</f>
        <v>NA</v>
      </c>
      <c r="N27" s="16" t="str">
        <f>IF('Conversion Tables'!L26="NA","NA",F27*'Conversion Tables'!L26)</f>
        <v>NA</v>
      </c>
      <c r="O27" s="16" t="str">
        <f>IF('Conversion Tables'!M26="NA","NA",G27*'Conversion Tables'!M26)</f>
        <v>NA</v>
      </c>
      <c r="P27" s="16" t="str">
        <f>IF('Conversion Tables'!N26="NA","NA",H27*'Conversion Tables'!N26)</f>
        <v>NA</v>
      </c>
      <c r="Q27" s="13"/>
    </row>
    <row r="28" spans="1:17" x14ac:dyDescent="0.25">
      <c r="A28" s="1207"/>
      <c r="B28" s="11" t="s">
        <v>562</v>
      </c>
      <c r="C28" s="294">
        <f>C131</f>
        <v>65.510000000000005</v>
      </c>
      <c r="D28" s="294">
        <f>E28*'Conversion Tables'!C27</f>
        <v>1159.527</v>
      </c>
      <c r="E28" s="294">
        <f>C28*'Prac. Rec. Assumptions'!B24</f>
        <v>65.510000000000005</v>
      </c>
      <c r="F28" s="294">
        <f>($C28*(1+'Biomass Data Assumptions'!G$108))*'Prac. Rec. Assumptions'!$B24</f>
        <v>66.004788519637472</v>
      </c>
      <c r="G28" s="294">
        <f>($C28*(1+'Biomass Data Assumptions'!H$108))*'Prac. Rec. Assumptions'!$B24</f>
        <v>66.499577039274925</v>
      </c>
      <c r="H28" s="294">
        <f>($C28*(1+'Biomass Data Assumptions'!I$108))*'Prac. Rec. Assumptions'!$B24</f>
        <v>67.093323262839888</v>
      </c>
      <c r="I28" s="16" t="str">
        <f>IF('Conversion Tables'!F27="NA","NA",(E28*'Conversion Tables'!$C27)/'Conversion Tables'!F27)</f>
        <v>NA</v>
      </c>
      <c r="J28" s="16" t="str">
        <f>IF('Conversion Tables'!G27="NA","NA",(F28*'Conversion Tables'!$C27)/'Conversion Tables'!G27)</f>
        <v>NA</v>
      </c>
      <c r="K28" s="16" t="str">
        <f>IF('Conversion Tables'!H27="NA","NA",(G28*'Conversion Tables'!$C27)/'Conversion Tables'!H27)</f>
        <v>NA</v>
      </c>
      <c r="L28" s="16" t="str">
        <f>IF('Conversion Tables'!I27="NA","NA",(H28*'Conversion Tables'!$C27)/'Conversion Tables'!I27)</f>
        <v>NA</v>
      </c>
      <c r="M28" s="16" t="str">
        <f>IF('Conversion Tables'!K27="NA","NA",E28*'Conversion Tables'!K27)</f>
        <v>NA</v>
      </c>
      <c r="N28" s="16" t="str">
        <f>IF('Conversion Tables'!L27="NA","NA",F28*'Conversion Tables'!L27)</f>
        <v>NA</v>
      </c>
      <c r="O28" s="16" t="str">
        <f>IF('Conversion Tables'!M27="NA","NA",G28*'Conversion Tables'!M27)</f>
        <v>NA</v>
      </c>
      <c r="P28" s="16" t="str">
        <f>IF('Conversion Tables'!N27="NA","NA",H28*'Conversion Tables'!N27)</f>
        <v>NA</v>
      </c>
      <c r="Q28" s="13"/>
    </row>
    <row r="29" spans="1:17" x14ac:dyDescent="0.25">
      <c r="A29" s="1208"/>
      <c r="B29" s="9" t="s">
        <v>524</v>
      </c>
      <c r="C29" s="295">
        <f t="shared" ref="C29:P29" si="3">SUM(C13:C28)</f>
        <v>118525.39250000002</v>
      </c>
      <c r="D29" s="295">
        <f>SUM(D13:D28)</f>
        <v>999668.09940999991</v>
      </c>
      <c r="E29" s="295">
        <f t="shared" si="3"/>
        <v>63305.347500000003</v>
      </c>
      <c r="F29" s="295">
        <f>SUM(F13:F28)</f>
        <v>63336.527296072505</v>
      </c>
      <c r="G29" s="295">
        <f>SUM(G13:G28)</f>
        <v>63367.707092145021</v>
      </c>
      <c r="H29" s="295">
        <f>SUM(H13:H28)</f>
        <v>63405.122847432023</v>
      </c>
      <c r="I29" s="19">
        <f t="shared" si="3"/>
        <v>0</v>
      </c>
      <c r="J29" s="19">
        <f t="shared" si="3"/>
        <v>0</v>
      </c>
      <c r="K29" s="19">
        <f t="shared" si="3"/>
        <v>0</v>
      </c>
      <c r="L29" s="19">
        <f t="shared" si="3"/>
        <v>0</v>
      </c>
      <c r="M29" s="19">
        <f t="shared" si="3"/>
        <v>0</v>
      </c>
      <c r="N29" s="19">
        <f t="shared" si="3"/>
        <v>0</v>
      </c>
      <c r="O29" s="19">
        <f t="shared" si="3"/>
        <v>0</v>
      </c>
      <c r="P29" s="19">
        <f t="shared" si="3"/>
        <v>0</v>
      </c>
      <c r="Q29" s="19"/>
    </row>
    <row r="30" spans="1:17" x14ac:dyDescent="0.25">
      <c r="A30" s="8"/>
      <c r="C30" s="296"/>
      <c r="D30" s="296"/>
      <c r="E30" s="296"/>
      <c r="F30" s="296"/>
      <c r="G30" s="296"/>
      <c r="H30" s="296"/>
      <c r="I30" s="28"/>
      <c r="J30" s="28"/>
      <c r="K30" s="28"/>
      <c r="L30" s="28"/>
      <c r="M30" s="28"/>
      <c r="N30" s="28"/>
      <c r="O30" s="28"/>
      <c r="P30" s="28"/>
    </row>
    <row r="31" spans="1:17" x14ac:dyDescent="0.25">
      <c r="A31" s="1064" t="s">
        <v>516</v>
      </c>
      <c r="B31" s="130" t="str">
        <f>'Bioenergy Calculator'!B34</f>
        <v>Solid wastes - Landfilled</v>
      </c>
      <c r="C31" s="294"/>
      <c r="D31" s="294"/>
      <c r="E31" s="294"/>
      <c r="F31" s="294"/>
      <c r="G31" s="294"/>
      <c r="H31" s="294"/>
      <c r="I31" s="16"/>
      <c r="J31" s="16"/>
      <c r="K31" s="16"/>
      <c r="L31" s="16"/>
      <c r="M31" s="16"/>
      <c r="N31" s="16"/>
      <c r="O31" s="16"/>
      <c r="P31" s="16"/>
      <c r="Q31" s="7"/>
    </row>
    <row r="32" spans="1:17" x14ac:dyDescent="0.25">
      <c r="A32" s="1064"/>
      <c r="B32" s="11" t="str">
        <f>'Bioenergy Calculator'!B35</f>
        <v>Food waste, Landfilled</v>
      </c>
      <c r="C32" s="294">
        <f>C141</f>
        <v>1900.3012476000004</v>
      </c>
      <c r="D32" s="294">
        <f>E32*'Conversion Tables'!C29</f>
        <v>18242.891976960007</v>
      </c>
      <c r="E32" s="294">
        <f>C32*'Prac. Rec. Assumptions'!B26</f>
        <v>1140.1807485600004</v>
      </c>
      <c r="F32" s="294">
        <f>($C32*(1+'Biomass Data Assumptions'!G$108)*(1+'Biomass Data Assumptions'!C$82))*'Prac. Rec. Assumptions'!$B26</f>
        <v>1148.0123791468222</v>
      </c>
      <c r="G32" s="294">
        <f>($C32*(1+'Biomass Data Assumptions'!H$108)*(1+'Biomass Data Assumptions'!D$82))*'Prac. Rec. Assumptions'!$B26</f>
        <v>1155.8328490619631</v>
      </c>
      <c r="H32" s="294">
        <f>($C32*(1+'Biomass Data Assumptions'!I$108)*(1+'Biomass Data Assumptions'!E$82))*'Prac. Rec. Assumptions'!$B26</f>
        <v>1165.3609913718708</v>
      </c>
      <c r="I32" s="16" t="str">
        <f>IF('Conversion Tables'!F29="NA","NA",(E32*'Conversion Tables'!$C29)/'Conversion Tables'!F29)</f>
        <v>NA</v>
      </c>
      <c r="J32" s="16" t="str">
        <f>IF('Conversion Tables'!G29="NA","NA",(F32*'Conversion Tables'!$C29)/'Conversion Tables'!G29)</f>
        <v>NA</v>
      </c>
      <c r="K32" s="16" t="str">
        <f>IF('Conversion Tables'!H29="NA","NA",(G32*'Conversion Tables'!$C29)/'Conversion Tables'!H29)</f>
        <v>NA</v>
      </c>
      <c r="L32" s="16" t="str">
        <f>IF('Conversion Tables'!I29="NA","NA",(H32*'Conversion Tables'!$C29)/'Conversion Tables'!I29)</f>
        <v>NA</v>
      </c>
      <c r="M32" s="16" t="str">
        <f>IF('Conversion Tables'!K29="NA","NA",E32*'Conversion Tables'!K29)</f>
        <v>NA</v>
      </c>
      <c r="N32" s="16" t="str">
        <f>IF('Conversion Tables'!L29="NA","NA",F32*'Conversion Tables'!L29)</f>
        <v>NA</v>
      </c>
      <c r="O32" s="16" t="str">
        <f>IF('Conversion Tables'!M29="NA","NA",G32*'Conversion Tables'!M29)</f>
        <v>NA</v>
      </c>
      <c r="P32" s="16" t="str">
        <f>IF('Conversion Tables'!N29="NA","NA",H32*'Conversion Tables'!N29)</f>
        <v>NA</v>
      </c>
      <c r="Q32" s="7"/>
    </row>
    <row r="33" spans="1:17" x14ac:dyDescent="0.25">
      <c r="A33" s="1064"/>
      <c r="B33" s="11" t="str">
        <f>'Bioenergy Calculator'!B36</f>
        <v>Waste paper, Landfilled</v>
      </c>
      <c r="C33" s="294">
        <f>C142</f>
        <v>7009.0125030000017</v>
      </c>
      <c r="D33" s="294">
        <f>E33*'Conversion Tables'!C30</f>
        <v>81427.903654852824</v>
      </c>
      <c r="E33" s="294">
        <f>C33*'Prac. Rec. Assumptions'!B27</f>
        <v>5607.2100024000019</v>
      </c>
      <c r="F33" s="294">
        <f>($C33*(1+'Biomass Data Assumptions'!G$108)*(1+'Biomass Data Assumptions'!C$82))*'Prac. Rec. Assumptions'!$B27</f>
        <v>5645.7245952985313</v>
      </c>
      <c r="G33" s="294">
        <f>($C33*(1+'Biomass Data Assumptions'!H$108)*(1+'Biomass Data Assumptions'!D$82))*'Prac. Rec. Assumptions'!$B27</f>
        <v>5684.1843019608559</v>
      </c>
      <c r="H33" s="294">
        <f>($C33*(1+'Biomass Data Assumptions'!I$108)*(1+'Biomass Data Assumptions'!E$82))*'Prac. Rec. Assumptions'!$B27</f>
        <v>5731.0420435354963</v>
      </c>
      <c r="I33" s="16" t="str">
        <f>IF('Conversion Tables'!F30="NA","NA",(E33*'Conversion Tables'!$C30)/'Conversion Tables'!F30)</f>
        <v>NA</v>
      </c>
      <c r="J33" s="16" t="str">
        <f>IF('Conversion Tables'!G30="NA","NA",(F33*'Conversion Tables'!$C30)/'Conversion Tables'!G30)</f>
        <v>NA</v>
      </c>
      <c r="K33" s="16" t="str">
        <f>IF('Conversion Tables'!H30="NA","NA",(G33*'Conversion Tables'!$C30)/'Conversion Tables'!H30)</f>
        <v>NA</v>
      </c>
      <c r="L33" s="16" t="str">
        <f>IF('Conversion Tables'!I30="NA","NA",(H33*'Conversion Tables'!$C30)/'Conversion Tables'!I30)</f>
        <v>NA</v>
      </c>
      <c r="M33" s="16" t="str">
        <f>IF('Conversion Tables'!K30="NA","NA",E33*'Conversion Tables'!K30)</f>
        <v>NA</v>
      </c>
      <c r="N33" s="16" t="str">
        <f>IF('Conversion Tables'!L30="NA","NA",F33*'Conversion Tables'!L30)</f>
        <v>NA</v>
      </c>
      <c r="O33" s="16" t="str">
        <f>IF('Conversion Tables'!M30="NA","NA",G33*'Conversion Tables'!M30)</f>
        <v>NA</v>
      </c>
      <c r="P33" s="16" t="str">
        <f>IF('Conversion Tables'!N30="NA","NA",H33*'Conversion Tables'!N30)</f>
        <v>NA</v>
      </c>
      <c r="Q33" s="7"/>
    </row>
    <row r="34" spans="1:17" x14ac:dyDescent="0.25">
      <c r="A34" s="1064"/>
      <c r="B34" s="11" t="str">
        <f>'Bioenergy Calculator'!B37</f>
        <v>Other Biomass, Landfilled</v>
      </c>
      <c r="C34" s="294">
        <f>C143</f>
        <v>5391.3940790000006</v>
      </c>
      <c r="D34" s="294">
        <f>E34*'Conversion Tables'!C31</f>
        <v>56371.553866971379</v>
      </c>
      <c r="E34" s="294">
        <f>C34*'Prac. Rec. Assumptions'!B28</f>
        <v>3881.803736880001</v>
      </c>
      <c r="F34" s="294">
        <f>($C34*(1+'Biomass Data Assumptions'!G$108)*(1+'Biomass Data Assumptions'!C$82))*'Prac. Rec. Assumptions'!$B28</f>
        <v>3908.4669242002428</v>
      </c>
      <c r="G34" s="294">
        <f>($C34*(1+'Biomass Data Assumptions'!H$108)*(1+'Biomass Data Assumptions'!D$82))*'Prac. Rec. Assumptions'!$B28</f>
        <v>3935.0921144423091</v>
      </c>
      <c r="H34" s="294">
        <f>($C34*(1+'Biomass Data Assumptions'!I$108)*(1+'Biomass Data Assumptions'!E$82))*'Prac. Rec. Assumptions'!$B28</f>
        <v>3967.5311627869128</v>
      </c>
      <c r="I34" s="16" t="str">
        <f>IF('Conversion Tables'!F31="NA","NA",(E34*'Conversion Tables'!$C31)/'Conversion Tables'!F31)</f>
        <v>NA</v>
      </c>
      <c r="J34" s="16" t="str">
        <f>IF('Conversion Tables'!G31="NA","NA",(F34*'Conversion Tables'!$C31)/'Conversion Tables'!G31)</f>
        <v>NA</v>
      </c>
      <c r="K34" s="16" t="str">
        <f>IF('Conversion Tables'!H31="NA","NA",(G34*'Conversion Tables'!$C31)/'Conversion Tables'!H31)</f>
        <v>NA</v>
      </c>
      <c r="L34" s="16" t="str">
        <f>IF('Conversion Tables'!I31="NA","NA",(H34*'Conversion Tables'!$C31)/'Conversion Tables'!I31)</f>
        <v>NA</v>
      </c>
      <c r="M34" s="16" t="str">
        <f>IF('Conversion Tables'!K31="NA","NA",E34*'Conversion Tables'!K31)</f>
        <v>NA</v>
      </c>
      <c r="N34" s="16" t="str">
        <f>IF('Conversion Tables'!L31="NA","NA",F34*'Conversion Tables'!L31)</f>
        <v>NA</v>
      </c>
      <c r="O34" s="16" t="str">
        <f>IF('Conversion Tables'!M31="NA","NA",G34*'Conversion Tables'!M31)</f>
        <v>NA</v>
      </c>
      <c r="P34" s="16" t="str">
        <f>IF('Conversion Tables'!N31="NA","NA",H34*'Conversion Tables'!N31)</f>
        <v>NA</v>
      </c>
      <c r="Q34" s="7"/>
    </row>
    <row r="35" spans="1:17" x14ac:dyDescent="0.25">
      <c r="A35" s="1065"/>
      <c r="B35" s="11" t="str">
        <f>'Bioenergy Calculator'!B38</f>
        <v>C&amp;D (Non-recycled wood)</v>
      </c>
      <c r="C35" s="294">
        <f>C145</f>
        <v>2479.5776000000005</v>
      </c>
      <c r="D35" s="294">
        <f>E35*'Conversion Tables'!C32</f>
        <v>28088.655052800012</v>
      </c>
      <c r="E35" s="294">
        <f>C35*'Prac. Rec. Assumptions'!B29</f>
        <v>1586.9296640000007</v>
      </c>
      <c r="F35" s="294">
        <f>($C35*(1+'Biomass Data Assumptions'!G$108)*(1+'Biomass Data Assumptions'!C$83))*'Prac. Rec. Assumptions'!$B29</f>
        <v>1679.1988346769454</v>
      </c>
      <c r="G35" s="294">
        <f>($C35*(1+'Biomass Data Assumptions'!H$108)*(1+'Biomass Data Assumptions'!D$83))*'Prac. Rec. Assumptions'!$B29</f>
        <v>1776.7329833304389</v>
      </c>
      <c r="H35" s="294">
        <f>($C35*(1+'Biomass Data Assumptions'!I$108)*(1+'Biomass Data Assumptions'!E$83))*'Prac. Rec. Assumptions'!$B29</f>
        <v>1882.6049091884311</v>
      </c>
      <c r="I35" s="16" t="str">
        <f>IF('Conversion Tables'!F32="NA","NA",(E35*'Conversion Tables'!$C32)/'Conversion Tables'!F32)</f>
        <v>NA</v>
      </c>
      <c r="J35" s="16" t="str">
        <f>IF('Conversion Tables'!G32="NA","NA",(F35*'Conversion Tables'!$C32)/'Conversion Tables'!G32)</f>
        <v>NA</v>
      </c>
      <c r="K35" s="16" t="str">
        <f>IF('Conversion Tables'!H32="NA","NA",(G35*'Conversion Tables'!$C32)/'Conversion Tables'!H32)</f>
        <v>NA</v>
      </c>
      <c r="L35" s="16" t="str">
        <f>IF('Conversion Tables'!I32="NA","NA",(H35*'Conversion Tables'!$C32)/'Conversion Tables'!I32)</f>
        <v>NA</v>
      </c>
      <c r="M35" s="16" t="str">
        <f>IF('Conversion Tables'!K32="NA","NA",E35*'Conversion Tables'!K32)</f>
        <v>NA</v>
      </c>
      <c r="N35" s="16" t="str">
        <f>IF('Conversion Tables'!L32="NA","NA",F35*'Conversion Tables'!L32)</f>
        <v>NA</v>
      </c>
      <c r="O35" s="16" t="str">
        <f>IF('Conversion Tables'!M32="NA","NA",G35*'Conversion Tables'!M32)</f>
        <v>NA</v>
      </c>
      <c r="P35" s="16" t="str">
        <f>IF('Conversion Tables'!N32="NA","NA",H35*'Conversion Tables'!N32)</f>
        <v>NA</v>
      </c>
      <c r="Q35" s="7"/>
    </row>
    <row r="36" spans="1:17" x14ac:dyDescent="0.25">
      <c r="A36" s="1065"/>
      <c r="B36" s="4" t="s">
        <v>280</v>
      </c>
      <c r="C36" s="294"/>
      <c r="D36" s="294"/>
      <c r="E36" s="294"/>
      <c r="F36" s="294"/>
      <c r="G36" s="294"/>
      <c r="H36" s="294"/>
      <c r="I36" s="16"/>
      <c r="J36" s="16"/>
      <c r="K36" s="16"/>
      <c r="L36" s="16"/>
      <c r="M36" s="16"/>
      <c r="N36" s="16"/>
      <c r="O36" s="16"/>
      <c r="P36" s="16"/>
      <c r="Q36" s="7"/>
    </row>
    <row r="37" spans="1:17" x14ac:dyDescent="0.25">
      <c r="A37" s="1065"/>
      <c r="B37" s="677" t="s">
        <v>563</v>
      </c>
      <c r="C37" s="299">
        <f>C132</f>
        <v>4.6425000000000001</v>
      </c>
      <c r="D37" s="294">
        <f>E37*'Conversion Tables'!C34</f>
        <v>74.28</v>
      </c>
      <c r="E37" s="294">
        <f>C37*'Prac. Rec. Assumptions'!B31</f>
        <v>4.6425000000000001</v>
      </c>
      <c r="F37" s="294">
        <f>($C37*(1+'Biomass Data Assumptions'!G$108)*(1+'Biomass Data Assumptions'!C$84))*'Prac. Rec. Assumptions'!$B31</f>
        <v>5.1148050567188319</v>
      </c>
      <c r="G37" s="294">
        <f>($C37*(1+'Biomass Data Assumptions'!H$108)*(1+'Biomass Data Assumptions'!D$84))*'Prac. Rec. Assumptions'!$B31</f>
        <v>5.6348434398432117</v>
      </c>
      <c r="H37" s="294">
        <f>($C37*(1+'Biomass Data Assumptions'!I$108)*(1+'Biomass Data Assumptions'!E$84))*'Prac. Rec. Assumptions'!$B31</f>
        <v>6.2165811007633973</v>
      </c>
      <c r="I37" s="16" t="str">
        <f>IF('Conversion Tables'!F34="NA","NA",(E37*'Conversion Tables'!$C34)/'Conversion Tables'!F34)</f>
        <v>NA</v>
      </c>
      <c r="J37" s="16" t="str">
        <f>IF('Conversion Tables'!G34="NA","NA",(F37*'Conversion Tables'!$C34)/'Conversion Tables'!G34)</f>
        <v>NA</v>
      </c>
      <c r="K37" s="16" t="str">
        <f>IF('Conversion Tables'!H34="NA","NA",(G37*'Conversion Tables'!$C34)/'Conversion Tables'!H34)</f>
        <v>NA</v>
      </c>
      <c r="L37" s="16" t="str">
        <f>IF('Conversion Tables'!I34="NA","NA",(H37*'Conversion Tables'!$C34)/'Conversion Tables'!I34)</f>
        <v>NA</v>
      </c>
      <c r="M37" s="16" t="str">
        <f>IF('Conversion Tables'!K34="NA","NA",E37*'Conversion Tables'!K34)</f>
        <v>NA</v>
      </c>
      <c r="N37" s="16" t="str">
        <f>IF('Conversion Tables'!L34="NA","NA",F37*'Conversion Tables'!L34)</f>
        <v>NA</v>
      </c>
      <c r="O37" s="16" t="str">
        <f>IF('Conversion Tables'!M34="NA","NA",G37*'Conversion Tables'!M34)</f>
        <v>NA</v>
      </c>
      <c r="P37" s="16" t="str">
        <f>IF('Conversion Tables'!N34="NA","NA",H37*'Conversion Tables'!N34)</f>
        <v>NA</v>
      </c>
      <c r="Q37" s="18"/>
    </row>
    <row r="38" spans="1:17" x14ac:dyDescent="0.25">
      <c r="A38" s="1065"/>
      <c r="B38" s="11" t="s">
        <v>565</v>
      </c>
      <c r="C38" s="294">
        <f>C134</f>
        <v>589.24</v>
      </c>
      <c r="D38" s="294">
        <f>E38*'Conversion Tables'!C35</f>
        <v>5214.7739999999994</v>
      </c>
      <c r="E38" s="294">
        <f>C38*'Prac. Rec. Assumptions'!B32</f>
        <v>294.62</v>
      </c>
      <c r="F38" s="294">
        <f>($C38*(1+'Biomass Data Assumptions'!G$108)*(1+'Biomass Data Assumptions'!C$84))*'Prac. Rec. Assumptions'!$B32</f>
        <v>324.59318595810498</v>
      </c>
      <c r="G38" s="294">
        <f>($C38*(1+'Biomass Data Assumptions'!H$108)*(1+'Biomass Data Assumptions'!D$84))*'Prac. Rec. Assumptions'!$B32</f>
        <v>357.59560026852063</v>
      </c>
      <c r="H38" s="294">
        <f>($C38*(1+'Biomass Data Assumptions'!I$108)*(1+'Biomass Data Assumptions'!E$84))*'Prac. Rec. Assumptions'!$B32</f>
        <v>394.513543114036</v>
      </c>
      <c r="I38" s="16" t="str">
        <f>IF('Conversion Tables'!F35="NA","NA",(E38*'Conversion Tables'!$C35)/'Conversion Tables'!F35)</f>
        <v>NA</v>
      </c>
      <c r="J38" s="16" t="str">
        <f>IF('Conversion Tables'!G35="NA","NA",(F38*'Conversion Tables'!$C35)/'Conversion Tables'!G35)</f>
        <v>NA</v>
      </c>
      <c r="K38" s="16" t="str">
        <f>IF('Conversion Tables'!H35="NA","NA",(G38*'Conversion Tables'!$C35)/'Conversion Tables'!H35)</f>
        <v>NA</v>
      </c>
      <c r="L38" s="16" t="str">
        <f>IF('Conversion Tables'!I35="NA","NA",(H38*'Conversion Tables'!$C35)/'Conversion Tables'!I35)</f>
        <v>NA</v>
      </c>
      <c r="M38" s="16" t="str">
        <f>IF('Conversion Tables'!K35="NA","NA",E38*'Conversion Tables'!K35)</f>
        <v>NA</v>
      </c>
      <c r="N38" s="16" t="str">
        <f>IF('Conversion Tables'!L35="NA","NA",F38*'Conversion Tables'!L35)</f>
        <v>NA</v>
      </c>
      <c r="O38" s="16" t="str">
        <f>IF('Conversion Tables'!M35="NA","NA",G38*'Conversion Tables'!M35)</f>
        <v>NA</v>
      </c>
      <c r="P38" s="16" t="str">
        <f>IF('Conversion Tables'!N35="NA","NA",H38*'Conversion Tables'!N35)</f>
        <v>NA</v>
      </c>
      <c r="Q38" s="13"/>
    </row>
    <row r="39" spans="1:17" x14ac:dyDescent="0.25">
      <c r="A39" s="1065"/>
      <c r="B39" s="17" t="s">
        <v>555</v>
      </c>
      <c r="C39" s="294">
        <f>C124</f>
        <v>3808.4940000000001</v>
      </c>
      <c r="D39" s="299">
        <f>E39*'Conversion Tables'!C36</f>
        <v>0</v>
      </c>
      <c r="E39" s="299">
        <f>C39*'Prac. Rec. Assumptions'!B33</f>
        <v>0</v>
      </c>
      <c r="F39" s="294">
        <f>($C39*(1+'Biomass Data Assumptions'!G$108)*(1+'Biomass Data Assumptions'!C$84))*'Prac. Rec. Assumptions'!$B33</f>
        <v>0</v>
      </c>
      <c r="G39" s="294">
        <f>($C39*(1+'Biomass Data Assumptions'!H$108)*(1+'Biomass Data Assumptions'!D$84))*'Prac. Rec. Assumptions'!$B33</f>
        <v>0</v>
      </c>
      <c r="H39" s="294">
        <f>($C39*(1+'Biomass Data Assumptions'!I$108)*(1+'Biomass Data Assumptions'!E$84))*'Prac. Rec. Assumptions'!$B33</f>
        <v>0</v>
      </c>
      <c r="I39" s="16" t="str">
        <f>IF('Conversion Tables'!F36="NA","NA",(E39*'Conversion Tables'!$C36)/'Conversion Tables'!F36)</f>
        <v>NA</v>
      </c>
      <c r="J39" s="16" t="str">
        <f>IF('Conversion Tables'!G36="NA","NA",(F39*'Conversion Tables'!$C36)/'Conversion Tables'!G36)</f>
        <v>NA</v>
      </c>
      <c r="K39" s="16" t="str">
        <f>IF('Conversion Tables'!H36="NA","NA",(G39*'Conversion Tables'!$C36)/'Conversion Tables'!H36)</f>
        <v>NA</v>
      </c>
      <c r="L39" s="16" t="str">
        <f>IF('Conversion Tables'!I36="NA","NA",(H39*'Conversion Tables'!$C36)/'Conversion Tables'!I36)</f>
        <v>NA</v>
      </c>
      <c r="M39" s="16" t="str">
        <f>IF('Conversion Tables'!K36="NA","NA",E39*'Conversion Tables'!K36)</f>
        <v>NA</v>
      </c>
      <c r="N39" s="16" t="str">
        <f>IF('Conversion Tables'!L36="NA","NA",F39*'Conversion Tables'!L36)</f>
        <v>NA</v>
      </c>
      <c r="O39" s="16" t="str">
        <f>IF('Conversion Tables'!M36="NA","NA",G39*'Conversion Tables'!M36)</f>
        <v>NA</v>
      </c>
      <c r="P39" s="16" t="str">
        <f>IF('Conversion Tables'!N36="NA","NA",H39*'Conversion Tables'!N36)</f>
        <v>NA</v>
      </c>
      <c r="Q39" s="27"/>
    </row>
    <row r="40" spans="1:17" x14ac:dyDescent="0.25">
      <c r="A40" s="1065"/>
      <c r="B40" s="17" t="s">
        <v>556</v>
      </c>
      <c r="C40" s="294">
        <f>C125</f>
        <v>670.67100000000005</v>
      </c>
      <c r="D40" s="299">
        <f>E40*'Conversion Tables'!C37</f>
        <v>0</v>
      </c>
      <c r="E40" s="299">
        <f>C40*'Prac. Rec. Assumptions'!B34</f>
        <v>0</v>
      </c>
      <c r="F40" s="294">
        <f>($C40*(1+'Biomass Data Assumptions'!G$108)*(1+'Biomass Data Assumptions'!C$84))*'Prac. Rec. Assumptions'!$B34</f>
        <v>0</v>
      </c>
      <c r="G40" s="294">
        <f>($C40*(1+'Biomass Data Assumptions'!H$108)*(1+'Biomass Data Assumptions'!D$84))*'Prac. Rec. Assumptions'!$B34</f>
        <v>0</v>
      </c>
      <c r="H40" s="294">
        <f>($C40*(1+'Biomass Data Assumptions'!I$108)*(1+'Biomass Data Assumptions'!E$84))*'Prac. Rec. Assumptions'!$B34</f>
        <v>0</v>
      </c>
      <c r="I40" s="16" t="str">
        <f>IF('Conversion Tables'!F37="NA","NA",(E40*'Conversion Tables'!$C37)/'Conversion Tables'!F37)</f>
        <v>NA</v>
      </c>
      <c r="J40" s="16" t="str">
        <f>IF('Conversion Tables'!G37="NA","NA",(F40*'Conversion Tables'!$C37)/'Conversion Tables'!G37)</f>
        <v>NA</v>
      </c>
      <c r="K40" s="16" t="str">
        <f>IF('Conversion Tables'!H37="NA","NA",(G40*'Conversion Tables'!$C37)/'Conversion Tables'!H37)</f>
        <v>NA</v>
      </c>
      <c r="L40" s="16" t="str">
        <f>IF('Conversion Tables'!I37="NA","NA",(H40*'Conversion Tables'!$C37)/'Conversion Tables'!I37)</f>
        <v>NA</v>
      </c>
      <c r="M40" s="16" t="str">
        <f>IF('Conversion Tables'!K37="NA","NA",E40*'Conversion Tables'!K37)</f>
        <v>NA</v>
      </c>
      <c r="N40" s="16" t="str">
        <f>IF('Conversion Tables'!L37="NA","NA",F40*'Conversion Tables'!L37)</f>
        <v>NA</v>
      </c>
      <c r="O40" s="16" t="str">
        <f>IF('Conversion Tables'!M37="NA","NA",G40*'Conversion Tables'!M37)</f>
        <v>NA</v>
      </c>
      <c r="P40" s="16" t="str">
        <f>IF('Conversion Tables'!N37="NA","NA",H40*'Conversion Tables'!N37)</f>
        <v>NA</v>
      </c>
      <c r="Q40" s="27"/>
    </row>
    <row r="41" spans="1:17" x14ac:dyDescent="0.25">
      <c r="A41" s="1065"/>
      <c r="B41" s="17" t="s">
        <v>557</v>
      </c>
      <c r="C41" s="294">
        <f>C126</f>
        <v>1545.327</v>
      </c>
      <c r="D41" s="299">
        <f>E41*'Conversion Tables'!C38</f>
        <v>0</v>
      </c>
      <c r="E41" s="299">
        <f>C41*'Prac. Rec. Assumptions'!B35</f>
        <v>0</v>
      </c>
      <c r="F41" s="294">
        <f>($C41*(1+'Biomass Data Assumptions'!G$108)*(1+'Biomass Data Assumptions'!C$84))*'Prac. Rec. Assumptions'!$B35</f>
        <v>0</v>
      </c>
      <c r="G41" s="294">
        <f>($C41*(1+'Biomass Data Assumptions'!H$108)*(1+'Biomass Data Assumptions'!D$84))*'Prac. Rec. Assumptions'!$B35</f>
        <v>0</v>
      </c>
      <c r="H41" s="294">
        <f>($C41*(1+'Biomass Data Assumptions'!I$108)*(1+'Biomass Data Assumptions'!E$84))*'Prac. Rec. Assumptions'!$B35</f>
        <v>0</v>
      </c>
      <c r="I41" s="16" t="str">
        <f>IF('Conversion Tables'!F38="NA","NA",(E41*'Conversion Tables'!$C38)/'Conversion Tables'!F38)</f>
        <v>NA</v>
      </c>
      <c r="J41" s="16" t="str">
        <f>IF('Conversion Tables'!G38="NA","NA",(F41*'Conversion Tables'!$C38)/'Conversion Tables'!G38)</f>
        <v>NA</v>
      </c>
      <c r="K41" s="16" t="str">
        <f>IF('Conversion Tables'!H38="NA","NA",(G41*'Conversion Tables'!$C38)/'Conversion Tables'!H38)</f>
        <v>NA</v>
      </c>
      <c r="L41" s="16" t="str">
        <f>IF('Conversion Tables'!I38="NA","NA",(H41*'Conversion Tables'!$C38)/'Conversion Tables'!I38)</f>
        <v>NA</v>
      </c>
      <c r="M41" s="16" t="str">
        <f>IF('Conversion Tables'!K38="NA","NA",E41*'Conversion Tables'!K38)</f>
        <v>NA</v>
      </c>
      <c r="N41" s="16" t="str">
        <f>IF('Conversion Tables'!L38="NA","NA",F41*'Conversion Tables'!L38)</f>
        <v>NA</v>
      </c>
      <c r="O41" s="16" t="str">
        <f>IF('Conversion Tables'!M38="NA","NA",G41*'Conversion Tables'!M38)</f>
        <v>NA</v>
      </c>
      <c r="P41" s="16" t="str">
        <f>IF('Conversion Tables'!N38="NA","NA",H41*'Conversion Tables'!N38)</f>
        <v>NA</v>
      </c>
      <c r="Q41" s="27"/>
    </row>
    <row r="42" spans="1:17" x14ac:dyDescent="0.25">
      <c r="A42" s="1065"/>
      <c r="B42" s="17" t="s">
        <v>558</v>
      </c>
      <c r="C42" s="294">
        <f>C127</f>
        <v>888.13800000000003</v>
      </c>
      <c r="D42" s="299">
        <f>E42*'Conversion Tables'!C39</f>
        <v>12897.540036</v>
      </c>
      <c r="E42" s="299">
        <f>C42*'Prac. Rec. Assumptions'!B36</f>
        <v>888.13800000000003</v>
      </c>
      <c r="F42" s="294">
        <f>($C42*(1+'Biomass Data Assumptions'!G$108)*(1+'Biomass Data Assumptions'!C$84))*'Prac. Rec. Assumptions'!$B36</f>
        <v>978.49278049847078</v>
      </c>
      <c r="G42" s="294">
        <f>($C42*(1+'Biomass Data Assumptions'!H$108)*(1+'Biomass Data Assumptions'!D$84))*'Prac. Rec. Assumptions'!$B36</f>
        <v>1077.9792316586904</v>
      </c>
      <c r="H42" s="294">
        <f>($C42*(1+'Biomass Data Assumptions'!I$108)*(1+'Biomass Data Assumptions'!E$84))*'Prac. Rec. Assumptions'!$B36</f>
        <v>1189.2691234614545</v>
      </c>
      <c r="I42" s="16" t="str">
        <f>IF('Conversion Tables'!F39="NA","NA",(E42*'Conversion Tables'!$C39)/'Conversion Tables'!F39)</f>
        <v>NA</v>
      </c>
      <c r="J42" s="16" t="str">
        <f>IF('Conversion Tables'!G39="NA","NA",(F42*'Conversion Tables'!$C39)/'Conversion Tables'!G39)</f>
        <v>NA</v>
      </c>
      <c r="K42" s="16" t="str">
        <f>IF('Conversion Tables'!H39="NA","NA",(G42*'Conversion Tables'!$C39)/'Conversion Tables'!H39)</f>
        <v>NA</v>
      </c>
      <c r="L42" s="16" t="str">
        <f>IF('Conversion Tables'!I39="NA","NA",(H42*'Conversion Tables'!$C39)/'Conversion Tables'!I39)</f>
        <v>NA</v>
      </c>
      <c r="M42" s="16" t="str">
        <f>IF('Conversion Tables'!K39="NA","NA",E42*'Conversion Tables'!K39)</f>
        <v>NA</v>
      </c>
      <c r="N42" s="16" t="str">
        <f>IF('Conversion Tables'!L39="NA","NA",F42*'Conversion Tables'!L39)</f>
        <v>NA</v>
      </c>
      <c r="O42" s="16" t="str">
        <f>IF('Conversion Tables'!M39="NA","NA",G42*'Conversion Tables'!M39)</f>
        <v>NA</v>
      </c>
      <c r="P42" s="16" t="str">
        <f>IF('Conversion Tables'!N39="NA","NA",H42*'Conversion Tables'!N39)</f>
        <v>NA</v>
      </c>
      <c r="Q42" s="27"/>
    </row>
    <row r="43" spans="1:17" x14ac:dyDescent="0.25">
      <c r="A43" s="1065"/>
      <c r="B43" s="9" t="s">
        <v>524</v>
      </c>
      <c r="C43" s="295">
        <f t="shared" ref="C43:P43" si="4">SUM(C31:C42)</f>
        <v>24286.797929600005</v>
      </c>
      <c r="D43" s="295">
        <f t="shared" si="4"/>
        <v>202317.59858758422</v>
      </c>
      <c r="E43" s="295">
        <f t="shared" si="4"/>
        <v>13403.524651840005</v>
      </c>
      <c r="F43" s="295">
        <f t="shared" si="4"/>
        <v>13689.603504835835</v>
      </c>
      <c r="G43" s="295">
        <f t="shared" si="4"/>
        <v>13993.051924162621</v>
      </c>
      <c r="H43" s="295">
        <f t="shared" si="4"/>
        <v>14336.538354558963</v>
      </c>
      <c r="I43" s="19">
        <f t="shared" si="4"/>
        <v>0</v>
      </c>
      <c r="J43" s="19">
        <f t="shared" si="4"/>
        <v>0</v>
      </c>
      <c r="K43" s="19">
        <f t="shared" si="4"/>
        <v>0</v>
      </c>
      <c r="L43" s="19">
        <f t="shared" si="4"/>
        <v>0</v>
      </c>
      <c r="M43" s="19">
        <f t="shared" si="4"/>
        <v>0</v>
      </c>
      <c r="N43" s="19">
        <f t="shared" si="4"/>
        <v>0</v>
      </c>
      <c r="O43" s="19">
        <f t="shared" si="4"/>
        <v>0</v>
      </c>
      <c r="P43" s="19">
        <f t="shared" si="4"/>
        <v>0</v>
      </c>
      <c r="Q43" s="19"/>
    </row>
    <row r="44" spans="1:17" x14ac:dyDescent="0.25">
      <c r="A44" s="8"/>
      <c r="C44" s="296"/>
      <c r="D44" s="296"/>
      <c r="E44" s="296"/>
      <c r="F44" s="296"/>
      <c r="G44" s="296"/>
      <c r="H44" s="296"/>
      <c r="I44" s="28"/>
      <c r="J44" s="28"/>
      <c r="K44" s="28"/>
      <c r="L44" s="28"/>
      <c r="M44" s="28"/>
      <c r="N44" s="28"/>
      <c r="O44" s="28"/>
      <c r="P44" s="28"/>
    </row>
    <row r="45" spans="1:17" x14ac:dyDescent="0.25">
      <c r="A45" s="1064" t="s">
        <v>515</v>
      </c>
      <c r="B45" s="2" t="s">
        <v>510</v>
      </c>
      <c r="C45" s="294"/>
      <c r="D45" s="294"/>
      <c r="E45" s="294"/>
      <c r="F45" s="294"/>
      <c r="G45" s="294"/>
      <c r="H45" s="294"/>
      <c r="I45" s="16"/>
      <c r="J45" s="16"/>
      <c r="K45" s="16"/>
      <c r="L45" s="16"/>
      <c r="M45" s="16"/>
      <c r="N45" s="16"/>
      <c r="O45" s="16"/>
      <c r="P45" s="16"/>
      <c r="Q45" s="7"/>
    </row>
    <row r="46" spans="1:17" x14ac:dyDescent="0.25">
      <c r="A46" s="1064"/>
      <c r="B46" s="12" t="s">
        <v>525</v>
      </c>
      <c r="C46" s="294">
        <f>D77</f>
        <v>20320.32</v>
      </c>
      <c r="D46" s="294">
        <f>E46*'Conversion Tables'!C41</f>
        <v>0</v>
      </c>
      <c r="E46" s="294">
        <f>C46*'Prac. Rec. Assumptions'!B38</f>
        <v>20320.32</v>
      </c>
      <c r="F46" s="294">
        <f>$E46</f>
        <v>20320.32</v>
      </c>
      <c r="G46" s="294">
        <f>$E46</f>
        <v>20320.32</v>
      </c>
      <c r="H46" s="294">
        <f>$E46</f>
        <v>20320.32</v>
      </c>
      <c r="I46" s="16" t="str">
        <f>IF('Conversion Tables'!F41="NA","NA",(E46*'Conversion Tables'!$C41)/'Conversion Tables'!F41)</f>
        <v>NA</v>
      </c>
      <c r="J46" s="16" t="str">
        <f>IF('Conversion Tables'!G41="NA","NA",(F46*'Conversion Tables'!$C41)/'Conversion Tables'!G41)</f>
        <v>NA</v>
      </c>
      <c r="K46" s="16" t="str">
        <f>IF('Conversion Tables'!H41="NA","NA",(G46*'Conversion Tables'!$C41)/'Conversion Tables'!H41)</f>
        <v>NA</v>
      </c>
      <c r="L46" s="16" t="str">
        <f>IF('Conversion Tables'!I41="NA","NA",(H46*'Conversion Tables'!$C41)/'Conversion Tables'!I41)</f>
        <v>NA</v>
      </c>
      <c r="M46" s="16" t="str">
        <f>IF('Conversion Tables'!K41="NA","NA",E46*'Conversion Tables'!K41)</f>
        <v>NA</v>
      </c>
      <c r="N46" s="16" t="str">
        <f>IF('Conversion Tables'!L41="NA","NA",F46*'Conversion Tables'!L41)</f>
        <v>NA</v>
      </c>
      <c r="O46" s="16" t="str">
        <f>IF('Conversion Tables'!M41="NA","NA",G46*'Conversion Tables'!M41)</f>
        <v>NA</v>
      </c>
      <c r="P46" s="16" t="str">
        <f>IF('Conversion Tables'!N41="NA","NA",H46*'Conversion Tables'!N41)</f>
        <v>NA</v>
      </c>
      <c r="Q46" s="15"/>
    </row>
    <row r="47" spans="1:17" x14ac:dyDescent="0.25">
      <c r="A47" s="1065"/>
      <c r="B47" s="2" t="s">
        <v>508</v>
      </c>
      <c r="C47" s="294">
        <f t="shared" ref="C47:C48" si="5">C148</f>
        <v>247.15042</v>
      </c>
      <c r="D47" s="294"/>
      <c r="E47" s="294">
        <f>C47*'Prac. Rec. Assumptions'!B39</f>
        <v>123.57521</v>
      </c>
      <c r="F47" s="294">
        <f>($C47*(1+'Biomass Data Assumptions'!G$108))*'Prac. Rec. Assumptions'!$B39</f>
        <v>124.50855750755287</v>
      </c>
      <c r="G47" s="294">
        <f>($C47*(1+'Biomass Data Assumptions'!H$108))*'Prac. Rec. Assumptions'!$B39</f>
        <v>125.44190501510573</v>
      </c>
      <c r="H47" s="294">
        <f>($C47*(1+'Biomass Data Assumptions'!I$108))*'Prac. Rec. Assumptions'!$B39</f>
        <v>126.56192202416919</v>
      </c>
      <c r="I47" s="16" t="str">
        <f>IF('Conversion Tables'!F42="NA","NA",(E47*'Conversion Tables'!$C42)/'Conversion Tables'!F42)</f>
        <v>NA</v>
      </c>
      <c r="J47" s="16" t="str">
        <f>IF('Conversion Tables'!G42="NA","NA",(F47*'Conversion Tables'!$C42)/'Conversion Tables'!G42)</f>
        <v>NA</v>
      </c>
      <c r="K47" s="16" t="str">
        <f>IF('Conversion Tables'!H42="NA","NA",(G47*'Conversion Tables'!$C42)/'Conversion Tables'!H42)</f>
        <v>NA</v>
      </c>
      <c r="L47" s="16" t="str">
        <f>IF('Conversion Tables'!I42="NA","NA",(H47*'Conversion Tables'!$C42)/'Conversion Tables'!I42)</f>
        <v>NA</v>
      </c>
      <c r="M47" s="16" t="str">
        <f>IF('Conversion Tables'!K42="NA","NA",E47*'Conversion Tables'!K42)</f>
        <v>NA</v>
      </c>
      <c r="N47" s="16" t="str">
        <f>IF('Conversion Tables'!L42="NA","NA",F47*'Conversion Tables'!L42)</f>
        <v>NA</v>
      </c>
      <c r="O47" s="16" t="str">
        <f>IF('Conversion Tables'!M42="NA","NA",G47*'Conversion Tables'!M42)</f>
        <v>NA</v>
      </c>
      <c r="P47" s="16" t="str">
        <f>IF('Conversion Tables'!N42="NA","NA",H47*'Conversion Tables'!N42)</f>
        <v>NA</v>
      </c>
      <c r="Q47" s="7"/>
    </row>
    <row r="48" spans="1:17" x14ac:dyDescent="0.25">
      <c r="A48" s="1065"/>
      <c r="B48" s="1" t="s">
        <v>509</v>
      </c>
      <c r="C48" s="294">
        <f t="shared" si="5"/>
        <v>22.088242749999999</v>
      </c>
      <c r="D48" s="294"/>
      <c r="E48" s="294">
        <f>C48*'Prac. Rec. Assumptions'!B40</f>
        <v>22.088242749999999</v>
      </c>
      <c r="F48" s="294">
        <f>($C48*(1+'Biomass Data Assumptions'!G$108))*'Prac. Rec. Assumptions'!$B40</f>
        <v>22.255072378021147</v>
      </c>
      <c r="G48" s="294">
        <f>($C48*(1+'Biomass Data Assumptions'!H$108))*'Prac. Rec. Assumptions'!$B40</f>
        <v>22.421902006042295</v>
      </c>
      <c r="H48" s="294">
        <f>($C48*(1+'Biomass Data Assumptions'!I$108))*'Prac. Rec. Assumptions'!$B40</f>
        <v>22.622097559667672</v>
      </c>
      <c r="I48" s="16" t="str">
        <f>IF('Conversion Tables'!F43="NA","NA",(E48*'Conversion Tables'!$C43)/'Conversion Tables'!F43)</f>
        <v>NA</v>
      </c>
      <c r="J48" s="16" t="str">
        <f>IF('Conversion Tables'!G43="NA","NA",(F48*'Conversion Tables'!$C43)/'Conversion Tables'!G43)</f>
        <v>NA</v>
      </c>
      <c r="K48" s="16" t="str">
        <f>IF('Conversion Tables'!H43="NA","NA",(G48*'Conversion Tables'!$C43)/'Conversion Tables'!H43)</f>
        <v>NA</v>
      </c>
      <c r="L48" s="16" t="str">
        <f>IF('Conversion Tables'!I43="NA","NA",(H48*'Conversion Tables'!$C43)/'Conversion Tables'!I43)</f>
        <v>NA</v>
      </c>
      <c r="M48" s="16" t="str">
        <f>IF('Conversion Tables'!K43="NA","NA",E48*'Conversion Tables'!K43)</f>
        <v>NA</v>
      </c>
      <c r="N48" s="16" t="str">
        <f>IF('Conversion Tables'!L43="NA","NA",F48*'Conversion Tables'!L43)</f>
        <v>NA</v>
      </c>
      <c r="O48" s="16" t="str">
        <f>IF('Conversion Tables'!M43="NA","NA",G48*'Conversion Tables'!M43)</f>
        <v>NA</v>
      </c>
      <c r="P48" s="16" t="str">
        <f>IF('Conversion Tables'!N43="NA","NA",H48*'Conversion Tables'!N43)</f>
        <v>NA</v>
      </c>
      <c r="Q48" s="7"/>
    </row>
    <row r="49" spans="1:17" x14ac:dyDescent="0.25">
      <c r="A49" s="1065"/>
      <c r="B49" s="9" t="s">
        <v>524</v>
      </c>
      <c r="C49" s="295">
        <f t="shared" ref="C49:P49" si="6">SUM(C45:C48)</f>
        <v>20589.558662750002</v>
      </c>
      <c r="D49" s="295">
        <f>SUM(D45:D48)</f>
        <v>0</v>
      </c>
      <c r="E49" s="295">
        <f t="shared" si="6"/>
        <v>20465.983452749999</v>
      </c>
      <c r="F49" s="295">
        <f>SUM(F45:F48)</f>
        <v>20467.083629885576</v>
      </c>
      <c r="G49" s="295">
        <f>SUM(G45:G48)</f>
        <v>20468.183807021145</v>
      </c>
      <c r="H49" s="295">
        <f>SUM(H45:H48)</f>
        <v>20469.504019583834</v>
      </c>
      <c r="I49" s="19">
        <f t="shared" si="6"/>
        <v>0</v>
      </c>
      <c r="J49" s="19">
        <f t="shared" si="6"/>
        <v>0</v>
      </c>
      <c r="K49" s="19">
        <f t="shared" si="6"/>
        <v>0</v>
      </c>
      <c r="L49" s="19">
        <f t="shared" si="6"/>
        <v>0</v>
      </c>
      <c r="M49" s="19">
        <f t="shared" si="6"/>
        <v>0</v>
      </c>
      <c r="N49" s="19">
        <f t="shared" si="6"/>
        <v>0</v>
      </c>
      <c r="O49" s="19">
        <f t="shared" si="6"/>
        <v>0</v>
      </c>
      <c r="P49" s="19">
        <f t="shared" si="6"/>
        <v>0</v>
      </c>
      <c r="Q49" s="19"/>
    </row>
    <row r="50" spans="1:17" x14ac:dyDescent="0.25">
      <c r="A50" s="8"/>
      <c r="C50" s="296"/>
      <c r="D50" s="296"/>
      <c r="E50" s="296"/>
      <c r="F50" s="296"/>
      <c r="G50" s="296"/>
      <c r="H50" s="296"/>
      <c r="I50" s="28"/>
      <c r="J50" s="28"/>
      <c r="K50" s="28"/>
      <c r="L50" s="28"/>
      <c r="M50" s="28"/>
      <c r="N50" s="28"/>
      <c r="O50" s="28"/>
      <c r="P50" s="28"/>
    </row>
    <row r="51" spans="1:17" x14ac:dyDescent="0.25">
      <c r="A51" s="1200" t="s">
        <v>517</v>
      </c>
      <c r="B51" s="2" t="s">
        <v>505</v>
      </c>
      <c r="C51" s="294"/>
      <c r="D51" s="294"/>
      <c r="E51" s="294"/>
      <c r="F51" s="294"/>
      <c r="G51" s="294"/>
      <c r="H51" s="294"/>
      <c r="I51" s="16"/>
      <c r="J51" s="16"/>
      <c r="K51" s="16"/>
      <c r="L51" s="16"/>
      <c r="M51" s="16"/>
      <c r="N51" s="16"/>
      <c r="O51" s="16"/>
      <c r="P51" s="16"/>
      <c r="Q51" s="7"/>
    </row>
    <row r="52" spans="1:17" x14ac:dyDescent="0.25">
      <c r="A52" s="1201"/>
      <c r="B52" s="12" t="s">
        <v>535</v>
      </c>
      <c r="C52" s="294">
        <f>G97</f>
        <v>3661.7267200000001</v>
      </c>
      <c r="D52" s="299">
        <f>E52*'Conversion Tables'!C45</f>
        <v>10812.346658816001</v>
      </c>
      <c r="E52" s="299">
        <f>C52*'Prac. Rec. Assumptions'!B42</f>
        <v>732.34534400000007</v>
      </c>
      <c r="F52" s="294">
        <f t="shared" ref="F52:H59" si="7">$E52</f>
        <v>732.34534400000007</v>
      </c>
      <c r="G52" s="294">
        <f t="shared" si="7"/>
        <v>732.34534400000007</v>
      </c>
      <c r="H52" s="294">
        <f t="shared" si="7"/>
        <v>732.34534400000007</v>
      </c>
      <c r="I52" s="16" t="str">
        <f>IF('Conversion Tables'!F45="NA","NA",(E52*'Conversion Tables'!$C45)/'Conversion Tables'!F45)</f>
        <v>NA</v>
      </c>
      <c r="J52" s="16" t="str">
        <f>IF('Conversion Tables'!G45="NA","NA",(F52*'Conversion Tables'!$C45)/'Conversion Tables'!G45)</f>
        <v>NA</v>
      </c>
      <c r="K52" s="16" t="str">
        <f>IF('Conversion Tables'!H45="NA","NA",(G52*'Conversion Tables'!$C45)/'Conversion Tables'!H45)</f>
        <v>NA</v>
      </c>
      <c r="L52" s="16" t="str">
        <f>IF('Conversion Tables'!I45="NA","NA",(H52*'Conversion Tables'!$C45)/'Conversion Tables'!I45)</f>
        <v>NA</v>
      </c>
      <c r="M52" s="16" t="str">
        <f>IF('Conversion Tables'!K45="NA","NA",E52*'Conversion Tables'!K45)</f>
        <v>NA</v>
      </c>
      <c r="N52" s="16" t="str">
        <f>IF('Conversion Tables'!L45="NA","NA",F52*'Conversion Tables'!L45)</f>
        <v>NA</v>
      </c>
      <c r="O52" s="16" t="str">
        <f>IF('Conversion Tables'!M45="NA","NA",G52*'Conversion Tables'!M45)</f>
        <v>NA</v>
      </c>
      <c r="P52" s="16" t="str">
        <f>IF('Conversion Tables'!N45="NA","NA",H52*'Conversion Tables'!N45)</f>
        <v>NA</v>
      </c>
      <c r="Q52" s="27"/>
    </row>
    <row r="53" spans="1:17" x14ac:dyDescent="0.25">
      <c r="A53" s="1201"/>
      <c r="B53" s="12" t="s">
        <v>539</v>
      </c>
      <c r="C53" s="294">
        <f>G104</f>
        <v>11580.89885</v>
      </c>
      <c r="D53" s="299">
        <f>E53*'Conversion Tables'!C46</f>
        <v>102588.23437283999</v>
      </c>
      <c r="E53" s="299">
        <f>C53*'Prac. Rec. Assumptions'!B43</f>
        <v>6948.5393099999992</v>
      </c>
      <c r="F53" s="294">
        <f t="shared" si="7"/>
        <v>6948.5393099999992</v>
      </c>
      <c r="G53" s="294">
        <f t="shared" si="7"/>
        <v>6948.5393099999992</v>
      </c>
      <c r="H53" s="294">
        <f t="shared" si="7"/>
        <v>6948.5393099999992</v>
      </c>
      <c r="I53" s="16" t="str">
        <f>IF('Conversion Tables'!F46="NA","NA",(E53*'Conversion Tables'!$C46)/'Conversion Tables'!F46)</f>
        <v>NA</v>
      </c>
      <c r="J53" s="16" t="str">
        <f>IF('Conversion Tables'!G46="NA","NA",(F53*'Conversion Tables'!$C46)/'Conversion Tables'!G46)</f>
        <v>NA</v>
      </c>
      <c r="K53" s="16" t="str">
        <f>IF('Conversion Tables'!H46="NA","NA",(G53*'Conversion Tables'!$C46)/'Conversion Tables'!H46)</f>
        <v>NA</v>
      </c>
      <c r="L53" s="16" t="str">
        <f>IF('Conversion Tables'!I46="NA","NA",(H53*'Conversion Tables'!$C46)/'Conversion Tables'!I46)</f>
        <v>NA</v>
      </c>
      <c r="M53" s="16" t="str">
        <f>IF('Conversion Tables'!K46="NA","NA",E53*'Conversion Tables'!K46)</f>
        <v>NA</v>
      </c>
      <c r="N53" s="16" t="str">
        <f>IF('Conversion Tables'!L46="NA","NA",F53*'Conversion Tables'!L46)</f>
        <v>NA</v>
      </c>
      <c r="O53" s="16" t="str">
        <f>IF('Conversion Tables'!M46="NA","NA",G53*'Conversion Tables'!M46)</f>
        <v>NA</v>
      </c>
      <c r="P53" s="16" t="str">
        <f>IF('Conversion Tables'!N46="NA","NA",H53*'Conversion Tables'!N46)</f>
        <v>NA</v>
      </c>
      <c r="Q53" s="27"/>
    </row>
    <row r="54" spans="1:17" x14ac:dyDescent="0.25">
      <c r="A54" s="1201"/>
      <c r="B54" s="12" t="s">
        <v>545</v>
      </c>
      <c r="C54" s="294">
        <f>G106</f>
        <v>7220.4436875000001</v>
      </c>
      <c r="D54" s="299">
        <f>E54*'Conversion Tables'!C47</f>
        <v>63961.578361349995</v>
      </c>
      <c r="E54" s="299">
        <f>C54*'Prac. Rec. Assumptions'!B44</f>
        <v>4332.2662124999997</v>
      </c>
      <c r="F54" s="294">
        <f t="shared" si="7"/>
        <v>4332.2662124999997</v>
      </c>
      <c r="G54" s="294">
        <f t="shared" si="7"/>
        <v>4332.2662124999997</v>
      </c>
      <c r="H54" s="294">
        <f t="shared" si="7"/>
        <v>4332.2662124999997</v>
      </c>
      <c r="I54" s="16" t="str">
        <f>IF('Conversion Tables'!F47="NA","NA",(E54*'Conversion Tables'!$C47)/'Conversion Tables'!F47)</f>
        <v>NA</v>
      </c>
      <c r="J54" s="16" t="str">
        <f>IF('Conversion Tables'!G47="NA","NA",(F54*'Conversion Tables'!$C47)/'Conversion Tables'!G47)</f>
        <v>NA</v>
      </c>
      <c r="K54" s="16" t="str">
        <f>IF('Conversion Tables'!H47="NA","NA",(G54*'Conversion Tables'!$C47)/'Conversion Tables'!H47)</f>
        <v>NA</v>
      </c>
      <c r="L54" s="16" t="str">
        <f>IF('Conversion Tables'!I47="NA","NA",(H54*'Conversion Tables'!$C47)/'Conversion Tables'!I47)</f>
        <v>NA</v>
      </c>
      <c r="M54" s="16" t="str">
        <f>IF('Conversion Tables'!K47="NA","NA",E54*'Conversion Tables'!K47)</f>
        <v>NA</v>
      </c>
      <c r="N54" s="16" t="str">
        <f>IF('Conversion Tables'!L47="NA","NA",F54*'Conversion Tables'!L47)</f>
        <v>NA</v>
      </c>
      <c r="O54" s="16" t="str">
        <f>IF('Conversion Tables'!M47="NA","NA",G54*'Conversion Tables'!M47)</f>
        <v>NA</v>
      </c>
      <c r="P54" s="16" t="str">
        <f>IF('Conversion Tables'!N47="NA","NA",H54*'Conversion Tables'!N47)</f>
        <v>NA</v>
      </c>
      <c r="Q54" s="27"/>
    </row>
    <row r="55" spans="1:17" x14ac:dyDescent="0.25">
      <c r="A55" s="1201"/>
      <c r="B55" s="12" t="s">
        <v>546</v>
      </c>
      <c r="C55" s="294">
        <f>G108</f>
        <v>191.32387500000002</v>
      </c>
      <c r="D55" s="299">
        <f>E55*'Conversion Tables'!C48</f>
        <v>564.9411381000001</v>
      </c>
      <c r="E55" s="299">
        <f>C55*'Prac. Rec. Assumptions'!B45</f>
        <v>38.264775000000007</v>
      </c>
      <c r="F55" s="294">
        <f t="shared" si="7"/>
        <v>38.264775000000007</v>
      </c>
      <c r="G55" s="294">
        <f t="shared" si="7"/>
        <v>38.264775000000007</v>
      </c>
      <c r="H55" s="294">
        <f t="shared" si="7"/>
        <v>38.264775000000007</v>
      </c>
      <c r="I55" s="16" t="str">
        <f>IF('Conversion Tables'!F48="NA","NA",(E55*'Conversion Tables'!$C48)/'Conversion Tables'!F48)</f>
        <v>NA</v>
      </c>
      <c r="J55" s="16" t="str">
        <f>IF('Conversion Tables'!G48="NA","NA",(F55*'Conversion Tables'!$C48)/'Conversion Tables'!G48)</f>
        <v>NA</v>
      </c>
      <c r="K55" s="16" t="str">
        <f>IF('Conversion Tables'!H48="NA","NA",(G55*'Conversion Tables'!$C48)/'Conversion Tables'!H48)</f>
        <v>NA</v>
      </c>
      <c r="L55" s="16" t="str">
        <f>IF('Conversion Tables'!I48="NA","NA",(H55*'Conversion Tables'!$C48)/'Conversion Tables'!I48)</f>
        <v>NA</v>
      </c>
      <c r="M55" s="16" t="str">
        <f>IF('Conversion Tables'!K48="NA","NA",E55*'Conversion Tables'!K48)</f>
        <v>NA</v>
      </c>
      <c r="N55" s="16" t="str">
        <f>IF('Conversion Tables'!L48="NA","NA",F55*'Conversion Tables'!L48)</f>
        <v>NA</v>
      </c>
      <c r="O55" s="16" t="str">
        <f>IF('Conversion Tables'!M48="NA","NA",G55*'Conversion Tables'!M48)</f>
        <v>NA</v>
      </c>
      <c r="P55" s="16" t="str">
        <f>IF('Conversion Tables'!N48="NA","NA",H55*'Conversion Tables'!N48)</f>
        <v>NA</v>
      </c>
      <c r="Q55" s="27"/>
    </row>
    <row r="56" spans="1:17" x14ac:dyDescent="0.25">
      <c r="A56" s="1201"/>
      <c r="B56" s="12" t="s">
        <v>547</v>
      </c>
      <c r="C56" s="294">
        <f>G110</f>
        <v>227.79649999999998</v>
      </c>
      <c r="D56" s="299">
        <f>E56*'Conversion Tables'!C49</f>
        <v>672.63750519999996</v>
      </c>
      <c r="E56" s="299">
        <f>C56*'Prac. Rec. Assumptions'!B46</f>
        <v>45.5593</v>
      </c>
      <c r="F56" s="294">
        <f t="shared" si="7"/>
        <v>45.5593</v>
      </c>
      <c r="G56" s="294">
        <f t="shared" si="7"/>
        <v>45.5593</v>
      </c>
      <c r="H56" s="294">
        <f t="shared" si="7"/>
        <v>45.5593</v>
      </c>
      <c r="I56" s="16" t="str">
        <f>IF('Conversion Tables'!F49="NA","NA",(E56*'Conversion Tables'!$C49)/'Conversion Tables'!F49)</f>
        <v>NA</v>
      </c>
      <c r="J56" s="16" t="str">
        <f>IF('Conversion Tables'!G49="NA","NA",(F56*'Conversion Tables'!$C49)/'Conversion Tables'!G49)</f>
        <v>NA</v>
      </c>
      <c r="K56" s="16" t="str">
        <f>IF('Conversion Tables'!H49="NA","NA",(G56*'Conversion Tables'!$C49)/'Conversion Tables'!H49)</f>
        <v>NA</v>
      </c>
      <c r="L56" s="16" t="str">
        <f>IF('Conversion Tables'!I49="NA","NA",(H56*'Conversion Tables'!$C49)/'Conversion Tables'!I49)</f>
        <v>NA</v>
      </c>
      <c r="M56" s="16" t="str">
        <f>IF('Conversion Tables'!K49="NA","NA",E56*'Conversion Tables'!K49)</f>
        <v>NA</v>
      </c>
      <c r="N56" s="16" t="str">
        <f>IF('Conversion Tables'!L49="NA","NA",F56*'Conversion Tables'!L49)</f>
        <v>NA</v>
      </c>
      <c r="O56" s="16" t="str">
        <f>IF('Conversion Tables'!M49="NA","NA",G56*'Conversion Tables'!M49)</f>
        <v>NA</v>
      </c>
      <c r="P56" s="16" t="str">
        <f>IF('Conversion Tables'!N49="NA","NA",H56*'Conversion Tables'!N49)</f>
        <v>NA</v>
      </c>
      <c r="Q56" s="27"/>
    </row>
    <row r="57" spans="1:17" x14ac:dyDescent="0.25">
      <c r="A57" s="1201"/>
      <c r="B57" s="133" t="s">
        <v>605</v>
      </c>
      <c r="C57" s="294">
        <f>G115</f>
        <v>78.484125000000006</v>
      </c>
      <c r="D57" s="299">
        <f>E57*'Conversion Tables'!C50</f>
        <v>579.36981075000006</v>
      </c>
      <c r="E57" s="299">
        <f>C57*'Prac. Rec. Assumptions'!B47</f>
        <v>39.242062500000003</v>
      </c>
      <c r="F57" s="294">
        <f t="shared" si="7"/>
        <v>39.242062500000003</v>
      </c>
      <c r="G57" s="294">
        <f t="shared" si="7"/>
        <v>39.242062500000003</v>
      </c>
      <c r="H57" s="294">
        <f t="shared" si="7"/>
        <v>39.242062500000003</v>
      </c>
      <c r="I57" s="16" t="str">
        <f>IF('Conversion Tables'!F50="NA","NA",(E57*'Conversion Tables'!$C50)/'Conversion Tables'!F50)</f>
        <v>NA</v>
      </c>
      <c r="J57" s="16" t="str">
        <f>IF('Conversion Tables'!G50="NA","NA",(F57*'Conversion Tables'!$C50)/'Conversion Tables'!G50)</f>
        <v>NA</v>
      </c>
      <c r="K57" s="16" t="str">
        <f>IF('Conversion Tables'!H50="NA","NA",(G57*'Conversion Tables'!$C50)/'Conversion Tables'!H50)</f>
        <v>NA</v>
      </c>
      <c r="L57" s="16" t="str">
        <f>IF('Conversion Tables'!I50="NA","NA",(H57*'Conversion Tables'!$C50)/'Conversion Tables'!I50)</f>
        <v>NA</v>
      </c>
      <c r="M57" s="16" t="str">
        <f>IF('Conversion Tables'!K50="NA","NA",E57*'Conversion Tables'!K50)</f>
        <v>NA</v>
      </c>
      <c r="N57" s="16" t="str">
        <f>IF('Conversion Tables'!L50="NA","NA",F57*'Conversion Tables'!L50)</f>
        <v>NA</v>
      </c>
      <c r="O57" s="16" t="str">
        <f>IF('Conversion Tables'!M50="NA","NA",G57*'Conversion Tables'!M50)</f>
        <v>NA</v>
      </c>
      <c r="P57" s="16" t="str">
        <f>IF('Conversion Tables'!N50="NA","NA",H57*'Conversion Tables'!N50)</f>
        <v>NA</v>
      </c>
      <c r="Q57" s="27"/>
    </row>
    <row r="58" spans="1:17" x14ac:dyDescent="0.25">
      <c r="A58" s="1201"/>
      <c r="B58" s="12" t="s">
        <v>551</v>
      </c>
      <c r="C58" s="294">
        <f>G117</f>
        <v>42.704999999999998</v>
      </c>
      <c r="D58" s="299">
        <f>E58*'Conversion Tables'!C51</f>
        <v>512.46</v>
      </c>
      <c r="E58" s="299">
        <f>C58*'Prac. Rec. Assumptions'!B48</f>
        <v>42.704999999999998</v>
      </c>
      <c r="F58" s="294">
        <f t="shared" si="7"/>
        <v>42.704999999999998</v>
      </c>
      <c r="G58" s="294">
        <f t="shared" si="7"/>
        <v>42.704999999999998</v>
      </c>
      <c r="H58" s="294">
        <f t="shared" si="7"/>
        <v>42.704999999999998</v>
      </c>
      <c r="I58" s="16" t="str">
        <f>IF('Conversion Tables'!F51="NA","NA",(E58*'Conversion Tables'!$C51)/'Conversion Tables'!F51)</f>
        <v>NA</v>
      </c>
      <c r="J58" s="16" t="str">
        <f>IF('Conversion Tables'!G51="NA","NA",(F58*'Conversion Tables'!$C51)/'Conversion Tables'!G51)</f>
        <v>NA</v>
      </c>
      <c r="K58" s="16" t="str">
        <f>IF('Conversion Tables'!H51="NA","NA",(G58*'Conversion Tables'!$C51)/'Conversion Tables'!H51)</f>
        <v>NA</v>
      </c>
      <c r="L58" s="16" t="str">
        <f>IF('Conversion Tables'!I51="NA","NA",(H58*'Conversion Tables'!$C51)/'Conversion Tables'!I51)</f>
        <v>NA</v>
      </c>
      <c r="M58" s="16" t="str">
        <f>IF('Conversion Tables'!K51="NA","NA",E58*'Conversion Tables'!K51)</f>
        <v>NA</v>
      </c>
      <c r="N58" s="16" t="str">
        <f>IF('Conversion Tables'!L51="NA","NA",F58*'Conversion Tables'!L51)</f>
        <v>NA</v>
      </c>
      <c r="O58" s="16" t="str">
        <f>IF('Conversion Tables'!M51="NA","NA",G58*'Conversion Tables'!M51)</f>
        <v>NA</v>
      </c>
      <c r="P58" s="16" t="str">
        <f>IF('Conversion Tables'!N51="NA","NA",H58*'Conversion Tables'!N51)</f>
        <v>NA</v>
      </c>
      <c r="Q58" s="27"/>
    </row>
    <row r="59" spans="1:17" x14ac:dyDescent="0.25">
      <c r="A59" s="1201"/>
      <c r="B59" s="12" t="s">
        <v>552</v>
      </c>
      <c r="C59" s="294">
        <f>G119</f>
        <v>2.0690937500000004</v>
      </c>
      <c r="D59" s="299">
        <f>E59*'Conversion Tables'!C52</f>
        <v>30.548100125000005</v>
      </c>
      <c r="E59" s="299">
        <f>C59*'Prac. Rec. Assumptions'!B49</f>
        <v>2.0690937500000004</v>
      </c>
      <c r="F59" s="294">
        <f t="shared" si="7"/>
        <v>2.0690937500000004</v>
      </c>
      <c r="G59" s="294">
        <f t="shared" si="7"/>
        <v>2.0690937500000004</v>
      </c>
      <c r="H59" s="294">
        <f t="shared" si="7"/>
        <v>2.0690937500000004</v>
      </c>
      <c r="I59" s="16" t="str">
        <f>IF('Conversion Tables'!F52="NA","NA",(E59*'Conversion Tables'!$C52)/'Conversion Tables'!F52)</f>
        <v>NA</v>
      </c>
      <c r="J59" s="16" t="str">
        <f>IF('Conversion Tables'!G52="NA","NA",(F59*'Conversion Tables'!$C52)/'Conversion Tables'!G52)</f>
        <v>NA</v>
      </c>
      <c r="K59" s="16" t="str">
        <f>IF('Conversion Tables'!H52="NA","NA",(G59*'Conversion Tables'!$C52)/'Conversion Tables'!H52)</f>
        <v>NA</v>
      </c>
      <c r="L59" s="16" t="str">
        <f>IF('Conversion Tables'!I52="NA","NA",(H59*'Conversion Tables'!$C52)/'Conversion Tables'!I52)</f>
        <v>NA</v>
      </c>
      <c r="M59" s="16" t="str">
        <f>IF('Conversion Tables'!K52="NA","NA",E59*'Conversion Tables'!K52)</f>
        <v>NA</v>
      </c>
      <c r="N59" s="16" t="str">
        <f>IF('Conversion Tables'!L52="NA","NA",F59*'Conversion Tables'!L52)</f>
        <v>NA</v>
      </c>
      <c r="O59" s="16" t="str">
        <f>IF('Conversion Tables'!M52="NA","NA",G59*'Conversion Tables'!M52)</f>
        <v>NA</v>
      </c>
      <c r="P59" s="16" t="str">
        <f>IF('Conversion Tables'!N52="NA","NA",H59*'Conversion Tables'!N52)</f>
        <v>NA</v>
      </c>
      <c r="Q59" s="27"/>
    </row>
    <row r="60" spans="1:17" x14ac:dyDescent="0.25">
      <c r="A60" s="1202"/>
      <c r="B60" s="129" t="s">
        <v>305</v>
      </c>
      <c r="C60" s="294">
        <f>'Biomass Data Assumptions'!AE23</f>
        <v>292.88376700000003</v>
      </c>
      <c r="D60" s="299">
        <f>E60*'Conversion Tables'!C53</f>
        <v>3514.6052040000004</v>
      </c>
      <c r="E60" s="299">
        <f>C60*'Prac. Rec. Assumptions'!B50</f>
        <v>292.88376700000003</v>
      </c>
      <c r="F60" s="294">
        <f>($C60*(1+'Biomass Data Assumptions'!G$108*(4/5)))*'Prac. Rec. Assumptions'!$B50</f>
        <v>294.65345743504531</v>
      </c>
      <c r="G60" s="294">
        <f>($C60*(1+'Biomass Data Assumptions'!H$108*(9/10)))*'Prac. Rec. Assumptions'!$B50</f>
        <v>296.86557047885196</v>
      </c>
      <c r="H60" s="294">
        <f>($C60*(1+'Biomass Data Assumptions'!I$108*(14/15)))*'Prac. Rec. Assumptions'!$B50</f>
        <v>299.49061129083589</v>
      </c>
      <c r="I60" s="16" t="str">
        <f>IF('Conversion Tables'!F53="NA","NA",(E60*'Conversion Tables'!$C53)/'Conversion Tables'!F53)</f>
        <v>NA</v>
      </c>
      <c r="J60" s="16" t="str">
        <f>IF('Conversion Tables'!G53="NA","NA",(F60*'Conversion Tables'!$C53)/'Conversion Tables'!G53)</f>
        <v>NA</v>
      </c>
      <c r="K60" s="16" t="str">
        <f>IF('Conversion Tables'!H53="NA","NA",(G60*'Conversion Tables'!$C53)/'Conversion Tables'!H53)</f>
        <v>NA</v>
      </c>
      <c r="L60" s="16" t="str">
        <f>IF('Conversion Tables'!I53="NA","NA",(H60*'Conversion Tables'!$C53)/'Conversion Tables'!I53)</f>
        <v>NA</v>
      </c>
      <c r="M60" s="16" t="str">
        <f>IF('Conversion Tables'!K53="NA","NA",E60*'Conversion Tables'!K53)</f>
        <v>NA</v>
      </c>
      <c r="N60" s="16" t="str">
        <f>IF('Conversion Tables'!L53="NA","NA",F60*'Conversion Tables'!L53)</f>
        <v>NA</v>
      </c>
      <c r="O60" s="16" t="str">
        <f>IF('Conversion Tables'!M53="NA","NA",G60*'Conversion Tables'!M53)</f>
        <v>NA</v>
      </c>
      <c r="P60" s="16" t="str">
        <f>IF('Conversion Tables'!N53="NA","NA",H60*'Conversion Tables'!N53)</f>
        <v>NA</v>
      </c>
      <c r="Q60" s="7"/>
    </row>
    <row r="61" spans="1:17" x14ac:dyDescent="0.25">
      <c r="A61" s="1202"/>
      <c r="B61" s="9" t="s">
        <v>257</v>
      </c>
      <c r="C61" s="295">
        <f>SUM(C52:C60)</f>
        <v>23298.331618249998</v>
      </c>
      <c r="D61" s="295">
        <f>SUM(D52:D60)</f>
        <v>183236.72115118094</v>
      </c>
      <c r="E61" s="295">
        <f t="shared" ref="E61:P61" si="8">SUM(E52:E60)</f>
        <v>12473.87486475</v>
      </c>
      <c r="F61" s="295">
        <f>SUM(F52:F60)</f>
        <v>12475.644555185045</v>
      </c>
      <c r="G61" s="295">
        <f>SUM(G52:G60)</f>
        <v>12477.856668228853</v>
      </c>
      <c r="H61" s="295">
        <f>SUM(H52:H60)</f>
        <v>12480.481709040836</v>
      </c>
      <c r="I61" s="19">
        <f t="shared" si="8"/>
        <v>0</v>
      </c>
      <c r="J61" s="19">
        <f t="shared" si="8"/>
        <v>0</v>
      </c>
      <c r="K61" s="19">
        <f t="shared" si="8"/>
        <v>0</v>
      </c>
      <c r="L61" s="19">
        <f t="shared" si="8"/>
        <v>0</v>
      </c>
      <c r="M61" s="19">
        <f t="shared" si="8"/>
        <v>0</v>
      </c>
      <c r="N61" s="19">
        <f t="shared" si="8"/>
        <v>0</v>
      </c>
      <c r="O61" s="19">
        <f t="shared" si="8"/>
        <v>0</v>
      </c>
      <c r="P61" s="19">
        <f t="shared" si="8"/>
        <v>0</v>
      </c>
      <c r="Q61" s="7"/>
    </row>
    <row r="62" spans="1:17" x14ac:dyDescent="0.25">
      <c r="A62" s="1202"/>
      <c r="B62" s="7" t="s">
        <v>256</v>
      </c>
      <c r="C62" s="298" t="s">
        <v>251</v>
      </c>
      <c r="D62" s="13"/>
      <c r="E62" s="298" t="s">
        <v>251</v>
      </c>
      <c r="F62" s="298"/>
      <c r="G62" s="298"/>
      <c r="H62" s="298"/>
      <c r="I62" s="7"/>
      <c r="J62" s="7"/>
      <c r="K62" s="7"/>
      <c r="L62" s="7"/>
      <c r="M62" s="7"/>
      <c r="N62" s="7"/>
      <c r="O62" s="7"/>
      <c r="P62" s="7"/>
      <c r="Q62" s="7"/>
    </row>
    <row r="63" spans="1:17" x14ac:dyDescent="0.25">
      <c r="A63" s="1203"/>
      <c r="B63" s="133" t="s">
        <v>304</v>
      </c>
      <c r="C63" s="294">
        <f>'Biomass Data Assumptions'!AB23</f>
        <v>0</v>
      </c>
      <c r="D63" s="300">
        <f>E63*'Conversion Tables'!C55</f>
        <v>0</v>
      </c>
      <c r="E63" s="299">
        <f>C63*'Prac. Rec. Assumptions'!B51</f>
        <v>0</v>
      </c>
      <c r="F63" s="294">
        <f>($C63*(1+'Biomass Data Assumptions'!G$108*(4/5)))*'Prac. Rec. Assumptions'!$B51</f>
        <v>0</v>
      </c>
      <c r="G63" s="294">
        <f>($C63*(1+'Biomass Data Assumptions'!H$108*(9/10)))*'Prac. Rec. Assumptions'!$B51</f>
        <v>0</v>
      </c>
      <c r="H63" s="294">
        <f>($C63*(1+'Biomass Data Assumptions'!I$108*(14/15)))*'Prac. Rec. Assumptions'!$B51</f>
        <v>0</v>
      </c>
      <c r="I63" s="16" t="str">
        <f>IF('Conversion Tables'!F55="NA","NA",(E63*'Conversion Tables'!$C55)/'Conversion Tables'!F55)</f>
        <v>NA</v>
      </c>
      <c r="J63" s="16" t="str">
        <f>IF('Conversion Tables'!G55="NA","NA",(F63*'Conversion Tables'!$C55)/'Conversion Tables'!G55)</f>
        <v>NA</v>
      </c>
      <c r="K63" s="16" t="str">
        <f>IF('Conversion Tables'!H55="NA","NA",(G63*'Conversion Tables'!$C55)/'Conversion Tables'!H55)</f>
        <v>NA</v>
      </c>
      <c r="L63" s="16" t="str">
        <f>IF('Conversion Tables'!I55="NA","NA",(H63*'Conversion Tables'!$C55)/'Conversion Tables'!I55)</f>
        <v>NA</v>
      </c>
      <c r="M63" s="16" t="str">
        <f>IF('Conversion Tables'!K55="NA","NA",E63*'Conversion Tables'!K55)</f>
        <v>NA</v>
      </c>
      <c r="N63" s="16" t="str">
        <f>IF('Conversion Tables'!L55="NA","NA",F63*'Conversion Tables'!L55)</f>
        <v>NA</v>
      </c>
      <c r="O63" s="16" t="str">
        <f>IF('Conversion Tables'!M55="NA","NA",G63*'Conversion Tables'!M55)</f>
        <v>NA</v>
      </c>
      <c r="P63" s="16" t="str">
        <f>IF('Conversion Tables'!N55="NA","NA",H63*'Conversion Tables'!N55)</f>
        <v>NA</v>
      </c>
      <c r="Q63" s="7"/>
    </row>
    <row r="64" spans="1:17" x14ac:dyDescent="0.25">
      <c r="A64" s="1204"/>
      <c r="B64" s="17" t="s">
        <v>512</v>
      </c>
      <c r="C64" s="294">
        <f>'Biomass Data Assumptions'!X23</f>
        <v>309.14215200000001</v>
      </c>
      <c r="D64" s="300">
        <f>E64*'Conversion Tables'!C56</f>
        <v>156425.928912</v>
      </c>
      <c r="E64" s="299">
        <f>C64*'Prac. Rec. Assumptions'!B52</f>
        <v>309.14215200000001</v>
      </c>
      <c r="F64" s="545">
        <f>($C64*(1+'Biomass Data Assumptions'!G$108*(3/5))*(1+('Biomass Data Assumptions'!C$82-((1+'Biomass Data Assumptions'!$B$82)^2 - 1))))*'Prac. Rec. Assumptions'!$B52</f>
        <v>310.41660405436249</v>
      </c>
      <c r="G64" s="545">
        <f>($C64*(1+'Biomass Data Assumptions'!H$108*(4/5))*(1+('Biomass Data Assumptions'!D$82-((1+'Biomass Data Assumptions'!$B$82)^2 - 1))))*'Prac. Rec. Assumptions'!$B52</f>
        <v>312.53826996824836</v>
      </c>
      <c r="H64" s="545">
        <f>($C64*(1+'Biomass Data Assumptions'!I$108*(13/15))*(1+('Biomass Data Assumptions'!E$82-((1+'Biomass Data Assumptions'!$B$82)^2 - 1))))*'Prac. Rec. Assumptions'!$B52</f>
        <v>315.06091647793664</v>
      </c>
      <c r="I64" s="16" t="str">
        <f>IF('Conversion Tables'!F56="NA","NA",(E64*'Conversion Tables'!$C56)/'Conversion Tables'!F56)</f>
        <v>NA</v>
      </c>
      <c r="J64" s="16" t="str">
        <f>IF('Conversion Tables'!G56="NA","NA",(F64*'Conversion Tables'!$C56)/'Conversion Tables'!G56)</f>
        <v>NA</v>
      </c>
      <c r="K64" s="16" t="str">
        <f>IF('Conversion Tables'!H56="NA","NA",(G64*'Conversion Tables'!$C56)/'Conversion Tables'!H56)</f>
        <v>NA</v>
      </c>
      <c r="L64" s="16" t="str">
        <f>IF('Conversion Tables'!I56="NA","NA",(H64*'Conversion Tables'!$C56)/'Conversion Tables'!I56)</f>
        <v>NA</v>
      </c>
      <c r="M64" s="16" t="str">
        <f>IF('Conversion Tables'!K56="NA","NA",E64*'Conversion Tables'!K56)</f>
        <v>NA</v>
      </c>
      <c r="N64" s="16" t="str">
        <f>IF('Conversion Tables'!L56="NA","NA",F64*'Conversion Tables'!L56)</f>
        <v>NA</v>
      </c>
      <c r="O64" s="16" t="str">
        <f>IF('Conversion Tables'!M56="NA","NA",G64*'Conversion Tables'!M56)</f>
        <v>NA</v>
      </c>
      <c r="P64" s="16" t="str">
        <f>IF('Conversion Tables'!N56="NA","NA",H64*'Conversion Tables'!N56)</f>
        <v>NA</v>
      </c>
      <c r="Q64" s="7"/>
    </row>
    <row r="65" spans="1:19" x14ac:dyDescent="0.25">
      <c r="A65" s="1204"/>
      <c r="B65" s="9" t="s">
        <v>248</v>
      </c>
      <c r="C65" s="295">
        <f>SUM(C63:C64)</f>
        <v>309.14215200000001</v>
      </c>
      <c r="D65" s="295">
        <f>SUM(D63:D64)</f>
        <v>156425.928912</v>
      </c>
      <c r="E65" s="295">
        <f t="shared" ref="E65:P65" si="9">SUM(E63:E64)</f>
        <v>309.14215200000001</v>
      </c>
      <c r="F65" s="295">
        <f>SUM(F63:F64)</f>
        <v>310.41660405436249</v>
      </c>
      <c r="G65" s="295">
        <f>SUM(G63:G64)</f>
        <v>312.53826996824836</v>
      </c>
      <c r="H65" s="295">
        <f>SUM(H63:H64)</f>
        <v>315.06091647793664</v>
      </c>
      <c r="I65" s="19">
        <f t="shared" si="9"/>
        <v>0</v>
      </c>
      <c r="J65" s="19">
        <f t="shared" si="9"/>
        <v>0</v>
      </c>
      <c r="K65" s="19">
        <f t="shared" si="9"/>
        <v>0</v>
      </c>
      <c r="L65" s="19">
        <f t="shared" si="9"/>
        <v>0</v>
      </c>
      <c r="M65" s="19">
        <f t="shared" si="9"/>
        <v>0</v>
      </c>
      <c r="N65" s="19">
        <f t="shared" si="9"/>
        <v>0</v>
      </c>
      <c r="O65" s="19">
        <f t="shared" si="9"/>
        <v>0</v>
      </c>
      <c r="P65" s="19">
        <f t="shared" si="9"/>
        <v>0</v>
      </c>
      <c r="Q65" s="19">
        <f>SUM(Q51:Q64)</f>
        <v>0</v>
      </c>
    </row>
    <row r="66" spans="1:19" x14ac:dyDescent="0.25">
      <c r="A66" s="1204"/>
      <c r="B66" s="9"/>
      <c r="C66" s="295"/>
      <c r="D66" s="295"/>
      <c r="E66" s="295"/>
      <c r="F66" s="295"/>
      <c r="G66" s="295"/>
      <c r="H66" s="295"/>
      <c r="I66" s="19"/>
      <c r="J66" s="19"/>
      <c r="K66" s="19"/>
      <c r="L66" s="19"/>
      <c r="M66" s="19"/>
      <c r="N66" s="19"/>
      <c r="O66" s="19"/>
      <c r="P66" s="19"/>
      <c r="Q66" s="19"/>
    </row>
    <row r="67" spans="1:19" x14ac:dyDescent="0.25">
      <c r="A67" s="1205"/>
      <c r="B67" s="9" t="s">
        <v>258</v>
      </c>
      <c r="C67" s="295">
        <f>C61+(C63*1000000/29487.1582406855)+(C64*1000000/25364.5039539246)</f>
        <v>35486.314973318411</v>
      </c>
      <c r="D67" s="295">
        <f t="shared" ref="D67" si="10">D61+D65</f>
        <v>339662.65006318095</v>
      </c>
      <c r="E67" s="295">
        <f>E61+(E63*1000000/29487.1582406855)+(E64*1000000/25364.5039539246)</f>
        <v>24661.858219818416</v>
      </c>
      <c r="F67" s="295">
        <f t="shared" ref="F67:H67" si="11">F61+(F63*1000000/29487.1582406855)+(F64*1000000/25364.5039539246)</f>
        <v>24713.873405165465</v>
      </c>
      <c r="G67" s="295">
        <f t="shared" si="11"/>
        <v>24799.732567555871</v>
      </c>
      <c r="H67" s="295">
        <f t="shared" si="11"/>
        <v>24901.813387762188</v>
      </c>
      <c r="I67" s="19">
        <f t="shared" ref="I67:P67" si="12">I61+I65</f>
        <v>0</v>
      </c>
      <c r="J67" s="19">
        <f t="shared" si="12"/>
        <v>0</v>
      </c>
      <c r="K67" s="19">
        <f t="shared" si="12"/>
        <v>0</v>
      </c>
      <c r="L67" s="19">
        <f t="shared" si="12"/>
        <v>0</v>
      </c>
      <c r="M67" s="19">
        <f t="shared" si="12"/>
        <v>0</v>
      </c>
      <c r="N67" s="19">
        <f t="shared" si="12"/>
        <v>0</v>
      </c>
      <c r="O67" s="19">
        <f t="shared" si="12"/>
        <v>0</v>
      </c>
      <c r="P67" s="19">
        <f t="shared" si="12"/>
        <v>0</v>
      </c>
      <c r="Q67" s="19"/>
    </row>
    <row r="68" spans="1:19" customFormat="1" x14ac:dyDescent="0.25">
      <c r="B68" s="270" t="s">
        <v>162</v>
      </c>
      <c r="C68" s="132">
        <f>C11+C29+C43+C49+C67</f>
        <v>262158.29126566841</v>
      </c>
      <c r="D68" s="132"/>
      <c r="E68" s="132">
        <f>E11+E29+E43+E49+E67</f>
        <v>121836.71382440842</v>
      </c>
      <c r="F68" s="132">
        <f>F11+F29+F43+F49+F67</f>
        <v>122207.08783595938</v>
      </c>
      <c r="G68" s="132">
        <f>G11+G29+G43+G49+G67</f>
        <v>122628.67539088464</v>
      </c>
      <c r="H68" s="132">
        <f>H11+H29+H43+H49+H67</f>
        <v>123112.97860933701</v>
      </c>
      <c r="I68" s="264"/>
    </row>
    <row r="69" spans="1:19" ht="13.8" thickBot="1" x14ac:dyDescent="0.3">
      <c r="A69" s="10"/>
      <c r="B69" s="10"/>
      <c r="C69" s="10"/>
      <c r="D69" s="10"/>
      <c r="E69" s="10"/>
      <c r="F69" s="10"/>
      <c r="G69" s="10"/>
      <c r="H69" s="10"/>
      <c r="I69" s="1003">
        <f>SUM(I8:I66)/2</f>
        <v>0</v>
      </c>
      <c r="J69" s="1003">
        <f>SUM(J8:J66)/2</f>
        <v>0</v>
      </c>
      <c r="K69" s="1003">
        <f>SUM(K8:K66)/2</f>
        <v>0</v>
      </c>
      <c r="L69" s="1003">
        <f>SUM(L8:L66)/2</f>
        <v>0</v>
      </c>
      <c r="M69" s="1003">
        <f>SUM(M8:M66)/2</f>
        <v>0</v>
      </c>
      <c r="N69" s="1003">
        <f t="shared" ref="N69:P69" si="13">SUM(N8:N66)/2</f>
        <v>0</v>
      </c>
      <c r="O69" s="1003">
        <f t="shared" si="13"/>
        <v>0</v>
      </c>
      <c r="P69" s="1003">
        <f t="shared" si="13"/>
        <v>0</v>
      </c>
      <c r="Q69" s="10"/>
      <c r="R69" s="10"/>
      <c r="S69" s="10"/>
    </row>
    <row r="70" spans="1:19" x14ac:dyDescent="0.25">
      <c r="A70" s="35" t="s">
        <v>23</v>
      </c>
      <c r="B70" s="36"/>
      <c r="C70" s="36"/>
      <c r="D70" s="36"/>
      <c r="E70" s="36"/>
      <c r="F70" s="36"/>
      <c r="G70" s="36"/>
      <c r="H70" s="36"/>
      <c r="I70" s="36"/>
      <c r="J70" s="36"/>
      <c r="K70" s="36"/>
      <c r="L70" s="36"/>
      <c r="M70" s="36"/>
      <c r="N70" s="36"/>
      <c r="O70" s="36"/>
      <c r="P70" s="36"/>
      <c r="Q70" s="36"/>
      <c r="R70" s="36"/>
    </row>
    <row r="71" spans="1:19" x14ac:dyDescent="0.25">
      <c r="A71" s="36"/>
      <c r="B71" s="36"/>
      <c r="C71" s="36"/>
      <c r="D71" s="36"/>
      <c r="E71" s="36"/>
      <c r="F71" s="36"/>
      <c r="G71" s="36"/>
      <c r="H71" s="36"/>
      <c r="I71" s="36"/>
      <c r="J71" s="36"/>
      <c r="K71" s="36"/>
      <c r="L71" s="36"/>
      <c r="M71" s="36"/>
      <c r="N71" s="36"/>
      <c r="O71" s="36"/>
      <c r="P71" s="36"/>
      <c r="Q71" s="36"/>
      <c r="R71" s="36"/>
    </row>
    <row r="72" spans="1:19" x14ac:dyDescent="0.25">
      <c r="A72" s="36"/>
      <c r="B72" s="36"/>
      <c r="C72" s="36"/>
      <c r="D72" s="36"/>
      <c r="E72" s="36"/>
      <c r="F72" s="36"/>
      <c r="G72" s="36"/>
      <c r="H72" s="36"/>
      <c r="I72" s="36"/>
      <c r="J72" s="36"/>
      <c r="K72" s="36"/>
      <c r="L72" s="36"/>
      <c r="M72" s="36"/>
      <c r="N72" s="36"/>
      <c r="O72" s="36"/>
      <c r="P72" s="36"/>
      <c r="Q72" s="36"/>
      <c r="R72" s="36"/>
    </row>
    <row r="73" spans="1:19" ht="26.4" x14ac:dyDescent="0.25">
      <c r="A73" s="37" t="s">
        <v>1037</v>
      </c>
      <c r="B73" s="454" t="s">
        <v>297</v>
      </c>
      <c r="C73" s="37" t="s">
        <v>1042</v>
      </c>
      <c r="D73" s="37" t="s">
        <v>1041</v>
      </c>
      <c r="E73" s="36" t="s">
        <v>598</v>
      </c>
      <c r="F73" s="38"/>
      <c r="G73" s="38"/>
      <c r="H73" s="36"/>
      <c r="I73" s="36"/>
      <c r="J73" s="36"/>
      <c r="K73" s="36"/>
      <c r="L73" s="36"/>
      <c r="M73" s="36"/>
      <c r="N73" s="36"/>
      <c r="O73" s="36"/>
      <c r="P73" s="36"/>
      <c r="Q73" s="36"/>
      <c r="R73" s="36"/>
    </row>
    <row r="74" spans="1:19" x14ac:dyDescent="0.25">
      <c r="A74" s="39" t="s">
        <v>519</v>
      </c>
      <c r="B74" s="21">
        <v>1246</v>
      </c>
      <c r="C74" s="40">
        <f>'Biomass Data Assumptions'!B38*B74</f>
        <v>81363.8</v>
      </c>
      <c r="D74" s="40">
        <f>(C74*'Biomass Data Assumptions'!C38)/2000</f>
        <v>2278.1864</v>
      </c>
      <c r="E74" s="41"/>
      <c r="F74" s="41"/>
      <c r="G74" s="41"/>
      <c r="H74" s="36"/>
      <c r="I74" s="36"/>
      <c r="J74" s="36"/>
      <c r="K74" s="36"/>
      <c r="L74" s="36"/>
      <c r="M74" s="36"/>
      <c r="N74" s="36"/>
      <c r="O74" s="36"/>
      <c r="P74" s="36"/>
      <c r="Q74" s="36"/>
      <c r="R74" s="36"/>
    </row>
    <row r="75" spans="1:19" x14ac:dyDescent="0.25">
      <c r="A75" s="39" t="s">
        <v>520</v>
      </c>
      <c r="B75" s="21">
        <v>682</v>
      </c>
      <c r="C75" s="40">
        <f>'Biomass Data Assumptions'!B39*B75</f>
        <v>18618.600000000002</v>
      </c>
      <c r="D75" s="40">
        <f>(C75*'Biomass Data Assumptions'!C39)/2000</f>
        <v>521.32080000000008</v>
      </c>
      <c r="E75" s="41"/>
      <c r="F75" s="41"/>
      <c r="G75" s="41"/>
      <c r="H75" s="36"/>
      <c r="I75" s="36"/>
      <c r="J75" s="36"/>
      <c r="K75" s="36"/>
      <c r="L75" s="36"/>
      <c r="M75" s="36"/>
      <c r="N75" s="36"/>
      <c r="O75" s="36"/>
      <c r="P75" s="36"/>
      <c r="Q75" s="36"/>
      <c r="R75" s="36"/>
    </row>
    <row r="76" spans="1:19" x14ac:dyDescent="0.25">
      <c r="A76" s="39" t="s">
        <v>521</v>
      </c>
      <c r="B76" s="21">
        <v>13942</v>
      </c>
      <c r="C76" s="40">
        <f>'Biomass Data Assumptions'!B40*B76</f>
        <v>1742750</v>
      </c>
      <c r="D76" s="40">
        <f>(C76*'Biomass Data Assumptions'!C40)/2000</f>
        <v>48797</v>
      </c>
      <c r="E76" s="41"/>
      <c r="F76" s="41"/>
      <c r="G76" s="41"/>
      <c r="H76" s="36"/>
      <c r="I76" s="36"/>
      <c r="J76" s="36"/>
      <c r="K76" s="36"/>
      <c r="L76" s="36"/>
      <c r="M76" s="36"/>
      <c r="N76" s="36"/>
      <c r="O76" s="36"/>
      <c r="P76" s="36"/>
      <c r="Q76" s="36"/>
      <c r="R76" s="36"/>
    </row>
    <row r="77" spans="1:19" x14ac:dyDescent="0.25">
      <c r="A77" s="39" t="s">
        <v>525</v>
      </c>
      <c r="B77" s="21">
        <v>21167</v>
      </c>
      <c r="C77" s="40">
        <f>'Biomass Data Assumptions'!B41*B77</f>
        <v>677344</v>
      </c>
      <c r="D77" s="40">
        <f>(C77*'Biomass Data Assumptions'!C41)/2000</f>
        <v>20320.32</v>
      </c>
      <c r="E77" s="41"/>
      <c r="F77" s="41"/>
      <c r="G77" s="41"/>
      <c r="H77" s="36"/>
      <c r="I77" s="36"/>
      <c r="J77" s="36"/>
      <c r="K77" s="36"/>
      <c r="L77" s="36"/>
      <c r="M77" s="36"/>
      <c r="N77" s="36"/>
      <c r="O77" s="36"/>
      <c r="P77" s="36"/>
      <c r="Q77" s="36"/>
      <c r="R77" s="36"/>
    </row>
    <row r="78" spans="1:19" x14ac:dyDescent="0.25">
      <c r="A78" s="39" t="s">
        <v>522</v>
      </c>
      <c r="B78" s="21">
        <v>7206</v>
      </c>
      <c r="C78" s="40">
        <f>'Biomass Data Assumptions'!B42*B78</f>
        <v>389124</v>
      </c>
      <c r="D78" s="40">
        <f>(C78*'Biomass Data Assumptions'!C42)/2000</f>
        <v>11673.72</v>
      </c>
      <c r="E78" s="41"/>
      <c r="F78" s="41"/>
      <c r="G78" s="41"/>
      <c r="H78" s="36"/>
      <c r="I78" s="36"/>
      <c r="J78" s="36"/>
      <c r="K78" s="36"/>
      <c r="L78" s="36"/>
      <c r="M78" s="36"/>
      <c r="N78" s="36"/>
      <c r="O78" s="36"/>
      <c r="P78" s="36"/>
      <c r="Q78" s="36"/>
      <c r="R78" s="36"/>
    </row>
    <row r="79" spans="1:19" x14ac:dyDescent="0.25">
      <c r="A79" s="36"/>
      <c r="B79" s="36"/>
      <c r="C79" s="36"/>
      <c r="D79" s="36"/>
      <c r="E79" s="36"/>
      <c r="F79" s="36"/>
      <c r="G79" s="36"/>
      <c r="H79" s="36"/>
      <c r="I79" s="36"/>
      <c r="J79" s="36"/>
      <c r="K79" s="36"/>
      <c r="L79" s="36"/>
      <c r="M79" s="36"/>
      <c r="N79" s="36"/>
      <c r="O79" s="36"/>
      <c r="P79" s="36"/>
      <c r="Q79" s="36"/>
      <c r="R79" s="36"/>
    </row>
    <row r="80" spans="1:19" ht="39.6" x14ac:dyDescent="0.25">
      <c r="A80" s="37" t="s">
        <v>1038</v>
      </c>
      <c r="B80" s="454" t="s">
        <v>297</v>
      </c>
      <c r="C80" s="37" t="s">
        <v>1041</v>
      </c>
      <c r="D80" s="37" t="s">
        <v>1036</v>
      </c>
      <c r="E80" s="36" t="s">
        <v>598</v>
      </c>
      <c r="F80" s="38"/>
      <c r="G80" s="38"/>
      <c r="H80" s="36"/>
      <c r="I80" s="36"/>
      <c r="J80" s="36"/>
      <c r="K80" s="36"/>
      <c r="L80" s="36"/>
      <c r="M80" s="36"/>
      <c r="N80" s="36"/>
      <c r="O80" s="36"/>
      <c r="P80" s="36"/>
      <c r="Q80" s="36"/>
      <c r="R80" s="36"/>
    </row>
    <row r="81" spans="1:18" x14ac:dyDescent="0.25">
      <c r="A81" s="39" t="s">
        <v>527</v>
      </c>
      <c r="B81" s="21">
        <v>877</v>
      </c>
      <c r="C81" s="40">
        <f>'Biomass Data Assumptions'!B49*B81</f>
        <v>877</v>
      </c>
      <c r="D81" s="40">
        <f>C81*'Energy Content Assumptions'!C11</f>
        <v>745.44999999999993</v>
      </c>
      <c r="E81" s="41"/>
      <c r="F81" s="41"/>
      <c r="G81" s="41"/>
      <c r="H81" s="36"/>
      <c r="I81" s="36"/>
      <c r="J81" s="36"/>
      <c r="K81" s="36"/>
      <c r="L81" s="36"/>
      <c r="M81" s="36"/>
      <c r="N81" s="36"/>
      <c r="O81" s="36"/>
      <c r="P81" s="36"/>
      <c r="Q81" s="36"/>
      <c r="R81" s="36"/>
    </row>
    <row r="82" spans="1:18" x14ac:dyDescent="0.25">
      <c r="A82" s="39" t="s">
        <v>520</v>
      </c>
      <c r="B82" s="21">
        <f>682+367</f>
        <v>1049</v>
      </c>
      <c r="C82" s="40">
        <f>'Biomass Data Assumptions'!B50*B82</f>
        <v>2360.25</v>
      </c>
      <c r="D82" s="40">
        <f>C82*'Energy Content Assumptions'!C12</f>
        <v>2006.2124999999999</v>
      </c>
      <c r="E82" s="41"/>
      <c r="F82" s="41"/>
      <c r="G82" s="41"/>
      <c r="H82" s="36"/>
      <c r="I82" s="36"/>
      <c r="J82" s="36"/>
      <c r="K82" s="36"/>
      <c r="L82" s="36"/>
      <c r="M82" s="36"/>
      <c r="N82" s="36"/>
      <c r="O82" s="36"/>
      <c r="P82" s="36"/>
      <c r="Q82" s="36"/>
      <c r="R82" s="36"/>
    </row>
    <row r="83" spans="1:18" x14ac:dyDescent="0.25">
      <c r="A83" s="39" t="s">
        <v>521</v>
      </c>
      <c r="B83" s="21">
        <f>13942</f>
        <v>13942</v>
      </c>
      <c r="C83" s="40">
        <f>'Biomass Data Assumptions'!B51*B83</f>
        <v>34855</v>
      </c>
      <c r="D83" s="40">
        <f>C83*'Energy Content Assumptions'!C13</f>
        <v>29626.75</v>
      </c>
      <c r="E83" s="41"/>
      <c r="F83" s="41"/>
      <c r="G83" s="41"/>
      <c r="H83" s="36"/>
      <c r="I83" s="36"/>
      <c r="J83" s="36"/>
      <c r="K83" s="36"/>
      <c r="L83" s="36"/>
      <c r="M83" s="36"/>
      <c r="N83" s="36"/>
      <c r="O83" s="36"/>
      <c r="P83" s="36"/>
      <c r="Q83" s="36"/>
      <c r="R83" s="36"/>
    </row>
    <row r="84" spans="1:18" x14ac:dyDescent="0.25">
      <c r="A84" s="39" t="s">
        <v>528</v>
      </c>
      <c r="B84" s="21">
        <v>2598</v>
      </c>
      <c r="C84" s="40">
        <f>'Biomass Data Assumptions'!B52*B84</f>
        <v>42607.199999999997</v>
      </c>
      <c r="D84" s="40">
        <f>C84*'Energy Content Assumptions'!C14</f>
        <v>14912.519999999999</v>
      </c>
      <c r="E84" s="41"/>
      <c r="F84" s="41"/>
      <c r="G84" s="41"/>
      <c r="H84" s="36"/>
      <c r="I84" s="36"/>
      <c r="J84" s="36"/>
      <c r="K84" s="36"/>
      <c r="L84" s="36"/>
      <c r="M84" s="36"/>
      <c r="N84" s="36"/>
      <c r="O84" s="36"/>
      <c r="P84" s="36"/>
      <c r="Q84" s="36"/>
      <c r="R84" s="36"/>
    </row>
    <row r="85" spans="1:18" x14ac:dyDescent="0.25">
      <c r="A85" s="39" t="s">
        <v>529</v>
      </c>
      <c r="B85" s="21">
        <v>4394</v>
      </c>
      <c r="C85" s="40">
        <f>'Biomass Data Assumptions'!B53*B85</f>
        <v>14060.800000000001</v>
      </c>
      <c r="D85" s="40">
        <f>C85*'Energy Content Assumptions'!C15</f>
        <v>11951.68</v>
      </c>
      <c r="E85" s="41"/>
      <c r="F85" s="41"/>
      <c r="G85" s="41"/>
      <c r="H85" s="36"/>
      <c r="I85" s="36"/>
      <c r="J85" s="36"/>
      <c r="K85" s="36"/>
      <c r="L85" s="36"/>
      <c r="M85" s="36"/>
      <c r="N85" s="36"/>
      <c r="O85" s="36"/>
      <c r="P85" s="36"/>
      <c r="Q85" s="36"/>
      <c r="R85" s="36"/>
    </row>
    <row r="86" spans="1:18" x14ac:dyDescent="0.25">
      <c r="A86" s="39" t="s">
        <v>530</v>
      </c>
      <c r="B86" s="21">
        <v>8302</v>
      </c>
      <c r="C86" s="40">
        <f>'Biomass Data Assumptions'!B54*B86</f>
        <v>14113.4</v>
      </c>
      <c r="D86" s="40">
        <f>C86*'Energy Content Assumptions'!C16</f>
        <v>11996.39</v>
      </c>
      <c r="E86" s="41"/>
      <c r="F86" s="41"/>
      <c r="G86" s="41"/>
      <c r="H86" s="36"/>
      <c r="I86" s="36"/>
      <c r="J86" s="36"/>
      <c r="K86" s="36"/>
      <c r="L86" s="36"/>
      <c r="M86" s="36"/>
      <c r="N86" s="36"/>
      <c r="O86" s="36"/>
      <c r="P86" s="36"/>
      <c r="Q86" s="36"/>
      <c r="R86" s="36"/>
    </row>
    <row r="87" spans="1:18" x14ac:dyDescent="0.25">
      <c r="A87" s="39" t="s">
        <v>522</v>
      </c>
      <c r="B87" s="21">
        <f>7206+136</f>
        <v>7342</v>
      </c>
      <c r="C87" s="40">
        <f>'Biomass Data Assumptions'!B55*B87</f>
        <v>12848.5</v>
      </c>
      <c r="D87" s="40">
        <f>C87*'Energy Content Assumptions'!C17</f>
        <v>10921.225</v>
      </c>
      <c r="E87" s="41"/>
      <c r="F87" s="41"/>
      <c r="G87" s="41"/>
      <c r="H87" s="36"/>
      <c r="I87" s="36"/>
      <c r="J87" s="36"/>
      <c r="K87" s="36"/>
      <c r="L87" s="36"/>
      <c r="M87" s="36"/>
      <c r="N87" s="36"/>
      <c r="O87" s="36"/>
      <c r="P87" s="36"/>
      <c r="Q87" s="36"/>
      <c r="R87" s="36"/>
    </row>
    <row r="88" spans="1:18" x14ac:dyDescent="0.25">
      <c r="A88" s="43"/>
      <c r="B88" s="41"/>
      <c r="C88" s="41"/>
      <c r="D88" s="41"/>
      <c r="E88" s="41"/>
      <c r="F88" s="41"/>
      <c r="G88" s="41"/>
      <c r="H88" s="36"/>
      <c r="I88" s="36"/>
      <c r="J88" s="36"/>
      <c r="K88" s="36"/>
      <c r="L88" s="36"/>
      <c r="M88" s="36"/>
      <c r="N88" s="36"/>
      <c r="O88" s="36"/>
      <c r="P88" s="36"/>
      <c r="Q88" s="36"/>
      <c r="R88" s="36"/>
    </row>
    <row r="89" spans="1:18" x14ac:dyDescent="0.25">
      <c r="A89" s="43"/>
      <c r="B89" s="640" t="s">
        <v>297</v>
      </c>
      <c r="C89" s="122" t="s">
        <v>299</v>
      </c>
      <c r="D89" s="122" t="s">
        <v>300</v>
      </c>
      <c r="E89" s="41"/>
      <c r="F89" s="41"/>
      <c r="G89" s="41"/>
      <c r="H89" s="36"/>
      <c r="I89" s="36"/>
      <c r="J89" s="36"/>
      <c r="K89" s="36"/>
      <c r="L89" s="36"/>
      <c r="M89" s="36"/>
      <c r="N89" s="36"/>
      <c r="O89" s="36"/>
      <c r="P89" s="36"/>
      <c r="Q89" s="36"/>
      <c r="R89" s="36"/>
    </row>
    <row r="90" spans="1:18" x14ac:dyDescent="0.25">
      <c r="A90" s="43" t="s">
        <v>296</v>
      </c>
      <c r="B90" s="85">
        <f>IF('Prac. Rec. Assumptions'!B56='Prac. Rec. Assumptions'!V3,0,SUM(IF('Prac. Rec. Assumptions'!B57="Yes",B74,0),IF('Prac. Rec. Assumptions'!B58="Yes",B81,0),IF('Prac. Rec. Assumptions'!B59="Yes",B82,0),IF('Prac. Rec. Assumptions'!B60="Yes",B83,0),IF('Prac. Rec. Assumptions'!B61="Yes",B84,0),IF('Prac. Rec. Assumptions'!B62="Yes",B85,0),IF('Prac. Rec. Assumptions'!B63="Yes",B86,0),IF('Prac. Rec. Assumptions'!B64="Yes",B87,0)))</f>
        <v>0</v>
      </c>
      <c r="C90" s="41">
        <f>IF('Prac. Rec. Assumptions'!B56='Prac. Rec. Assumptions'!V1,'Biomass Data Assumptions'!C46,IF('Prac. Rec. Assumptions'!B56='Prac. Rec. Assumptions'!V2,'Biomass Data Assumptions'!C45,0))</f>
        <v>0</v>
      </c>
      <c r="D90" s="41">
        <f>(C90*'Energy Content Assumptions'!C9)*B90</f>
        <v>0</v>
      </c>
      <c r="E90" s="41"/>
      <c r="F90" s="41"/>
      <c r="G90" s="41"/>
      <c r="H90" s="36"/>
      <c r="I90" s="36"/>
      <c r="J90" s="36"/>
      <c r="K90" s="36"/>
      <c r="L90" s="36"/>
      <c r="M90" s="36"/>
      <c r="N90" s="36"/>
      <c r="O90" s="36"/>
      <c r="P90" s="36"/>
      <c r="Q90" s="36"/>
      <c r="R90" s="36"/>
    </row>
    <row r="91" spans="1:18" x14ac:dyDescent="0.25">
      <c r="A91" s="36"/>
      <c r="B91" s="36"/>
      <c r="C91" s="36"/>
      <c r="D91" s="36"/>
      <c r="E91" s="36"/>
      <c r="F91" s="36"/>
      <c r="G91" s="36"/>
      <c r="H91" s="36"/>
      <c r="I91" s="36"/>
      <c r="J91" s="36"/>
      <c r="K91" s="36"/>
      <c r="L91" s="36"/>
      <c r="M91" s="36"/>
      <c r="N91" s="36"/>
      <c r="O91" s="36"/>
      <c r="P91" s="36"/>
      <c r="Q91" s="36"/>
      <c r="R91" s="36"/>
    </row>
    <row r="92" spans="1:18" ht="39.6" x14ac:dyDescent="0.25">
      <c r="A92" s="42" t="s">
        <v>531</v>
      </c>
      <c r="B92" s="455" t="s">
        <v>298</v>
      </c>
      <c r="C92" s="38" t="s">
        <v>1050</v>
      </c>
      <c r="D92" s="38" t="s">
        <v>1045</v>
      </c>
      <c r="E92" s="38" t="s">
        <v>1048</v>
      </c>
      <c r="F92" s="38" t="s">
        <v>1047</v>
      </c>
      <c r="G92" s="38" t="s">
        <v>1046</v>
      </c>
      <c r="H92" s="36" t="s">
        <v>599</v>
      </c>
      <c r="I92" s="36"/>
      <c r="J92" s="38"/>
      <c r="K92" s="38"/>
      <c r="L92" s="38"/>
      <c r="M92" s="38"/>
      <c r="N92" s="36"/>
      <c r="O92" s="36"/>
      <c r="P92" s="36"/>
      <c r="Q92" s="36"/>
      <c r="R92" s="36"/>
    </row>
    <row r="93" spans="1:18" x14ac:dyDescent="0.25">
      <c r="A93" s="42"/>
      <c r="B93" s="38"/>
      <c r="C93" s="38"/>
      <c r="D93" s="38"/>
      <c r="E93" s="38"/>
      <c r="F93" s="36"/>
      <c r="G93" s="36"/>
      <c r="H93" s="36"/>
      <c r="I93" s="36"/>
      <c r="J93" s="38"/>
      <c r="K93" s="38"/>
      <c r="L93" s="38"/>
      <c r="M93" s="38"/>
      <c r="N93" s="36"/>
      <c r="O93" s="36"/>
      <c r="P93" s="36"/>
      <c r="Q93" s="36"/>
      <c r="R93" s="36"/>
    </row>
    <row r="94" spans="1:18" hidden="1" x14ac:dyDescent="0.25">
      <c r="A94" s="43"/>
      <c r="B94" s="36"/>
      <c r="C94" s="41"/>
      <c r="D94" s="41"/>
      <c r="E94" s="44"/>
      <c r="F94" s="36"/>
      <c r="G94" s="36"/>
      <c r="H94" s="36"/>
      <c r="I94" s="36"/>
      <c r="J94" s="44"/>
      <c r="K94" s="44"/>
      <c r="L94" s="44"/>
      <c r="M94" s="44"/>
      <c r="N94" s="36"/>
      <c r="O94" s="36"/>
      <c r="P94" s="36"/>
      <c r="Q94" s="36"/>
      <c r="R94" s="36"/>
    </row>
    <row r="95" spans="1:18" hidden="1" x14ac:dyDescent="0.25">
      <c r="A95" s="45"/>
      <c r="B95" s="85"/>
      <c r="C95" s="41"/>
      <c r="D95" s="41"/>
      <c r="E95" s="41"/>
      <c r="F95" s="41"/>
      <c r="G95" s="41"/>
      <c r="H95" s="36"/>
      <c r="I95" s="36"/>
      <c r="J95" s="41"/>
      <c r="K95" s="41"/>
      <c r="L95" s="41"/>
      <c r="M95" s="41"/>
      <c r="N95" s="36"/>
      <c r="O95" s="36"/>
      <c r="P95" s="36"/>
      <c r="Q95" s="36"/>
      <c r="R95" s="36"/>
    </row>
    <row r="96" spans="1:18" hidden="1" x14ac:dyDescent="0.25">
      <c r="A96" s="45"/>
      <c r="B96" s="85"/>
      <c r="C96" s="41"/>
      <c r="D96" s="41"/>
      <c r="E96" s="41"/>
      <c r="F96" s="41"/>
      <c r="G96" s="41"/>
      <c r="H96" s="36"/>
      <c r="I96" s="36"/>
      <c r="J96" s="41"/>
      <c r="K96" s="41"/>
      <c r="L96" s="41"/>
      <c r="M96" s="41"/>
      <c r="N96" s="36"/>
      <c r="O96" s="36"/>
      <c r="P96" s="36"/>
      <c r="Q96" s="36"/>
      <c r="R96" s="36"/>
    </row>
    <row r="97" spans="1:18" x14ac:dyDescent="0.25">
      <c r="A97" s="467" t="s">
        <v>535</v>
      </c>
      <c r="B97" s="85">
        <v>3232</v>
      </c>
      <c r="C97" s="41">
        <f>ROUND('Biomass Data Assumptions'!$B$60/1000*B97,0)</f>
        <v>3232</v>
      </c>
      <c r="D97" s="41">
        <f>'Biomass Data Assumptions'!$C$60*C97</f>
        <v>108530560</v>
      </c>
      <c r="E97" s="41">
        <f>('Biomass Data Assumptions'!$D$60*'Energy Content Assumptions'!$C$44*D97)/2000</f>
        <v>1302.36672</v>
      </c>
      <c r="F97" s="41">
        <f>('Biomass Data Assumptions'!$E$60*B97*365)/2000</f>
        <v>2359.36</v>
      </c>
      <c r="G97" s="41">
        <f>F97+E97</f>
        <v>3661.7267200000001</v>
      </c>
      <c r="H97" s="36"/>
      <c r="I97" s="36"/>
      <c r="J97" s="41"/>
      <c r="K97" s="41"/>
      <c r="L97" s="41"/>
      <c r="M97" s="41"/>
      <c r="N97" s="36"/>
      <c r="O97" s="36"/>
      <c r="P97" s="36"/>
      <c r="Q97" s="36"/>
      <c r="R97" s="36"/>
    </row>
    <row r="98" spans="1:18" x14ac:dyDescent="0.25">
      <c r="A98" s="46"/>
      <c r="B98" s="41"/>
      <c r="C98" s="41"/>
      <c r="D98" s="41"/>
      <c r="E98" s="41"/>
      <c r="F98" s="41"/>
      <c r="G98" s="41"/>
      <c r="H98" s="36"/>
      <c r="I98" s="36"/>
      <c r="J98" s="41"/>
      <c r="K98" s="41"/>
      <c r="L98" s="41"/>
      <c r="M98" s="41"/>
      <c r="N98" s="36"/>
      <c r="O98" s="36"/>
      <c r="P98" s="36"/>
      <c r="Q98" s="36"/>
      <c r="R98" s="36"/>
    </row>
    <row r="99" spans="1:18" x14ac:dyDescent="0.25">
      <c r="A99" s="43" t="s">
        <v>539</v>
      </c>
      <c r="B99" s="47"/>
      <c r="C99" s="41"/>
      <c r="D99" s="41"/>
      <c r="E99" s="41"/>
      <c r="F99" s="41"/>
      <c r="G99" s="41"/>
      <c r="H99" s="36"/>
      <c r="I99" s="36"/>
      <c r="J99" s="41"/>
      <c r="K99" s="41"/>
      <c r="L99" s="41"/>
      <c r="M99" s="41"/>
      <c r="N99" s="36"/>
      <c r="O99" s="36"/>
      <c r="P99" s="36"/>
      <c r="Q99" s="36"/>
      <c r="R99" s="36"/>
    </row>
    <row r="100" spans="1:18" x14ac:dyDescent="0.25">
      <c r="A100" s="460" t="s">
        <v>603</v>
      </c>
      <c r="B100" s="85">
        <v>1599</v>
      </c>
      <c r="C100" s="41">
        <f>ROUND('Biomass Data Assumptions'!B62/1000*B100,0)</f>
        <v>560</v>
      </c>
      <c r="D100" s="41">
        <f>'Biomass Data Assumptions'!C62*C100</f>
        <v>16352000</v>
      </c>
      <c r="E100" s="41">
        <f>('Biomass Data Assumptions'!D62*'Energy Content Assumptions'!C46*D100)/2000</f>
        <v>735.84</v>
      </c>
      <c r="F100" s="41">
        <f>('Biomass Data Assumptions'!E62*B100*365)/2000</f>
        <v>1459.0875000000001</v>
      </c>
      <c r="G100" s="41">
        <f>F100+E100</f>
        <v>2194.9275000000002</v>
      </c>
      <c r="H100" s="36"/>
      <c r="I100" s="36"/>
      <c r="J100" s="41"/>
      <c r="K100" s="41"/>
      <c r="L100" s="41"/>
      <c r="M100" s="41"/>
      <c r="N100" s="36"/>
      <c r="O100" s="36"/>
      <c r="P100" s="36"/>
      <c r="Q100" s="36"/>
      <c r="R100" s="36"/>
    </row>
    <row r="101" spans="1:18" hidden="1" x14ac:dyDescent="0.25">
      <c r="A101" s="45"/>
      <c r="B101" s="85"/>
      <c r="C101" s="41"/>
      <c r="D101" s="41"/>
      <c r="E101" s="41"/>
      <c r="F101" s="41"/>
      <c r="G101" s="41"/>
      <c r="H101" s="36"/>
      <c r="I101" s="36"/>
      <c r="J101" s="41"/>
      <c r="K101" s="41"/>
      <c r="L101" s="41"/>
      <c r="M101" s="41"/>
      <c r="N101" s="36"/>
      <c r="O101" s="36"/>
      <c r="P101" s="36"/>
      <c r="Q101" s="36"/>
      <c r="R101" s="36"/>
    </row>
    <row r="102" spans="1:18" x14ac:dyDescent="0.25">
      <c r="A102" s="460" t="s">
        <v>604</v>
      </c>
      <c r="B102" s="85">
        <v>2144</v>
      </c>
      <c r="C102" s="41">
        <f>ROUND('Biomass Data Assumptions'!B64/1000*B102,0)</f>
        <v>3002</v>
      </c>
      <c r="D102" s="41">
        <f>'Biomass Data Assumptions'!C64*C102</f>
        <v>121626030</v>
      </c>
      <c r="E102" s="41">
        <f>('Biomass Data Assumptions'!D64*'Energy Content Assumptions'!C48*D102)/2000</f>
        <v>5473.1713499999996</v>
      </c>
      <c r="F102" s="41">
        <f>'Biomass Data Assumptions'!E64*B102*365/2000</f>
        <v>3912.8</v>
      </c>
      <c r="G102" s="41">
        <f>F102+E102</f>
        <v>9385.9713499999998</v>
      </c>
      <c r="H102" s="36"/>
      <c r="I102" s="36"/>
      <c r="J102" s="41"/>
      <c r="K102" s="41"/>
      <c r="L102" s="41"/>
      <c r="M102" s="41"/>
      <c r="N102" s="36"/>
      <c r="O102" s="36"/>
      <c r="P102" s="36"/>
      <c r="Q102" s="36"/>
      <c r="R102" s="36"/>
    </row>
    <row r="103" spans="1:18" hidden="1" x14ac:dyDescent="0.25">
      <c r="A103" s="45"/>
      <c r="B103" s="85"/>
      <c r="C103" s="41"/>
      <c r="D103" s="41"/>
      <c r="E103" s="41"/>
      <c r="F103" s="41"/>
      <c r="G103" s="41"/>
      <c r="H103" s="36"/>
      <c r="I103" s="36"/>
      <c r="J103" s="41"/>
      <c r="K103" s="41"/>
      <c r="L103" s="41"/>
      <c r="M103" s="41"/>
      <c r="N103" s="36"/>
      <c r="O103" s="36"/>
      <c r="P103" s="36"/>
      <c r="Q103" s="36"/>
      <c r="R103" s="36"/>
    </row>
    <row r="104" spans="1:18" x14ac:dyDescent="0.25">
      <c r="A104" s="467" t="s">
        <v>544</v>
      </c>
      <c r="B104" s="85">
        <f t="shared" ref="B104:G104" si="14">SUM(B100:B103)</f>
        <v>3743</v>
      </c>
      <c r="C104" s="41">
        <f t="shared" si="14"/>
        <v>3562</v>
      </c>
      <c r="D104" s="41">
        <f t="shared" si="14"/>
        <v>137978030</v>
      </c>
      <c r="E104" s="41">
        <f t="shared" si="14"/>
        <v>6209.0113499999998</v>
      </c>
      <c r="F104" s="41">
        <f t="shared" si="14"/>
        <v>5371.8875000000007</v>
      </c>
      <c r="G104" s="41">
        <f t="shared" si="14"/>
        <v>11580.89885</v>
      </c>
      <c r="H104" s="36"/>
      <c r="I104" s="36"/>
      <c r="J104" s="41"/>
      <c r="K104" s="41"/>
      <c r="L104" s="41"/>
      <c r="M104" s="41"/>
      <c r="N104" s="36"/>
      <c r="O104" s="36"/>
      <c r="P104" s="36"/>
      <c r="Q104" s="36"/>
      <c r="R104" s="36"/>
    </row>
    <row r="105" spans="1:18" x14ac:dyDescent="0.25">
      <c r="A105" s="46"/>
      <c r="B105" s="41"/>
      <c r="C105" s="41"/>
      <c r="D105" s="41"/>
      <c r="E105" s="41"/>
      <c r="F105" s="41"/>
      <c r="G105" s="41"/>
      <c r="H105" s="36"/>
      <c r="I105" s="36"/>
      <c r="J105" s="41"/>
      <c r="K105" s="41"/>
      <c r="L105" s="41"/>
      <c r="M105" s="41"/>
      <c r="N105" s="36"/>
      <c r="O105" s="36"/>
      <c r="P105" s="36"/>
      <c r="Q105" s="36"/>
      <c r="R105" s="36"/>
    </row>
    <row r="106" spans="1:18" x14ac:dyDescent="0.25">
      <c r="A106" s="43" t="s">
        <v>545</v>
      </c>
      <c r="B106" s="85">
        <v>2095</v>
      </c>
      <c r="C106" s="41">
        <f>ROUND('Biomass Data Assumptions'!B66/1000*B106,0)</f>
        <v>2095</v>
      </c>
      <c r="D106" s="41">
        <f>'Biomass Data Assumptions'!C66*C106</f>
        <v>42439462.5</v>
      </c>
      <c r="E106" s="41">
        <f>('Biomass Data Assumptions'!D66*'Energy Content Assumptions'!C50*D106)/2000</f>
        <v>1485.3811875000001</v>
      </c>
      <c r="F106" s="41">
        <f>'Biomass Data Assumptions'!E66*B106*365/2000</f>
        <v>5735.0625</v>
      </c>
      <c r="G106" s="41">
        <f>F106+E106</f>
        <v>7220.4436875000001</v>
      </c>
      <c r="H106" s="36"/>
      <c r="I106" s="36"/>
      <c r="J106" s="41"/>
      <c r="K106" s="41"/>
      <c r="L106" s="41"/>
      <c r="M106" s="41"/>
      <c r="N106" s="36"/>
      <c r="O106" s="36"/>
      <c r="P106" s="36"/>
      <c r="Q106" s="36"/>
      <c r="R106" s="36"/>
    </row>
    <row r="107" spans="1:18" x14ac:dyDescent="0.25">
      <c r="A107" s="43"/>
      <c r="B107" s="41"/>
      <c r="C107" s="41"/>
      <c r="D107" s="41"/>
      <c r="E107" s="41"/>
      <c r="F107" s="41"/>
      <c r="G107" s="41"/>
      <c r="H107" s="36"/>
      <c r="I107" s="36"/>
      <c r="J107" s="41"/>
      <c r="K107" s="41"/>
      <c r="L107" s="41"/>
      <c r="M107" s="41"/>
      <c r="N107" s="36"/>
      <c r="O107" s="36"/>
      <c r="P107" s="36"/>
      <c r="Q107" s="36"/>
      <c r="R107" s="36"/>
    </row>
    <row r="108" spans="1:18" x14ac:dyDescent="0.25">
      <c r="A108" s="43" t="s">
        <v>546</v>
      </c>
      <c r="B108" s="85">
        <v>870</v>
      </c>
      <c r="C108" s="41">
        <f>ROUND('Biomass Data Assumptions'!B67/1000*B108,0)</f>
        <v>87</v>
      </c>
      <c r="D108" s="41">
        <f>'Biomass Data Assumptions'!C67*C108</f>
        <v>1301955</v>
      </c>
      <c r="E108" s="41">
        <f>('Biomass Data Assumptions'!D67*'Energy Content Assumptions'!C51*D108)/2000</f>
        <v>32.548875000000002</v>
      </c>
      <c r="F108" s="41">
        <f>'Biomass Data Assumptions'!E67*B108*365/2000</f>
        <v>158.77500000000001</v>
      </c>
      <c r="G108" s="41">
        <f>F108+E108</f>
        <v>191.32387500000002</v>
      </c>
      <c r="H108" s="36"/>
      <c r="I108" s="36"/>
      <c r="J108" s="41"/>
      <c r="K108" s="41"/>
      <c r="L108" s="41"/>
      <c r="M108" s="41"/>
      <c r="N108" s="36"/>
      <c r="O108" s="36"/>
      <c r="P108" s="36"/>
      <c r="Q108" s="36"/>
      <c r="R108" s="36"/>
    </row>
    <row r="109" spans="1:18" x14ac:dyDescent="0.25">
      <c r="A109" s="43"/>
      <c r="B109" s="41"/>
      <c r="C109" s="41"/>
      <c r="D109" s="41"/>
      <c r="E109" s="41"/>
      <c r="F109" s="41"/>
      <c r="G109" s="41"/>
      <c r="H109" s="36"/>
      <c r="I109" s="36"/>
      <c r="J109" s="41"/>
      <c r="K109" s="41"/>
      <c r="L109" s="41"/>
      <c r="M109" s="41"/>
      <c r="N109" s="36"/>
      <c r="O109" s="36"/>
      <c r="P109" s="36"/>
      <c r="Q109" s="36"/>
      <c r="R109" s="36"/>
    </row>
    <row r="110" spans="1:18" x14ac:dyDescent="0.25">
      <c r="A110" s="43" t="s">
        <v>547</v>
      </c>
      <c r="B110" s="85">
        <v>1035</v>
      </c>
      <c r="C110" s="41">
        <f>ROUND('Biomass Data Assumptions'!B68/1000*B110,0)</f>
        <v>104</v>
      </c>
      <c r="D110" s="41">
        <f>'Biomass Data Assumptions'!C68*C110</f>
        <v>1556360</v>
      </c>
      <c r="E110" s="41">
        <f>('Biomass Data Assumptions'!D68*'Energy Content Assumptions'!C52*D110)/2000</f>
        <v>38.908999999999999</v>
      </c>
      <c r="F110" s="41">
        <f>'Biomass Data Assumptions'!E68*B110*365/2000</f>
        <v>188.88749999999999</v>
      </c>
      <c r="G110" s="41">
        <f>F110+E110</f>
        <v>227.79649999999998</v>
      </c>
      <c r="H110" s="36"/>
      <c r="I110" s="36"/>
      <c r="J110" s="41"/>
      <c r="K110" s="41"/>
      <c r="L110" s="41"/>
      <c r="M110" s="41"/>
      <c r="N110" s="36"/>
      <c r="O110" s="36"/>
      <c r="P110" s="36"/>
      <c r="Q110" s="36"/>
      <c r="R110" s="36"/>
    </row>
    <row r="111" spans="1:18" x14ac:dyDescent="0.25">
      <c r="A111" s="43"/>
      <c r="B111" s="41"/>
      <c r="C111" s="41"/>
      <c r="D111" s="41"/>
      <c r="E111" s="41"/>
      <c r="F111" s="41"/>
      <c r="G111" s="41"/>
      <c r="H111" s="36"/>
      <c r="I111" s="36"/>
      <c r="J111" s="41"/>
      <c r="K111" s="41"/>
      <c r="L111" s="41"/>
      <c r="M111" s="41"/>
      <c r="N111" s="36"/>
      <c r="O111" s="36"/>
      <c r="P111" s="36"/>
      <c r="Q111" s="36"/>
      <c r="R111" s="36"/>
    </row>
    <row r="112" spans="1:18" ht="0.75" customHeight="1" x14ac:dyDescent="0.25">
      <c r="A112" s="43"/>
      <c r="B112" s="36"/>
      <c r="C112" s="41"/>
      <c r="D112" s="41"/>
      <c r="E112" s="41"/>
      <c r="F112" s="41"/>
      <c r="G112" s="41"/>
      <c r="H112" s="36"/>
      <c r="I112" s="36"/>
      <c r="J112" s="41"/>
      <c r="K112" s="41"/>
      <c r="L112" s="41"/>
      <c r="M112" s="41"/>
      <c r="N112" s="36"/>
      <c r="O112" s="36"/>
      <c r="P112" s="36"/>
      <c r="Q112" s="36"/>
      <c r="R112" s="36"/>
    </row>
    <row r="113" spans="1:18" hidden="1" x14ac:dyDescent="0.25">
      <c r="A113" s="45"/>
      <c r="B113" s="85"/>
      <c r="C113" s="41"/>
      <c r="D113" s="41"/>
      <c r="E113" s="41"/>
      <c r="F113" s="41"/>
      <c r="G113" s="41"/>
      <c r="H113" s="36"/>
      <c r="I113" s="36"/>
      <c r="J113" s="41"/>
      <c r="K113" s="41"/>
      <c r="L113" s="41"/>
      <c r="M113" s="41"/>
      <c r="N113" s="36"/>
      <c r="O113" s="36"/>
      <c r="P113" s="36"/>
      <c r="Q113" s="36"/>
      <c r="R113" s="36"/>
    </row>
    <row r="114" spans="1:18" hidden="1" x14ac:dyDescent="0.25">
      <c r="A114" s="45"/>
      <c r="B114" s="85"/>
      <c r="C114" s="41"/>
      <c r="D114" s="41"/>
      <c r="E114" s="41"/>
      <c r="F114" s="41"/>
      <c r="G114" s="41"/>
      <c r="H114" s="36"/>
      <c r="I114" s="36"/>
      <c r="J114" s="41"/>
      <c r="K114" s="41"/>
      <c r="L114" s="41"/>
      <c r="M114" s="41"/>
      <c r="N114" s="36"/>
      <c r="O114" s="36"/>
      <c r="P114" s="36"/>
      <c r="Q114" s="36"/>
      <c r="R114" s="36"/>
    </row>
    <row r="115" spans="1:18" x14ac:dyDescent="0.25">
      <c r="A115" s="467" t="s">
        <v>605</v>
      </c>
      <c r="B115" s="85">
        <v>457</v>
      </c>
      <c r="C115" s="41">
        <f>ROUND('Biomass Data Assumptions'!$B$71/1000*B115,0)</f>
        <v>183</v>
      </c>
      <c r="D115" s="41">
        <f>'Biomass Data Assumptions'!$C$71*C115</f>
        <v>3139365</v>
      </c>
      <c r="E115" s="41">
        <f>('Biomass Data Assumptions'!$D$71*'Energy Content Assumptions'!$C$55*D115)/2000</f>
        <v>78.484125000000006</v>
      </c>
      <c r="F115" s="41">
        <f>'Biomass Data Assumptions'!$E$71*B115*365/2000</f>
        <v>0</v>
      </c>
      <c r="G115" s="41">
        <f>F115+E115</f>
        <v>78.484125000000006</v>
      </c>
      <c r="H115" s="36"/>
      <c r="I115" s="36"/>
      <c r="J115" s="41"/>
      <c r="K115" s="41"/>
      <c r="L115" s="41"/>
      <c r="M115" s="41"/>
      <c r="N115" s="36"/>
      <c r="O115" s="36"/>
      <c r="P115" s="36"/>
      <c r="Q115" s="36"/>
      <c r="R115" s="36"/>
    </row>
    <row r="116" spans="1:18" x14ac:dyDescent="0.25">
      <c r="A116" s="46"/>
      <c r="B116" s="41"/>
      <c r="C116" s="41"/>
      <c r="D116" s="41"/>
      <c r="E116" s="41"/>
      <c r="F116" s="41"/>
      <c r="G116" s="41"/>
      <c r="H116" s="36"/>
      <c r="I116" s="36"/>
      <c r="J116" s="41"/>
      <c r="K116" s="41"/>
      <c r="L116" s="41"/>
      <c r="M116" s="41"/>
      <c r="N116" s="36"/>
      <c r="O116" s="36"/>
      <c r="P116" s="36"/>
      <c r="Q116" s="36"/>
      <c r="R116" s="36"/>
    </row>
    <row r="117" spans="1:18" x14ac:dyDescent="0.25">
      <c r="A117" s="43" t="s">
        <v>551</v>
      </c>
      <c r="B117" s="85">
        <f>1269+715+2780</f>
        <v>4764</v>
      </c>
      <c r="C117" s="41">
        <f>ROUND('Biomass Data Assumptions'!B72/1000*B117,0)</f>
        <v>24</v>
      </c>
      <c r="D117" s="41">
        <f>'Biomass Data Assumptions'!C72*C117</f>
        <v>438000</v>
      </c>
      <c r="E117" s="41">
        <f>('Biomass Data Assumptions'!D72*'Energy Content Assumptions'!C56*D117)/2000</f>
        <v>42.704999999999998</v>
      </c>
      <c r="F117" s="41">
        <f>'Biomass Data Assumptions'!E72*B117*365/2000</f>
        <v>0</v>
      </c>
      <c r="G117" s="41">
        <f>F117+E117</f>
        <v>42.704999999999998</v>
      </c>
      <c r="H117" s="150" t="s">
        <v>609</v>
      </c>
      <c r="I117" s="36"/>
      <c r="J117" s="41"/>
      <c r="K117" s="41"/>
      <c r="L117" s="41"/>
      <c r="M117" s="41"/>
      <c r="N117" s="36"/>
      <c r="O117" s="36"/>
      <c r="P117" s="36"/>
      <c r="Q117" s="36"/>
      <c r="R117" s="36"/>
    </row>
    <row r="118" spans="1:18" x14ac:dyDescent="0.25">
      <c r="A118" s="43"/>
      <c r="B118" s="41"/>
      <c r="C118" s="41"/>
      <c r="D118" s="41"/>
      <c r="E118" s="41"/>
      <c r="F118" s="41"/>
      <c r="G118" s="41"/>
      <c r="H118" s="36"/>
      <c r="I118" s="36"/>
      <c r="J118" s="41"/>
      <c r="K118" s="41"/>
      <c r="L118" s="41"/>
      <c r="M118" s="41"/>
      <c r="N118" s="36"/>
      <c r="O118" s="36"/>
      <c r="P118" s="36"/>
      <c r="Q118" s="36"/>
      <c r="R118" s="36"/>
    </row>
    <row r="119" spans="1:18" x14ac:dyDescent="0.25">
      <c r="A119" s="43" t="s">
        <v>552</v>
      </c>
      <c r="B119" s="85">
        <v>44</v>
      </c>
      <c r="C119" s="41">
        <f>ROUND('Biomass Data Assumptions'!B73/1000*B119,0)</f>
        <v>1</v>
      </c>
      <c r="D119" s="41">
        <f>'Biomass Data Assumptions'!C73*C119</f>
        <v>13505</v>
      </c>
      <c r="E119" s="41">
        <f>('Biomass Data Assumptions'!D73*'Energy Content Assumptions'!C57*D119)/2000</f>
        <v>1.26609375</v>
      </c>
      <c r="F119" s="41">
        <f>'Biomass Data Assumptions'!E73*B119*365/2000</f>
        <v>0.80300000000000016</v>
      </c>
      <c r="G119" s="41">
        <f>F119+E119</f>
        <v>2.0690937500000004</v>
      </c>
      <c r="H119" s="36"/>
      <c r="I119" s="36"/>
      <c r="J119" s="41"/>
      <c r="K119" s="41"/>
      <c r="L119" s="41"/>
      <c r="M119" s="41"/>
      <c r="N119" s="36"/>
      <c r="O119" s="36"/>
      <c r="P119" s="36"/>
      <c r="Q119" s="36"/>
      <c r="R119" s="36"/>
    </row>
    <row r="120" spans="1:18" x14ac:dyDescent="0.25">
      <c r="A120" s="43"/>
      <c r="B120" s="41"/>
      <c r="C120" s="41"/>
      <c r="D120" s="41"/>
      <c r="E120" s="41"/>
      <c r="F120" s="41"/>
      <c r="G120" s="41"/>
      <c r="H120" s="36"/>
      <c r="I120" s="36"/>
      <c r="J120" s="41"/>
      <c r="K120" s="41"/>
      <c r="L120" s="41"/>
      <c r="M120" s="41"/>
      <c r="N120" s="36"/>
      <c r="O120" s="36"/>
      <c r="P120" s="36"/>
      <c r="Q120" s="36"/>
      <c r="R120" s="36"/>
    </row>
    <row r="121" spans="1:18" x14ac:dyDescent="0.25">
      <c r="A121" s="43" t="s">
        <v>553</v>
      </c>
      <c r="B121" s="86">
        <f t="shared" ref="B121:G121" si="15">B97+B104+B106+B108+B110+B115+B117+B119</f>
        <v>16240</v>
      </c>
      <c r="C121" s="48">
        <f t="shared" si="15"/>
        <v>9288</v>
      </c>
      <c r="D121" s="48">
        <f t="shared" si="15"/>
        <v>295397237.5</v>
      </c>
      <c r="E121" s="48">
        <f t="shared" si="15"/>
        <v>9190.6723512500012</v>
      </c>
      <c r="F121" s="48">
        <f t="shared" si="15"/>
        <v>13814.775500000002</v>
      </c>
      <c r="G121" s="48">
        <f t="shared" si="15"/>
        <v>23005.447851249999</v>
      </c>
      <c r="H121" s="36"/>
      <c r="I121" s="36"/>
      <c r="J121" s="48"/>
      <c r="K121" s="48"/>
      <c r="L121" s="48"/>
      <c r="M121" s="48"/>
      <c r="N121" s="36"/>
      <c r="O121" s="36"/>
      <c r="P121" s="36"/>
      <c r="Q121" s="36"/>
      <c r="R121" s="36"/>
    </row>
    <row r="122" spans="1:18" x14ac:dyDescent="0.25">
      <c r="A122" s="36"/>
      <c r="B122" s="36"/>
      <c r="C122" s="36"/>
      <c r="D122" s="36"/>
      <c r="E122" s="36"/>
      <c r="F122" s="36"/>
      <c r="G122" s="36"/>
      <c r="H122" s="36"/>
      <c r="I122" s="36"/>
      <c r="J122" s="36"/>
      <c r="K122" s="36"/>
      <c r="L122" s="36"/>
      <c r="M122" s="36"/>
      <c r="N122" s="36"/>
      <c r="O122" s="36"/>
      <c r="P122" s="36"/>
      <c r="Q122" s="36"/>
      <c r="R122" s="36"/>
    </row>
    <row r="123" spans="1:18" x14ac:dyDescent="0.25">
      <c r="A123" s="49" t="s">
        <v>1014</v>
      </c>
      <c r="B123" s="49" t="s">
        <v>1043</v>
      </c>
      <c r="C123" s="49" t="s">
        <v>1044</v>
      </c>
      <c r="D123" s="547" t="s">
        <v>1013</v>
      </c>
      <c r="E123" s="36"/>
      <c r="F123" s="36"/>
      <c r="G123" s="36"/>
      <c r="H123" s="36"/>
      <c r="I123" s="36"/>
      <c r="J123" s="36"/>
      <c r="K123" s="36"/>
      <c r="L123" s="36"/>
      <c r="M123" s="36"/>
      <c r="N123" s="36"/>
      <c r="O123" s="36"/>
      <c r="P123" s="36"/>
      <c r="Q123" s="36"/>
      <c r="R123" s="36"/>
    </row>
    <row r="124" spans="1:18" x14ac:dyDescent="0.25">
      <c r="A124" s="50" t="s">
        <v>555</v>
      </c>
      <c r="B124" s="87">
        <v>4231.66</v>
      </c>
      <c r="C124" s="543">
        <f>B124*'Energy Content Assumptions'!C33</f>
        <v>3808.4940000000001</v>
      </c>
      <c r="D124" s="36"/>
      <c r="E124" s="36"/>
      <c r="F124" s="36"/>
      <c r="G124" s="36"/>
      <c r="H124" s="36"/>
      <c r="I124" s="36"/>
      <c r="J124" s="36"/>
      <c r="K124" s="36"/>
      <c r="L124" s="36"/>
      <c r="M124" s="36"/>
      <c r="N124" s="36"/>
      <c r="O124" s="36"/>
      <c r="P124" s="36"/>
      <c r="Q124" s="36"/>
      <c r="R124" s="36"/>
    </row>
    <row r="125" spans="1:18" x14ac:dyDescent="0.25">
      <c r="A125" s="50" t="s">
        <v>556</v>
      </c>
      <c r="B125" s="87">
        <v>745.19</v>
      </c>
      <c r="C125" s="543">
        <f>B125*'Energy Content Assumptions'!C34</f>
        <v>670.67100000000005</v>
      </c>
      <c r="D125" s="36"/>
      <c r="E125" s="36"/>
      <c r="F125" s="36"/>
      <c r="G125" s="36"/>
      <c r="H125" s="36"/>
      <c r="I125" s="36"/>
      <c r="J125" s="36"/>
      <c r="K125" s="36"/>
      <c r="L125" s="36"/>
      <c r="M125" s="36"/>
      <c r="N125" s="36"/>
      <c r="O125" s="36"/>
      <c r="P125" s="36"/>
      <c r="Q125" s="36"/>
      <c r="R125" s="36"/>
    </row>
    <row r="126" spans="1:18" x14ac:dyDescent="0.25">
      <c r="A126" s="50" t="s">
        <v>557</v>
      </c>
      <c r="B126" s="87">
        <v>1717.03</v>
      </c>
      <c r="C126" s="543">
        <f>B126*'Energy Content Assumptions'!C35</f>
        <v>1545.327</v>
      </c>
      <c r="D126" s="36"/>
      <c r="E126" s="36"/>
      <c r="F126" s="36"/>
      <c r="G126" s="36"/>
      <c r="H126" s="36"/>
      <c r="I126" s="36"/>
      <c r="J126" s="36"/>
      <c r="K126" s="36"/>
      <c r="L126" s="36"/>
      <c r="M126" s="36"/>
      <c r="N126" s="36"/>
      <c r="O126" s="36"/>
      <c r="P126" s="36"/>
      <c r="Q126" s="36"/>
      <c r="R126" s="36"/>
    </row>
    <row r="127" spans="1:18" x14ac:dyDescent="0.25">
      <c r="A127" s="50" t="s">
        <v>558</v>
      </c>
      <c r="B127" s="87">
        <v>986.82</v>
      </c>
      <c r="C127" s="543">
        <f>B127*'Energy Content Assumptions'!C36</f>
        <v>888.13800000000003</v>
      </c>
      <c r="D127" s="36"/>
      <c r="E127" s="36"/>
      <c r="F127" s="36"/>
      <c r="G127" s="36"/>
      <c r="H127" s="36"/>
      <c r="I127" s="36"/>
      <c r="J127" s="36"/>
      <c r="K127" s="36"/>
      <c r="L127" s="36"/>
      <c r="M127" s="36"/>
      <c r="N127" s="36"/>
      <c r="O127" s="36"/>
      <c r="P127" s="36"/>
      <c r="Q127" s="36"/>
      <c r="R127" s="36"/>
    </row>
    <row r="128" spans="1:18" x14ac:dyDescent="0.25">
      <c r="A128" s="50" t="s">
        <v>559</v>
      </c>
      <c r="B128" s="87">
        <v>6614.45</v>
      </c>
      <c r="C128" s="543">
        <f>B128*'Energy Content Assumptions'!C21</f>
        <v>3307.2249999999999</v>
      </c>
      <c r="D128" s="36"/>
      <c r="E128" s="36"/>
      <c r="F128" s="36"/>
      <c r="G128" s="36"/>
      <c r="H128" s="36"/>
      <c r="I128" s="36"/>
      <c r="J128" s="36"/>
      <c r="K128" s="36"/>
      <c r="L128" s="36"/>
      <c r="M128" s="36"/>
      <c r="N128" s="36"/>
      <c r="O128" s="36"/>
      <c r="P128" s="36"/>
      <c r="Q128" s="36"/>
      <c r="R128" s="36"/>
    </row>
    <row r="129" spans="1:18" x14ac:dyDescent="0.25">
      <c r="A129" s="50" t="s">
        <v>560</v>
      </c>
      <c r="B129" s="87">
        <v>430</v>
      </c>
      <c r="C129" s="543">
        <f>B129*'Energy Content Assumptions'!C22</f>
        <v>143.33333333333331</v>
      </c>
      <c r="D129" s="36"/>
      <c r="E129" s="36"/>
      <c r="F129" s="36"/>
      <c r="G129" s="36"/>
      <c r="H129" s="36"/>
      <c r="I129" s="36"/>
      <c r="J129" s="36"/>
      <c r="K129" s="36"/>
      <c r="L129" s="36"/>
      <c r="M129" s="36"/>
      <c r="N129" s="36"/>
      <c r="O129" s="36"/>
      <c r="P129" s="36"/>
      <c r="Q129" s="36"/>
      <c r="R129" s="36"/>
    </row>
    <row r="130" spans="1:18" x14ac:dyDescent="0.25">
      <c r="A130" s="50" t="s">
        <v>561</v>
      </c>
      <c r="B130" s="87">
        <v>1836.41</v>
      </c>
      <c r="C130" s="543">
        <f>B130*'Energy Content Assumptions'!C23</f>
        <v>612.13666666666666</v>
      </c>
      <c r="D130" s="36"/>
      <c r="E130" s="36"/>
      <c r="F130" s="36"/>
      <c r="G130" s="36"/>
      <c r="H130" s="36"/>
      <c r="I130" s="36"/>
      <c r="J130" s="36"/>
      <c r="K130" s="36"/>
      <c r="L130" s="36"/>
      <c r="M130" s="36"/>
      <c r="N130" s="36"/>
      <c r="O130" s="36"/>
      <c r="P130" s="36"/>
      <c r="Q130" s="36"/>
      <c r="R130" s="36"/>
    </row>
    <row r="131" spans="1:18" x14ac:dyDescent="0.25">
      <c r="A131" s="50" t="s">
        <v>562</v>
      </c>
      <c r="B131" s="87">
        <v>131.02000000000001</v>
      </c>
      <c r="C131" s="543">
        <f>B131*'Energy Content Assumptions'!C24</f>
        <v>65.510000000000005</v>
      </c>
      <c r="D131" s="36"/>
      <c r="E131" s="36"/>
      <c r="F131" s="36"/>
      <c r="G131" s="36"/>
      <c r="H131" s="36"/>
      <c r="I131" s="36"/>
      <c r="J131" s="36"/>
      <c r="K131" s="36"/>
      <c r="L131" s="36"/>
      <c r="M131" s="36"/>
      <c r="N131" s="36"/>
      <c r="O131" s="36"/>
      <c r="P131" s="36"/>
      <c r="Q131" s="36"/>
      <c r="R131" s="36"/>
    </row>
    <row r="132" spans="1:18" x14ac:dyDescent="0.25">
      <c r="A132" s="50" t="s">
        <v>563</v>
      </c>
      <c r="B132" s="87">
        <v>18.57</v>
      </c>
      <c r="C132" s="543">
        <f>B132*'Energy Content Assumptions'!C31</f>
        <v>4.6425000000000001</v>
      </c>
      <c r="D132" s="36"/>
      <c r="E132" s="36"/>
      <c r="F132" s="36"/>
      <c r="G132" s="36"/>
      <c r="H132" s="36"/>
      <c r="I132" s="36"/>
      <c r="J132" s="36"/>
      <c r="K132" s="36"/>
      <c r="L132" s="36"/>
      <c r="M132" s="36"/>
      <c r="N132" s="36"/>
      <c r="O132" s="36"/>
      <c r="P132" s="36"/>
      <c r="Q132" s="36"/>
      <c r="R132" s="36"/>
    </row>
    <row r="133" spans="1:18" x14ac:dyDescent="0.25">
      <c r="A133" s="50" t="s">
        <v>564</v>
      </c>
      <c r="B133" s="87">
        <v>193.96</v>
      </c>
      <c r="C133" s="543">
        <f>B133*'Energy Content Assumptions'!C19</f>
        <v>174.56400000000002</v>
      </c>
      <c r="D133" s="36"/>
      <c r="E133" s="36"/>
      <c r="F133" s="36"/>
      <c r="G133" s="36"/>
      <c r="H133" s="36"/>
      <c r="I133" s="36"/>
      <c r="J133" s="36"/>
      <c r="K133" s="36"/>
      <c r="L133" s="36"/>
      <c r="M133" s="36"/>
      <c r="N133" s="36"/>
      <c r="O133" s="36"/>
      <c r="P133" s="36"/>
      <c r="Q133" s="36"/>
      <c r="R133" s="36"/>
    </row>
    <row r="134" spans="1:18" x14ac:dyDescent="0.25">
      <c r="A134" s="50" t="s">
        <v>565</v>
      </c>
      <c r="B134" s="87">
        <v>736.55</v>
      </c>
      <c r="C134" s="543">
        <f>B134*'Energy Content Assumptions'!C32</f>
        <v>589.24</v>
      </c>
      <c r="D134" s="36"/>
      <c r="E134" s="36"/>
      <c r="F134" s="36"/>
      <c r="G134" s="36"/>
      <c r="H134" s="36"/>
      <c r="I134" s="36"/>
      <c r="J134" s="36"/>
      <c r="K134" s="36"/>
      <c r="L134" s="36"/>
      <c r="M134" s="36"/>
      <c r="N134" s="36"/>
      <c r="O134" s="36"/>
      <c r="P134" s="36"/>
      <c r="Q134" s="36"/>
      <c r="R134" s="36"/>
    </row>
    <row r="135" spans="1:18" x14ac:dyDescent="0.25">
      <c r="A135" s="36"/>
      <c r="B135" s="36"/>
      <c r="C135" s="36"/>
      <c r="D135" s="36"/>
      <c r="E135" s="36"/>
      <c r="F135" s="36"/>
      <c r="G135" s="36"/>
      <c r="H135" s="36"/>
      <c r="I135" s="36"/>
      <c r="J135" s="36"/>
      <c r="K135" s="36"/>
      <c r="L135" s="36"/>
      <c r="M135" s="36"/>
      <c r="N135" s="36"/>
      <c r="O135" s="36"/>
      <c r="P135" s="36"/>
      <c r="Q135" s="36"/>
      <c r="R135" s="36"/>
    </row>
    <row r="136" spans="1:18" x14ac:dyDescent="0.25">
      <c r="A136" s="49" t="s">
        <v>462</v>
      </c>
      <c r="B136" s="49" t="s">
        <v>1039</v>
      </c>
      <c r="C136" s="49" t="s">
        <v>1040</v>
      </c>
      <c r="D136" s="36"/>
      <c r="E136" s="36"/>
      <c r="F136" s="36"/>
      <c r="G136" s="36"/>
      <c r="H136" s="36"/>
      <c r="I136" s="36"/>
      <c r="J136" s="36"/>
      <c r="K136" s="36"/>
      <c r="L136" s="36"/>
      <c r="M136" s="36"/>
      <c r="N136" s="36"/>
      <c r="O136" s="36"/>
      <c r="P136" s="36"/>
      <c r="Q136" s="36"/>
      <c r="R136" s="36"/>
    </row>
    <row r="137" spans="1:18" x14ac:dyDescent="0.25">
      <c r="A137" s="50" t="s">
        <v>211</v>
      </c>
      <c r="B137" s="87">
        <f>'Biomass Data Assumptions'!$M$23</f>
        <v>66914.11</v>
      </c>
      <c r="C137" s="544"/>
      <c r="D137" s="546" t="s">
        <v>1016</v>
      </c>
      <c r="E137" s="36"/>
      <c r="F137" s="36"/>
      <c r="G137" s="36"/>
      <c r="H137" s="36"/>
      <c r="I137" s="36"/>
      <c r="J137" s="36"/>
      <c r="K137" s="36"/>
      <c r="L137" s="36"/>
      <c r="M137" s="36"/>
      <c r="N137" s="36"/>
      <c r="O137" s="36"/>
      <c r="P137" s="36"/>
      <c r="Q137" s="36"/>
      <c r="R137" s="36"/>
    </row>
    <row r="138" spans="1:18" x14ac:dyDescent="0.25">
      <c r="A138" s="50" t="s">
        <v>208</v>
      </c>
      <c r="B138" s="87">
        <f>'Biomass Data Assumptions'!$F$23</f>
        <v>40153.760000000002</v>
      </c>
      <c r="C138" s="543">
        <f>B138*'Energy Content Assumptions'!$C$28</f>
        <v>20076.88</v>
      </c>
      <c r="D138" s="546" t="s">
        <v>1016</v>
      </c>
      <c r="E138" s="36"/>
      <c r="F138" s="36"/>
      <c r="G138" s="36"/>
      <c r="H138" s="36"/>
      <c r="I138" s="36"/>
      <c r="J138" s="36"/>
      <c r="K138" s="36"/>
      <c r="L138" s="36"/>
      <c r="M138" s="36"/>
      <c r="N138" s="36"/>
      <c r="O138" s="36"/>
      <c r="P138" s="36"/>
      <c r="Q138" s="36"/>
      <c r="R138" s="36"/>
    </row>
    <row r="139" spans="1:18" x14ac:dyDescent="0.25">
      <c r="A139" s="50" t="s">
        <v>209</v>
      </c>
      <c r="B139" s="87">
        <f>'Biomass Data Assumptions'!$H$23</f>
        <v>113.7</v>
      </c>
      <c r="C139" s="543"/>
      <c r="D139" s="150" t="s">
        <v>1020</v>
      </c>
      <c r="E139" s="36"/>
      <c r="F139" s="36"/>
      <c r="G139" s="36"/>
      <c r="H139" s="36"/>
      <c r="I139" s="36"/>
      <c r="J139" s="36"/>
      <c r="K139" s="36"/>
      <c r="L139" s="36"/>
      <c r="M139" s="36"/>
      <c r="N139" s="36"/>
      <c r="O139" s="36"/>
      <c r="P139" s="36"/>
      <c r="Q139" s="36"/>
      <c r="R139" s="36"/>
    </row>
    <row r="140" spans="1:18" x14ac:dyDescent="0.25">
      <c r="A140" s="50" t="s">
        <v>210</v>
      </c>
      <c r="B140" s="87">
        <f>'Biomass Data Assumptions'!$I$23</f>
        <v>40040.060000000005</v>
      </c>
      <c r="C140" s="543">
        <f>B140*'Energy Content Assumptions'!$C$28</f>
        <v>20020.030000000002</v>
      </c>
      <c r="D140" s="36" t="s">
        <v>1021</v>
      </c>
      <c r="E140" s="36"/>
      <c r="F140" s="36"/>
      <c r="G140" s="36"/>
      <c r="H140" s="36"/>
      <c r="I140" s="36"/>
      <c r="J140" s="36"/>
      <c r="K140" s="36"/>
      <c r="L140" s="36"/>
      <c r="M140" s="36"/>
      <c r="N140" s="36"/>
      <c r="O140" s="36"/>
      <c r="P140" s="36"/>
      <c r="Q140" s="36"/>
      <c r="R140" s="36"/>
    </row>
    <row r="141" spans="1:18" x14ac:dyDescent="0.25">
      <c r="A141" s="50" t="str">
        <f>'Bioenergy Calculator'!B35</f>
        <v>Food waste, Landfilled</v>
      </c>
      <c r="B141" s="87">
        <f>IF('Bioenergy Calculator'!H75="No",'Biomass Data Assumptions'!J23,'Biomass Data Assumptions'!F23*'Biomass Data Assumptions'!I41)</f>
        <v>6334.3374920000015</v>
      </c>
      <c r="C141" s="543">
        <f>B141*'Energy Content Assumptions'!C26</f>
        <v>1900.3012476000004</v>
      </c>
      <c r="D141" s="36" t="s">
        <v>1063</v>
      </c>
      <c r="E141" s="36"/>
      <c r="F141" s="36"/>
      <c r="G141" s="36"/>
      <c r="H141" s="36"/>
      <c r="I141" s="36"/>
      <c r="J141" s="36"/>
      <c r="K141" s="36"/>
      <c r="L141" s="36"/>
      <c r="M141" s="36"/>
      <c r="N141" s="36"/>
      <c r="O141" s="36"/>
      <c r="P141" s="36"/>
      <c r="Q141" s="36"/>
      <c r="R141" s="36"/>
    </row>
    <row r="142" spans="1:18" x14ac:dyDescent="0.25">
      <c r="A142" s="50" t="str">
        <f>'Bioenergy Calculator'!B36</f>
        <v>Waste paper, Landfilled</v>
      </c>
      <c r="B142" s="87">
        <f>IF('Bioenergy Calculator'!H75="No",'Biomass Data Assumptions'!K23,'Biomass Data Assumptions'!F23*'Biomass Data Assumptions'!I42)</f>
        <v>7787.7916700000014</v>
      </c>
      <c r="C142" s="543">
        <f>B142*'Energy Content Assumptions'!C27</f>
        <v>7009.0125030000017</v>
      </c>
      <c r="D142" s="36" t="s">
        <v>1063</v>
      </c>
      <c r="E142" s="36"/>
      <c r="F142" s="36"/>
      <c r="G142" s="36"/>
      <c r="H142" s="36"/>
      <c r="I142" s="36"/>
      <c r="J142" s="36"/>
      <c r="K142" s="36"/>
      <c r="L142" s="36"/>
      <c r="M142" s="36"/>
      <c r="N142" s="36"/>
      <c r="O142" s="36"/>
      <c r="P142" s="36"/>
      <c r="Q142" s="36"/>
      <c r="R142" s="36"/>
    </row>
    <row r="143" spans="1:18" x14ac:dyDescent="0.25">
      <c r="A143" s="50" t="str">
        <f>'Bioenergy Calculator'!B37</f>
        <v>Other Biomass, Landfilled</v>
      </c>
      <c r="B143" s="87">
        <f>IF('Bioenergy Calculator'!H75="No",'Biomass Data Assumptions'!L23,'Biomass Data Assumptions'!F23*'Biomass Data Assumptions'!I43)</f>
        <v>10782.788158000001</v>
      </c>
      <c r="C143" s="543">
        <f>B143*'Energy Content Assumptions'!$C$28</f>
        <v>5391.3940790000006</v>
      </c>
      <c r="D143" s="546" t="s">
        <v>1064</v>
      </c>
      <c r="E143" s="36"/>
      <c r="F143" s="36"/>
      <c r="G143" s="36"/>
      <c r="H143" s="36"/>
      <c r="I143" s="36"/>
      <c r="J143" s="36"/>
      <c r="K143" s="36"/>
      <c r="L143" s="36"/>
      <c r="M143" s="36"/>
      <c r="N143" s="36"/>
      <c r="O143" s="36"/>
      <c r="P143" s="36"/>
      <c r="Q143" s="36"/>
      <c r="R143" s="36"/>
    </row>
    <row r="144" spans="1:18" x14ac:dyDescent="0.25">
      <c r="A144" s="50" t="s">
        <v>463</v>
      </c>
      <c r="B144" s="87">
        <v>7748.68</v>
      </c>
      <c r="C144" s="543">
        <f>B144*'Energy Content Assumptions'!C29</f>
        <v>6198.9440000000004</v>
      </c>
      <c r="D144" s="151" t="s">
        <v>206</v>
      </c>
      <c r="E144" s="36"/>
      <c r="F144" s="36"/>
      <c r="G144" s="36"/>
      <c r="H144" s="36"/>
      <c r="I144" s="36"/>
      <c r="J144" s="36"/>
      <c r="K144" s="36"/>
      <c r="L144" s="36"/>
      <c r="M144" s="36"/>
      <c r="N144" s="36"/>
      <c r="O144" s="36"/>
      <c r="P144" s="36"/>
      <c r="Q144" s="36"/>
      <c r="R144" s="36"/>
    </row>
    <row r="145" spans="1:18" x14ac:dyDescent="0.25">
      <c r="A145" s="709" t="s">
        <v>179</v>
      </c>
      <c r="B145" s="710">
        <v>0.4</v>
      </c>
      <c r="C145" s="543">
        <f>C144*B145</f>
        <v>2479.5776000000005</v>
      </c>
      <c r="D145" s="36" t="s">
        <v>1202</v>
      </c>
      <c r="E145" s="36"/>
      <c r="F145" s="36"/>
      <c r="G145" s="36"/>
      <c r="H145" s="36"/>
      <c r="I145" s="36"/>
      <c r="J145" s="36"/>
      <c r="K145" s="36"/>
      <c r="L145" s="36"/>
      <c r="M145" s="36"/>
      <c r="N145" s="36"/>
      <c r="O145" s="36"/>
      <c r="P145" s="36"/>
      <c r="Q145" s="36"/>
      <c r="R145" s="36"/>
    </row>
    <row r="146" spans="1:18" x14ac:dyDescent="0.25">
      <c r="A146" s="712"/>
      <c r="B146" s="713"/>
      <c r="C146" s="543"/>
      <c r="D146" s="150" t="s">
        <v>1553</v>
      </c>
      <c r="E146" s="36"/>
      <c r="F146" s="36"/>
      <c r="G146" s="36"/>
      <c r="H146" s="36"/>
      <c r="I146" s="36"/>
      <c r="J146" s="36"/>
      <c r="K146" s="36"/>
      <c r="L146" s="36"/>
      <c r="M146" s="36"/>
      <c r="N146" s="36"/>
      <c r="O146" s="36"/>
      <c r="P146" s="36"/>
      <c r="Q146" s="36"/>
      <c r="R146" s="36"/>
    </row>
    <row r="147" spans="1:18" x14ac:dyDescent="0.25">
      <c r="A147" s="1238" t="s">
        <v>1568</v>
      </c>
      <c r="B147" s="49" t="s">
        <v>1039</v>
      </c>
      <c r="C147" s="49" t="s">
        <v>1571</v>
      </c>
      <c r="D147" s="150"/>
      <c r="E147" s="36"/>
      <c r="F147" s="36"/>
      <c r="G147" s="36"/>
      <c r="H147" s="36"/>
      <c r="I147" s="36"/>
      <c r="J147" s="36"/>
      <c r="K147" s="36"/>
      <c r="L147" s="36"/>
      <c r="M147" s="36"/>
      <c r="N147" s="36"/>
      <c r="O147" s="36"/>
      <c r="P147" s="36"/>
      <c r="Q147" s="36"/>
      <c r="R147" s="36"/>
    </row>
    <row r="148" spans="1:18" x14ac:dyDescent="0.25">
      <c r="A148" s="1236" t="s">
        <v>508</v>
      </c>
      <c r="B148" s="549">
        <f>'Biomass Data Assumptions'!R23/2000</f>
        <v>290.76519999999999</v>
      </c>
      <c r="C148" s="1239">
        <f>B148*'Energy Content Assumptions'!C39</f>
        <v>247.15042</v>
      </c>
      <c r="D148" s="150" t="s">
        <v>1569</v>
      </c>
      <c r="E148" s="36"/>
      <c r="F148" s="36"/>
      <c r="G148" s="36"/>
      <c r="H148" s="36"/>
      <c r="I148" s="36"/>
      <c r="J148" s="36"/>
      <c r="K148" s="36"/>
      <c r="L148" s="36"/>
      <c r="M148" s="36"/>
      <c r="N148" s="36"/>
      <c r="O148" s="36"/>
      <c r="P148" s="36"/>
      <c r="Q148" s="36"/>
      <c r="R148" s="36"/>
    </row>
    <row r="149" spans="1:18" x14ac:dyDescent="0.25">
      <c r="A149" s="1236" t="s">
        <v>509</v>
      </c>
      <c r="B149" s="549">
        <f>'Biomass Data Assumptions'!S23/2000</f>
        <v>441.76485499999995</v>
      </c>
      <c r="C149" s="1239">
        <f>B149*'Energy Content Assumptions'!C40</f>
        <v>22.088242749999999</v>
      </c>
      <c r="D149" s="150" t="s">
        <v>1570</v>
      </c>
      <c r="E149" s="36"/>
      <c r="F149" s="36"/>
      <c r="G149" s="36"/>
      <c r="H149" s="36"/>
      <c r="I149" s="36"/>
      <c r="J149" s="36"/>
      <c r="K149" s="36"/>
      <c r="L149" s="36"/>
      <c r="M149" s="36"/>
      <c r="N149" s="36"/>
      <c r="O149" s="36"/>
      <c r="P149" s="36"/>
      <c r="Q149" s="36"/>
      <c r="R149" s="36"/>
    </row>
    <row r="150" spans="1:18" x14ac:dyDescent="0.25">
      <c r="A150" s="36"/>
      <c r="B150" s="36"/>
      <c r="C150" s="36"/>
      <c r="D150" s="36"/>
      <c r="E150" s="36"/>
      <c r="F150" s="36"/>
      <c r="G150" s="36"/>
      <c r="H150" s="36"/>
      <c r="I150" s="36"/>
      <c r="J150" s="36"/>
      <c r="K150" s="36"/>
      <c r="L150" s="36"/>
      <c r="M150" s="36"/>
      <c r="N150" s="36"/>
      <c r="O150" s="36"/>
      <c r="P150" s="36"/>
      <c r="Q150" s="36"/>
      <c r="R150" s="36"/>
    </row>
    <row r="151" spans="1:18" x14ac:dyDescent="0.25">
      <c r="A151" s="36"/>
      <c r="B151" s="36"/>
      <c r="C151" s="36"/>
      <c r="D151" s="36"/>
      <c r="E151" s="36"/>
      <c r="F151" s="36"/>
      <c r="G151" s="36"/>
      <c r="H151" s="36"/>
      <c r="I151" s="36"/>
      <c r="J151" s="36"/>
      <c r="K151" s="36"/>
      <c r="L151" s="36"/>
      <c r="M151" s="36"/>
      <c r="N151" s="36"/>
      <c r="O151" s="36"/>
      <c r="P151" s="36"/>
      <c r="Q151" s="36"/>
      <c r="R151" s="36"/>
    </row>
    <row r="152" spans="1:18" x14ac:dyDescent="0.25">
      <c r="A152" s="36"/>
      <c r="B152" s="36"/>
      <c r="C152" s="36"/>
      <c r="D152" s="36"/>
      <c r="E152" s="36"/>
      <c r="F152" s="36"/>
      <c r="G152" s="36"/>
      <c r="H152" s="36"/>
      <c r="I152" s="36"/>
      <c r="J152" s="36"/>
      <c r="K152" s="36"/>
      <c r="L152" s="36"/>
      <c r="M152" s="36"/>
      <c r="N152" s="36"/>
      <c r="O152" s="36"/>
      <c r="P152" s="36"/>
      <c r="Q152" s="36"/>
      <c r="R152" s="36"/>
    </row>
    <row r="153" spans="1:18" x14ac:dyDescent="0.25">
      <c r="A153" s="36"/>
      <c r="B153" s="36"/>
      <c r="C153" s="36"/>
      <c r="D153" s="36"/>
      <c r="E153" s="36"/>
      <c r="F153" s="36"/>
      <c r="G153" s="36"/>
      <c r="H153" s="36"/>
      <c r="I153" s="36"/>
      <c r="J153" s="36"/>
      <c r="K153" s="36"/>
      <c r="L153" s="36"/>
      <c r="M153" s="36"/>
      <c r="N153" s="36"/>
      <c r="O153" s="36"/>
      <c r="P153" s="36"/>
      <c r="Q153" s="36"/>
      <c r="R153" s="36"/>
    </row>
    <row r="154" spans="1:18" x14ac:dyDescent="0.25">
      <c r="A154" s="36"/>
      <c r="B154" s="36"/>
      <c r="C154" s="36"/>
      <c r="D154" s="36"/>
      <c r="E154" s="36"/>
      <c r="F154" s="36"/>
      <c r="G154" s="36"/>
      <c r="H154" s="36"/>
      <c r="I154" s="36"/>
      <c r="J154" s="36"/>
      <c r="K154" s="36"/>
      <c r="L154" s="36"/>
      <c r="M154" s="36"/>
      <c r="N154" s="36"/>
      <c r="O154" s="36"/>
      <c r="P154" s="36"/>
      <c r="Q154" s="36"/>
      <c r="R154" s="36"/>
    </row>
    <row r="155" spans="1:18" x14ac:dyDescent="0.25">
      <c r="A155" s="36"/>
      <c r="B155" s="36"/>
      <c r="C155" s="36"/>
      <c r="D155" s="36"/>
      <c r="E155" s="36"/>
      <c r="F155" s="36"/>
      <c r="G155" s="36"/>
      <c r="H155" s="36"/>
      <c r="I155" s="36"/>
      <c r="J155" s="36"/>
      <c r="K155" s="36"/>
      <c r="L155" s="36"/>
      <c r="M155" s="36"/>
      <c r="N155" s="36"/>
      <c r="O155" s="36"/>
      <c r="P155" s="36"/>
      <c r="Q155" s="36"/>
      <c r="R155" s="36"/>
    </row>
    <row r="156" spans="1:18" x14ac:dyDescent="0.25">
      <c r="A156" s="36"/>
      <c r="B156" s="36"/>
      <c r="C156" s="36"/>
      <c r="D156" s="36"/>
      <c r="E156" s="36"/>
      <c r="F156" s="36"/>
      <c r="G156" s="36"/>
      <c r="H156" s="36"/>
      <c r="I156" s="36"/>
      <c r="J156" s="36"/>
      <c r="K156" s="36"/>
      <c r="L156" s="36"/>
      <c r="M156" s="36"/>
      <c r="N156" s="36"/>
      <c r="O156" s="36"/>
      <c r="P156" s="36"/>
      <c r="Q156" s="36"/>
      <c r="R156" s="36"/>
    </row>
    <row r="157" spans="1:18" x14ac:dyDescent="0.25">
      <c r="A157" s="36"/>
      <c r="B157" s="36"/>
      <c r="C157" s="36"/>
      <c r="D157" s="36"/>
      <c r="E157" s="36"/>
      <c r="F157" s="36"/>
      <c r="G157" s="36"/>
      <c r="H157" s="36"/>
      <c r="I157" s="36"/>
      <c r="J157" s="36"/>
      <c r="K157" s="36"/>
      <c r="L157" s="36"/>
      <c r="M157" s="36"/>
      <c r="N157" s="36"/>
      <c r="O157" s="36"/>
      <c r="P157" s="36"/>
      <c r="Q157" s="36"/>
      <c r="R157" s="36"/>
    </row>
    <row r="158" spans="1:18" x14ac:dyDescent="0.25">
      <c r="A158" s="36"/>
      <c r="B158" s="36"/>
      <c r="C158" s="36"/>
      <c r="D158" s="36"/>
      <c r="E158" s="36"/>
      <c r="F158" s="36"/>
      <c r="G158" s="36"/>
      <c r="H158" s="36"/>
      <c r="I158" s="36"/>
      <c r="J158" s="36"/>
      <c r="K158" s="36"/>
      <c r="L158" s="36"/>
      <c r="M158" s="36"/>
      <c r="N158" s="36"/>
      <c r="O158" s="36"/>
      <c r="P158" s="36"/>
      <c r="Q158" s="36"/>
      <c r="R158" s="36"/>
    </row>
    <row r="159" spans="1:18" x14ac:dyDescent="0.25">
      <c r="A159" s="36"/>
      <c r="B159" s="36"/>
      <c r="C159" s="36"/>
      <c r="D159" s="36"/>
      <c r="E159" s="36"/>
      <c r="F159" s="36"/>
      <c r="G159" s="36"/>
      <c r="H159" s="36"/>
      <c r="I159" s="36"/>
      <c r="J159" s="36"/>
      <c r="K159" s="36"/>
      <c r="L159" s="36"/>
      <c r="M159" s="36"/>
      <c r="N159" s="36"/>
      <c r="O159" s="36"/>
      <c r="P159" s="36"/>
      <c r="Q159" s="36"/>
      <c r="R159" s="36"/>
    </row>
    <row r="160" spans="1:18" x14ac:dyDescent="0.25">
      <c r="A160" s="36"/>
      <c r="B160" s="36"/>
      <c r="C160" s="36"/>
      <c r="D160" s="36"/>
      <c r="E160" s="36"/>
      <c r="F160" s="36"/>
      <c r="G160" s="36"/>
      <c r="H160" s="36"/>
      <c r="I160" s="36"/>
      <c r="J160" s="36"/>
      <c r="K160" s="36"/>
      <c r="L160" s="36"/>
      <c r="M160" s="36"/>
      <c r="N160" s="36"/>
      <c r="O160" s="36"/>
      <c r="P160" s="36"/>
      <c r="Q160" s="36"/>
      <c r="R160" s="36"/>
    </row>
    <row r="161" spans="1:18" x14ac:dyDescent="0.25">
      <c r="A161" s="36"/>
      <c r="B161" s="36"/>
      <c r="C161" s="36"/>
      <c r="D161" s="36"/>
      <c r="E161" s="36"/>
      <c r="F161" s="36"/>
      <c r="G161" s="36"/>
      <c r="H161" s="36"/>
      <c r="I161" s="36"/>
      <c r="J161" s="36"/>
      <c r="K161" s="36"/>
      <c r="L161" s="36"/>
      <c r="M161" s="36"/>
      <c r="N161" s="36"/>
      <c r="O161" s="36"/>
      <c r="P161" s="36"/>
      <c r="Q161" s="36"/>
      <c r="R161" s="36"/>
    </row>
    <row r="162" spans="1:18" x14ac:dyDescent="0.25">
      <c r="A162" s="36"/>
      <c r="B162" s="36"/>
      <c r="C162" s="36"/>
      <c r="D162" s="36"/>
      <c r="E162" s="36"/>
      <c r="F162" s="36"/>
      <c r="G162" s="36"/>
      <c r="H162" s="36"/>
      <c r="I162" s="36"/>
      <c r="J162" s="36"/>
      <c r="K162" s="36"/>
      <c r="L162" s="36"/>
      <c r="M162" s="36"/>
      <c r="N162" s="36"/>
      <c r="O162" s="36"/>
      <c r="P162" s="36"/>
      <c r="Q162" s="36"/>
      <c r="R162" s="36"/>
    </row>
    <row r="163" spans="1:18" x14ac:dyDescent="0.25">
      <c r="A163" s="36"/>
      <c r="B163" s="36"/>
      <c r="C163" s="36"/>
      <c r="D163" s="36"/>
      <c r="E163" s="36"/>
      <c r="F163" s="36"/>
      <c r="G163" s="36"/>
      <c r="H163" s="36"/>
      <c r="I163" s="36"/>
      <c r="J163" s="36"/>
      <c r="K163" s="36"/>
      <c r="L163" s="36"/>
      <c r="M163" s="36"/>
      <c r="N163" s="36"/>
      <c r="O163" s="36"/>
      <c r="P163" s="36"/>
      <c r="Q163" s="36"/>
      <c r="R163" s="36"/>
    </row>
    <row r="164" spans="1:18" x14ac:dyDescent="0.25">
      <c r="A164" s="36"/>
      <c r="B164" s="36"/>
      <c r="C164" s="36"/>
      <c r="D164" s="36"/>
      <c r="E164" s="36"/>
      <c r="F164" s="36"/>
      <c r="G164" s="36"/>
      <c r="H164" s="36"/>
      <c r="I164" s="36"/>
      <c r="J164" s="36"/>
      <c r="K164" s="36"/>
      <c r="L164" s="36"/>
      <c r="M164" s="36"/>
      <c r="N164" s="36"/>
      <c r="O164" s="36"/>
      <c r="P164" s="36"/>
      <c r="Q164" s="36"/>
      <c r="R164" s="36"/>
    </row>
    <row r="165" spans="1:18" x14ac:dyDescent="0.25">
      <c r="A165" s="36"/>
      <c r="B165" s="36"/>
      <c r="C165" s="36"/>
      <c r="D165" s="36"/>
      <c r="E165" s="36"/>
      <c r="F165" s="36"/>
      <c r="G165" s="36"/>
      <c r="H165" s="36"/>
      <c r="I165" s="36"/>
      <c r="J165" s="36"/>
      <c r="K165" s="36"/>
      <c r="L165" s="36"/>
      <c r="M165" s="36"/>
      <c r="N165" s="36"/>
      <c r="O165" s="36"/>
      <c r="P165" s="36"/>
      <c r="Q165" s="36"/>
      <c r="R165" s="36"/>
    </row>
    <row r="166" spans="1:18" x14ac:dyDescent="0.25">
      <c r="A166" s="36"/>
      <c r="B166" s="36"/>
      <c r="C166" s="36"/>
      <c r="D166" s="36"/>
      <c r="E166" s="36"/>
      <c r="F166" s="36"/>
      <c r="G166" s="36"/>
      <c r="H166" s="36"/>
      <c r="I166" s="36"/>
      <c r="J166" s="36"/>
      <c r="K166" s="36"/>
      <c r="L166" s="36"/>
      <c r="M166" s="36"/>
      <c r="N166" s="36"/>
      <c r="O166" s="36"/>
      <c r="P166" s="36"/>
      <c r="Q166" s="36"/>
      <c r="R166" s="36"/>
    </row>
    <row r="167" spans="1:18" x14ac:dyDescent="0.25">
      <c r="A167" s="36"/>
      <c r="B167" s="36"/>
      <c r="C167" s="36"/>
      <c r="D167" s="36"/>
      <c r="E167" s="36"/>
      <c r="F167" s="36"/>
      <c r="G167" s="36"/>
      <c r="H167" s="36"/>
      <c r="I167" s="36"/>
      <c r="J167" s="36"/>
      <c r="K167" s="36"/>
      <c r="L167" s="36"/>
      <c r="M167" s="36"/>
      <c r="N167" s="36"/>
      <c r="O167" s="36"/>
      <c r="P167" s="36"/>
      <c r="Q167" s="36"/>
      <c r="R167" s="36"/>
    </row>
    <row r="168" spans="1:18" x14ac:dyDescent="0.25">
      <c r="A168" s="36"/>
      <c r="B168" s="36"/>
      <c r="C168" s="36"/>
      <c r="D168" s="36"/>
      <c r="E168" s="36"/>
      <c r="F168" s="36"/>
      <c r="G168" s="36"/>
      <c r="H168" s="36"/>
      <c r="I168" s="36"/>
      <c r="J168" s="36"/>
      <c r="K168" s="36"/>
      <c r="L168" s="36"/>
      <c r="M168" s="36"/>
      <c r="N168" s="36"/>
      <c r="O168" s="36"/>
      <c r="P168" s="36"/>
      <c r="Q168" s="36"/>
      <c r="R168" s="36"/>
    </row>
    <row r="169" spans="1:18" x14ac:dyDescent="0.25">
      <c r="A169" s="36"/>
      <c r="B169" s="36"/>
      <c r="C169" s="36"/>
      <c r="D169" s="36"/>
      <c r="E169" s="36"/>
      <c r="F169" s="36"/>
      <c r="G169" s="36"/>
      <c r="H169" s="36"/>
      <c r="I169" s="36"/>
      <c r="J169" s="36"/>
      <c r="K169" s="36"/>
      <c r="L169" s="36"/>
      <c r="M169" s="36"/>
      <c r="N169" s="36"/>
      <c r="O169" s="36"/>
      <c r="P169" s="36"/>
      <c r="Q169" s="36"/>
      <c r="R169" s="36"/>
    </row>
    <row r="170" spans="1:18" x14ac:dyDescent="0.25">
      <c r="A170" s="36"/>
      <c r="B170" s="36"/>
      <c r="C170" s="36"/>
      <c r="D170" s="36"/>
      <c r="E170" s="36"/>
      <c r="F170" s="36"/>
      <c r="G170" s="36"/>
      <c r="H170" s="36"/>
      <c r="I170" s="36"/>
      <c r="J170" s="36"/>
      <c r="K170" s="36"/>
      <c r="L170" s="36"/>
      <c r="M170" s="36"/>
      <c r="N170" s="36"/>
      <c r="O170" s="36"/>
      <c r="P170" s="36"/>
      <c r="Q170" s="36"/>
      <c r="R170" s="36"/>
    </row>
    <row r="171" spans="1:18" x14ac:dyDescent="0.25">
      <c r="P171" s="36"/>
      <c r="Q171" s="36"/>
      <c r="R171" s="36"/>
    </row>
    <row r="172" spans="1:18" x14ac:dyDescent="0.25">
      <c r="P172" s="36"/>
      <c r="Q172" s="36"/>
      <c r="R172" s="36"/>
    </row>
    <row r="173" spans="1:18" x14ac:dyDescent="0.25">
      <c r="P173" s="36"/>
      <c r="Q173" s="36"/>
      <c r="R173" s="36"/>
    </row>
    <row r="174" spans="1:18" x14ac:dyDescent="0.25">
      <c r="P174" s="36"/>
      <c r="Q174" s="36"/>
      <c r="R174" s="36"/>
    </row>
    <row r="175" spans="1:18" x14ac:dyDescent="0.25">
      <c r="P175" s="36"/>
      <c r="Q175" s="36"/>
      <c r="R175" s="36"/>
    </row>
    <row r="176" spans="1:18" x14ac:dyDescent="0.25">
      <c r="P176" s="36"/>
      <c r="Q176" s="36"/>
      <c r="R176" s="36"/>
    </row>
    <row r="177" spans="16:18" x14ac:dyDescent="0.25">
      <c r="P177" s="36"/>
      <c r="Q177" s="36"/>
      <c r="R177" s="36"/>
    </row>
    <row r="178" spans="16:18" x14ac:dyDescent="0.25">
      <c r="P178" s="36"/>
      <c r="Q178" s="36"/>
      <c r="R178" s="36"/>
    </row>
    <row r="179" spans="16:18" x14ac:dyDescent="0.25">
      <c r="P179" s="36"/>
      <c r="Q179" s="36"/>
      <c r="R179" s="36"/>
    </row>
    <row r="180" spans="16:18" x14ac:dyDescent="0.25">
      <c r="P180" s="36"/>
      <c r="Q180" s="36"/>
      <c r="R180" s="36"/>
    </row>
    <row r="181" spans="16:18" x14ac:dyDescent="0.25">
      <c r="P181" s="36"/>
      <c r="Q181" s="36"/>
      <c r="R181" s="36"/>
    </row>
    <row r="182" spans="16:18" x14ac:dyDescent="0.25">
      <c r="P182" s="36"/>
      <c r="Q182" s="36"/>
      <c r="R182" s="36"/>
    </row>
    <row r="183" spans="16:18" x14ac:dyDescent="0.25">
      <c r="P183" s="36"/>
      <c r="Q183" s="36"/>
      <c r="R183" s="36"/>
    </row>
    <row r="184" spans="16:18" x14ac:dyDescent="0.25">
      <c r="P184" s="36"/>
      <c r="Q184" s="36"/>
      <c r="R184" s="36"/>
    </row>
    <row r="185" spans="16:18" x14ac:dyDescent="0.25">
      <c r="P185" s="36"/>
      <c r="Q185" s="36"/>
      <c r="R185" s="36"/>
    </row>
    <row r="186" spans="16:18" x14ac:dyDescent="0.25">
      <c r="P186" s="36"/>
      <c r="Q186" s="36"/>
      <c r="R186" s="36"/>
    </row>
    <row r="187" spans="16:18" x14ac:dyDescent="0.25">
      <c r="P187" s="36"/>
      <c r="Q187" s="36"/>
      <c r="R187" s="36"/>
    </row>
    <row r="188" spans="16:18" x14ac:dyDescent="0.25">
      <c r="P188" s="36"/>
      <c r="Q188" s="36"/>
      <c r="R188" s="36"/>
    </row>
    <row r="189" spans="16:18" x14ac:dyDescent="0.25">
      <c r="P189" s="36"/>
      <c r="Q189" s="36"/>
      <c r="R189" s="36"/>
    </row>
    <row r="190" spans="16:18" x14ac:dyDescent="0.25">
      <c r="P190" s="36"/>
      <c r="Q190" s="36"/>
      <c r="R190" s="36"/>
    </row>
    <row r="191" spans="16:18" x14ac:dyDescent="0.25">
      <c r="P191" s="36"/>
      <c r="Q191" s="36"/>
      <c r="R191" s="36"/>
    </row>
    <row r="192" spans="16:18" x14ac:dyDescent="0.25">
      <c r="P192" s="36"/>
      <c r="Q192" s="36"/>
      <c r="R192" s="36"/>
    </row>
    <row r="193" spans="16:18" x14ac:dyDescent="0.25">
      <c r="P193" s="36"/>
      <c r="Q193" s="36"/>
      <c r="R193" s="36"/>
    </row>
    <row r="194" spans="16:18" x14ac:dyDescent="0.25">
      <c r="P194" s="36"/>
      <c r="Q194" s="36"/>
      <c r="R194" s="36"/>
    </row>
    <row r="195" spans="16:18" x14ac:dyDescent="0.25">
      <c r="P195" s="36"/>
      <c r="Q195" s="36"/>
      <c r="R195" s="36"/>
    </row>
    <row r="196" spans="16:18" x14ac:dyDescent="0.25">
      <c r="P196" s="36"/>
      <c r="Q196" s="36"/>
      <c r="R196" s="36"/>
    </row>
    <row r="197" spans="16:18" x14ac:dyDescent="0.25">
      <c r="P197" s="36"/>
      <c r="Q197" s="36"/>
      <c r="R197" s="36"/>
    </row>
    <row r="198" spans="16:18" x14ac:dyDescent="0.25">
      <c r="P198" s="36"/>
      <c r="Q198" s="36"/>
      <c r="R198" s="36"/>
    </row>
    <row r="199" spans="16:18" x14ac:dyDescent="0.25">
      <c r="P199" s="36"/>
      <c r="Q199" s="36"/>
      <c r="R199" s="36"/>
    </row>
  </sheetData>
  <mergeCells count="15">
    <mergeCell ref="A3:A4"/>
    <mergeCell ref="B3:B4"/>
    <mergeCell ref="C3:C4"/>
    <mergeCell ref="A51:A67"/>
    <mergeCell ref="A5:A11"/>
    <mergeCell ref="A13:A29"/>
    <mergeCell ref="A31:A43"/>
    <mergeCell ref="A45:A49"/>
    <mergeCell ref="I1:L1"/>
    <mergeCell ref="M1:P1"/>
    <mergeCell ref="Q3:Q4"/>
    <mergeCell ref="D3:D4"/>
    <mergeCell ref="I3:L3"/>
    <mergeCell ref="M3:P3"/>
    <mergeCell ref="E3:H3"/>
  </mergeCells>
  <phoneticPr fontId="0" type="noConversion"/>
  <pageMargins left="0.75" right="0.75" top="1" bottom="1" header="0.5" footer="0.5"/>
  <pageSetup paperSize="5" scale="50" orientation="landscape" r:id="rId1"/>
  <headerFooter alignWithMargins="0">
    <oddFooter>&amp;L&amp;"Arial,Italic" 7/02/07&amp;C&amp;"Arial,Italic"&amp;A&amp;R&amp;"Arial,Italic"NJAES Report 2007-1 ©2007
New Jersey Agricultural Experiment Station</oddFooter>
  </headerFooter>
  <ignoredErrors>
    <ignoredError sqref="D67" formula="1"/>
  </ignoredError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S199"/>
  <sheetViews>
    <sheetView topLeftCell="A121" zoomScale="70" zoomScaleNormal="70" workbookViewId="0">
      <selection activeCell="C147" sqref="C147"/>
    </sheetView>
  </sheetViews>
  <sheetFormatPr defaultColWidth="9.109375" defaultRowHeight="13.2" x14ac:dyDescent="0.25"/>
  <cols>
    <col min="1" max="1" width="28.6640625" style="5" customWidth="1"/>
    <col min="2" max="2" width="42.6640625" style="5" customWidth="1"/>
    <col min="3" max="3" width="23.6640625" style="5" customWidth="1"/>
    <col min="4" max="4" width="18.6640625" style="5" customWidth="1"/>
    <col min="5" max="16" width="14.6640625" style="5" customWidth="1"/>
    <col min="17" max="17" width="45.6640625" style="5" customWidth="1"/>
    <col min="18" max="18" width="34.44140625" style="5" customWidth="1"/>
    <col min="19" max="19" width="19.33203125" style="5" customWidth="1"/>
    <col min="20" max="20" width="14" style="5" customWidth="1"/>
    <col min="21" max="16384" width="9.109375" style="5"/>
  </cols>
  <sheetData>
    <row r="1" spans="1:17" ht="15.6" x14ac:dyDescent="0.3">
      <c r="A1" s="407" t="s">
        <v>574</v>
      </c>
      <c r="E1" s="412" t="s">
        <v>433</v>
      </c>
      <c r="I1" s="1195" t="str">
        <f>'Bioenergy Calculator'!B3</f>
        <v>None</v>
      </c>
      <c r="J1" s="1195"/>
      <c r="K1" s="1195"/>
      <c r="L1" s="1196"/>
      <c r="M1" s="1195" t="str">
        <f>'Bioenergy Calculator'!B4</f>
        <v>None</v>
      </c>
      <c r="N1" s="1195"/>
      <c r="O1" s="1195"/>
      <c r="P1" s="1196"/>
    </row>
    <row r="3" spans="1:17" s="6" customFormat="1" ht="24.75" customHeight="1" x14ac:dyDescent="0.25">
      <c r="A3" s="1062" t="s">
        <v>567</v>
      </c>
      <c r="B3" s="1062" t="s">
        <v>506</v>
      </c>
      <c r="C3" s="1062" t="s">
        <v>1035</v>
      </c>
      <c r="D3" s="1062" t="s">
        <v>1051</v>
      </c>
      <c r="E3" s="1083" t="s">
        <v>523</v>
      </c>
      <c r="F3" s="1209"/>
      <c r="G3" s="1209"/>
      <c r="H3" s="1198"/>
      <c r="I3" s="1072" t="s">
        <v>275</v>
      </c>
      <c r="J3" s="1073"/>
      <c r="K3" s="1074"/>
      <c r="L3" s="1075"/>
      <c r="M3" s="1083" t="s">
        <v>274</v>
      </c>
      <c r="N3" s="1084"/>
      <c r="O3" s="1197"/>
      <c r="P3" s="1198"/>
      <c r="Q3" s="1060" t="s">
        <v>570</v>
      </c>
    </row>
    <row r="4" spans="1:17" s="6" customFormat="1" x14ac:dyDescent="0.25">
      <c r="A4" s="1063"/>
      <c r="B4" s="1063"/>
      <c r="C4" s="1063"/>
      <c r="D4" s="1071"/>
      <c r="E4" s="22">
        <v>2012</v>
      </c>
      <c r="F4" s="22">
        <v>2015</v>
      </c>
      <c r="G4" s="22">
        <v>2020</v>
      </c>
      <c r="H4" s="22">
        <v>2025</v>
      </c>
      <c r="I4" s="22">
        <v>2012</v>
      </c>
      <c r="J4" s="22">
        <v>2015</v>
      </c>
      <c r="K4" s="22">
        <v>2020</v>
      </c>
      <c r="L4" s="22">
        <v>2025</v>
      </c>
      <c r="M4" s="22">
        <v>2012</v>
      </c>
      <c r="N4" s="22">
        <v>2015</v>
      </c>
      <c r="O4" s="22">
        <v>2020</v>
      </c>
      <c r="P4" s="22">
        <v>2025</v>
      </c>
      <c r="Q4" s="1061"/>
    </row>
    <row r="5" spans="1:17" x14ac:dyDescent="0.25">
      <c r="A5" s="1064" t="s">
        <v>513</v>
      </c>
      <c r="B5" s="1" t="s">
        <v>511</v>
      </c>
      <c r="C5" s="13"/>
      <c r="D5" s="13"/>
      <c r="E5" s="13"/>
      <c r="F5" s="13"/>
      <c r="G5" s="13"/>
      <c r="H5" s="13"/>
      <c r="I5" s="7"/>
      <c r="J5" s="7"/>
      <c r="K5" s="7"/>
      <c r="L5" s="7"/>
      <c r="M5" s="7"/>
      <c r="N5" s="7"/>
      <c r="O5" s="7"/>
      <c r="P5" s="7"/>
      <c r="Q5" s="7"/>
    </row>
    <row r="6" spans="1:17" x14ac:dyDescent="0.25">
      <c r="A6" s="1064"/>
      <c r="B6" s="11" t="str">
        <f>IF('Prac. Rec. Assumptions'!$B$56='Prac. Rec. Assumptions'!$V$3,A74,IF('Prac. Rec. Assumptions'!B57="No",A74,"Sorghum- Converted to Energy Crop"))</f>
        <v>Sorghum</v>
      </c>
      <c r="C6" s="294">
        <f>IF('Prac. Rec. Assumptions'!$B$56='Prac. Rec. Assumptions'!$V$3,D74,IF('Prac. Rec. Assumptions'!B57="No",D74,0))</f>
        <v>191.982</v>
      </c>
      <c r="D6" s="294" t="s">
        <v>431</v>
      </c>
      <c r="E6" s="294">
        <f>C6*'Prac. Rec. Assumptions'!B4</f>
        <v>0</v>
      </c>
      <c r="F6" s="294">
        <f>$E6</f>
        <v>0</v>
      </c>
      <c r="G6" s="294">
        <f>$E6</f>
        <v>0</v>
      </c>
      <c r="H6" s="294">
        <f>$E6</f>
        <v>0</v>
      </c>
      <c r="I6" s="16" t="str">
        <f>IF('Conversion Tables'!F7="NA","NA",$D6/'Conversion Tables'!F7)</f>
        <v>NA</v>
      </c>
      <c r="J6" s="16" t="str">
        <f>IF('Conversion Tables'!G7="NA","NA",$D6/'Conversion Tables'!G7)</f>
        <v>NA</v>
      </c>
      <c r="K6" s="16" t="str">
        <f>IF('Conversion Tables'!H7="NA","NA",$D6/'Conversion Tables'!H7)</f>
        <v>NA</v>
      </c>
      <c r="L6" s="16" t="str">
        <f>IF('Conversion Tables'!H7="NA","NA",$D6/'Conversion Tables'!H7)</f>
        <v>NA</v>
      </c>
      <c r="M6" s="16" t="str">
        <f>IF('Conversion Tables'!K7="NA","NA",$C74*'Conversion Tables'!K7)</f>
        <v>NA</v>
      </c>
      <c r="N6" s="16" t="str">
        <f>IF('Conversion Tables'!L7="NA","NA",$C74*'Conversion Tables'!L7)</f>
        <v>NA</v>
      </c>
      <c r="O6" s="16" t="str">
        <f>IF('Conversion Tables'!M7="NA","NA",$C74*'Conversion Tables'!M7)</f>
        <v>NA</v>
      </c>
      <c r="P6" s="16" t="str">
        <f>IF('Conversion Tables'!N7="NA","NA",$C74*'Conversion Tables'!N7)</f>
        <v>NA</v>
      </c>
      <c r="Q6" s="15"/>
    </row>
    <row r="7" spans="1:17" x14ac:dyDescent="0.25">
      <c r="A7" s="1064"/>
      <c r="B7" s="11" t="str">
        <f>IF('Prac. Rec. Assumptions'!$B$56='Prac. Rec. Assumptions'!$V$3,A75,IF('Prac. Rec. Assumptions'!B59="No",A75,"Rye- Converted to Energy Crop"))</f>
        <v>Rye</v>
      </c>
      <c r="C7" s="294">
        <f>IF('Prac. Rec. Assumptions'!$B$56='Prac. Rec. Assumptions'!$V$3,D75,IF('Prac. Rec. Assumptions'!B59="No",D75,0))</f>
        <v>450.23160000000001</v>
      </c>
      <c r="D7" s="294" t="s">
        <v>431</v>
      </c>
      <c r="E7" s="294">
        <f>C7*'Prac. Rec. Assumptions'!B5</f>
        <v>0</v>
      </c>
      <c r="F7" s="294">
        <f t="shared" ref="F7:H10" si="0">$E7</f>
        <v>0</v>
      </c>
      <c r="G7" s="294">
        <f t="shared" si="0"/>
        <v>0</v>
      </c>
      <c r="H7" s="294">
        <f t="shared" si="0"/>
        <v>0</v>
      </c>
      <c r="I7" s="16" t="str">
        <f>IF('Conversion Tables'!F8="NA","NA",$D7/'Conversion Tables'!F8)</f>
        <v>NA</v>
      </c>
      <c r="J7" s="16" t="str">
        <f>IF('Conversion Tables'!G8="NA","NA",$D7/'Conversion Tables'!G8)</f>
        <v>NA</v>
      </c>
      <c r="K7" s="16" t="str">
        <f>IF('Conversion Tables'!H8="NA","NA",$D7/'Conversion Tables'!H8)</f>
        <v>NA</v>
      </c>
      <c r="L7" s="16" t="str">
        <f>IF('Conversion Tables'!H8="NA","NA",$D7/'Conversion Tables'!H8)</f>
        <v>NA</v>
      </c>
      <c r="M7" s="16" t="str">
        <f>IF('Conversion Tables'!K8="NA","NA",$C75*'Conversion Tables'!K8)</f>
        <v>NA</v>
      </c>
      <c r="N7" s="16" t="str">
        <f>IF('Conversion Tables'!L8="NA","NA",$C75*'Conversion Tables'!L8)</f>
        <v>NA</v>
      </c>
      <c r="O7" s="16" t="str">
        <f>IF('Conversion Tables'!M8="NA","NA",$C75*'Conversion Tables'!M8)</f>
        <v>NA</v>
      </c>
      <c r="P7" s="16" t="str">
        <f>IF('Conversion Tables'!N8="NA","NA",$C75*'Conversion Tables'!N8)</f>
        <v>NA</v>
      </c>
      <c r="Q7" s="15"/>
    </row>
    <row r="8" spans="1:17" x14ac:dyDescent="0.25">
      <c r="A8" s="1064"/>
      <c r="B8" s="11" t="str">
        <f>IF('Prac. Rec. Assumptions'!$B$56='Prac. Rec. Assumptions'!$V$3,A76,IF('Prac. Rec. Assumptions'!B60="No",A76,"Corn for Grain- Converted to Energy Crop"))</f>
        <v>Corn for Grain</v>
      </c>
      <c r="C8" s="294">
        <f>IF('Prac. Rec. Assumptions'!$B$56='Prac. Rec. Assumptions'!$V$3,D76,IF('Prac. Rec. Assumptions'!B60="No",D76,0))</f>
        <v>5526.5</v>
      </c>
      <c r="D8" s="294" t="s">
        <v>431</v>
      </c>
      <c r="E8" s="294">
        <f>C8*'Prac. Rec. Assumptions'!B6</f>
        <v>0</v>
      </c>
      <c r="F8" s="294">
        <f t="shared" si="0"/>
        <v>0</v>
      </c>
      <c r="G8" s="294">
        <f t="shared" si="0"/>
        <v>0</v>
      </c>
      <c r="H8" s="294">
        <f t="shared" si="0"/>
        <v>0</v>
      </c>
      <c r="I8" s="16" t="str">
        <f>IF('Conversion Tables'!F9="NA","NA",$D8/'Conversion Tables'!F9)</f>
        <v>NA</v>
      </c>
      <c r="J8" s="16" t="str">
        <f>IF('Conversion Tables'!G9="NA","NA",$D8/'Conversion Tables'!G9)</f>
        <v>NA</v>
      </c>
      <c r="K8" s="16" t="str">
        <f>IF('Conversion Tables'!H9="NA","NA",$D8/'Conversion Tables'!H9)</f>
        <v>NA</v>
      </c>
      <c r="L8" s="16" t="str">
        <f>IF('Conversion Tables'!H9="NA","NA",$D8/'Conversion Tables'!H9)</f>
        <v>NA</v>
      </c>
      <c r="M8" s="16" t="str">
        <f>IF('Conversion Tables'!K9="NA","NA",$C76*'Conversion Tables'!K9)</f>
        <v>NA</v>
      </c>
      <c r="N8" s="16" t="str">
        <f>IF('Conversion Tables'!L9="NA","NA",$C76*'Conversion Tables'!L9)</f>
        <v>NA</v>
      </c>
      <c r="O8" s="16" t="str">
        <f>IF('Conversion Tables'!M9="NA","NA",$C76*'Conversion Tables'!M9)</f>
        <v>NA</v>
      </c>
      <c r="P8" s="16" t="str">
        <f>IF('Conversion Tables'!N9="NA","NA",$C76*'Conversion Tables'!N9)</f>
        <v>NA</v>
      </c>
      <c r="Q8" s="15"/>
    </row>
    <row r="9" spans="1:17" x14ac:dyDescent="0.25">
      <c r="A9" s="1064"/>
      <c r="B9" s="11" t="str">
        <f>IF('Prac. Rec. Assumptions'!$B$56='Prac. Rec. Assumptions'!$V$3,A78,IF('Prac. Rec. Assumptions'!B64="No",A78,"Wheat- Converted to Energy Crop"))</f>
        <v>Wheat</v>
      </c>
      <c r="C9" s="294">
        <f>IF('Prac. Rec. Assumptions'!$B$56='Prac. Rec. Assumptions'!$V$3,D78,IF('Prac. Rec. Assumptions'!B64="No",D78,0))</f>
        <v>1919.7</v>
      </c>
      <c r="D9" s="294" t="s">
        <v>431</v>
      </c>
      <c r="E9" s="294">
        <f>C9*'Prac. Rec. Assumptions'!B7</f>
        <v>0</v>
      </c>
      <c r="F9" s="294">
        <f t="shared" si="0"/>
        <v>0</v>
      </c>
      <c r="G9" s="294">
        <f t="shared" si="0"/>
        <v>0</v>
      </c>
      <c r="H9" s="294">
        <f t="shared" si="0"/>
        <v>0</v>
      </c>
      <c r="I9" s="16" t="str">
        <f>IF('Conversion Tables'!F10="NA","NA",$D9/'Conversion Tables'!F10)</f>
        <v>NA</v>
      </c>
      <c r="J9" s="16" t="str">
        <f>IF('Conversion Tables'!G10="NA","NA",$D9/'Conversion Tables'!G10)</f>
        <v>NA</v>
      </c>
      <c r="K9" s="16" t="str">
        <f>IF('Conversion Tables'!H10="NA","NA",$D9/'Conversion Tables'!H10)</f>
        <v>NA</v>
      </c>
      <c r="L9" s="16" t="str">
        <f>IF('Conversion Tables'!H10="NA","NA",$D9/'Conversion Tables'!H10)</f>
        <v>NA</v>
      </c>
      <c r="M9" s="16" t="str">
        <f>IF('Conversion Tables'!K10="NA","NA",$C78*'Conversion Tables'!K10)</f>
        <v>NA</v>
      </c>
      <c r="N9" s="16" t="str">
        <f>IF('Conversion Tables'!L10="NA","NA",$C78*'Conversion Tables'!L10)</f>
        <v>NA</v>
      </c>
      <c r="O9" s="16" t="str">
        <f>IF('Conversion Tables'!M10="NA","NA",$C78*'Conversion Tables'!M10)</f>
        <v>NA</v>
      </c>
      <c r="P9" s="16" t="str">
        <f>IF('Conversion Tables'!N10="NA","NA",$C78*'Conversion Tables'!N10)</f>
        <v>NA</v>
      </c>
      <c r="Q9" s="15"/>
    </row>
    <row r="10" spans="1:17" x14ac:dyDescent="0.25">
      <c r="A10" s="1064"/>
      <c r="B10" s="129" t="s">
        <v>301</v>
      </c>
      <c r="C10" s="294"/>
      <c r="D10" s="294" t="s">
        <v>431</v>
      </c>
      <c r="E10" s="294">
        <f>C10*'Prac. Rec. Assumptions'!B8</f>
        <v>0</v>
      </c>
      <c r="F10" s="294">
        <f t="shared" si="0"/>
        <v>0</v>
      </c>
      <c r="G10" s="294">
        <f t="shared" si="0"/>
        <v>0</v>
      </c>
      <c r="H10" s="294">
        <f t="shared" si="0"/>
        <v>0</v>
      </c>
      <c r="I10" s="16" t="str">
        <f>IF('Conversion Tables'!F11="NA","NA",$D10/'Conversion Tables'!F11)</f>
        <v>NA</v>
      </c>
      <c r="J10" s="16" t="str">
        <f>IF('Conversion Tables'!G11="NA","NA",$D10/'Conversion Tables'!G11)</f>
        <v>NA</v>
      </c>
      <c r="K10" s="16" t="str">
        <f>IF('Conversion Tables'!H11="NA","NA",$D10/'Conversion Tables'!H11)</f>
        <v>NA</v>
      </c>
      <c r="L10" s="16" t="str">
        <f>IF('Conversion Tables'!H11="NA","NA",$D10/'Conversion Tables'!H11)</f>
        <v>NA</v>
      </c>
      <c r="M10" s="16" t="str">
        <f>IF('Conversion Tables'!K11="NA","NA",E10*'Conversion Tables'!K11)</f>
        <v>NA</v>
      </c>
      <c r="N10" s="16" t="str">
        <f>IF('Conversion Tables'!L11="NA","NA",F10*'Conversion Tables'!L11)</f>
        <v>NA</v>
      </c>
      <c r="O10" s="16" t="str">
        <f>IF('Conversion Tables'!M11="NA","NA",G10*'Conversion Tables'!M11)</f>
        <v>NA</v>
      </c>
      <c r="P10" s="16" t="str">
        <f>IF('Conversion Tables'!N11="NA","NA",H10*'Conversion Tables'!N11)</f>
        <v>NA</v>
      </c>
      <c r="Q10" s="7"/>
    </row>
    <row r="11" spans="1:17" x14ac:dyDescent="0.25">
      <c r="A11" s="1065"/>
      <c r="B11" s="9" t="s">
        <v>524</v>
      </c>
      <c r="C11" s="295">
        <f t="shared" ref="C11:P11" si="1">SUM(C5:C10)</f>
        <v>8088.4135999999999</v>
      </c>
      <c r="D11" s="295">
        <f t="shared" si="1"/>
        <v>0</v>
      </c>
      <c r="E11" s="295">
        <f t="shared" si="1"/>
        <v>0</v>
      </c>
      <c r="F11" s="295">
        <f t="shared" si="1"/>
        <v>0</v>
      </c>
      <c r="G11" s="295">
        <f t="shared" si="1"/>
        <v>0</v>
      </c>
      <c r="H11" s="295">
        <f t="shared" si="1"/>
        <v>0</v>
      </c>
      <c r="I11" s="19">
        <f t="shared" si="1"/>
        <v>0</v>
      </c>
      <c r="J11" s="19">
        <f t="shared" si="1"/>
        <v>0</v>
      </c>
      <c r="K11" s="19">
        <f t="shared" si="1"/>
        <v>0</v>
      </c>
      <c r="L11" s="19">
        <f t="shared" si="1"/>
        <v>0</v>
      </c>
      <c r="M11" s="19">
        <f t="shared" si="1"/>
        <v>0</v>
      </c>
      <c r="N11" s="19">
        <f t="shared" si="1"/>
        <v>0</v>
      </c>
      <c r="O11" s="19">
        <f t="shared" si="1"/>
        <v>0</v>
      </c>
      <c r="P11" s="19">
        <f t="shared" si="1"/>
        <v>0</v>
      </c>
      <c r="Q11" s="19"/>
    </row>
    <row r="12" spans="1:17" x14ac:dyDescent="0.25">
      <c r="A12" s="8"/>
      <c r="C12" s="296"/>
      <c r="D12" s="296"/>
      <c r="E12" s="296"/>
      <c r="F12" s="296"/>
      <c r="G12" s="296"/>
      <c r="H12" s="296"/>
      <c r="I12" s="28"/>
      <c r="J12" s="28"/>
      <c r="K12" s="28"/>
      <c r="L12" s="28"/>
      <c r="M12" s="28"/>
      <c r="N12" s="28"/>
      <c r="O12" s="28"/>
      <c r="P12" s="28"/>
    </row>
    <row r="13" spans="1:17" x14ac:dyDescent="0.25">
      <c r="A13" s="1206" t="s">
        <v>514</v>
      </c>
      <c r="B13" s="1" t="s">
        <v>507</v>
      </c>
      <c r="C13" s="294">
        <f>D90</f>
        <v>0</v>
      </c>
      <c r="D13" s="294">
        <f>E13*'Conversion Tables'!C12</f>
        <v>0</v>
      </c>
      <c r="E13" s="294">
        <f>C13*'Prac. Rec. Assumptions'!B9</f>
        <v>0</v>
      </c>
      <c r="F13" s="294">
        <f>$E13</f>
        <v>0</v>
      </c>
      <c r="G13" s="294">
        <f>$E13</f>
        <v>0</v>
      </c>
      <c r="H13" s="294">
        <f>$E13</f>
        <v>0</v>
      </c>
      <c r="I13" s="16" t="str">
        <f>IF('Conversion Tables'!F12="NA","NA",(E13*'Conversion Tables'!$C12)/'Conversion Tables'!F12)</f>
        <v>NA</v>
      </c>
      <c r="J13" s="16" t="str">
        <f>IF('Conversion Tables'!G12="NA","NA",(F13*'Conversion Tables'!$C12)/'Conversion Tables'!G12)</f>
        <v>NA</v>
      </c>
      <c r="K13" s="16" t="str">
        <f>IF('Conversion Tables'!H12="NA","NA",(G13*'Conversion Tables'!$C12)/'Conversion Tables'!H12)</f>
        <v>NA</v>
      </c>
      <c r="L13" s="16" t="str">
        <f>IF('Conversion Tables'!I12="NA","NA",(H13*'Conversion Tables'!$C12)/'Conversion Tables'!I12)</f>
        <v>NA</v>
      </c>
      <c r="M13" s="16" t="str">
        <f>IF('Conversion Tables'!K12="NA","NA",E13*'Conversion Tables'!K12)</f>
        <v>NA</v>
      </c>
      <c r="N13" s="16" t="str">
        <f>IF('Conversion Tables'!L12="NA","NA",F13*'Conversion Tables'!L12)</f>
        <v>NA</v>
      </c>
      <c r="O13" s="16" t="str">
        <f>IF('Conversion Tables'!M12="NA","NA",G13*'Conversion Tables'!M12)</f>
        <v>NA</v>
      </c>
      <c r="P13" s="16" t="str">
        <f>IF('Conversion Tables'!N12="NA","NA",H13*'Conversion Tables'!N12)</f>
        <v>NA</v>
      </c>
      <c r="Q13" s="7"/>
    </row>
    <row r="14" spans="1:17" x14ac:dyDescent="0.25">
      <c r="A14" s="1207"/>
      <c r="B14" s="1" t="s">
        <v>504</v>
      </c>
      <c r="C14" s="294"/>
      <c r="D14" s="294"/>
      <c r="E14" s="294"/>
      <c r="F14" s="294"/>
      <c r="G14" s="294"/>
      <c r="H14" s="294"/>
      <c r="I14" s="16"/>
      <c r="J14" s="16"/>
      <c r="K14" s="16"/>
      <c r="L14" s="16"/>
      <c r="M14" s="16"/>
      <c r="N14" s="16"/>
      <c r="O14" s="16"/>
      <c r="P14" s="16"/>
      <c r="Q14" s="7"/>
    </row>
    <row r="15" spans="1:17" x14ac:dyDescent="0.25">
      <c r="A15" s="1207"/>
      <c r="B15" s="11" t="str">
        <f>IF('Prac. Rec. Assumptions'!$B$56='Prac. Rec. Assumptions'!$V$3,A81,IF('Prac. Rec. Assumptions'!B57="No",A81,"Sweet Corn- Converted to Energy Crop"))</f>
        <v>Sweet Corn</v>
      </c>
      <c r="C15" s="294">
        <f>IF('Prac. Rec. Assumptions'!$B$56='Prac. Rec. Assumptions'!$V$3,D81,IF('Prac. Rec. Assumptions'!B58="No",D81,0))</f>
        <v>18.7</v>
      </c>
      <c r="D15" s="294">
        <f>E15*'Conversion Tables'!C14</f>
        <v>235.35072</v>
      </c>
      <c r="E15" s="294">
        <f>C15*'Prac. Rec. Assumptions'!B11</f>
        <v>14.96</v>
      </c>
      <c r="F15" s="294">
        <f>$E15</f>
        <v>14.96</v>
      </c>
      <c r="G15" s="294">
        <f>$E15</f>
        <v>14.96</v>
      </c>
      <c r="H15" s="294">
        <f>$E15</f>
        <v>14.96</v>
      </c>
      <c r="I15" s="16" t="str">
        <f>IF('Conversion Tables'!F14="NA","NA",(E15*'Conversion Tables'!$C14)/'Conversion Tables'!F14)</f>
        <v>NA</v>
      </c>
      <c r="J15" s="16" t="str">
        <f>IF('Conversion Tables'!G14="NA","NA",(F15*'Conversion Tables'!$C14)/'Conversion Tables'!G14)</f>
        <v>NA</v>
      </c>
      <c r="K15" s="16" t="str">
        <f>IF('Conversion Tables'!H14="NA","NA",(G15*'Conversion Tables'!$C14)/'Conversion Tables'!H14)</f>
        <v>NA</v>
      </c>
      <c r="L15" s="16" t="str">
        <f>IF('Conversion Tables'!I14="NA","NA",(H15*'Conversion Tables'!$C14)/'Conversion Tables'!I14)</f>
        <v>NA</v>
      </c>
      <c r="M15" s="16" t="str">
        <f>IF('Conversion Tables'!K14="NA","NA",E15*'Conversion Tables'!K14)</f>
        <v>NA</v>
      </c>
      <c r="N15" s="16" t="str">
        <f>IF('Conversion Tables'!L14="NA","NA",F15*'Conversion Tables'!L14)</f>
        <v>NA</v>
      </c>
      <c r="O15" s="16" t="str">
        <f>IF('Conversion Tables'!M14="NA","NA",G15*'Conversion Tables'!M14)</f>
        <v>NA</v>
      </c>
      <c r="P15" s="16" t="str">
        <f>IF('Conversion Tables'!N14="NA","NA",H15*'Conversion Tables'!N14)</f>
        <v>NA</v>
      </c>
      <c r="Q15" s="15"/>
    </row>
    <row r="16" spans="1:17" x14ac:dyDescent="0.25">
      <c r="A16" s="1207"/>
      <c r="B16" s="11" t="str">
        <f>IF('Prac. Rec. Assumptions'!$B$56='Prac. Rec. Assumptions'!$V$3,A82,IF('Prac. Rec. Assumptions'!B58="No",A82,"Rye- Converted to Energy Crop"))</f>
        <v>Rye</v>
      </c>
      <c r="C16" s="294">
        <f>IF('Prac. Rec. Assumptions'!$B$56='Prac. Rec. Assumptions'!$V$3,D82,IF('Prac. Rec. Assumptions'!B59="No",D82,0))</f>
        <v>1180.0125</v>
      </c>
      <c r="D16" s="294">
        <f>E16*'Conversion Tables'!C15</f>
        <v>0</v>
      </c>
      <c r="E16" s="294">
        <f>C16*'Prac. Rec. Assumptions'!B12</f>
        <v>0</v>
      </c>
      <c r="F16" s="294">
        <f t="shared" ref="F16:H23" si="2">$E16</f>
        <v>0</v>
      </c>
      <c r="G16" s="294">
        <f t="shared" si="2"/>
        <v>0</v>
      </c>
      <c r="H16" s="294">
        <f t="shared" si="2"/>
        <v>0</v>
      </c>
      <c r="I16" s="16" t="str">
        <f>IF('Conversion Tables'!F15="NA","NA",(E16*'Conversion Tables'!$C15)/'Conversion Tables'!F15)</f>
        <v>NA</v>
      </c>
      <c r="J16" s="16" t="str">
        <f>IF('Conversion Tables'!G15="NA","NA",(F16*'Conversion Tables'!$C15)/'Conversion Tables'!G15)</f>
        <v>NA</v>
      </c>
      <c r="K16" s="16" t="str">
        <f>IF('Conversion Tables'!H15="NA","NA",(G16*'Conversion Tables'!$C15)/'Conversion Tables'!H15)</f>
        <v>NA</v>
      </c>
      <c r="L16" s="16" t="str">
        <f>IF('Conversion Tables'!I15="NA","NA",(H16*'Conversion Tables'!$C15)/'Conversion Tables'!I15)</f>
        <v>NA</v>
      </c>
      <c r="M16" s="16" t="str">
        <f>IF('Conversion Tables'!K15="NA","NA",E16*'Conversion Tables'!K15)</f>
        <v>NA</v>
      </c>
      <c r="N16" s="16" t="str">
        <f>IF('Conversion Tables'!L15="NA","NA",F16*'Conversion Tables'!L15)</f>
        <v>NA</v>
      </c>
      <c r="O16" s="16" t="str">
        <f>IF('Conversion Tables'!M15="NA","NA",G16*'Conversion Tables'!M15)</f>
        <v>NA</v>
      </c>
      <c r="P16" s="16" t="str">
        <f>IF('Conversion Tables'!N15="NA","NA",H16*'Conversion Tables'!N15)</f>
        <v>NA</v>
      </c>
      <c r="Q16" s="15"/>
    </row>
    <row r="17" spans="1:17" x14ac:dyDescent="0.25">
      <c r="A17" s="1207"/>
      <c r="B17" s="11" t="str">
        <f>IF('Prac. Rec. Assumptions'!$B$56='Prac. Rec. Assumptions'!$V$3,A83,IF('Prac. Rec. Assumptions'!B59="No",A83,"Corn for Grain- Converted to Energy Crop"))</f>
        <v>Corn for Grain</v>
      </c>
      <c r="C17" s="294">
        <f>IF('Prac. Rec. Assumptions'!$B$56='Prac. Rec. Assumptions'!$V$3,D83,IF('Prac. Rec. Assumptions'!B60="No",D83,0))</f>
        <v>3355.375</v>
      </c>
      <c r="D17" s="294">
        <f>E17*'Conversion Tables'!C16</f>
        <v>44868.745574999994</v>
      </c>
      <c r="E17" s="294">
        <f>C17*'Prac. Rec. Assumptions'!B13</f>
        <v>2852.0687499999999</v>
      </c>
      <c r="F17" s="294">
        <f t="shared" si="2"/>
        <v>2852.0687499999999</v>
      </c>
      <c r="G17" s="294">
        <f t="shared" si="2"/>
        <v>2852.0687499999999</v>
      </c>
      <c r="H17" s="294">
        <f t="shared" si="2"/>
        <v>2852.0687499999999</v>
      </c>
      <c r="I17" s="16" t="str">
        <f>IF('Conversion Tables'!F16="NA","NA",(E17*'Conversion Tables'!$C16)/'Conversion Tables'!F16)</f>
        <v>NA</v>
      </c>
      <c r="J17" s="16" t="str">
        <f>IF('Conversion Tables'!G16="NA","NA",(F17*'Conversion Tables'!$C16)/'Conversion Tables'!G16)</f>
        <v>NA</v>
      </c>
      <c r="K17" s="16" t="str">
        <f>IF('Conversion Tables'!H16="NA","NA",(G17*'Conversion Tables'!$C16)/'Conversion Tables'!H16)</f>
        <v>NA</v>
      </c>
      <c r="L17" s="16" t="str">
        <f>IF('Conversion Tables'!I16="NA","NA",(H17*'Conversion Tables'!$C16)/'Conversion Tables'!I16)</f>
        <v>NA</v>
      </c>
      <c r="M17" s="16" t="str">
        <f>IF('Conversion Tables'!K16="NA","NA",E17*'Conversion Tables'!K16)</f>
        <v>NA</v>
      </c>
      <c r="N17" s="16" t="str">
        <f>IF('Conversion Tables'!L16="NA","NA",F17*'Conversion Tables'!L16)</f>
        <v>NA</v>
      </c>
      <c r="O17" s="16" t="str">
        <f>IF('Conversion Tables'!M16="NA","NA",G17*'Conversion Tables'!M16)</f>
        <v>NA</v>
      </c>
      <c r="P17" s="16" t="str">
        <f>IF('Conversion Tables'!N16="NA","NA",H17*'Conversion Tables'!N16)</f>
        <v>NA</v>
      </c>
      <c r="Q17" s="15"/>
    </row>
    <row r="18" spans="1:17" x14ac:dyDescent="0.25">
      <c r="A18" s="1207"/>
      <c r="B18" s="11" t="str">
        <f>IF('Prac. Rec. Assumptions'!$B$56='Prac. Rec. Assumptions'!$V$3,A84,IF('Prac. Rec. Assumptions'!B60="No",A84,"Corn for Silage- Converted to Energy Crop"))</f>
        <v>Corn for Silage</v>
      </c>
      <c r="C18" s="294">
        <f>IF('Prac. Rec. Assumptions'!$B$56='Prac. Rec. Assumptions'!$V$3,D84,IF('Prac. Rec. Assumptions'!B61="No",D84,0))</f>
        <v>1693.3</v>
      </c>
      <c r="D18" s="294">
        <f>E18*'Conversion Tables'!C17</f>
        <v>19979.246699999996</v>
      </c>
      <c r="E18" s="294">
        <f>C18*'Prac. Rec. Assumptions'!B14</f>
        <v>1269.9749999999999</v>
      </c>
      <c r="F18" s="294">
        <f t="shared" si="2"/>
        <v>1269.9749999999999</v>
      </c>
      <c r="G18" s="294">
        <f t="shared" si="2"/>
        <v>1269.9749999999999</v>
      </c>
      <c r="H18" s="294">
        <f t="shared" si="2"/>
        <v>1269.9749999999999</v>
      </c>
      <c r="I18" s="16" t="str">
        <f>IF('Conversion Tables'!F17="NA","NA",(E18*'Conversion Tables'!$C17)/'Conversion Tables'!F17)</f>
        <v>NA</v>
      </c>
      <c r="J18" s="16" t="str">
        <f>IF('Conversion Tables'!G17="NA","NA",(F18*'Conversion Tables'!$C17)/'Conversion Tables'!G17)</f>
        <v>NA</v>
      </c>
      <c r="K18" s="16" t="str">
        <f>IF('Conversion Tables'!H17="NA","NA",(G18*'Conversion Tables'!$C17)/'Conversion Tables'!H17)</f>
        <v>NA</v>
      </c>
      <c r="L18" s="16" t="str">
        <f>IF('Conversion Tables'!I17="NA","NA",(H18*'Conversion Tables'!$C17)/'Conversion Tables'!I17)</f>
        <v>NA</v>
      </c>
      <c r="M18" s="16" t="str">
        <f>IF('Conversion Tables'!K17="NA","NA",E18*'Conversion Tables'!K17)</f>
        <v>NA</v>
      </c>
      <c r="N18" s="16" t="str">
        <f>IF('Conversion Tables'!L17="NA","NA",F18*'Conversion Tables'!L17)</f>
        <v>NA</v>
      </c>
      <c r="O18" s="16" t="str">
        <f>IF('Conversion Tables'!M17="NA","NA",G18*'Conversion Tables'!M17)</f>
        <v>NA</v>
      </c>
      <c r="P18" s="16" t="str">
        <f>IF('Conversion Tables'!N17="NA","NA",H18*'Conversion Tables'!N17)</f>
        <v>NA</v>
      </c>
      <c r="Q18" s="15"/>
    </row>
    <row r="19" spans="1:17" x14ac:dyDescent="0.25">
      <c r="A19" s="1207"/>
      <c r="B19" s="11" t="str">
        <f>IF('Prac. Rec. Assumptions'!$B$56='Prac. Rec. Assumptions'!$V$3,A85,IF('Prac. Rec. Assumptions'!B61="No",A85,"Alfalfa Hay- Converted to Energy Crop"))</f>
        <v>Alfalfa Hay</v>
      </c>
      <c r="C19" s="294">
        <f>IF('Prac. Rec. Assumptions'!$B$56='Prac. Rec. Assumptions'!$V$3,D85,IF('Prac. Rec. Assumptions'!B62="No",D85,0))</f>
        <v>4909.5999999999995</v>
      </c>
      <c r="D19" s="294">
        <f>E19*'Conversion Tables'!C18</f>
        <v>0</v>
      </c>
      <c r="E19" s="294">
        <f>C19*'Prac. Rec. Assumptions'!B15</f>
        <v>0</v>
      </c>
      <c r="F19" s="294">
        <f t="shared" si="2"/>
        <v>0</v>
      </c>
      <c r="G19" s="294">
        <f t="shared" si="2"/>
        <v>0</v>
      </c>
      <c r="H19" s="294">
        <f t="shared" si="2"/>
        <v>0</v>
      </c>
      <c r="I19" s="16" t="str">
        <f>IF('Conversion Tables'!F18="NA","NA",(E19*'Conversion Tables'!$C18)/'Conversion Tables'!F18)</f>
        <v>NA</v>
      </c>
      <c r="J19" s="16" t="str">
        <f>IF('Conversion Tables'!G18="NA","NA",(F19*'Conversion Tables'!$C18)/'Conversion Tables'!G18)</f>
        <v>NA</v>
      </c>
      <c r="K19" s="16" t="str">
        <f>IF('Conversion Tables'!H18="NA","NA",(G19*'Conversion Tables'!$C18)/'Conversion Tables'!H18)</f>
        <v>NA</v>
      </c>
      <c r="L19" s="16" t="str">
        <f>IF('Conversion Tables'!I18="NA","NA",(H19*'Conversion Tables'!$C18)/'Conversion Tables'!I18)</f>
        <v>NA</v>
      </c>
      <c r="M19" s="16" t="str">
        <f>IF('Conversion Tables'!K18="NA","NA",E19*'Conversion Tables'!K18)</f>
        <v>NA</v>
      </c>
      <c r="N19" s="16" t="str">
        <f>IF('Conversion Tables'!L18="NA","NA",F19*'Conversion Tables'!L18)</f>
        <v>NA</v>
      </c>
      <c r="O19" s="16" t="str">
        <f>IF('Conversion Tables'!M18="NA","NA",G19*'Conversion Tables'!M18)</f>
        <v>NA</v>
      </c>
      <c r="P19" s="16" t="str">
        <f>IF('Conversion Tables'!N18="NA","NA",H19*'Conversion Tables'!N18)</f>
        <v>NA</v>
      </c>
      <c r="Q19" s="15"/>
    </row>
    <row r="20" spans="1:17" x14ac:dyDescent="0.25">
      <c r="A20" s="1207"/>
      <c r="B20" s="11" t="str">
        <f>IF('Prac. Rec. Assumptions'!$B$56='Prac. Rec. Assumptions'!$V$3,A86,IF('Prac. Rec. Assumptions'!B62="No",A86,"Other Hay- Converted to Energy Crop"))</f>
        <v>Other Hay</v>
      </c>
      <c r="C20" s="294">
        <f>IF('Prac. Rec. Assumptions'!$B$56='Prac. Rec. Assumptions'!$V$3,D86,IF('Prac. Rec. Assumptions'!B63="No",D86,0))</f>
        <v>12536.819999999998</v>
      </c>
      <c r="D20" s="294">
        <f>E20*'Conversion Tables'!C19</f>
        <v>97787.195999999982</v>
      </c>
      <c r="E20" s="294">
        <f>C20*'Prac. Rec. Assumptions'!B16</f>
        <v>6268.4099999999989</v>
      </c>
      <c r="F20" s="294">
        <f t="shared" si="2"/>
        <v>6268.4099999999989</v>
      </c>
      <c r="G20" s="294">
        <f t="shared" si="2"/>
        <v>6268.4099999999989</v>
      </c>
      <c r="H20" s="294">
        <f t="shared" si="2"/>
        <v>6268.4099999999989</v>
      </c>
      <c r="I20" s="16" t="str">
        <f>IF('Conversion Tables'!F19="NA","NA",(E20*'Conversion Tables'!$C19)/'Conversion Tables'!F19)</f>
        <v>NA</v>
      </c>
      <c r="J20" s="16" t="str">
        <f>IF('Conversion Tables'!G19="NA","NA",(F20*'Conversion Tables'!$C19)/'Conversion Tables'!G19)</f>
        <v>NA</v>
      </c>
      <c r="K20" s="16" t="str">
        <f>IF('Conversion Tables'!H19="NA","NA",(G20*'Conversion Tables'!$C19)/'Conversion Tables'!H19)</f>
        <v>NA</v>
      </c>
      <c r="L20" s="16" t="str">
        <f>IF('Conversion Tables'!I19="NA","NA",(H20*'Conversion Tables'!$C19)/'Conversion Tables'!I19)</f>
        <v>NA</v>
      </c>
      <c r="M20" s="16" t="str">
        <f>IF('Conversion Tables'!K19="NA","NA",E20*'Conversion Tables'!K19)</f>
        <v>NA</v>
      </c>
      <c r="N20" s="16" t="str">
        <f>IF('Conversion Tables'!L19="NA","NA",F20*'Conversion Tables'!L19)</f>
        <v>NA</v>
      </c>
      <c r="O20" s="16" t="str">
        <f>IF('Conversion Tables'!M19="NA","NA",G20*'Conversion Tables'!M19)</f>
        <v>NA</v>
      </c>
      <c r="P20" s="16" t="str">
        <f>IF('Conversion Tables'!N19="NA","NA",H20*'Conversion Tables'!N19)</f>
        <v>NA</v>
      </c>
      <c r="Q20" s="15"/>
    </row>
    <row r="21" spans="1:17" x14ac:dyDescent="0.25">
      <c r="A21" s="1207"/>
      <c r="B21" s="11" t="str">
        <f>IF('Prac. Rec. Assumptions'!$B$56='Prac. Rec. Assumptions'!$V$3,A87,IF('Prac. Rec. Assumptions'!B63="No",A87,"Wheat- Converted to Energy Crop"))</f>
        <v>Wheat</v>
      </c>
      <c r="C21" s="294">
        <f>IF('Prac. Rec. Assumptions'!$B$56='Prac. Rec. Assumptions'!$V$3,D87,IF('Prac. Rec. Assumptions'!B64="No",D87,0))</f>
        <v>1658.5625</v>
      </c>
      <c r="D21" s="294">
        <f>E21*'Conversion Tables'!C20</f>
        <v>0</v>
      </c>
      <c r="E21" s="294">
        <f>C21*'Prac. Rec. Assumptions'!B17</f>
        <v>0</v>
      </c>
      <c r="F21" s="294">
        <f t="shared" si="2"/>
        <v>0</v>
      </c>
      <c r="G21" s="294">
        <f t="shared" si="2"/>
        <v>0</v>
      </c>
      <c r="H21" s="294">
        <f t="shared" si="2"/>
        <v>0</v>
      </c>
      <c r="I21" s="16" t="str">
        <f>IF('Conversion Tables'!F20="NA","NA",(E21*'Conversion Tables'!$C20)/'Conversion Tables'!F20)</f>
        <v>NA</v>
      </c>
      <c r="J21" s="16" t="str">
        <f>IF('Conversion Tables'!G20="NA","NA",(F21*'Conversion Tables'!$C20)/'Conversion Tables'!G20)</f>
        <v>NA</v>
      </c>
      <c r="K21" s="16" t="str">
        <f>IF('Conversion Tables'!H20="NA","NA",(G21*'Conversion Tables'!$C20)/'Conversion Tables'!H20)</f>
        <v>NA</v>
      </c>
      <c r="L21" s="16" t="str">
        <f>IF('Conversion Tables'!I20="NA","NA",(H21*'Conversion Tables'!$C20)/'Conversion Tables'!I20)</f>
        <v>NA</v>
      </c>
      <c r="M21" s="16" t="str">
        <f>IF('Conversion Tables'!K20="NA","NA",E21*'Conversion Tables'!K20)</f>
        <v>NA</v>
      </c>
      <c r="N21" s="16" t="str">
        <f>IF('Conversion Tables'!L20="NA","NA",F21*'Conversion Tables'!L20)</f>
        <v>NA</v>
      </c>
      <c r="O21" s="16" t="str">
        <f>IF('Conversion Tables'!M20="NA","NA",G21*'Conversion Tables'!M20)</f>
        <v>NA</v>
      </c>
      <c r="P21" s="16" t="str">
        <f>IF('Conversion Tables'!N20="NA","NA",H21*'Conversion Tables'!N20)</f>
        <v>NA</v>
      </c>
      <c r="Q21" s="15"/>
    </row>
    <row r="22" spans="1:17" x14ac:dyDescent="0.25">
      <c r="A22" s="1207"/>
      <c r="B22" s="148" t="s">
        <v>205</v>
      </c>
      <c r="C22" s="294">
        <f>'Biomass Data Assumptions'!P24*1000*'Energy Content Assumptions'!C18</f>
        <v>17952</v>
      </c>
      <c r="D22" s="294">
        <f>E22*'Conversion Tables'!C21</f>
        <v>140025.60000000001</v>
      </c>
      <c r="E22" s="294">
        <f>C22*'Prac. Rec. Assumptions'!B18</f>
        <v>8976</v>
      </c>
      <c r="F22" s="294">
        <f t="shared" si="2"/>
        <v>8976</v>
      </c>
      <c r="G22" s="294">
        <f t="shared" si="2"/>
        <v>8976</v>
      </c>
      <c r="H22" s="294">
        <f t="shared" si="2"/>
        <v>8976</v>
      </c>
      <c r="I22" s="16" t="str">
        <f>IF('Conversion Tables'!F21="NA","NA",(E22*'Conversion Tables'!$C21)/'Conversion Tables'!F21)</f>
        <v>NA</v>
      </c>
      <c r="J22" s="16" t="str">
        <f>IF('Conversion Tables'!G21="NA","NA",(F22*'Conversion Tables'!$C21)/'Conversion Tables'!G21)</f>
        <v>NA</v>
      </c>
      <c r="K22" s="16" t="str">
        <f>IF('Conversion Tables'!H21="NA","NA",(G22*'Conversion Tables'!$C21)/'Conversion Tables'!H21)</f>
        <v>NA</v>
      </c>
      <c r="L22" s="16" t="str">
        <f>IF('Conversion Tables'!I21="NA","NA",(H22*'Conversion Tables'!$C21)/'Conversion Tables'!I21)</f>
        <v>NA</v>
      </c>
      <c r="M22" s="16" t="str">
        <f>IF('Conversion Tables'!K21="NA","NA",E22*'Conversion Tables'!K21)</f>
        <v>NA</v>
      </c>
      <c r="N22" s="16" t="str">
        <f>IF('Conversion Tables'!L21="NA","NA",F22*'Conversion Tables'!L21)</f>
        <v>NA</v>
      </c>
      <c r="O22" s="16" t="str">
        <f>IF('Conversion Tables'!M21="NA","NA",G22*'Conversion Tables'!M21)</f>
        <v>NA</v>
      </c>
      <c r="P22" s="16" t="str">
        <f>IF('Conversion Tables'!N21="NA","NA",H22*'Conversion Tables'!N21)</f>
        <v>NA</v>
      </c>
      <c r="Q22" s="15"/>
    </row>
    <row r="23" spans="1:17" x14ac:dyDescent="0.25">
      <c r="A23" s="1207"/>
      <c r="B23" s="2" t="s">
        <v>302</v>
      </c>
      <c r="C23" s="294">
        <f>B133</f>
        <v>11.46</v>
      </c>
      <c r="D23" s="294">
        <f>E23*'Conversion Tables'!C22</f>
        <v>187.21055999999999</v>
      </c>
      <c r="E23" s="294">
        <f>C23*'Prac. Rec. Assumptions'!B19</f>
        <v>11.46</v>
      </c>
      <c r="F23" s="297">
        <f t="shared" si="2"/>
        <v>11.46</v>
      </c>
      <c r="G23" s="297">
        <f t="shared" si="2"/>
        <v>11.46</v>
      </c>
      <c r="H23" s="297">
        <f t="shared" si="2"/>
        <v>11.46</v>
      </c>
      <c r="I23" s="16" t="str">
        <f>IF('Conversion Tables'!F22="NA","NA",(E23*'Conversion Tables'!$C22)/'Conversion Tables'!F22)</f>
        <v>NA</v>
      </c>
      <c r="J23" s="16" t="str">
        <f>IF('Conversion Tables'!G22="NA","NA",(F23*'Conversion Tables'!$C22)/'Conversion Tables'!G22)</f>
        <v>NA</v>
      </c>
      <c r="K23" s="16" t="str">
        <f>IF('Conversion Tables'!H22="NA","NA",(G23*'Conversion Tables'!$C22)/'Conversion Tables'!H22)</f>
        <v>NA</v>
      </c>
      <c r="L23" s="16" t="str">
        <f>IF('Conversion Tables'!I22="NA","NA",(H23*'Conversion Tables'!$C22)/'Conversion Tables'!I22)</f>
        <v>NA</v>
      </c>
      <c r="M23" s="16" t="str">
        <f>IF('Conversion Tables'!K22="NA","NA",E23*'Conversion Tables'!K22)</f>
        <v>NA</v>
      </c>
      <c r="N23" s="16" t="str">
        <f>IF('Conversion Tables'!L22="NA","NA",F23*'Conversion Tables'!L22)</f>
        <v>NA</v>
      </c>
      <c r="O23" s="16" t="str">
        <f>IF('Conversion Tables'!M22="NA","NA",G23*'Conversion Tables'!M22)</f>
        <v>NA</v>
      </c>
      <c r="P23" s="16" t="str">
        <f>IF('Conversion Tables'!N22="NA","NA",H23*'Conversion Tables'!N22)</f>
        <v>NA</v>
      </c>
      <c r="Q23" s="7"/>
    </row>
    <row r="24" spans="1:17" x14ac:dyDescent="0.25">
      <c r="A24" s="1207"/>
      <c r="B24" s="1" t="s">
        <v>518</v>
      </c>
      <c r="C24" s="294"/>
      <c r="D24" s="294"/>
      <c r="E24" s="294"/>
      <c r="F24" s="294"/>
      <c r="G24" s="294"/>
      <c r="H24" s="294"/>
      <c r="I24" s="16"/>
      <c r="J24" s="16"/>
      <c r="K24" s="16"/>
      <c r="L24" s="16"/>
      <c r="M24" s="16"/>
      <c r="N24" s="16"/>
      <c r="O24" s="16"/>
      <c r="P24" s="16"/>
      <c r="Q24" s="7"/>
    </row>
    <row r="25" spans="1:17" x14ac:dyDescent="0.25">
      <c r="A25" s="1207"/>
      <c r="B25" s="11" t="s">
        <v>559</v>
      </c>
      <c r="C25" s="294">
        <f>C128</f>
        <v>4519.46</v>
      </c>
      <c r="D25" s="294">
        <f>E25*'Conversion Tables'!C24</f>
        <v>79994.441999999995</v>
      </c>
      <c r="E25" s="294">
        <f>C25*'Prac. Rec. Assumptions'!B21</f>
        <v>4519.46</v>
      </c>
      <c r="F25" s="294">
        <f>($C25*(1+'Biomass Data Assumptions'!G$109))*'Prac. Rec. Assumptions'!$B21</f>
        <v>4691.4567759900992</v>
      </c>
      <c r="G25" s="294">
        <f>($C25*(1+'Biomass Data Assumptions'!H$109))*'Prac. Rec. Assumptions'!$B21</f>
        <v>4919.3874628712865</v>
      </c>
      <c r="H25" s="294">
        <f>($C25*(1+'Biomass Data Assumptions'!I$109))*'Prac. Rec. Assumptions'!$B21</f>
        <v>5089.985891089108</v>
      </c>
      <c r="I25" s="16" t="str">
        <f>IF('Conversion Tables'!F24="NA","NA",(E25*'Conversion Tables'!$C24)/'Conversion Tables'!F24)</f>
        <v>NA</v>
      </c>
      <c r="J25" s="16" t="str">
        <f>IF('Conversion Tables'!G24="NA","NA",(F25*'Conversion Tables'!$C24)/'Conversion Tables'!G24)</f>
        <v>NA</v>
      </c>
      <c r="K25" s="16" t="str">
        <f>IF('Conversion Tables'!H24="NA","NA",(G25*'Conversion Tables'!$C24)/'Conversion Tables'!H24)</f>
        <v>NA</v>
      </c>
      <c r="L25" s="16" t="str">
        <f>IF('Conversion Tables'!I24="NA","NA",(H25*'Conversion Tables'!$C24)/'Conversion Tables'!I24)</f>
        <v>NA</v>
      </c>
      <c r="M25" s="16" t="str">
        <f>IF('Conversion Tables'!K24="NA","NA",E25*'Conversion Tables'!K24)</f>
        <v>NA</v>
      </c>
      <c r="N25" s="16" t="str">
        <f>IF('Conversion Tables'!L24="NA","NA",F25*'Conversion Tables'!L24)</f>
        <v>NA</v>
      </c>
      <c r="O25" s="16" t="str">
        <f>IF('Conversion Tables'!M24="NA","NA",G25*'Conversion Tables'!M24)</f>
        <v>NA</v>
      </c>
      <c r="P25" s="16" t="str">
        <f>IF('Conversion Tables'!N24="NA","NA",H25*'Conversion Tables'!N24)</f>
        <v>NA</v>
      </c>
      <c r="Q25" s="13"/>
    </row>
    <row r="26" spans="1:17" x14ac:dyDescent="0.25">
      <c r="A26" s="1207"/>
      <c r="B26" s="11" t="s">
        <v>560</v>
      </c>
      <c r="C26" s="294">
        <f>C129</f>
        <v>205.23333333333335</v>
      </c>
      <c r="D26" s="294">
        <f>E26*'Conversion Tables'!C25</f>
        <v>3201.6400000000003</v>
      </c>
      <c r="E26" s="294">
        <f>C26*'Prac. Rec. Assumptions'!B22</f>
        <v>205.23333333333335</v>
      </c>
      <c r="F26" s="294">
        <f>($C26*(1+'Biomass Data Assumptions'!G$109))*'Prac. Rec. Assumptions'!$B22</f>
        <v>213.04388407590761</v>
      </c>
      <c r="G26" s="294">
        <f>($C26*(1+'Biomass Data Assumptions'!H$109))*'Prac. Rec. Assumptions'!$B22</f>
        <v>223.39445132013202</v>
      </c>
      <c r="H26" s="294">
        <f>($C26*(1+'Biomass Data Assumptions'!I$109))*'Prac. Rec. Assumptions'!$B22</f>
        <v>231.141501650165</v>
      </c>
      <c r="I26" s="16" t="str">
        <f>IF('Conversion Tables'!F25="NA","NA",(E26*'Conversion Tables'!$C25)/'Conversion Tables'!F25)</f>
        <v>NA</v>
      </c>
      <c r="J26" s="16" t="str">
        <f>IF('Conversion Tables'!G25="NA","NA",(F26*'Conversion Tables'!$C25)/'Conversion Tables'!G25)</f>
        <v>NA</v>
      </c>
      <c r="K26" s="16" t="str">
        <f>IF('Conversion Tables'!H25="NA","NA",(G26*'Conversion Tables'!$C25)/'Conversion Tables'!H25)</f>
        <v>NA</v>
      </c>
      <c r="L26" s="16" t="str">
        <f>IF('Conversion Tables'!I25="NA","NA",(H26*'Conversion Tables'!$C25)/'Conversion Tables'!I25)</f>
        <v>NA</v>
      </c>
      <c r="M26" s="16" t="str">
        <f>IF('Conversion Tables'!K25="NA","NA",E26*'Conversion Tables'!K25)</f>
        <v>NA</v>
      </c>
      <c r="N26" s="16" t="str">
        <f>IF('Conversion Tables'!L25="NA","NA",F26*'Conversion Tables'!L25)</f>
        <v>NA</v>
      </c>
      <c r="O26" s="16" t="str">
        <f>IF('Conversion Tables'!M25="NA","NA",G26*'Conversion Tables'!M25)</f>
        <v>NA</v>
      </c>
      <c r="P26" s="16" t="str">
        <f>IF('Conversion Tables'!N25="NA","NA",H26*'Conversion Tables'!N25)</f>
        <v>NA</v>
      </c>
      <c r="Q26" s="13"/>
    </row>
    <row r="27" spans="1:17" x14ac:dyDescent="0.25">
      <c r="A27" s="1207"/>
      <c r="B27" s="11" t="s">
        <v>561</v>
      </c>
      <c r="C27" s="294">
        <f>C130</f>
        <v>2692.3566666666666</v>
      </c>
      <c r="D27" s="294">
        <f>E27*'Conversion Tables'!C26</f>
        <v>42000.763999999996</v>
      </c>
      <c r="E27" s="294">
        <f>C27*'Prac. Rec. Assumptions'!B23</f>
        <v>2692.3566666666666</v>
      </c>
      <c r="F27" s="294">
        <f>($C27*(1+'Biomass Data Assumptions'!G$109))*'Prac. Rec. Assumptions'!$B23</f>
        <v>2794.8194977310231</v>
      </c>
      <c r="G27" s="294">
        <f>($C27*(1+'Biomass Data Assumptions'!H$109))*'Prac. Rec. Assumptions'!$B23</f>
        <v>2930.6035746699667</v>
      </c>
      <c r="H27" s="294">
        <f>($C27*(1+'Biomass Data Assumptions'!I$109))*'Prac. Rec. Assumptions'!$B23</f>
        <v>3032.2333745874585</v>
      </c>
      <c r="I27" s="16" t="str">
        <f>IF('Conversion Tables'!F26="NA","NA",(E27*'Conversion Tables'!$C26)/'Conversion Tables'!F26)</f>
        <v>NA</v>
      </c>
      <c r="J27" s="16" t="str">
        <f>IF('Conversion Tables'!G26="NA","NA",(F27*'Conversion Tables'!$C26)/'Conversion Tables'!G26)</f>
        <v>NA</v>
      </c>
      <c r="K27" s="16" t="str">
        <f>IF('Conversion Tables'!H26="NA","NA",(G27*'Conversion Tables'!$C26)/'Conversion Tables'!H26)</f>
        <v>NA</v>
      </c>
      <c r="L27" s="16" t="str">
        <f>IF('Conversion Tables'!I26="NA","NA",(H27*'Conversion Tables'!$C26)/'Conversion Tables'!I26)</f>
        <v>NA</v>
      </c>
      <c r="M27" s="16" t="str">
        <f>IF('Conversion Tables'!K26="NA","NA",E27*'Conversion Tables'!K26)</f>
        <v>NA</v>
      </c>
      <c r="N27" s="16" t="str">
        <f>IF('Conversion Tables'!L26="NA","NA",F27*'Conversion Tables'!L26)</f>
        <v>NA</v>
      </c>
      <c r="O27" s="16" t="str">
        <f>IF('Conversion Tables'!M26="NA","NA",G27*'Conversion Tables'!M26)</f>
        <v>NA</v>
      </c>
      <c r="P27" s="16" t="str">
        <f>IF('Conversion Tables'!N26="NA","NA",H27*'Conversion Tables'!N26)</f>
        <v>NA</v>
      </c>
      <c r="Q27" s="13"/>
    </row>
    <row r="28" spans="1:17" x14ac:dyDescent="0.25">
      <c r="A28" s="1207"/>
      <c r="B28" s="11" t="s">
        <v>562</v>
      </c>
      <c r="C28" s="294">
        <f>C131</f>
        <v>266.35500000000002</v>
      </c>
      <c r="D28" s="294">
        <f>E28*'Conversion Tables'!C27</f>
        <v>4714.4835000000003</v>
      </c>
      <c r="E28" s="294">
        <f>C28*'Prac. Rec. Assumptions'!B24</f>
        <v>266.35500000000002</v>
      </c>
      <c r="F28" s="294">
        <f>($C28*(1+'Biomass Data Assumptions'!G$109))*'Prac. Rec. Assumptions'!$B24</f>
        <v>276.49165377475254</v>
      </c>
      <c r="G28" s="294">
        <f>($C28*(1+'Biomass Data Assumptions'!H$109))*'Prac. Rec. Assumptions'!$B24</f>
        <v>289.92478032178218</v>
      </c>
      <c r="H28" s="294">
        <f>($C28*(1+'Biomass Data Assumptions'!I$109))*'Prac. Rec. Assumptions'!$B24</f>
        <v>299.97902227722773</v>
      </c>
      <c r="I28" s="16" t="str">
        <f>IF('Conversion Tables'!F27="NA","NA",(E28*'Conversion Tables'!$C27)/'Conversion Tables'!F27)</f>
        <v>NA</v>
      </c>
      <c r="J28" s="16" t="str">
        <f>IF('Conversion Tables'!G27="NA","NA",(F28*'Conversion Tables'!$C27)/'Conversion Tables'!G27)</f>
        <v>NA</v>
      </c>
      <c r="K28" s="16" t="str">
        <f>IF('Conversion Tables'!H27="NA","NA",(G28*'Conversion Tables'!$C27)/'Conversion Tables'!H27)</f>
        <v>NA</v>
      </c>
      <c r="L28" s="16" t="str">
        <f>IF('Conversion Tables'!I27="NA","NA",(H28*'Conversion Tables'!$C27)/'Conversion Tables'!I27)</f>
        <v>NA</v>
      </c>
      <c r="M28" s="16" t="str">
        <f>IF('Conversion Tables'!K27="NA","NA",E28*'Conversion Tables'!K27)</f>
        <v>NA</v>
      </c>
      <c r="N28" s="16" t="str">
        <f>IF('Conversion Tables'!L27="NA","NA",F28*'Conversion Tables'!L27)</f>
        <v>NA</v>
      </c>
      <c r="O28" s="16" t="str">
        <f>IF('Conversion Tables'!M27="NA","NA",G28*'Conversion Tables'!M27)</f>
        <v>NA</v>
      </c>
      <c r="P28" s="16" t="str">
        <f>IF('Conversion Tables'!N27="NA","NA",H28*'Conversion Tables'!N27)</f>
        <v>NA</v>
      </c>
      <c r="Q28" s="13"/>
    </row>
    <row r="29" spans="1:17" x14ac:dyDescent="0.25">
      <c r="A29" s="1208"/>
      <c r="B29" s="9" t="s">
        <v>524</v>
      </c>
      <c r="C29" s="295">
        <f t="shared" ref="C29:P29" si="3">SUM(C13:C28)</f>
        <v>50999.234999999993</v>
      </c>
      <c r="D29" s="295">
        <f>SUM(D13:D28)</f>
        <v>432994.67905499996</v>
      </c>
      <c r="E29" s="295">
        <f t="shared" si="3"/>
        <v>27076.278749999998</v>
      </c>
      <c r="F29" s="295">
        <f>SUM(F13:F28)</f>
        <v>27368.685561571783</v>
      </c>
      <c r="G29" s="295">
        <f>SUM(G13:G28)</f>
        <v>27756.184019183165</v>
      </c>
      <c r="H29" s="295">
        <f>SUM(H13:H28)</f>
        <v>28046.213539603959</v>
      </c>
      <c r="I29" s="19">
        <f t="shared" si="3"/>
        <v>0</v>
      </c>
      <c r="J29" s="19">
        <f t="shared" si="3"/>
        <v>0</v>
      </c>
      <c r="K29" s="19">
        <f t="shared" si="3"/>
        <v>0</v>
      </c>
      <c r="L29" s="19">
        <f t="shared" si="3"/>
        <v>0</v>
      </c>
      <c r="M29" s="19">
        <f t="shared" si="3"/>
        <v>0</v>
      </c>
      <c r="N29" s="19">
        <f t="shared" si="3"/>
        <v>0</v>
      </c>
      <c r="O29" s="19">
        <f t="shared" si="3"/>
        <v>0</v>
      </c>
      <c r="P29" s="19">
        <f t="shared" si="3"/>
        <v>0</v>
      </c>
      <c r="Q29" s="19"/>
    </row>
    <row r="30" spans="1:17" x14ac:dyDescent="0.25">
      <c r="A30" s="8"/>
      <c r="C30" s="296"/>
      <c r="D30" s="296"/>
      <c r="E30" s="296"/>
      <c r="F30" s="296"/>
      <c r="G30" s="296"/>
      <c r="H30" s="296"/>
      <c r="I30" s="28"/>
      <c r="J30" s="28"/>
      <c r="K30" s="28"/>
      <c r="L30" s="28"/>
      <c r="M30" s="28"/>
      <c r="N30" s="28"/>
      <c r="O30" s="28"/>
      <c r="P30" s="28"/>
    </row>
    <row r="31" spans="1:17" x14ac:dyDescent="0.25">
      <c r="A31" s="1064" t="s">
        <v>516</v>
      </c>
      <c r="B31" s="130" t="str">
        <f>'Bioenergy Calculator'!B34</f>
        <v>Solid wastes - Landfilled</v>
      </c>
      <c r="C31" s="294"/>
      <c r="D31" s="294"/>
      <c r="E31" s="294"/>
      <c r="F31" s="294"/>
      <c r="G31" s="294"/>
      <c r="H31" s="294"/>
      <c r="I31" s="16"/>
      <c r="J31" s="16"/>
      <c r="K31" s="16"/>
      <c r="L31" s="16"/>
      <c r="M31" s="16"/>
      <c r="N31" s="16"/>
      <c r="O31" s="16"/>
      <c r="P31" s="16"/>
      <c r="Q31" s="7"/>
    </row>
    <row r="32" spans="1:17" x14ac:dyDescent="0.25">
      <c r="A32" s="1064"/>
      <c r="B32" s="11" t="str">
        <f>'Bioenergy Calculator'!B35</f>
        <v>Food waste, Landfilled</v>
      </c>
      <c r="C32" s="294">
        <f>C141</f>
        <v>9471.3012701999996</v>
      </c>
      <c r="D32" s="294">
        <f>E32*'Conversion Tables'!C29</f>
        <v>90924.492193920014</v>
      </c>
      <c r="E32" s="294">
        <f>C32*'Prac. Rec. Assumptions'!B26</f>
        <v>5682.7807621200009</v>
      </c>
      <c r="F32" s="294">
        <f>($C32*(1+'Biomass Data Assumptions'!G$109)*(1+'Biomass Data Assumptions'!C$82))*'Prac. Rec. Assumptions'!$B26</f>
        <v>5895.0446217010458</v>
      </c>
      <c r="G32" s="294">
        <f>($C32*(1+'Biomass Data Assumptions'!H$109)*(1+'Biomass Data Assumptions'!D$82))*'Prac. Rec. Assumptions'!$B26</f>
        <v>6177.2535861038768</v>
      </c>
      <c r="H32" s="294">
        <f>($C32*(1+'Biomass Data Assumptions'!I$109)*(1+'Biomass Data Assumptions'!E$82))*'Prac. Rec. Assumptions'!$B26</f>
        <v>6387.133616074123</v>
      </c>
      <c r="I32" s="16" t="str">
        <f>IF('Conversion Tables'!F29="NA","NA",(E32*'Conversion Tables'!$C29)/'Conversion Tables'!F29)</f>
        <v>NA</v>
      </c>
      <c r="J32" s="16" t="str">
        <f>IF('Conversion Tables'!G29="NA","NA",(F32*'Conversion Tables'!$C29)/'Conversion Tables'!G29)</f>
        <v>NA</v>
      </c>
      <c r="K32" s="16" t="str">
        <f>IF('Conversion Tables'!H29="NA","NA",(G32*'Conversion Tables'!$C29)/'Conversion Tables'!H29)</f>
        <v>NA</v>
      </c>
      <c r="L32" s="16" t="str">
        <f>IF('Conversion Tables'!I29="NA","NA",(H32*'Conversion Tables'!$C29)/'Conversion Tables'!I29)</f>
        <v>NA</v>
      </c>
      <c r="M32" s="16" t="str">
        <f>IF('Conversion Tables'!K29="NA","NA",E32*'Conversion Tables'!K29)</f>
        <v>NA</v>
      </c>
      <c r="N32" s="16" t="str">
        <f>IF('Conversion Tables'!L29="NA","NA",F32*'Conversion Tables'!L29)</f>
        <v>NA</v>
      </c>
      <c r="O32" s="16" t="str">
        <f>IF('Conversion Tables'!M29="NA","NA",G32*'Conversion Tables'!M29)</f>
        <v>NA</v>
      </c>
      <c r="P32" s="16" t="str">
        <f>IF('Conversion Tables'!N29="NA","NA",H32*'Conversion Tables'!N29)</f>
        <v>NA</v>
      </c>
      <c r="Q32" s="7"/>
    </row>
    <row r="33" spans="1:17" x14ac:dyDescent="0.25">
      <c r="A33" s="1064"/>
      <c r="B33" s="11" t="str">
        <f>'Bioenergy Calculator'!B36</f>
        <v>Waste paper, Landfilled</v>
      </c>
      <c r="C33" s="294">
        <f>C142</f>
        <v>34933.6554435</v>
      </c>
      <c r="D33" s="294">
        <f>E33*'Conversion Tables'!C30</f>
        <v>405845.23548040562</v>
      </c>
      <c r="E33" s="294">
        <f>C33*'Prac. Rec. Assumptions'!B27</f>
        <v>27946.924354800001</v>
      </c>
      <c r="F33" s="294">
        <f>($C33*(1+'Biomass Data Assumptions'!G$109)*(1+'Biomass Data Assumptions'!C$82))*'Prac. Rec. Assumptions'!$B27</f>
        <v>28990.800984092373</v>
      </c>
      <c r="G33" s="294">
        <f>($C33*(1+'Biomass Data Assumptions'!H$109)*(1+'Biomass Data Assumptions'!D$82))*'Prac. Rec. Assumptions'!$B27</f>
        <v>30378.655436086068</v>
      </c>
      <c r="H33" s="294">
        <f>($C33*(1+'Biomass Data Assumptions'!I$109)*(1+'Biomass Data Assumptions'!E$82))*'Prac. Rec. Assumptions'!$B27</f>
        <v>31410.80880724189</v>
      </c>
      <c r="I33" s="16" t="str">
        <f>IF('Conversion Tables'!F30="NA","NA",(E33*'Conversion Tables'!$C30)/'Conversion Tables'!F30)</f>
        <v>NA</v>
      </c>
      <c r="J33" s="16" t="str">
        <f>IF('Conversion Tables'!G30="NA","NA",(F33*'Conversion Tables'!$C30)/'Conversion Tables'!G30)</f>
        <v>NA</v>
      </c>
      <c r="K33" s="16" t="str">
        <f>IF('Conversion Tables'!H30="NA","NA",(G33*'Conversion Tables'!$C30)/'Conversion Tables'!H30)</f>
        <v>NA</v>
      </c>
      <c r="L33" s="16" t="str">
        <f>IF('Conversion Tables'!I30="NA","NA",(H33*'Conversion Tables'!$C30)/'Conversion Tables'!I30)</f>
        <v>NA</v>
      </c>
      <c r="M33" s="16" t="str">
        <f>IF('Conversion Tables'!K30="NA","NA",E33*'Conversion Tables'!K30)</f>
        <v>NA</v>
      </c>
      <c r="N33" s="16" t="str">
        <f>IF('Conversion Tables'!L30="NA","NA",F33*'Conversion Tables'!L30)</f>
        <v>NA</v>
      </c>
      <c r="O33" s="16" t="str">
        <f>IF('Conversion Tables'!M30="NA","NA",G33*'Conversion Tables'!M30)</f>
        <v>NA</v>
      </c>
      <c r="P33" s="16" t="str">
        <f>IF('Conversion Tables'!N30="NA","NA",H33*'Conversion Tables'!N30)</f>
        <v>NA</v>
      </c>
      <c r="Q33" s="7"/>
    </row>
    <row r="34" spans="1:17" x14ac:dyDescent="0.25">
      <c r="A34" s="1064"/>
      <c r="B34" s="11" t="str">
        <f>'Bioenergy Calculator'!B37</f>
        <v>Other Biomass, Landfilled</v>
      </c>
      <c r="C34" s="294">
        <f>C143</f>
        <v>26871.275095499997</v>
      </c>
      <c r="D34" s="294">
        <f>E34*'Conversion Tables'!C31</f>
        <v>280961.7529945327</v>
      </c>
      <c r="E34" s="294">
        <f>C34*'Prac. Rec. Assumptions'!B28</f>
        <v>19347.31806876</v>
      </c>
      <c r="F34" s="294">
        <f>($C34*(1+'Biomass Data Assumptions'!G$109)*(1+'Biomass Data Assumptions'!C$82))*'Prac. Rec. Assumptions'!$B28</f>
        <v>20069.98124682796</v>
      </c>
      <c r="G34" s="294">
        <f>($C34*(1+'Biomass Data Assumptions'!H$109)*(1+'Biomass Data Assumptions'!D$82))*'Prac. Rec. Assumptions'!$B28</f>
        <v>21030.776115521792</v>
      </c>
      <c r="H34" s="294">
        <f>($C34*(1+'Biomass Data Assumptions'!I$109)*(1+'Biomass Data Assumptions'!E$82))*'Prac. Rec. Assumptions'!$B28</f>
        <v>21745.323423625297</v>
      </c>
      <c r="I34" s="16" t="str">
        <f>IF('Conversion Tables'!F31="NA","NA",(E34*'Conversion Tables'!$C31)/'Conversion Tables'!F31)</f>
        <v>NA</v>
      </c>
      <c r="J34" s="16" t="str">
        <f>IF('Conversion Tables'!G31="NA","NA",(F34*'Conversion Tables'!$C31)/'Conversion Tables'!G31)</f>
        <v>NA</v>
      </c>
      <c r="K34" s="16" t="str">
        <f>IF('Conversion Tables'!H31="NA","NA",(G34*'Conversion Tables'!$C31)/'Conversion Tables'!H31)</f>
        <v>NA</v>
      </c>
      <c r="L34" s="16" t="str">
        <f>IF('Conversion Tables'!I31="NA","NA",(H34*'Conversion Tables'!$C31)/'Conversion Tables'!I31)</f>
        <v>NA</v>
      </c>
      <c r="M34" s="16" t="str">
        <f>IF('Conversion Tables'!K31="NA","NA",E34*'Conversion Tables'!K31)</f>
        <v>NA</v>
      </c>
      <c r="N34" s="16" t="str">
        <f>IF('Conversion Tables'!L31="NA","NA",F34*'Conversion Tables'!L31)</f>
        <v>NA</v>
      </c>
      <c r="O34" s="16" t="str">
        <f>IF('Conversion Tables'!M31="NA","NA",G34*'Conversion Tables'!M31)</f>
        <v>NA</v>
      </c>
      <c r="P34" s="16" t="str">
        <f>IF('Conversion Tables'!N31="NA","NA",H34*'Conversion Tables'!N31)</f>
        <v>NA</v>
      </c>
      <c r="Q34" s="7"/>
    </row>
    <row r="35" spans="1:17" x14ac:dyDescent="0.25">
      <c r="A35" s="1065"/>
      <c r="B35" s="11" t="str">
        <f>'Bioenergy Calculator'!B38</f>
        <v>C&amp;D (Non-recycled wood)</v>
      </c>
      <c r="C35" s="294">
        <f>C145</f>
        <v>33212.150400000006</v>
      </c>
      <c r="D35" s="294">
        <f>E35*'Conversion Tables'!C32</f>
        <v>376227.23973120016</v>
      </c>
      <c r="E35" s="294">
        <f>C35*'Prac. Rec. Assumptions'!B29</f>
        <v>21255.776256000008</v>
      </c>
      <c r="F35" s="294">
        <f>($C35*(1+'Biomass Data Assumptions'!G$109)*(1+'Biomass Data Assumptions'!C$83))*'Prac. Rec. Assumptions'!$B29</f>
        <v>23172.598862223393</v>
      </c>
      <c r="G35" s="294">
        <f>($C35*(1+'Biomass Data Assumptions'!H$109)*(1+'Biomass Data Assumptions'!D$83))*'Prac. Rec. Assumptions'!$B29</f>
        <v>25518.471388664948</v>
      </c>
      <c r="H35" s="294">
        <f>($C35*(1+'Biomass Data Assumptions'!I$109)*(1+'Biomass Data Assumptions'!E$83))*'Prac. Rec. Assumptions'!$B29</f>
        <v>27729.16586458325</v>
      </c>
      <c r="I35" s="16" t="str">
        <f>IF('Conversion Tables'!F32="NA","NA",(E35*'Conversion Tables'!$C32)/'Conversion Tables'!F32)</f>
        <v>NA</v>
      </c>
      <c r="J35" s="16" t="str">
        <f>IF('Conversion Tables'!G32="NA","NA",(F35*'Conversion Tables'!$C32)/'Conversion Tables'!G32)</f>
        <v>NA</v>
      </c>
      <c r="K35" s="16" t="str">
        <f>IF('Conversion Tables'!H32="NA","NA",(G35*'Conversion Tables'!$C32)/'Conversion Tables'!H32)</f>
        <v>NA</v>
      </c>
      <c r="L35" s="16" t="str">
        <f>IF('Conversion Tables'!I32="NA","NA",(H35*'Conversion Tables'!$C32)/'Conversion Tables'!I32)</f>
        <v>NA</v>
      </c>
      <c r="M35" s="16" t="str">
        <f>IF('Conversion Tables'!K32="NA","NA",E35*'Conversion Tables'!K32)</f>
        <v>NA</v>
      </c>
      <c r="N35" s="16" t="str">
        <f>IF('Conversion Tables'!L32="NA","NA",F35*'Conversion Tables'!L32)</f>
        <v>NA</v>
      </c>
      <c r="O35" s="16" t="str">
        <f>IF('Conversion Tables'!M32="NA","NA",G35*'Conversion Tables'!M32)</f>
        <v>NA</v>
      </c>
      <c r="P35" s="16" t="str">
        <f>IF('Conversion Tables'!N32="NA","NA",H35*'Conversion Tables'!N32)</f>
        <v>NA</v>
      </c>
      <c r="Q35" s="7"/>
    </row>
    <row r="36" spans="1:17" x14ac:dyDescent="0.25">
      <c r="A36" s="1065"/>
      <c r="B36" s="4" t="s">
        <v>280</v>
      </c>
      <c r="C36" s="294"/>
      <c r="D36" s="294"/>
      <c r="E36" s="294"/>
      <c r="F36" s="294"/>
      <c r="G36" s="294"/>
      <c r="H36" s="294"/>
      <c r="I36" s="16"/>
      <c r="J36" s="16"/>
      <c r="K36" s="16"/>
      <c r="L36" s="16"/>
      <c r="M36" s="16"/>
      <c r="N36" s="16"/>
      <c r="O36" s="16"/>
      <c r="P36" s="16"/>
      <c r="Q36" s="7"/>
    </row>
    <row r="37" spans="1:17" x14ac:dyDescent="0.25">
      <c r="A37" s="1065"/>
      <c r="B37" s="677" t="s">
        <v>563</v>
      </c>
      <c r="C37" s="299">
        <f>C132</f>
        <v>215.51</v>
      </c>
      <c r="D37" s="294">
        <f>E37*'Conversion Tables'!C34</f>
        <v>3448.16</v>
      </c>
      <c r="E37" s="294">
        <f>C37*'Prac. Rec. Assumptions'!B31</f>
        <v>215.51</v>
      </c>
      <c r="F37" s="294">
        <f>($C37*(1+'Biomass Data Assumptions'!G$109)*(1+'Biomass Data Assumptions'!C$84))*'Prac. Rec. Assumptions'!$B31</f>
        <v>244.62336067639205</v>
      </c>
      <c r="G37" s="294">
        <f>($C37*(1+'Biomass Data Assumptions'!H$109)*(1+'Biomass Data Assumptions'!D$84))*'Prac. Rec. Assumptions'!$B31</f>
        <v>280.48559883332024</v>
      </c>
      <c r="H37" s="294">
        <f>($C37*(1+'Biomass Data Assumptions'!I$109)*(1+'Biomass Data Assumptions'!E$84))*'Prac. Rec. Assumptions'!$B31</f>
        <v>317.34045887078196</v>
      </c>
      <c r="I37" s="16" t="str">
        <f>IF('Conversion Tables'!F34="NA","NA",(E37*'Conversion Tables'!$C34)/'Conversion Tables'!F34)</f>
        <v>NA</v>
      </c>
      <c r="J37" s="16" t="str">
        <f>IF('Conversion Tables'!G34="NA","NA",(F37*'Conversion Tables'!$C34)/'Conversion Tables'!G34)</f>
        <v>NA</v>
      </c>
      <c r="K37" s="16" t="str">
        <f>IF('Conversion Tables'!H34="NA","NA",(G37*'Conversion Tables'!$C34)/'Conversion Tables'!H34)</f>
        <v>NA</v>
      </c>
      <c r="L37" s="16" t="str">
        <f>IF('Conversion Tables'!I34="NA","NA",(H37*'Conversion Tables'!$C34)/'Conversion Tables'!I34)</f>
        <v>NA</v>
      </c>
      <c r="M37" s="16" t="str">
        <f>IF('Conversion Tables'!K34="NA","NA",E37*'Conversion Tables'!K34)</f>
        <v>NA</v>
      </c>
      <c r="N37" s="16" t="str">
        <f>IF('Conversion Tables'!L34="NA","NA",F37*'Conversion Tables'!L34)</f>
        <v>NA</v>
      </c>
      <c r="O37" s="16" t="str">
        <f>IF('Conversion Tables'!M34="NA","NA",G37*'Conversion Tables'!M34)</f>
        <v>NA</v>
      </c>
      <c r="P37" s="16" t="str">
        <f>IF('Conversion Tables'!N34="NA","NA",H37*'Conversion Tables'!N34)</f>
        <v>NA</v>
      </c>
      <c r="Q37" s="18"/>
    </row>
    <row r="38" spans="1:17" x14ac:dyDescent="0.25">
      <c r="A38" s="1065"/>
      <c r="B38" s="11" t="s">
        <v>565</v>
      </c>
      <c r="C38" s="294">
        <f>C134</f>
        <v>4694.2240000000002</v>
      </c>
      <c r="D38" s="294">
        <f>E38*'Conversion Tables'!C35</f>
        <v>41543.882400000002</v>
      </c>
      <c r="E38" s="294">
        <f>C38*'Prac. Rec. Assumptions'!B32</f>
        <v>2347.1120000000001</v>
      </c>
      <c r="F38" s="294">
        <f>($C38*(1+'Biomass Data Assumptions'!G$109)*(1+'Biomass Data Assumptions'!C$84))*'Prac. Rec. Assumptions'!$B32</f>
        <v>2664.1846101057399</v>
      </c>
      <c r="G38" s="294">
        <f>($C38*(1+'Biomass Data Assumptions'!H$109)*(1+'Biomass Data Assumptions'!D$84))*'Prac. Rec. Assumptions'!$B32</f>
        <v>3054.7590128015968</v>
      </c>
      <c r="H38" s="294">
        <f>($C38*(1+'Biomass Data Assumptions'!I$109)*(1+'Biomass Data Assumptions'!E$84))*'Prac. Rec. Assumptions'!$B32</f>
        <v>3456.1440262684741</v>
      </c>
      <c r="I38" s="16" t="str">
        <f>IF('Conversion Tables'!F35="NA","NA",(E38*'Conversion Tables'!$C35)/'Conversion Tables'!F35)</f>
        <v>NA</v>
      </c>
      <c r="J38" s="16" t="str">
        <f>IF('Conversion Tables'!G35="NA","NA",(F38*'Conversion Tables'!$C35)/'Conversion Tables'!G35)</f>
        <v>NA</v>
      </c>
      <c r="K38" s="16" t="str">
        <f>IF('Conversion Tables'!H35="NA","NA",(G38*'Conversion Tables'!$C35)/'Conversion Tables'!H35)</f>
        <v>NA</v>
      </c>
      <c r="L38" s="16" t="str">
        <f>IF('Conversion Tables'!I35="NA","NA",(H38*'Conversion Tables'!$C35)/'Conversion Tables'!I35)</f>
        <v>NA</v>
      </c>
      <c r="M38" s="16" t="str">
        <f>IF('Conversion Tables'!K35="NA","NA",E38*'Conversion Tables'!K35)</f>
        <v>NA</v>
      </c>
      <c r="N38" s="16" t="str">
        <f>IF('Conversion Tables'!L35="NA","NA",F38*'Conversion Tables'!L35)</f>
        <v>NA</v>
      </c>
      <c r="O38" s="16" t="str">
        <f>IF('Conversion Tables'!M35="NA","NA",G38*'Conversion Tables'!M35)</f>
        <v>NA</v>
      </c>
      <c r="P38" s="16" t="str">
        <f>IF('Conversion Tables'!N35="NA","NA",H38*'Conversion Tables'!N35)</f>
        <v>NA</v>
      </c>
      <c r="Q38" s="13"/>
    </row>
    <row r="39" spans="1:17" x14ac:dyDescent="0.25">
      <c r="A39" s="1065"/>
      <c r="B39" s="17" t="s">
        <v>555</v>
      </c>
      <c r="C39" s="294">
        <f>C124</f>
        <v>18564.48</v>
      </c>
      <c r="D39" s="299">
        <f>E39*'Conversion Tables'!C36</f>
        <v>0</v>
      </c>
      <c r="E39" s="299">
        <f>C39*'Prac. Rec. Assumptions'!B33</f>
        <v>0</v>
      </c>
      <c r="F39" s="294">
        <f>($C39*(1+'Biomass Data Assumptions'!G$109)*(1+'Biomass Data Assumptions'!C$84))*'Prac. Rec. Assumptions'!$B33</f>
        <v>0</v>
      </c>
      <c r="G39" s="294">
        <f>($C39*(1+'Biomass Data Assumptions'!H$109)*(1+'Biomass Data Assumptions'!D$84))*'Prac. Rec. Assumptions'!$B33</f>
        <v>0</v>
      </c>
      <c r="H39" s="294">
        <f>($C39*(1+'Biomass Data Assumptions'!I$109)*(1+'Biomass Data Assumptions'!E$84))*'Prac. Rec. Assumptions'!$B33</f>
        <v>0</v>
      </c>
      <c r="I39" s="16" t="str">
        <f>IF('Conversion Tables'!F36="NA","NA",(E39*'Conversion Tables'!$C36)/'Conversion Tables'!F36)</f>
        <v>NA</v>
      </c>
      <c r="J39" s="16" t="str">
        <f>IF('Conversion Tables'!G36="NA","NA",(F39*'Conversion Tables'!$C36)/'Conversion Tables'!G36)</f>
        <v>NA</v>
      </c>
      <c r="K39" s="16" t="str">
        <f>IF('Conversion Tables'!H36="NA","NA",(G39*'Conversion Tables'!$C36)/'Conversion Tables'!H36)</f>
        <v>NA</v>
      </c>
      <c r="L39" s="16" t="str">
        <f>IF('Conversion Tables'!I36="NA","NA",(H39*'Conversion Tables'!$C36)/'Conversion Tables'!I36)</f>
        <v>NA</v>
      </c>
      <c r="M39" s="16" t="str">
        <f>IF('Conversion Tables'!K36="NA","NA",E39*'Conversion Tables'!K36)</f>
        <v>NA</v>
      </c>
      <c r="N39" s="16" t="str">
        <f>IF('Conversion Tables'!L36="NA","NA",F39*'Conversion Tables'!L36)</f>
        <v>NA</v>
      </c>
      <c r="O39" s="16" t="str">
        <f>IF('Conversion Tables'!M36="NA","NA",G39*'Conversion Tables'!M36)</f>
        <v>NA</v>
      </c>
      <c r="P39" s="16" t="str">
        <f>IF('Conversion Tables'!N36="NA","NA",H39*'Conversion Tables'!N36)</f>
        <v>NA</v>
      </c>
      <c r="Q39" s="27"/>
    </row>
    <row r="40" spans="1:17" x14ac:dyDescent="0.25">
      <c r="A40" s="1065"/>
      <c r="B40" s="17" t="s">
        <v>556</v>
      </c>
      <c r="C40" s="294">
        <f>C125</f>
        <v>3352.0140000000001</v>
      </c>
      <c r="D40" s="299">
        <f>E40*'Conversion Tables'!C37</f>
        <v>0</v>
      </c>
      <c r="E40" s="299">
        <f>C40*'Prac. Rec. Assumptions'!B34</f>
        <v>0</v>
      </c>
      <c r="F40" s="294">
        <f>($C40*(1+'Biomass Data Assumptions'!G$109)*(1+'Biomass Data Assumptions'!C$84))*'Prac. Rec. Assumptions'!$B34</f>
        <v>0</v>
      </c>
      <c r="G40" s="294">
        <f>($C40*(1+'Biomass Data Assumptions'!H$109)*(1+'Biomass Data Assumptions'!D$84))*'Prac. Rec. Assumptions'!$B34</f>
        <v>0</v>
      </c>
      <c r="H40" s="294">
        <f>($C40*(1+'Biomass Data Assumptions'!I$109)*(1+'Biomass Data Assumptions'!E$84))*'Prac. Rec. Assumptions'!$B34</f>
        <v>0</v>
      </c>
      <c r="I40" s="16" t="str">
        <f>IF('Conversion Tables'!F37="NA","NA",(E40*'Conversion Tables'!$C37)/'Conversion Tables'!F37)</f>
        <v>NA</v>
      </c>
      <c r="J40" s="16" t="str">
        <f>IF('Conversion Tables'!G37="NA","NA",(F40*'Conversion Tables'!$C37)/'Conversion Tables'!G37)</f>
        <v>NA</v>
      </c>
      <c r="K40" s="16" t="str">
        <f>IF('Conversion Tables'!H37="NA","NA",(G40*'Conversion Tables'!$C37)/'Conversion Tables'!H37)</f>
        <v>NA</v>
      </c>
      <c r="L40" s="16" t="str">
        <f>IF('Conversion Tables'!I37="NA","NA",(H40*'Conversion Tables'!$C37)/'Conversion Tables'!I37)</f>
        <v>NA</v>
      </c>
      <c r="M40" s="16" t="str">
        <f>IF('Conversion Tables'!K37="NA","NA",E40*'Conversion Tables'!K37)</f>
        <v>NA</v>
      </c>
      <c r="N40" s="16" t="str">
        <f>IF('Conversion Tables'!L37="NA","NA",F40*'Conversion Tables'!L37)</f>
        <v>NA</v>
      </c>
      <c r="O40" s="16" t="str">
        <f>IF('Conversion Tables'!M37="NA","NA",G40*'Conversion Tables'!M37)</f>
        <v>NA</v>
      </c>
      <c r="P40" s="16" t="str">
        <f>IF('Conversion Tables'!N37="NA","NA",H40*'Conversion Tables'!N37)</f>
        <v>NA</v>
      </c>
      <c r="Q40" s="27"/>
    </row>
    <row r="41" spans="1:17" x14ac:dyDescent="0.25">
      <c r="A41" s="1065"/>
      <c r="B41" s="17" t="s">
        <v>557</v>
      </c>
      <c r="C41" s="294">
        <f>C126</f>
        <v>15975.198000000002</v>
      </c>
      <c r="D41" s="299">
        <f>E41*'Conversion Tables'!C38</f>
        <v>0</v>
      </c>
      <c r="E41" s="299">
        <f>C41*'Prac. Rec. Assumptions'!B35</f>
        <v>0</v>
      </c>
      <c r="F41" s="294">
        <f>($C41*(1+'Biomass Data Assumptions'!G$109)*(1+'Biomass Data Assumptions'!C$84))*'Prac. Rec. Assumptions'!$B35</f>
        <v>0</v>
      </c>
      <c r="G41" s="294">
        <f>($C41*(1+'Biomass Data Assumptions'!H$109)*(1+'Biomass Data Assumptions'!D$84))*'Prac. Rec. Assumptions'!$B35</f>
        <v>0</v>
      </c>
      <c r="H41" s="294">
        <f>($C41*(1+'Biomass Data Assumptions'!I$109)*(1+'Biomass Data Assumptions'!E$84))*'Prac. Rec. Assumptions'!$B35</f>
        <v>0</v>
      </c>
      <c r="I41" s="16" t="str">
        <f>IF('Conversion Tables'!F38="NA","NA",(E41*'Conversion Tables'!$C38)/'Conversion Tables'!F38)</f>
        <v>NA</v>
      </c>
      <c r="J41" s="16" t="str">
        <f>IF('Conversion Tables'!G38="NA","NA",(F41*'Conversion Tables'!$C38)/'Conversion Tables'!G38)</f>
        <v>NA</v>
      </c>
      <c r="K41" s="16" t="str">
        <f>IF('Conversion Tables'!H38="NA","NA",(G41*'Conversion Tables'!$C38)/'Conversion Tables'!H38)</f>
        <v>NA</v>
      </c>
      <c r="L41" s="16" t="str">
        <f>IF('Conversion Tables'!I38="NA","NA",(H41*'Conversion Tables'!$C38)/'Conversion Tables'!I38)</f>
        <v>NA</v>
      </c>
      <c r="M41" s="16" t="str">
        <f>IF('Conversion Tables'!K38="NA","NA",E41*'Conversion Tables'!K38)</f>
        <v>NA</v>
      </c>
      <c r="N41" s="16" t="str">
        <f>IF('Conversion Tables'!L38="NA","NA",F41*'Conversion Tables'!L38)</f>
        <v>NA</v>
      </c>
      <c r="O41" s="16" t="str">
        <f>IF('Conversion Tables'!M38="NA","NA",G41*'Conversion Tables'!M38)</f>
        <v>NA</v>
      </c>
      <c r="P41" s="16" t="str">
        <f>IF('Conversion Tables'!N38="NA","NA",H41*'Conversion Tables'!N38)</f>
        <v>NA</v>
      </c>
      <c r="Q41" s="27"/>
    </row>
    <row r="42" spans="1:17" x14ac:dyDescent="0.25">
      <c r="A42" s="1065"/>
      <c r="B42" s="17" t="s">
        <v>558</v>
      </c>
      <c r="C42" s="294">
        <f>C127</f>
        <v>3471.741</v>
      </c>
      <c r="D42" s="299">
        <f>E42*'Conversion Tables'!C39</f>
        <v>50416.622801999998</v>
      </c>
      <c r="E42" s="299">
        <f>C42*'Prac. Rec. Assumptions'!B36</f>
        <v>3471.741</v>
      </c>
      <c r="F42" s="294">
        <f>($C42*(1+'Biomass Data Assumptions'!G$109)*(1+'Biomass Data Assumptions'!C$84))*'Prac. Rec. Assumptions'!$B36</f>
        <v>3940.74034067105</v>
      </c>
      <c r="G42" s="294">
        <f>($C42*(1+'Biomass Data Assumptions'!H$109)*(1+'Biomass Data Assumptions'!D$84))*'Prac. Rec. Assumptions'!$B36</f>
        <v>4518.4601799414886</v>
      </c>
      <c r="H42" s="294">
        <f>($C42*(1+'Biomass Data Assumptions'!I$109)*(1+'Biomass Data Assumptions'!E$84))*'Prac. Rec. Assumptions'!$B36</f>
        <v>5112.1705815066925</v>
      </c>
      <c r="I42" s="16" t="str">
        <f>IF('Conversion Tables'!F39="NA","NA",(E42*'Conversion Tables'!$C39)/'Conversion Tables'!F39)</f>
        <v>NA</v>
      </c>
      <c r="J42" s="16" t="str">
        <f>IF('Conversion Tables'!G39="NA","NA",(F42*'Conversion Tables'!$C39)/'Conversion Tables'!G39)</f>
        <v>NA</v>
      </c>
      <c r="K42" s="16" t="str">
        <f>IF('Conversion Tables'!H39="NA","NA",(G42*'Conversion Tables'!$C39)/'Conversion Tables'!H39)</f>
        <v>NA</v>
      </c>
      <c r="L42" s="16" t="str">
        <f>IF('Conversion Tables'!I39="NA","NA",(H42*'Conversion Tables'!$C39)/'Conversion Tables'!I39)</f>
        <v>NA</v>
      </c>
      <c r="M42" s="16" t="str">
        <f>IF('Conversion Tables'!K39="NA","NA",E42*'Conversion Tables'!K39)</f>
        <v>NA</v>
      </c>
      <c r="N42" s="16" t="str">
        <f>IF('Conversion Tables'!L39="NA","NA",F42*'Conversion Tables'!L39)</f>
        <v>NA</v>
      </c>
      <c r="O42" s="16" t="str">
        <f>IF('Conversion Tables'!M39="NA","NA",G42*'Conversion Tables'!M39)</f>
        <v>NA</v>
      </c>
      <c r="P42" s="16" t="str">
        <f>IF('Conversion Tables'!N39="NA","NA",H42*'Conversion Tables'!N39)</f>
        <v>NA</v>
      </c>
      <c r="Q42" s="27"/>
    </row>
    <row r="43" spans="1:17" x14ac:dyDescent="0.25">
      <c r="A43" s="1065"/>
      <c r="B43" s="9" t="s">
        <v>524</v>
      </c>
      <c r="C43" s="295">
        <f t="shared" ref="C43:P43" si="4">SUM(C31:C42)</f>
        <v>150761.54920920002</v>
      </c>
      <c r="D43" s="295">
        <f t="shared" si="4"/>
        <v>1249367.3856020586</v>
      </c>
      <c r="E43" s="295">
        <f t="shared" si="4"/>
        <v>80267.16244167999</v>
      </c>
      <c r="F43" s="295">
        <f t="shared" si="4"/>
        <v>84977.974026297961</v>
      </c>
      <c r="G43" s="295">
        <f t="shared" si="4"/>
        <v>90958.861317953095</v>
      </c>
      <c r="H43" s="295">
        <f t="shared" si="4"/>
        <v>96158.086778170502</v>
      </c>
      <c r="I43" s="19">
        <f t="shared" si="4"/>
        <v>0</v>
      </c>
      <c r="J43" s="19">
        <f t="shared" si="4"/>
        <v>0</v>
      </c>
      <c r="K43" s="19">
        <f t="shared" si="4"/>
        <v>0</v>
      </c>
      <c r="L43" s="19">
        <f t="shared" si="4"/>
        <v>0</v>
      </c>
      <c r="M43" s="19">
        <f t="shared" si="4"/>
        <v>0</v>
      </c>
      <c r="N43" s="19">
        <f t="shared" si="4"/>
        <v>0</v>
      </c>
      <c r="O43" s="19">
        <f t="shared" si="4"/>
        <v>0</v>
      </c>
      <c r="P43" s="19">
        <f t="shared" si="4"/>
        <v>0</v>
      </c>
      <c r="Q43" s="19"/>
    </row>
    <row r="44" spans="1:17" x14ac:dyDescent="0.25">
      <c r="A44" s="8"/>
      <c r="C44" s="296"/>
      <c r="D44" s="296"/>
      <c r="E44" s="296"/>
      <c r="F44" s="296"/>
      <c r="G44" s="296"/>
      <c r="H44" s="296"/>
      <c r="I44" s="28"/>
      <c r="J44" s="28"/>
      <c r="K44" s="28"/>
      <c r="L44" s="28"/>
      <c r="M44" s="28"/>
      <c r="N44" s="28"/>
      <c r="O44" s="28"/>
      <c r="P44" s="28"/>
    </row>
    <row r="45" spans="1:17" x14ac:dyDescent="0.25">
      <c r="A45" s="1064" t="s">
        <v>515</v>
      </c>
      <c r="B45" s="2" t="s">
        <v>510</v>
      </c>
      <c r="C45" s="294"/>
      <c r="D45" s="294"/>
      <c r="E45" s="294"/>
      <c r="F45" s="294"/>
      <c r="G45" s="294"/>
      <c r="H45" s="294"/>
      <c r="I45" s="16"/>
      <c r="J45" s="16"/>
      <c r="K45" s="16"/>
      <c r="L45" s="16"/>
      <c r="M45" s="16"/>
      <c r="N45" s="16"/>
      <c r="O45" s="16"/>
      <c r="P45" s="16"/>
      <c r="Q45" s="7"/>
    </row>
    <row r="46" spans="1:17" x14ac:dyDescent="0.25">
      <c r="A46" s="1064"/>
      <c r="B46" s="12" t="s">
        <v>525</v>
      </c>
      <c r="C46" s="294">
        <f>D77</f>
        <v>1092.48</v>
      </c>
      <c r="D46" s="294">
        <f>E46*'Conversion Tables'!C41</f>
        <v>0</v>
      </c>
      <c r="E46" s="294">
        <f>C46*'Prac. Rec. Assumptions'!B38</f>
        <v>1092.48</v>
      </c>
      <c r="F46" s="294">
        <f>$E46</f>
        <v>1092.48</v>
      </c>
      <c r="G46" s="294">
        <f>$E46</f>
        <v>1092.48</v>
      </c>
      <c r="H46" s="294">
        <f>$E46</f>
        <v>1092.48</v>
      </c>
      <c r="I46" s="16" t="str">
        <f>IF('Conversion Tables'!F41="NA","NA",(E46*'Conversion Tables'!$C41)/'Conversion Tables'!F41)</f>
        <v>NA</v>
      </c>
      <c r="J46" s="16" t="str">
        <f>IF('Conversion Tables'!G41="NA","NA",(F46*'Conversion Tables'!$C41)/'Conversion Tables'!G41)</f>
        <v>NA</v>
      </c>
      <c r="K46" s="16" t="str">
        <f>IF('Conversion Tables'!H41="NA","NA",(G46*'Conversion Tables'!$C41)/'Conversion Tables'!H41)</f>
        <v>NA</v>
      </c>
      <c r="L46" s="16" t="str">
        <f>IF('Conversion Tables'!I41="NA","NA",(H46*'Conversion Tables'!$C41)/'Conversion Tables'!I41)</f>
        <v>NA</v>
      </c>
      <c r="M46" s="16" t="str">
        <f>IF('Conversion Tables'!K41="NA","NA",E46*'Conversion Tables'!K41)</f>
        <v>NA</v>
      </c>
      <c r="N46" s="16" t="str">
        <f>IF('Conversion Tables'!L41="NA","NA",F46*'Conversion Tables'!L41)</f>
        <v>NA</v>
      </c>
      <c r="O46" s="16" t="str">
        <f>IF('Conversion Tables'!M41="NA","NA",G46*'Conversion Tables'!M41)</f>
        <v>NA</v>
      </c>
      <c r="P46" s="16" t="str">
        <f>IF('Conversion Tables'!N41="NA","NA",H46*'Conversion Tables'!N41)</f>
        <v>NA</v>
      </c>
      <c r="Q46" s="15"/>
    </row>
    <row r="47" spans="1:17" x14ac:dyDescent="0.25">
      <c r="A47" s="1065"/>
      <c r="B47" s="2" t="s">
        <v>508</v>
      </c>
      <c r="C47" s="294">
        <f t="shared" ref="C47:C48" si="5">C148</f>
        <v>1209.68056</v>
      </c>
      <c r="D47" s="294"/>
      <c r="E47" s="294">
        <f>C47*'Prac. Rec. Assumptions'!B39</f>
        <v>604.84028000000001</v>
      </c>
      <c r="F47" s="294">
        <f>($C47*(1+'Biomass Data Assumptions'!G$109))*'Prac. Rec. Assumptions'!$B39</f>
        <v>627.85864461633673</v>
      </c>
      <c r="G47" s="294">
        <f>($C47*(1+'Biomass Data Assumptions'!H$109))*'Prac. Rec. Assumptions'!$B39</f>
        <v>658.36265626237616</v>
      </c>
      <c r="H47" s="294">
        <f>($C47*(1+'Biomass Data Assumptions'!I$109))*'Prac. Rec. Assumptions'!$B39</f>
        <v>681.19387970297021</v>
      </c>
      <c r="I47" s="16" t="str">
        <f>IF('Conversion Tables'!F42="NA","NA",(E47*'Conversion Tables'!$C42)/'Conversion Tables'!F42)</f>
        <v>NA</v>
      </c>
      <c r="J47" s="16" t="str">
        <f>IF('Conversion Tables'!G42="NA","NA",(F47*'Conversion Tables'!$C42)/'Conversion Tables'!G42)</f>
        <v>NA</v>
      </c>
      <c r="K47" s="16" t="str">
        <f>IF('Conversion Tables'!H42="NA","NA",(G47*'Conversion Tables'!$C42)/'Conversion Tables'!H42)</f>
        <v>NA</v>
      </c>
      <c r="L47" s="16" t="str">
        <f>IF('Conversion Tables'!I42="NA","NA",(H47*'Conversion Tables'!$C42)/'Conversion Tables'!I42)</f>
        <v>NA</v>
      </c>
      <c r="M47" s="16" t="str">
        <f>IF('Conversion Tables'!K42="NA","NA",E47*'Conversion Tables'!K42)</f>
        <v>NA</v>
      </c>
      <c r="N47" s="16" t="str">
        <f>IF('Conversion Tables'!L42="NA","NA",F47*'Conversion Tables'!L42)</f>
        <v>NA</v>
      </c>
      <c r="O47" s="16" t="str">
        <f>IF('Conversion Tables'!M42="NA","NA",G47*'Conversion Tables'!M42)</f>
        <v>NA</v>
      </c>
      <c r="P47" s="16" t="str">
        <f>IF('Conversion Tables'!N42="NA","NA",H47*'Conversion Tables'!N42)</f>
        <v>NA</v>
      </c>
      <c r="Q47" s="7"/>
    </row>
    <row r="48" spans="1:17" x14ac:dyDescent="0.25">
      <c r="A48" s="1065"/>
      <c r="B48" s="1" t="s">
        <v>509</v>
      </c>
      <c r="C48" s="294">
        <f t="shared" si="5"/>
        <v>108.11115699999999</v>
      </c>
      <c r="D48" s="294"/>
      <c r="E48" s="294">
        <f>C48*'Prac. Rec. Assumptions'!B40</f>
        <v>108.11115699999999</v>
      </c>
      <c r="F48" s="294">
        <f>($C48*(1+'Biomass Data Assumptions'!G$109))*'Prac. Rec. Assumptions'!$B40</f>
        <v>112.22553580909653</v>
      </c>
      <c r="G48" s="294">
        <f>($C48*(1+'Biomass Data Assumptions'!H$109))*'Prac. Rec. Assumptions'!$B40</f>
        <v>117.67792398700493</v>
      </c>
      <c r="H48" s="294">
        <f>($C48*(1+'Biomass Data Assumptions'!I$109))*'Prac. Rec. Assumptions'!$B40</f>
        <v>121.75885256188117</v>
      </c>
      <c r="I48" s="16" t="str">
        <f>IF('Conversion Tables'!F43="NA","NA",(E48*'Conversion Tables'!$C43)/'Conversion Tables'!F43)</f>
        <v>NA</v>
      </c>
      <c r="J48" s="16" t="str">
        <f>IF('Conversion Tables'!G43="NA","NA",(F48*'Conversion Tables'!$C43)/'Conversion Tables'!G43)</f>
        <v>NA</v>
      </c>
      <c r="K48" s="16" t="str">
        <f>IF('Conversion Tables'!H43="NA","NA",(G48*'Conversion Tables'!$C43)/'Conversion Tables'!H43)</f>
        <v>NA</v>
      </c>
      <c r="L48" s="16" t="str">
        <f>IF('Conversion Tables'!I43="NA","NA",(H48*'Conversion Tables'!$C43)/'Conversion Tables'!I43)</f>
        <v>NA</v>
      </c>
      <c r="M48" s="16" t="str">
        <f>IF('Conversion Tables'!K43="NA","NA",E48*'Conversion Tables'!K43)</f>
        <v>NA</v>
      </c>
      <c r="N48" s="16" t="str">
        <f>IF('Conversion Tables'!L43="NA","NA",F48*'Conversion Tables'!L43)</f>
        <v>NA</v>
      </c>
      <c r="O48" s="16" t="str">
        <f>IF('Conversion Tables'!M43="NA","NA",G48*'Conversion Tables'!M43)</f>
        <v>NA</v>
      </c>
      <c r="P48" s="16" t="str">
        <f>IF('Conversion Tables'!N43="NA","NA",H48*'Conversion Tables'!N43)</f>
        <v>NA</v>
      </c>
      <c r="Q48" s="7"/>
    </row>
    <row r="49" spans="1:17" x14ac:dyDescent="0.25">
      <c r="A49" s="1065"/>
      <c r="B49" s="9" t="s">
        <v>524</v>
      </c>
      <c r="C49" s="295">
        <f t="shared" ref="C49:P49" si="6">SUM(C45:C48)</f>
        <v>2410.2717170000001</v>
      </c>
      <c r="D49" s="295">
        <f>SUM(D45:D48)</f>
        <v>0</v>
      </c>
      <c r="E49" s="295">
        <f t="shared" si="6"/>
        <v>1805.431437</v>
      </c>
      <c r="F49" s="295">
        <f>SUM(F45:F48)</f>
        <v>1832.5641804254333</v>
      </c>
      <c r="G49" s="295">
        <f>SUM(G45:G48)</f>
        <v>1868.5205802493813</v>
      </c>
      <c r="H49" s="295">
        <f>SUM(H45:H48)</f>
        <v>1895.4327322648514</v>
      </c>
      <c r="I49" s="19">
        <f t="shared" si="6"/>
        <v>0</v>
      </c>
      <c r="J49" s="19">
        <f t="shared" si="6"/>
        <v>0</v>
      </c>
      <c r="K49" s="19">
        <f t="shared" si="6"/>
        <v>0</v>
      </c>
      <c r="L49" s="19">
        <f t="shared" si="6"/>
        <v>0</v>
      </c>
      <c r="M49" s="19">
        <f t="shared" si="6"/>
        <v>0</v>
      </c>
      <c r="N49" s="19">
        <f t="shared" si="6"/>
        <v>0</v>
      </c>
      <c r="O49" s="19">
        <f t="shared" si="6"/>
        <v>0</v>
      </c>
      <c r="P49" s="19">
        <f t="shared" si="6"/>
        <v>0</v>
      </c>
      <c r="Q49" s="19"/>
    </row>
    <row r="50" spans="1:17" x14ac:dyDescent="0.25">
      <c r="A50" s="8"/>
      <c r="C50" s="296"/>
      <c r="D50" s="296"/>
      <c r="E50" s="296"/>
      <c r="F50" s="296"/>
      <c r="G50" s="296"/>
      <c r="H50" s="296"/>
      <c r="I50" s="28"/>
      <c r="J50" s="28"/>
      <c r="K50" s="28"/>
      <c r="L50" s="28"/>
      <c r="M50" s="28"/>
      <c r="N50" s="28"/>
      <c r="O50" s="28"/>
      <c r="P50" s="28"/>
    </row>
    <row r="51" spans="1:17" x14ac:dyDescent="0.25">
      <c r="A51" s="1200" t="s">
        <v>517</v>
      </c>
      <c r="B51" s="2" t="s">
        <v>505</v>
      </c>
      <c r="C51" s="294"/>
      <c r="D51" s="294"/>
      <c r="E51" s="294"/>
      <c r="F51" s="294"/>
      <c r="G51" s="294"/>
      <c r="H51" s="294"/>
      <c r="I51" s="16"/>
      <c r="J51" s="16"/>
      <c r="K51" s="16"/>
      <c r="L51" s="16"/>
      <c r="M51" s="16"/>
      <c r="N51" s="16"/>
      <c r="O51" s="16"/>
      <c r="P51" s="16"/>
      <c r="Q51" s="7"/>
    </row>
    <row r="52" spans="1:17" x14ac:dyDescent="0.25">
      <c r="A52" s="1201"/>
      <c r="B52" s="12" t="s">
        <v>535</v>
      </c>
      <c r="C52" s="294">
        <f>G97</f>
        <v>1717.56736</v>
      </c>
      <c r="D52" s="299">
        <f>E52*'Conversion Tables'!C45</f>
        <v>5071.6329006080005</v>
      </c>
      <c r="E52" s="299">
        <f>C52*'Prac. Rec. Assumptions'!B42</f>
        <v>343.51347200000004</v>
      </c>
      <c r="F52" s="294">
        <f t="shared" ref="F52:H59" si="7">$E52</f>
        <v>343.51347200000004</v>
      </c>
      <c r="G52" s="294">
        <f t="shared" si="7"/>
        <v>343.51347200000004</v>
      </c>
      <c r="H52" s="294">
        <f t="shared" si="7"/>
        <v>343.51347200000004</v>
      </c>
      <c r="I52" s="16" t="str">
        <f>IF('Conversion Tables'!F45="NA","NA",(E52*'Conversion Tables'!$C45)/'Conversion Tables'!F45)</f>
        <v>NA</v>
      </c>
      <c r="J52" s="16" t="str">
        <f>IF('Conversion Tables'!G45="NA","NA",(F52*'Conversion Tables'!$C45)/'Conversion Tables'!G45)</f>
        <v>NA</v>
      </c>
      <c r="K52" s="16" t="str">
        <f>IF('Conversion Tables'!H45="NA","NA",(G52*'Conversion Tables'!$C45)/'Conversion Tables'!H45)</f>
        <v>NA</v>
      </c>
      <c r="L52" s="16" t="str">
        <f>IF('Conversion Tables'!I45="NA","NA",(H52*'Conversion Tables'!$C45)/'Conversion Tables'!I45)</f>
        <v>NA</v>
      </c>
      <c r="M52" s="16" t="str">
        <f>IF('Conversion Tables'!K45="NA","NA",E52*'Conversion Tables'!K45)</f>
        <v>NA</v>
      </c>
      <c r="N52" s="16" t="str">
        <f>IF('Conversion Tables'!L45="NA","NA",F52*'Conversion Tables'!L45)</f>
        <v>NA</v>
      </c>
      <c r="O52" s="16" t="str">
        <f>IF('Conversion Tables'!M45="NA","NA",G52*'Conversion Tables'!M45)</f>
        <v>NA</v>
      </c>
      <c r="P52" s="16" t="str">
        <f>IF('Conversion Tables'!N45="NA","NA",H52*'Conversion Tables'!N45)</f>
        <v>NA</v>
      </c>
      <c r="Q52" s="27"/>
    </row>
    <row r="53" spans="1:17" x14ac:dyDescent="0.25">
      <c r="A53" s="1201"/>
      <c r="B53" s="12" t="s">
        <v>539</v>
      </c>
      <c r="C53" s="294">
        <f>G104</f>
        <v>370.41477500000002</v>
      </c>
      <c r="D53" s="299">
        <f>E53*'Conversion Tables'!C46</f>
        <v>3281.2822428599998</v>
      </c>
      <c r="E53" s="299">
        <f>C53*'Prac. Rec. Assumptions'!B43</f>
        <v>222.248865</v>
      </c>
      <c r="F53" s="294">
        <f t="shared" si="7"/>
        <v>222.248865</v>
      </c>
      <c r="G53" s="294">
        <f t="shared" si="7"/>
        <v>222.248865</v>
      </c>
      <c r="H53" s="294">
        <f t="shared" si="7"/>
        <v>222.248865</v>
      </c>
      <c r="I53" s="16" t="str">
        <f>IF('Conversion Tables'!F46="NA","NA",(E53*'Conversion Tables'!$C46)/'Conversion Tables'!F46)</f>
        <v>NA</v>
      </c>
      <c r="J53" s="16" t="str">
        <f>IF('Conversion Tables'!G46="NA","NA",(F53*'Conversion Tables'!$C46)/'Conversion Tables'!G46)</f>
        <v>NA</v>
      </c>
      <c r="K53" s="16" t="str">
        <f>IF('Conversion Tables'!H46="NA","NA",(G53*'Conversion Tables'!$C46)/'Conversion Tables'!H46)</f>
        <v>NA</v>
      </c>
      <c r="L53" s="16" t="str">
        <f>IF('Conversion Tables'!I46="NA","NA",(H53*'Conversion Tables'!$C46)/'Conversion Tables'!I46)</f>
        <v>NA</v>
      </c>
      <c r="M53" s="16" t="str">
        <f>IF('Conversion Tables'!K46="NA","NA",E53*'Conversion Tables'!K46)</f>
        <v>NA</v>
      </c>
      <c r="N53" s="16" t="str">
        <f>IF('Conversion Tables'!L46="NA","NA",F53*'Conversion Tables'!L46)</f>
        <v>NA</v>
      </c>
      <c r="O53" s="16" t="str">
        <f>IF('Conversion Tables'!M46="NA","NA",G53*'Conversion Tables'!M46)</f>
        <v>NA</v>
      </c>
      <c r="P53" s="16" t="str">
        <f>IF('Conversion Tables'!N46="NA","NA",H53*'Conversion Tables'!N46)</f>
        <v>NA</v>
      </c>
      <c r="Q53" s="27"/>
    </row>
    <row r="54" spans="1:17" x14ac:dyDescent="0.25">
      <c r="A54" s="1201"/>
      <c r="B54" s="12" t="s">
        <v>545</v>
      </c>
      <c r="C54" s="294">
        <f>G106</f>
        <v>4790.6523749999997</v>
      </c>
      <c r="D54" s="299">
        <f>E54*'Conversion Tables'!C47</f>
        <v>42437.514998699997</v>
      </c>
      <c r="E54" s="299">
        <f>C54*'Prac. Rec. Assumptions'!B44</f>
        <v>2874.3914249999998</v>
      </c>
      <c r="F54" s="294">
        <f t="shared" si="7"/>
        <v>2874.3914249999998</v>
      </c>
      <c r="G54" s="294">
        <f t="shared" si="7"/>
        <v>2874.3914249999998</v>
      </c>
      <c r="H54" s="294">
        <f t="shared" si="7"/>
        <v>2874.3914249999998</v>
      </c>
      <c r="I54" s="16" t="str">
        <f>IF('Conversion Tables'!F47="NA","NA",(E54*'Conversion Tables'!$C47)/'Conversion Tables'!F47)</f>
        <v>NA</v>
      </c>
      <c r="J54" s="16" t="str">
        <f>IF('Conversion Tables'!G47="NA","NA",(F54*'Conversion Tables'!$C47)/'Conversion Tables'!G47)</f>
        <v>NA</v>
      </c>
      <c r="K54" s="16" t="str">
        <f>IF('Conversion Tables'!H47="NA","NA",(G54*'Conversion Tables'!$C47)/'Conversion Tables'!H47)</f>
        <v>NA</v>
      </c>
      <c r="L54" s="16" t="str">
        <f>IF('Conversion Tables'!I47="NA","NA",(H54*'Conversion Tables'!$C47)/'Conversion Tables'!I47)</f>
        <v>NA</v>
      </c>
      <c r="M54" s="16" t="str">
        <f>IF('Conversion Tables'!K47="NA","NA",E54*'Conversion Tables'!K47)</f>
        <v>NA</v>
      </c>
      <c r="N54" s="16" t="str">
        <f>IF('Conversion Tables'!L47="NA","NA",F54*'Conversion Tables'!L47)</f>
        <v>NA</v>
      </c>
      <c r="O54" s="16" t="str">
        <f>IF('Conversion Tables'!M47="NA","NA",G54*'Conversion Tables'!M47)</f>
        <v>NA</v>
      </c>
      <c r="P54" s="16" t="str">
        <f>IF('Conversion Tables'!N47="NA","NA",H54*'Conversion Tables'!N47)</f>
        <v>NA</v>
      </c>
      <c r="Q54" s="27"/>
    </row>
    <row r="55" spans="1:17" x14ac:dyDescent="0.25">
      <c r="A55" s="1201"/>
      <c r="B55" s="12" t="s">
        <v>546</v>
      </c>
      <c r="C55" s="294">
        <f>G108</f>
        <v>244.832875</v>
      </c>
      <c r="D55" s="299">
        <f>E55*'Conversion Tables'!C48</f>
        <v>722.94251330000009</v>
      </c>
      <c r="E55" s="299">
        <f>C55*'Prac. Rec. Assumptions'!B45</f>
        <v>48.966575000000006</v>
      </c>
      <c r="F55" s="294">
        <f t="shared" si="7"/>
        <v>48.966575000000006</v>
      </c>
      <c r="G55" s="294">
        <f t="shared" si="7"/>
        <v>48.966575000000006</v>
      </c>
      <c r="H55" s="294">
        <f t="shared" si="7"/>
        <v>48.966575000000006</v>
      </c>
      <c r="I55" s="16" t="str">
        <f>IF('Conversion Tables'!F48="NA","NA",(E55*'Conversion Tables'!$C48)/'Conversion Tables'!F48)</f>
        <v>NA</v>
      </c>
      <c r="J55" s="16" t="str">
        <f>IF('Conversion Tables'!G48="NA","NA",(F55*'Conversion Tables'!$C48)/'Conversion Tables'!G48)</f>
        <v>NA</v>
      </c>
      <c r="K55" s="16" t="str">
        <f>IF('Conversion Tables'!H48="NA","NA",(G55*'Conversion Tables'!$C48)/'Conversion Tables'!H48)</f>
        <v>NA</v>
      </c>
      <c r="L55" s="16" t="str">
        <f>IF('Conversion Tables'!I48="NA","NA",(H55*'Conversion Tables'!$C48)/'Conversion Tables'!I48)</f>
        <v>NA</v>
      </c>
      <c r="M55" s="16" t="str">
        <f>IF('Conversion Tables'!K48="NA","NA",E55*'Conversion Tables'!K48)</f>
        <v>NA</v>
      </c>
      <c r="N55" s="16" t="str">
        <f>IF('Conversion Tables'!L48="NA","NA",F55*'Conversion Tables'!L48)</f>
        <v>NA</v>
      </c>
      <c r="O55" s="16" t="str">
        <f>IF('Conversion Tables'!M48="NA","NA",G55*'Conversion Tables'!M48)</f>
        <v>NA</v>
      </c>
      <c r="P55" s="16" t="str">
        <f>IF('Conversion Tables'!N48="NA","NA",H55*'Conversion Tables'!N48)</f>
        <v>NA</v>
      </c>
      <c r="Q55" s="27"/>
    </row>
    <row r="56" spans="1:17" x14ac:dyDescent="0.25">
      <c r="A56" s="1201"/>
      <c r="B56" s="12" t="s">
        <v>547</v>
      </c>
      <c r="C56" s="294">
        <f>G110</f>
        <v>227.79649999999998</v>
      </c>
      <c r="D56" s="299">
        <f>E56*'Conversion Tables'!C49</f>
        <v>672.63750519999996</v>
      </c>
      <c r="E56" s="299">
        <f>C56*'Prac. Rec. Assumptions'!B46</f>
        <v>45.5593</v>
      </c>
      <c r="F56" s="294">
        <f t="shared" si="7"/>
        <v>45.5593</v>
      </c>
      <c r="G56" s="294">
        <f t="shared" si="7"/>
        <v>45.5593</v>
      </c>
      <c r="H56" s="294">
        <f t="shared" si="7"/>
        <v>45.5593</v>
      </c>
      <c r="I56" s="16" t="str">
        <f>IF('Conversion Tables'!F49="NA","NA",(E56*'Conversion Tables'!$C49)/'Conversion Tables'!F49)</f>
        <v>NA</v>
      </c>
      <c r="J56" s="16" t="str">
        <f>IF('Conversion Tables'!G49="NA","NA",(F56*'Conversion Tables'!$C49)/'Conversion Tables'!G49)</f>
        <v>NA</v>
      </c>
      <c r="K56" s="16" t="str">
        <f>IF('Conversion Tables'!H49="NA","NA",(G56*'Conversion Tables'!$C49)/'Conversion Tables'!H49)</f>
        <v>NA</v>
      </c>
      <c r="L56" s="16" t="str">
        <f>IF('Conversion Tables'!I49="NA","NA",(H56*'Conversion Tables'!$C49)/'Conversion Tables'!I49)</f>
        <v>NA</v>
      </c>
      <c r="M56" s="16" t="str">
        <f>IF('Conversion Tables'!K49="NA","NA",E56*'Conversion Tables'!K49)</f>
        <v>NA</v>
      </c>
      <c r="N56" s="16" t="str">
        <f>IF('Conversion Tables'!L49="NA","NA",F56*'Conversion Tables'!L49)</f>
        <v>NA</v>
      </c>
      <c r="O56" s="16" t="str">
        <f>IF('Conversion Tables'!M49="NA","NA",G56*'Conversion Tables'!M49)</f>
        <v>NA</v>
      </c>
      <c r="P56" s="16" t="str">
        <f>IF('Conversion Tables'!N49="NA","NA",H56*'Conversion Tables'!N49)</f>
        <v>NA</v>
      </c>
      <c r="Q56" s="27"/>
    </row>
    <row r="57" spans="1:17" x14ac:dyDescent="0.25">
      <c r="A57" s="1201"/>
      <c r="B57" s="133" t="s">
        <v>605</v>
      </c>
      <c r="C57" s="294">
        <f>G115</f>
        <v>72.479875000000007</v>
      </c>
      <c r="D57" s="299">
        <f>E57*'Conversion Tables'!C50</f>
        <v>535.04643725000005</v>
      </c>
      <c r="E57" s="299">
        <f>C57*'Prac. Rec. Assumptions'!B47</f>
        <v>36.239937500000003</v>
      </c>
      <c r="F57" s="294">
        <f t="shared" si="7"/>
        <v>36.239937500000003</v>
      </c>
      <c r="G57" s="294">
        <f t="shared" si="7"/>
        <v>36.239937500000003</v>
      </c>
      <c r="H57" s="294">
        <f t="shared" si="7"/>
        <v>36.239937500000003</v>
      </c>
      <c r="I57" s="16" t="str">
        <f>IF('Conversion Tables'!F50="NA","NA",(E57*'Conversion Tables'!$C50)/'Conversion Tables'!F50)</f>
        <v>NA</v>
      </c>
      <c r="J57" s="16" t="str">
        <f>IF('Conversion Tables'!G50="NA","NA",(F57*'Conversion Tables'!$C50)/'Conversion Tables'!G50)</f>
        <v>NA</v>
      </c>
      <c r="K57" s="16" t="str">
        <f>IF('Conversion Tables'!H50="NA","NA",(G57*'Conversion Tables'!$C50)/'Conversion Tables'!H50)</f>
        <v>NA</v>
      </c>
      <c r="L57" s="16" t="str">
        <f>IF('Conversion Tables'!I50="NA","NA",(H57*'Conversion Tables'!$C50)/'Conversion Tables'!I50)</f>
        <v>NA</v>
      </c>
      <c r="M57" s="16" t="str">
        <f>IF('Conversion Tables'!K50="NA","NA",E57*'Conversion Tables'!K50)</f>
        <v>NA</v>
      </c>
      <c r="N57" s="16" t="str">
        <f>IF('Conversion Tables'!L50="NA","NA",F57*'Conversion Tables'!L50)</f>
        <v>NA</v>
      </c>
      <c r="O57" s="16" t="str">
        <f>IF('Conversion Tables'!M50="NA","NA",G57*'Conversion Tables'!M50)</f>
        <v>NA</v>
      </c>
      <c r="P57" s="16" t="str">
        <f>IF('Conversion Tables'!N50="NA","NA",H57*'Conversion Tables'!N50)</f>
        <v>NA</v>
      </c>
      <c r="Q57" s="27"/>
    </row>
    <row r="58" spans="1:17" x14ac:dyDescent="0.25">
      <c r="A58" s="1201"/>
      <c r="B58" s="12" t="s">
        <v>551</v>
      </c>
      <c r="C58" s="294">
        <f>G117</f>
        <v>1151.255625</v>
      </c>
      <c r="D58" s="299">
        <f>E58*'Conversion Tables'!C51</f>
        <v>13815.067500000001</v>
      </c>
      <c r="E58" s="299">
        <f>C58*'Prac. Rec. Assumptions'!B48</f>
        <v>1151.255625</v>
      </c>
      <c r="F58" s="294">
        <f t="shared" si="7"/>
        <v>1151.255625</v>
      </c>
      <c r="G58" s="294">
        <f t="shared" si="7"/>
        <v>1151.255625</v>
      </c>
      <c r="H58" s="294">
        <f t="shared" si="7"/>
        <v>1151.255625</v>
      </c>
      <c r="I58" s="16" t="str">
        <f>IF('Conversion Tables'!F51="NA","NA",(E58*'Conversion Tables'!$C51)/'Conversion Tables'!F51)</f>
        <v>NA</v>
      </c>
      <c r="J58" s="16" t="str">
        <f>IF('Conversion Tables'!G51="NA","NA",(F58*'Conversion Tables'!$C51)/'Conversion Tables'!G51)</f>
        <v>NA</v>
      </c>
      <c r="K58" s="16" t="str">
        <f>IF('Conversion Tables'!H51="NA","NA",(G58*'Conversion Tables'!$C51)/'Conversion Tables'!H51)</f>
        <v>NA</v>
      </c>
      <c r="L58" s="16" t="str">
        <f>IF('Conversion Tables'!I51="NA","NA",(H58*'Conversion Tables'!$C51)/'Conversion Tables'!I51)</f>
        <v>NA</v>
      </c>
      <c r="M58" s="16" t="str">
        <f>IF('Conversion Tables'!K51="NA","NA",E58*'Conversion Tables'!K51)</f>
        <v>NA</v>
      </c>
      <c r="N58" s="16" t="str">
        <f>IF('Conversion Tables'!L51="NA","NA",F58*'Conversion Tables'!L51)</f>
        <v>NA</v>
      </c>
      <c r="O58" s="16" t="str">
        <f>IF('Conversion Tables'!M51="NA","NA",G58*'Conversion Tables'!M51)</f>
        <v>NA</v>
      </c>
      <c r="P58" s="16" t="str">
        <f>IF('Conversion Tables'!N51="NA","NA",H58*'Conversion Tables'!N51)</f>
        <v>NA</v>
      </c>
      <c r="Q58" s="27"/>
    </row>
    <row r="59" spans="1:17" x14ac:dyDescent="0.25">
      <c r="A59" s="1201"/>
      <c r="B59" s="12" t="s">
        <v>552</v>
      </c>
      <c r="C59" s="294">
        <f>G119</f>
        <v>110.65203124999999</v>
      </c>
      <c r="D59" s="299">
        <f>E59*'Conversion Tables'!C52</f>
        <v>1633.6665893749998</v>
      </c>
      <c r="E59" s="299">
        <f>C59*'Prac. Rec. Assumptions'!B49</f>
        <v>110.65203124999999</v>
      </c>
      <c r="F59" s="294">
        <f t="shared" si="7"/>
        <v>110.65203124999999</v>
      </c>
      <c r="G59" s="294">
        <f t="shared" si="7"/>
        <v>110.65203124999999</v>
      </c>
      <c r="H59" s="294">
        <f t="shared" si="7"/>
        <v>110.65203124999999</v>
      </c>
      <c r="I59" s="16" t="str">
        <f>IF('Conversion Tables'!F52="NA","NA",(E59*'Conversion Tables'!$C52)/'Conversion Tables'!F52)</f>
        <v>NA</v>
      </c>
      <c r="J59" s="16" t="str">
        <f>IF('Conversion Tables'!G52="NA","NA",(F59*'Conversion Tables'!$C52)/'Conversion Tables'!G52)</f>
        <v>NA</v>
      </c>
      <c r="K59" s="16" t="str">
        <f>IF('Conversion Tables'!H52="NA","NA",(G59*'Conversion Tables'!$C52)/'Conversion Tables'!H52)</f>
        <v>NA</v>
      </c>
      <c r="L59" s="16" t="str">
        <f>IF('Conversion Tables'!I52="NA","NA",(H59*'Conversion Tables'!$C52)/'Conversion Tables'!I52)</f>
        <v>NA</v>
      </c>
      <c r="M59" s="16" t="str">
        <f>IF('Conversion Tables'!K52="NA","NA",E59*'Conversion Tables'!K52)</f>
        <v>NA</v>
      </c>
      <c r="N59" s="16" t="str">
        <f>IF('Conversion Tables'!L52="NA","NA",F59*'Conversion Tables'!L52)</f>
        <v>NA</v>
      </c>
      <c r="O59" s="16" t="str">
        <f>IF('Conversion Tables'!M52="NA","NA",G59*'Conversion Tables'!M52)</f>
        <v>NA</v>
      </c>
      <c r="P59" s="16" t="str">
        <f>IF('Conversion Tables'!N52="NA","NA",H59*'Conversion Tables'!N52)</f>
        <v>NA</v>
      </c>
      <c r="Q59" s="27"/>
    </row>
    <row r="60" spans="1:17" x14ac:dyDescent="0.25">
      <c r="A60" s="1202"/>
      <c r="B60" s="129" t="s">
        <v>305</v>
      </c>
      <c r="C60" s="294">
        <f>'Biomass Data Assumptions'!AE24</f>
        <v>5930.7584929999994</v>
      </c>
      <c r="D60" s="299">
        <f>E60*'Conversion Tables'!C53</f>
        <v>71169.101915999985</v>
      </c>
      <c r="E60" s="299">
        <f>C60*'Prac. Rec. Assumptions'!B50</f>
        <v>5930.7584929999994</v>
      </c>
      <c r="F60" s="294">
        <f>($C60*(1+'Biomass Data Assumptions'!G$109*(4/5)))*'Prac. Rec. Assumptions'!$B50</f>
        <v>6111.3236649403452</v>
      </c>
      <c r="G60" s="294">
        <f>($C60*(1+'Biomass Data Assumptions'!H$109*(9/10)))*'Prac. Rec. Assumptions'!$B50</f>
        <v>6403.0905586244426</v>
      </c>
      <c r="H60" s="294">
        <f>($C60*(1+'Biomass Data Assumptions'!I$109*(14/15)))*'Prac. Rec. Assumptions'!$B50</f>
        <v>6629.5310283138615</v>
      </c>
      <c r="I60" s="16" t="str">
        <f>IF('Conversion Tables'!F53="NA","NA",(E60*'Conversion Tables'!$C53)/'Conversion Tables'!F53)</f>
        <v>NA</v>
      </c>
      <c r="J60" s="16" t="str">
        <f>IF('Conversion Tables'!G53="NA","NA",(F60*'Conversion Tables'!$C53)/'Conversion Tables'!G53)</f>
        <v>NA</v>
      </c>
      <c r="K60" s="16" t="str">
        <f>IF('Conversion Tables'!H53="NA","NA",(G60*'Conversion Tables'!$C53)/'Conversion Tables'!H53)</f>
        <v>NA</v>
      </c>
      <c r="L60" s="16" t="str">
        <f>IF('Conversion Tables'!I53="NA","NA",(H60*'Conversion Tables'!$C53)/'Conversion Tables'!I53)</f>
        <v>NA</v>
      </c>
      <c r="M60" s="16" t="str">
        <f>IF('Conversion Tables'!K53="NA","NA",E60*'Conversion Tables'!K53)</f>
        <v>NA</v>
      </c>
      <c r="N60" s="16" t="str">
        <f>IF('Conversion Tables'!L53="NA","NA",F60*'Conversion Tables'!L53)</f>
        <v>NA</v>
      </c>
      <c r="O60" s="16" t="str">
        <f>IF('Conversion Tables'!M53="NA","NA",G60*'Conversion Tables'!M53)</f>
        <v>NA</v>
      </c>
      <c r="P60" s="16" t="str">
        <f>IF('Conversion Tables'!N53="NA","NA",H60*'Conversion Tables'!N53)</f>
        <v>NA</v>
      </c>
      <c r="Q60" s="7"/>
    </row>
    <row r="61" spans="1:17" x14ac:dyDescent="0.25">
      <c r="A61" s="1202"/>
      <c r="B61" s="9" t="s">
        <v>257</v>
      </c>
      <c r="C61" s="295">
        <f>SUM(C52:C60)</f>
        <v>14616.40990925</v>
      </c>
      <c r="D61" s="295">
        <f t="shared" ref="D61:H61" si="8">SUM(D52:D60)</f>
        <v>139338.892603293</v>
      </c>
      <c r="E61" s="295">
        <f t="shared" si="8"/>
        <v>10763.585723749999</v>
      </c>
      <c r="F61" s="295">
        <f t="shared" si="8"/>
        <v>10944.150895690345</v>
      </c>
      <c r="G61" s="295">
        <f t="shared" si="8"/>
        <v>11235.917789374442</v>
      </c>
      <c r="H61" s="295">
        <f t="shared" si="8"/>
        <v>11462.358259063862</v>
      </c>
      <c r="I61" s="19">
        <f t="shared" ref="I61:P61" si="9">SUM(I52:I60)</f>
        <v>0</v>
      </c>
      <c r="J61" s="19">
        <f t="shared" si="9"/>
        <v>0</v>
      </c>
      <c r="K61" s="19">
        <f t="shared" si="9"/>
        <v>0</v>
      </c>
      <c r="L61" s="19">
        <f t="shared" si="9"/>
        <v>0</v>
      </c>
      <c r="M61" s="19">
        <f t="shared" si="9"/>
        <v>0</v>
      </c>
      <c r="N61" s="19">
        <f t="shared" si="9"/>
        <v>0</v>
      </c>
      <c r="O61" s="19">
        <f t="shared" si="9"/>
        <v>0</v>
      </c>
      <c r="P61" s="19">
        <f t="shared" si="9"/>
        <v>0</v>
      </c>
      <c r="Q61" s="7"/>
    </row>
    <row r="62" spans="1:17" x14ac:dyDescent="0.25">
      <c r="A62" s="1202"/>
      <c r="B62" s="7" t="s">
        <v>256</v>
      </c>
      <c r="C62" s="298" t="s">
        <v>251</v>
      </c>
      <c r="D62" s="13"/>
      <c r="E62" s="298" t="s">
        <v>251</v>
      </c>
      <c r="F62" s="298"/>
      <c r="G62" s="298"/>
      <c r="H62" s="298"/>
      <c r="I62" s="7"/>
      <c r="J62" s="7"/>
      <c r="K62" s="7"/>
      <c r="L62" s="7"/>
      <c r="M62" s="7"/>
      <c r="N62" s="7"/>
      <c r="O62" s="7"/>
      <c r="P62" s="7"/>
      <c r="Q62" s="7"/>
    </row>
    <row r="63" spans="1:17" x14ac:dyDescent="0.25">
      <c r="A63" s="1203"/>
      <c r="B63" s="133" t="s">
        <v>304</v>
      </c>
      <c r="C63" s="294">
        <f>'Biomass Data Assumptions'!AB24</f>
        <v>69.517717500000018</v>
      </c>
      <c r="D63" s="300">
        <f>E63*'Conversion Tables'!C55</f>
        <v>43031.467132500009</v>
      </c>
      <c r="E63" s="299">
        <f>C63*'Prac. Rec. Assumptions'!B51</f>
        <v>69.517717500000018</v>
      </c>
      <c r="F63" s="294">
        <f>($C63*(1+'Biomass Data Assumptions'!G$109*(4/5)))*'Prac. Rec. Assumptions'!$B51</f>
        <v>71.634222265470314</v>
      </c>
      <c r="G63" s="294">
        <f>($C63*(1+'Biomass Data Assumptions'!H$109*(9/10)))*'Prac. Rec. Assumptions'!$B51</f>
        <v>75.054184234065616</v>
      </c>
      <c r="H63" s="294">
        <f>($C63*(1+'Biomass Data Assumptions'!I$109*(14/15)))*'Prac. Rec. Assumptions'!$B51</f>
        <v>77.708418868811904</v>
      </c>
      <c r="I63" s="16" t="str">
        <f>IF('Conversion Tables'!F55="NA","NA",(E63*'Conversion Tables'!$C55)/'Conversion Tables'!F55)</f>
        <v>NA</v>
      </c>
      <c r="J63" s="16" t="str">
        <f>IF('Conversion Tables'!G55="NA","NA",(F63*'Conversion Tables'!$C55)/'Conversion Tables'!G55)</f>
        <v>NA</v>
      </c>
      <c r="K63" s="16" t="str">
        <f>IF('Conversion Tables'!H55="NA","NA",(G63*'Conversion Tables'!$C55)/'Conversion Tables'!H55)</f>
        <v>NA</v>
      </c>
      <c r="L63" s="16" t="str">
        <f>IF('Conversion Tables'!I55="NA","NA",(H63*'Conversion Tables'!$C55)/'Conversion Tables'!I55)</f>
        <v>NA</v>
      </c>
      <c r="M63" s="16" t="str">
        <f>IF('Conversion Tables'!K55="NA","NA",E63*'Conversion Tables'!K55)</f>
        <v>NA</v>
      </c>
      <c r="N63" s="16" t="str">
        <f>IF('Conversion Tables'!L55="NA","NA",F63*'Conversion Tables'!L55)</f>
        <v>NA</v>
      </c>
      <c r="O63" s="16" t="str">
        <f>IF('Conversion Tables'!M55="NA","NA",G63*'Conversion Tables'!M55)</f>
        <v>NA</v>
      </c>
      <c r="P63" s="16" t="str">
        <f>IF('Conversion Tables'!N55="NA","NA",H63*'Conversion Tables'!N55)</f>
        <v>NA</v>
      </c>
      <c r="Q63" s="7"/>
    </row>
    <row r="64" spans="1:17" x14ac:dyDescent="0.25">
      <c r="A64" s="1204"/>
      <c r="B64" s="17" t="s">
        <v>512</v>
      </c>
      <c r="C64" s="294">
        <f>'Biomass Data Assumptions'!X24</f>
        <v>0</v>
      </c>
      <c r="D64" s="300">
        <f>E64*'Conversion Tables'!C56</f>
        <v>0</v>
      </c>
      <c r="E64" s="299">
        <f>C64*'Prac. Rec. Assumptions'!B52</f>
        <v>0</v>
      </c>
      <c r="F64" s="545">
        <f>($C64*(1+'Biomass Data Assumptions'!G$109*(3/5))*(1+('Biomass Data Assumptions'!C$82-((1+'Biomass Data Assumptions'!$B$82)^2 - 1))))*'Prac. Rec. Assumptions'!$B52</f>
        <v>0</v>
      </c>
      <c r="G64" s="545">
        <f>($C64*(1+'Biomass Data Assumptions'!H$109*(4/5))*(1+('Biomass Data Assumptions'!D$82-((1+'Biomass Data Assumptions'!$B$82)^2 - 1))))*'Prac. Rec. Assumptions'!$B52</f>
        <v>0</v>
      </c>
      <c r="H64" s="545">
        <f>($C64*(1+'Biomass Data Assumptions'!I$109*(13/15))*(1+('Biomass Data Assumptions'!E$82-((1+'Biomass Data Assumptions'!$B$82)^2 - 1))))*'Prac. Rec. Assumptions'!$B52</f>
        <v>0</v>
      </c>
      <c r="I64" s="16" t="str">
        <f>IF('Conversion Tables'!F56="NA","NA",(E64*'Conversion Tables'!$C56)/'Conversion Tables'!F56)</f>
        <v>NA</v>
      </c>
      <c r="J64" s="16" t="str">
        <f>IF('Conversion Tables'!G56="NA","NA",(F64*'Conversion Tables'!$C56)/'Conversion Tables'!G56)</f>
        <v>NA</v>
      </c>
      <c r="K64" s="16" t="str">
        <f>IF('Conversion Tables'!H56="NA","NA",(G64*'Conversion Tables'!$C56)/'Conversion Tables'!H56)</f>
        <v>NA</v>
      </c>
      <c r="L64" s="16" t="str">
        <f>IF('Conversion Tables'!I56="NA","NA",(H64*'Conversion Tables'!$C56)/'Conversion Tables'!I56)</f>
        <v>NA</v>
      </c>
      <c r="M64" s="16" t="str">
        <f>IF('Conversion Tables'!K56="NA","NA",E64*'Conversion Tables'!K56)</f>
        <v>NA</v>
      </c>
      <c r="N64" s="16" t="str">
        <f>IF('Conversion Tables'!L56="NA","NA",F64*'Conversion Tables'!L56)</f>
        <v>NA</v>
      </c>
      <c r="O64" s="16" t="str">
        <f>IF('Conversion Tables'!M56="NA","NA",G64*'Conversion Tables'!M56)</f>
        <v>NA</v>
      </c>
      <c r="P64" s="16" t="str">
        <f>IF('Conversion Tables'!N56="NA","NA",H64*'Conversion Tables'!N56)</f>
        <v>NA</v>
      </c>
      <c r="Q64" s="7"/>
    </row>
    <row r="65" spans="1:19" x14ac:dyDescent="0.25">
      <c r="A65" s="1204"/>
      <c r="B65" s="9" t="s">
        <v>248</v>
      </c>
      <c r="C65" s="295">
        <f>SUM(C63:C64)</f>
        <v>69.517717500000018</v>
      </c>
      <c r="D65" s="295">
        <f>SUM(D63:D64)</f>
        <v>43031.467132500009</v>
      </c>
      <c r="E65" s="295">
        <f t="shared" ref="E65:P65" si="10">SUM(E63:E64)</f>
        <v>69.517717500000018</v>
      </c>
      <c r="F65" s="295">
        <f>SUM(F63:F64)</f>
        <v>71.634222265470314</v>
      </c>
      <c r="G65" s="295">
        <f>SUM(G63:G64)</f>
        <v>75.054184234065616</v>
      </c>
      <c r="H65" s="295">
        <f>SUM(H63:H64)</f>
        <v>77.708418868811904</v>
      </c>
      <c r="I65" s="19">
        <f t="shared" si="10"/>
        <v>0</v>
      </c>
      <c r="J65" s="19">
        <f t="shared" si="10"/>
        <v>0</v>
      </c>
      <c r="K65" s="19">
        <f t="shared" si="10"/>
        <v>0</v>
      </c>
      <c r="L65" s="19">
        <f t="shared" si="10"/>
        <v>0</v>
      </c>
      <c r="M65" s="19">
        <f t="shared" si="10"/>
        <v>0</v>
      </c>
      <c r="N65" s="19">
        <f t="shared" si="10"/>
        <v>0</v>
      </c>
      <c r="O65" s="19">
        <f t="shared" si="10"/>
        <v>0</v>
      </c>
      <c r="P65" s="19">
        <f t="shared" si="10"/>
        <v>0</v>
      </c>
      <c r="Q65" s="19">
        <f>SUM(Q51:Q64)</f>
        <v>0</v>
      </c>
    </row>
    <row r="66" spans="1:19" x14ac:dyDescent="0.25">
      <c r="A66" s="1204"/>
      <c r="B66" s="9"/>
      <c r="C66" s="295"/>
      <c r="D66" s="295"/>
      <c r="E66" s="295"/>
      <c r="F66" s="295"/>
      <c r="G66" s="295"/>
      <c r="H66" s="295"/>
      <c r="I66" s="19"/>
      <c r="J66" s="19"/>
      <c r="K66" s="19"/>
      <c r="L66" s="19"/>
      <c r="M66" s="19"/>
      <c r="N66" s="19"/>
      <c r="O66" s="19"/>
      <c r="P66" s="19"/>
      <c r="Q66" s="19"/>
    </row>
    <row r="67" spans="1:19" x14ac:dyDescent="0.25">
      <c r="A67" s="1205"/>
      <c r="B67" s="9" t="s">
        <v>258</v>
      </c>
      <c r="C67" s="295">
        <f>C61+(C63*1000000/29487.1582406855)+(C64*1000000/25364.5039539246)</f>
        <v>16973.968984036717</v>
      </c>
      <c r="D67" s="295">
        <f t="shared" ref="D67" si="11">D61+D65</f>
        <v>182370.35973579303</v>
      </c>
      <c r="E67" s="295">
        <f>E61+(E63*1000000/29487.1582406855)+(E64*1000000/25364.5039539246)</f>
        <v>13121.144798536716</v>
      </c>
      <c r="F67" s="295">
        <f t="shared" ref="F67:H67" si="12">F61+(F63*1000000/29487.1582406855)+(F64*1000000/25364.5039539246)</f>
        <v>13373.487140328241</v>
      </c>
      <c r="G67" s="295">
        <f t="shared" si="12"/>
        <v>13781.23543651577</v>
      </c>
      <c r="H67" s="295">
        <f t="shared" si="12"/>
        <v>14097.689145632379</v>
      </c>
      <c r="I67" s="19">
        <f t="shared" ref="I67:P67" si="13">I61+I65</f>
        <v>0</v>
      </c>
      <c r="J67" s="19">
        <f t="shared" si="13"/>
        <v>0</v>
      </c>
      <c r="K67" s="19">
        <f t="shared" si="13"/>
        <v>0</v>
      </c>
      <c r="L67" s="19">
        <f t="shared" si="13"/>
        <v>0</v>
      </c>
      <c r="M67" s="19">
        <f t="shared" si="13"/>
        <v>0</v>
      </c>
      <c r="N67" s="19">
        <f t="shared" si="13"/>
        <v>0</v>
      </c>
      <c r="O67" s="19">
        <f t="shared" si="13"/>
        <v>0</v>
      </c>
      <c r="P67" s="19">
        <f t="shared" si="13"/>
        <v>0</v>
      </c>
      <c r="Q67" s="19"/>
    </row>
    <row r="68" spans="1:19" customFormat="1" x14ac:dyDescent="0.25">
      <c r="B68" s="270" t="s">
        <v>162</v>
      </c>
      <c r="C68" s="132">
        <f>C11+C29+C43+C49+C67</f>
        <v>229233.43851023671</v>
      </c>
      <c r="D68" s="132"/>
      <c r="E68" s="132">
        <f>E11+E29+E43+E49+E67</f>
        <v>122270.01742721671</v>
      </c>
      <c r="F68" s="132">
        <f>F11+F29+F43+F49+F67</f>
        <v>127552.71090862341</v>
      </c>
      <c r="G68" s="132">
        <f>G11+G29+G43+G49+G67</f>
        <v>134364.80135390142</v>
      </c>
      <c r="H68" s="132">
        <f>H11+H29+H43+H49+H67</f>
        <v>140197.42219567171</v>
      </c>
      <c r="I68" s="264"/>
    </row>
    <row r="69" spans="1:19" ht="13.8" thickBot="1" x14ac:dyDescent="0.3">
      <c r="A69" s="10"/>
      <c r="B69" s="10"/>
      <c r="C69" s="10"/>
      <c r="D69" s="10"/>
      <c r="E69" s="10"/>
      <c r="F69" s="10"/>
      <c r="G69" s="10"/>
      <c r="H69" s="10"/>
      <c r="I69" s="1003">
        <f>SUM(I8:I66)/2</f>
        <v>0</v>
      </c>
      <c r="J69" s="1003">
        <f>SUM(J8:J66)/2</f>
        <v>0</v>
      </c>
      <c r="K69" s="1003">
        <f>SUM(K8:K66)/2</f>
        <v>0</v>
      </c>
      <c r="L69" s="1003">
        <f>SUM(L8:L66)/2</f>
        <v>0</v>
      </c>
      <c r="M69" s="1003">
        <f>SUM(M8:M66)/2</f>
        <v>0</v>
      </c>
      <c r="N69" s="1003">
        <f t="shared" ref="N69:P69" si="14">SUM(N8:N66)/2</f>
        <v>0</v>
      </c>
      <c r="O69" s="1003">
        <f t="shared" si="14"/>
        <v>0</v>
      </c>
      <c r="P69" s="1003">
        <f t="shared" si="14"/>
        <v>0</v>
      </c>
      <c r="Q69" s="10"/>
      <c r="R69" s="10"/>
      <c r="S69" s="10"/>
    </row>
    <row r="70" spans="1:19" x14ac:dyDescent="0.25">
      <c r="A70" s="35" t="s">
        <v>23</v>
      </c>
      <c r="B70" s="36"/>
      <c r="C70" s="36"/>
      <c r="D70" s="36"/>
      <c r="E70" s="36"/>
      <c r="F70" s="36"/>
      <c r="G70" s="36"/>
      <c r="H70" s="36"/>
      <c r="I70" s="36"/>
      <c r="J70" s="36"/>
      <c r="K70" s="36"/>
      <c r="L70" s="36"/>
      <c r="M70" s="36"/>
      <c r="N70" s="36"/>
      <c r="O70" s="36"/>
      <c r="P70" s="36"/>
      <c r="Q70" s="36"/>
      <c r="R70" s="36"/>
    </row>
    <row r="71" spans="1:19" x14ac:dyDescent="0.25">
      <c r="A71" s="36"/>
      <c r="B71" s="36"/>
      <c r="C71" s="36"/>
      <c r="D71" s="36"/>
      <c r="E71" s="36"/>
      <c r="F71" s="36"/>
      <c r="G71" s="36"/>
      <c r="H71" s="36"/>
      <c r="I71" s="36"/>
      <c r="J71" s="36"/>
      <c r="K71" s="36"/>
      <c r="L71" s="36"/>
      <c r="M71" s="36"/>
      <c r="N71" s="36"/>
      <c r="O71" s="36"/>
      <c r="P71" s="36"/>
      <c r="Q71" s="36"/>
      <c r="R71" s="36"/>
    </row>
    <row r="72" spans="1:19" x14ac:dyDescent="0.25">
      <c r="A72" s="36"/>
      <c r="B72" s="36"/>
      <c r="C72" s="36"/>
      <c r="D72" s="36"/>
      <c r="E72" s="36"/>
      <c r="F72" s="36"/>
      <c r="G72" s="36"/>
      <c r="H72" s="36"/>
      <c r="I72" s="36"/>
      <c r="J72" s="36"/>
      <c r="K72" s="36"/>
      <c r="L72" s="36"/>
      <c r="M72" s="36"/>
      <c r="N72" s="36"/>
      <c r="O72" s="36"/>
      <c r="P72" s="36"/>
      <c r="Q72" s="36"/>
      <c r="R72" s="36"/>
    </row>
    <row r="73" spans="1:19" ht="26.4" x14ac:dyDescent="0.25">
      <c r="A73" s="37" t="s">
        <v>1037</v>
      </c>
      <c r="B73" s="454" t="s">
        <v>297</v>
      </c>
      <c r="C73" s="37" t="s">
        <v>1042</v>
      </c>
      <c r="D73" s="37" t="s">
        <v>1041</v>
      </c>
      <c r="E73" s="36" t="s">
        <v>598</v>
      </c>
      <c r="F73" s="38"/>
      <c r="G73" s="38"/>
      <c r="H73" s="36"/>
      <c r="I73" s="36"/>
      <c r="J73" s="36"/>
      <c r="K73" s="36"/>
      <c r="L73" s="36"/>
      <c r="M73" s="36"/>
      <c r="N73" s="36"/>
      <c r="O73" s="36"/>
      <c r="P73" s="36"/>
      <c r="Q73" s="36"/>
      <c r="R73" s="36"/>
    </row>
    <row r="74" spans="1:19" x14ac:dyDescent="0.25">
      <c r="A74" s="39" t="s">
        <v>519</v>
      </c>
      <c r="B74" s="21">
        <v>105</v>
      </c>
      <c r="C74" s="40">
        <f>'Biomass Data Assumptions'!B38*B74</f>
        <v>6856.5</v>
      </c>
      <c r="D74" s="40">
        <f>(C74*'Biomass Data Assumptions'!C38)/2000</f>
        <v>191.982</v>
      </c>
      <c r="E74" s="41"/>
      <c r="F74" s="41"/>
      <c r="G74" s="41"/>
      <c r="H74" s="36"/>
      <c r="I74" s="36"/>
      <c r="J74" s="36"/>
      <c r="K74" s="36"/>
      <c r="L74" s="36"/>
      <c r="M74" s="36"/>
      <c r="N74" s="36"/>
      <c r="O74" s="36"/>
      <c r="P74" s="36"/>
      <c r="Q74" s="36"/>
      <c r="R74" s="36"/>
    </row>
    <row r="75" spans="1:19" x14ac:dyDescent="0.25">
      <c r="A75" s="39" t="s">
        <v>520</v>
      </c>
      <c r="B75" s="21">
        <v>589</v>
      </c>
      <c r="C75" s="40">
        <f>'Biomass Data Assumptions'!B39*B75</f>
        <v>16079.7</v>
      </c>
      <c r="D75" s="40">
        <f>(C75*'Biomass Data Assumptions'!C39)/2000</f>
        <v>450.23160000000001</v>
      </c>
      <c r="E75" s="41"/>
      <c r="F75" s="41"/>
      <c r="G75" s="41"/>
      <c r="H75" s="36"/>
      <c r="I75" s="36"/>
      <c r="J75" s="36"/>
      <c r="K75" s="36"/>
      <c r="L75" s="36"/>
      <c r="M75" s="36"/>
      <c r="N75" s="36"/>
      <c r="O75" s="36"/>
      <c r="P75" s="36"/>
      <c r="Q75" s="36"/>
      <c r="R75" s="36"/>
    </row>
    <row r="76" spans="1:19" x14ac:dyDescent="0.25">
      <c r="A76" s="39" t="s">
        <v>521</v>
      </c>
      <c r="B76" s="21">
        <v>1579</v>
      </c>
      <c r="C76" s="40">
        <f>'Biomass Data Assumptions'!B40*B76</f>
        <v>197375</v>
      </c>
      <c r="D76" s="40">
        <f>(C76*'Biomass Data Assumptions'!C40)/2000</f>
        <v>5526.5</v>
      </c>
      <c r="E76" s="41"/>
      <c r="F76" s="41"/>
      <c r="G76" s="41"/>
      <c r="H76" s="36"/>
      <c r="I76" s="36"/>
      <c r="J76" s="36"/>
      <c r="K76" s="36"/>
      <c r="L76" s="36"/>
      <c r="M76" s="36"/>
      <c r="N76" s="36"/>
      <c r="O76" s="36"/>
      <c r="P76" s="36"/>
      <c r="Q76" s="36"/>
      <c r="R76" s="36"/>
    </row>
    <row r="77" spans="1:19" x14ac:dyDescent="0.25">
      <c r="A77" s="39" t="s">
        <v>525</v>
      </c>
      <c r="B77" s="21">
        <v>1138</v>
      </c>
      <c r="C77" s="40">
        <f>'Biomass Data Assumptions'!B41*B77</f>
        <v>36416</v>
      </c>
      <c r="D77" s="40">
        <f>(C77*'Biomass Data Assumptions'!C41)/2000</f>
        <v>1092.48</v>
      </c>
      <c r="E77" s="41"/>
      <c r="F77" s="41"/>
      <c r="G77" s="41"/>
      <c r="H77" s="36"/>
      <c r="I77" s="36"/>
      <c r="J77" s="36"/>
      <c r="K77" s="36"/>
      <c r="L77" s="36"/>
      <c r="M77" s="36"/>
      <c r="N77" s="36"/>
      <c r="O77" s="36"/>
      <c r="P77" s="36"/>
      <c r="Q77" s="36"/>
      <c r="R77" s="36"/>
    </row>
    <row r="78" spans="1:19" x14ac:dyDescent="0.25">
      <c r="A78" s="39" t="s">
        <v>522</v>
      </c>
      <c r="B78" s="21">
        <v>1185</v>
      </c>
      <c r="C78" s="40">
        <f>'Biomass Data Assumptions'!B42*B78</f>
        <v>63990</v>
      </c>
      <c r="D78" s="40">
        <f>(C78*'Biomass Data Assumptions'!C42)/2000</f>
        <v>1919.7</v>
      </c>
      <c r="E78" s="41"/>
      <c r="F78" s="41"/>
      <c r="G78" s="41"/>
      <c r="H78" s="36"/>
      <c r="I78" s="36"/>
      <c r="J78" s="36"/>
      <c r="K78" s="36"/>
      <c r="L78" s="36"/>
      <c r="M78" s="36"/>
      <c r="N78" s="36"/>
      <c r="O78" s="36"/>
      <c r="P78" s="36"/>
      <c r="Q78" s="36"/>
      <c r="R78" s="36"/>
    </row>
    <row r="79" spans="1:19" x14ac:dyDescent="0.25">
      <c r="A79" s="36"/>
      <c r="B79" s="36"/>
      <c r="C79" s="36"/>
      <c r="D79" s="36"/>
      <c r="E79" s="36"/>
      <c r="F79" s="36"/>
      <c r="G79" s="36"/>
      <c r="H79" s="36"/>
      <c r="I79" s="36"/>
      <c r="J79" s="36"/>
      <c r="K79" s="36"/>
      <c r="L79" s="36"/>
      <c r="M79" s="36"/>
      <c r="N79" s="36"/>
      <c r="O79" s="36"/>
      <c r="P79" s="36"/>
      <c r="Q79" s="36"/>
      <c r="R79" s="36"/>
    </row>
    <row r="80" spans="1:19" ht="39.6" x14ac:dyDescent="0.25">
      <c r="A80" s="37" t="s">
        <v>1038</v>
      </c>
      <c r="B80" s="454" t="s">
        <v>297</v>
      </c>
      <c r="C80" s="37" t="s">
        <v>1041</v>
      </c>
      <c r="D80" s="37" t="s">
        <v>1036</v>
      </c>
      <c r="E80" s="36" t="s">
        <v>598</v>
      </c>
      <c r="F80" s="38"/>
      <c r="G80" s="38"/>
      <c r="H80" s="36"/>
      <c r="I80" s="36"/>
      <c r="J80" s="36"/>
      <c r="K80" s="36"/>
      <c r="L80" s="36"/>
      <c r="M80" s="36"/>
      <c r="N80" s="36"/>
      <c r="O80" s="36"/>
      <c r="P80" s="36"/>
      <c r="Q80" s="36"/>
      <c r="R80" s="36"/>
    </row>
    <row r="81" spans="1:18" x14ac:dyDescent="0.25">
      <c r="A81" s="39" t="s">
        <v>527</v>
      </c>
      <c r="B81" s="21">
        <v>22</v>
      </c>
      <c r="C81" s="40">
        <f>'Biomass Data Assumptions'!B49*B81</f>
        <v>22</v>
      </c>
      <c r="D81" s="40">
        <f>C81*'Energy Content Assumptions'!C11</f>
        <v>18.7</v>
      </c>
      <c r="E81" s="41"/>
      <c r="F81" s="41"/>
      <c r="G81" s="41"/>
      <c r="H81" s="36"/>
      <c r="I81" s="36"/>
      <c r="J81" s="36"/>
      <c r="K81" s="36"/>
      <c r="L81" s="36"/>
      <c r="M81" s="36"/>
      <c r="N81" s="36"/>
      <c r="O81" s="36"/>
      <c r="P81" s="36"/>
      <c r="Q81" s="36"/>
      <c r="R81" s="36"/>
    </row>
    <row r="82" spans="1:18" x14ac:dyDescent="0.25">
      <c r="A82" s="39" t="s">
        <v>520</v>
      </c>
      <c r="B82" s="21">
        <f>589+28</f>
        <v>617</v>
      </c>
      <c r="C82" s="40">
        <f>'Biomass Data Assumptions'!B50*B82</f>
        <v>1388.25</v>
      </c>
      <c r="D82" s="40">
        <f>C82*'Energy Content Assumptions'!C12</f>
        <v>1180.0125</v>
      </c>
      <c r="E82" s="41"/>
      <c r="F82" s="41"/>
      <c r="G82" s="41"/>
      <c r="H82" s="36"/>
      <c r="I82" s="36"/>
      <c r="J82" s="36"/>
      <c r="K82" s="36"/>
      <c r="L82" s="36"/>
      <c r="M82" s="36"/>
      <c r="N82" s="36"/>
      <c r="O82" s="36"/>
      <c r="P82" s="36"/>
      <c r="Q82" s="36"/>
      <c r="R82" s="36"/>
    </row>
    <row r="83" spans="1:18" x14ac:dyDescent="0.25">
      <c r="A83" s="39" t="s">
        <v>521</v>
      </c>
      <c r="B83" s="21">
        <v>1579</v>
      </c>
      <c r="C83" s="40">
        <f>'Biomass Data Assumptions'!B51*B83</f>
        <v>3947.5</v>
      </c>
      <c r="D83" s="40">
        <f>C83*'Energy Content Assumptions'!C13</f>
        <v>3355.375</v>
      </c>
      <c r="E83" s="41"/>
      <c r="F83" s="41"/>
      <c r="G83" s="41"/>
      <c r="H83" s="36"/>
      <c r="I83" s="36"/>
      <c r="J83" s="36"/>
      <c r="K83" s="36"/>
      <c r="L83" s="36"/>
      <c r="M83" s="36"/>
      <c r="N83" s="36"/>
      <c r="O83" s="36"/>
      <c r="P83" s="36"/>
      <c r="Q83" s="36"/>
      <c r="R83" s="36"/>
    </row>
    <row r="84" spans="1:18" x14ac:dyDescent="0.25">
      <c r="A84" s="39" t="s">
        <v>528</v>
      </c>
      <c r="B84" s="21">
        <v>295</v>
      </c>
      <c r="C84" s="40">
        <f>'Biomass Data Assumptions'!B52*B84</f>
        <v>4838</v>
      </c>
      <c r="D84" s="40">
        <f>C84*'Energy Content Assumptions'!C14</f>
        <v>1693.3</v>
      </c>
      <c r="E84" s="41"/>
      <c r="F84" s="41"/>
      <c r="G84" s="41"/>
      <c r="H84" s="36"/>
      <c r="I84" s="36"/>
      <c r="J84" s="36"/>
      <c r="K84" s="36"/>
      <c r="L84" s="36"/>
      <c r="M84" s="36"/>
      <c r="N84" s="36"/>
      <c r="O84" s="36"/>
      <c r="P84" s="36"/>
      <c r="Q84" s="36"/>
      <c r="R84" s="36"/>
    </row>
    <row r="85" spans="1:18" x14ac:dyDescent="0.25">
      <c r="A85" s="39" t="s">
        <v>529</v>
      </c>
      <c r="B85" s="21">
        <v>1805</v>
      </c>
      <c r="C85" s="40">
        <f>'Biomass Data Assumptions'!B53*B85</f>
        <v>5776</v>
      </c>
      <c r="D85" s="40">
        <f>C85*'Energy Content Assumptions'!C15</f>
        <v>4909.5999999999995</v>
      </c>
      <c r="E85" s="41"/>
      <c r="F85" s="41"/>
      <c r="G85" s="41"/>
      <c r="H85" s="36"/>
      <c r="I85" s="36"/>
      <c r="J85" s="36"/>
      <c r="K85" s="36"/>
      <c r="L85" s="36"/>
      <c r="M85" s="36"/>
      <c r="N85" s="36"/>
      <c r="O85" s="36"/>
      <c r="P85" s="36"/>
      <c r="Q85" s="36"/>
      <c r="R85" s="36"/>
    </row>
    <row r="86" spans="1:18" x14ac:dyDescent="0.25">
      <c r="A86" s="39" t="s">
        <v>530</v>
      </c>
      <c r="B86" s="21">
        <v>8676</v>
      </c>
      <c r="C86" s="40">
        <f>'Biomass Data Assumptions'!B54*B86</f>
        <v>14749.199999999999</v>
      </c>
      <c r="D86" s="40">
        <f>C86*'Energy Content Assumptions'!C16</f>
        <v>12536.819999999998</v>
      </c>
      <c r="E86" s="41"/>
      <c r="F86" s="41"/>
      <c r="G86" s="41"/>
      <c r="H86" s="36"/>
      <c r="I86" s="36"/>
      <c r="J86" s="36"/>
      <c r="K86" s="36"/>
      <c r="L86" s="36"/>
      <c r="M86" s="36"/>
      <c r="N86" s="36"/>
      <c r="O86" s="36"/>
      <c r="P86" s="36"/>
      <c r="Q86" s="36"/>
      <c r="R86" s="36"/>
    </row>
    <row r="87" spans="1:18" x14ac:dyDescent="0.25">
      <c r="A87" s="39" t="s">
        <v>522</v>
      </c>
      <c r="B87" s="21">
        <f>1115+0</f>
        <v>1115</v>
      </c>
      <c r="C87" s="40">
        <f>'Biomass Data Assumptions'!B55*B87</f>
        <v>1951.25</v>
      </c>
      <c r="D87" s="40">
        <f>C87*'Energy Content Assumptions'!C17</f>
        <v>1658.5625</v>
      </c>
      <c r="E87" s="41"/>
      <c r="F87" s="41"/>
      <c r="G87" s="41"/>
      <c r="H87" s="36"/>
      <c r="I87" s="36"/>
      <c r="J87" s="36"/>
      <c r="K87" s="36"/>
      <c r="L87" s="36"/>
      <c r="M87" s="36"/>
      <c r="N87" s="36"/>
      <c r="O87" s="36"/>
      <c r="P87" s="36"/>
      <c r="Q87" s="36"/>
      <c r="R87" s="36"/>
    </row>
    <row r="88" spans="1:18" x14ac:dyDescent="0.25">
      <c r="A88" s="43"/>
      <c r="B88" s="41"/>
      <c r="C88" s="41"/>
      <c r="D88" s="41"/>
      <c r="E88" s="41"/>
      <c r="F88" s="41"/>
      <c r="G88" s="41"/>
      <c r="H88" s="36"/>
      <c r="I88" s="36"/>
      <c r="J88" s="36"/>
      <c r="K88" s="36"/>
      <c r="L88" s="36"/>
      <c r="M88" s="36"/>
      <c r="N88" s="36"/>
      <c r="O88" s="36"/>
      <c r="P88" s="36"/>
      <c r="Q88" s="36"/>
      <c r="R88" s="36"/>
    </row>
    <row r="89" spans="1:18" x14ac:dyDescent="0.25">
      <c r="A89" s="43"/>
      <c r="B89" s="640" t="s">
        <v>297</v>
      </c>
      <c r="C89" s="122" t="s">
        <v>299</v>
      </c>
      <c r="D89" s="122" t="s">
        <v>300</v>
      </c>
      <c r="E89" s="41"/>
      <c r="F89" s="41"/>
      <c r="G89" s="41"/>
      <c r="H89" s="36"/>
      <c r="I89" s="36"/>
      <c r="J89" s="36"/>
      <c r="K89" s="36"/>
      <c r="L89" s="36"/>
      <c r="M89" s="36"/>
      <c r="N89" s="36"/>
      <c r="O89" s="36"/>
      <c r="P89" s="36"/>
      <c r="Q89" s="36"/>
      <c r="R89" s="36"/>
    </row>
    <row r="90" spans="1:18" x14ac:dyDescent="0.25">
      <c r="A90" s="43" t="s">
        <v>296</v>
      </c>
      <c r="B90" s="85">
        <f>IF('Prac. Rec. Assumptions'!B56='Prac. Rec. Assumptions'!V3,0,SUM(IF('Prac. Rec. Assumptions'!B57="Yes",B74,0),IF('Prac. Rec. Assumptions'!B58="Yes",B81,0),IF('Prac. Rec. Assumptions'!B59="Yes",B82,0),IF('Prac. Rec. Assumptions'!B60="Yes",B83,0),IF('Prac. Rec. Assumptions'!B61="Yes",B84,0),IF('Prac. Rec. Assumptions'!B62="Yes",B85,0),IF('Prac. Rec. Assumptions'!B63="Yes",B86,0),IF('Prac. Rec. Assumptions'!B64="Yes",B87,0)))</f>
        <v>0</v>
      </c>
      <c r="C90" s="41">
        <f>IF('Prac. Rec. Assumptions'!B56='Prac. Rec. Assumptions'!V1,'Biomass Data Assumptions'!C46,IF('Prac. Rec. Assumptions'!B56='Prac. Rec. Assumptions'!V2,'Biomass Data Assumptions'!C45,0))</f>
        <v>0</v>
      </c>
      <c r="D90" s="41">
        <f>(C90*'Energy Content Assumptions'!C9)*B90</f>
        <v>0</v>
      </c>
      <c r="E90" s="41"/>
      <c r="F90" s="41"/>
      <c r="G90" s="41"/>
      <c r="H90" s="36"/>
      <c r="I90" s="36"/>
      <c r="J90" s="36"/>
      <c r="K90" s="36"/>
      <c r="L90" s="36"/>
      <c r="M90" s="36"/>
      <c r="N90" s="36"/>
      <c r="O90" s="36"/>
      <c r="P90" s="36"/>
      <c r="Q90" s="36"/>
      <c r="R90" s="36"/>
    </row>
    <row r="91" spans="1:18" x14ac:dyDescent="0.25">
      <c r="A91" s="36"/>
      <c r="B91" s="36"/>
      <c r="C91" s="36"/>
      <c r="D91" s="36"/>
      <c r="E91" s="36"/>
      <c r="F91" s="36"/>
      <c r="G91" s="36"/>
      <c r="H91" s="36"/>
      <c r="I91" s="36"/>
      <c r="J91" s="36"/>
      <c r="K91" s="36"/>
      <c r="L91" s="36"/>
      <c r="M91" s="36"/>
      <c r="N91" s="36"/>
      <c r="O91" s="36"/>
      <c r="P91" s="36"/>
      <c r="Q91" s="36"/>
      <c r="R91" s="36"/>
    </row>
    <row r="92" spans="1:18" ht="39.6" x14ac:dyDescent="0.25">
      <c r="A92" s="42" t="s">
        <v>531</v>
      </c>
      <c r="B92" s="455" t="s">
        <v>298</v>
      </c>
      <c r="C92" s="38" t="s">
        <v>1050</v>
      </c>
      <c r="D92" s="38" t="s">
        <v>1045</v>
      </c>
      <c r="E92" s="38" t="s">
        <v>1048</v>
      </c>
      <c r="F92" s="38" t="s">
        <v>1047</v>
      </c>
      <c r="G92" s="38" t="s">
        <v>1046</v>
      </c>
      <c r="H92" s="36" t="s">
        <v>599</v>
      </c>
      <c r="I92" s="36"/>
      <c r="J92" s="38"/>
      <c r="K92" s="38"/>
      <c r="L92" s="38"/>
      <c r="M92" s="38"/>
      <c r="N92" s="36"/>
      <c r="O92" s="36"/>
      <c r="P92" s="36"/>
      <c r="Q92" s="36"/>
      <c r="R92" s="36"/>
    </row>
    <row r="93" spans="1:18" x14ac:dyDescent="0.25">
      <c r="A93" s="42"/>
      <c r="B93" s="38"/>
      <c r="C93" s="38"/>
      <c r="D93" s="38"/>
      <c r="E93" s="38"/>
      <c r="F93" s="36"/>
      <c r="G93" s="36"/>
      <c r="H93" s="36"/>
      <c r="I93" s="36"/>
      <c r="J93" s="38"/>
      <c r="K93" s="38"/>
      <c r="L93" s="38"/>
      <c r="M93" s="38"/>
      <c r="N93" s="36"/>
      <c r="O93" s="36"/>
      <c r="P93" s="36"/>
      <c r="Q93" s="36"/>
      <c r="R93" s="36"/>
    </row>
    <row r="94" spans="1:18" hidden="1" x14ac:dyDescent="0.25">
      <c r="A94" s="43"/>
      <c r="B94" s="36"/>
      <c r="C94" s="41"/>
      <c r="D94" s="41"/>
      <c r="E94" s="44"/>
      <c r="F94" s="36"/>
      <c r="G94" s="36"/>
      <c r="H94" s="36"/>
      <c r="I94" s="36"/>
      <c r="J94" s="44"/>
      <c r="K94" s="44"/>
      <c r="L94" s="44"/>
      <c r="M94" s="44"/>
      <c r="N94" s="36"/>
      <c r="O94" s="36"/>
      <c r="P94" s="36"/>
      <c r="Q94" s="36"/>
      <c r="R94" s="36"/>
    </row>
    <row r="95" spans="1:18" hidden="1" x14ac:dyDescent="0.25">
      <c r="A95" s="45"/>
      <c r="B95" s="85"/>
      <c r="C95" s="41"/>
      <c r="D95" s="41"/>
      <c r="E95" s="41"/>
      <c r="F95" s="41"/>
      <c r="G95" s="41"/>
      <c r="H95" s="36"/>
      <c r="I95" s="36"/>
      <c r="J95" s="41"/>
      <c r="K95" s="41"/>
      <c r="L95" s="41"/>
      <c r="M95" s="41"/>
      <c r="N95" s="36"/>
      <c r="O95" s="36"/>
      <c r="P95" s="36"/>
      <c r="Q95" s="36"/>
      <c r="R95" s="36"/>
    </row>
    <row r="96" spans="1:18" hidden="1" x14ac:dyDescent="0.25">
      <c r="A96" s="45"/>
      <c r="B96" s="85"/>
      <c r="C96" s="41"/>
      <c r="D96" s="41"/>
      <c r="E96" s="41"/>
      <c r="F96" s="41"/>
      <c r="G96" s="41"/>
      <c r="H96" s="36"/>
      <c r="I96" s="36"/>
      <c r="J96" s="41"/>
      <c r="K96" s="41"/>
      <c r="L96" s="41"/>
      <c r="M96" s="41"/>
      <c r="N96" s="36"/>
      <c r="O96" s="36"/>
      <c r="P96" s="36"/>
      <c r="Q96" s="36"/>
      <c r="R96" s="36"/>
    </row>
    <row r="97" spans="1:18" x14ac:dyDescent="0.25">
      <c r="A97" s="467" t="s">
        <v>535</v>
      </c>
      <c r="B97" s="85">
        <v>1516</v>
      </c>
      <c r="C97" s="41">
        <f>ROUND('Biomass Data Assumptions'!$B$60/1000*B97,0)</f>
        <v>1516</v>
      </c>
      <c r="D97" s="41">
        <f>'Biomass Data Assumptions'!$C$60*C97</f>
        <v>50907280</v>
      </c>
      <c r="E97" s="41">
        <f>('Biomass Data Assumptions'!$D$60*'Energy Content Assumptions'!$C$44*D97)/2000</f>
        <v>610.88735999999994</v>
      </c>
      <c r="F97" s="41">
        <f>('Biomass Data Assumptions'!$E$60*B97*365)/2000</f>
        <v>1106.68</v>
      </c>
      <c r="G97" s="41">
        <f>F97+E97</f>
        <v>1717.56736</v>
      </c>
      <c r="H97" s="36"/>
      <c r="I97" s="36"/>
      <c r="J97" s="41"/>
      <c r="K97" s="41"/>
      <c r="L97" s="41"/>
      <c r="M97" s="41"/>
      <c r="N97" s="36"/>
      <c r="O97" s="36"/>
      <c r="P97" s="36"/>
      <c r="Q97" s="36"/>
      <c r="R97" s="36"/>
    </row>
    <row r="98" spans="1:18" x14ac:dyDescent="0.25">
      <c r="A98" s="46"/>
      <c r="B98" s="41"/>
      <c r="C98" s="41"/>
      <c r="D98" s="41"/>
      <c r="E98" s="41"/>
      <c r="F98" s="41"/>
      <c r="G98" s="41"/>
      <c r="H98" s="36"/>
      <c r="I98" s="36"/>
      <c r="J98" s="41"/>
      <c r="K98" s="41"/>
      <c r="L98" s="41"/>
      <c r="M98" s="41"/>
      <c r="N98" s="36"/>
      <c r="O98" s="36"/>
      <c r="P98" s="36"/>
      <c r="Q98" s="36"/>
      <c r="R98" s="36"/>
    </row>
    <row r="99" spans="1:18" x14ac:dyDescent="0.25">
      <c r="A99" s="43" t="s">
        <v>539</v>
      </c>
      <c r="B99" s="47"/>
      <c r="C99" s="41"/>
      <c r="D99" s="41"/>
      <c r="E99" s="41"/>
      <c r="F99" s="41"/>
      <c r="G99" s="41"/>
      <c r="H99" s="36"/>
      <c r="I99" s="36"/>
      <c r="J99" s="41"/>
      <c r="K99" s="41"/>
      <c r="L99" s="41"/>
      <c r="M99" s="41"/>
      <c r="N99" s="36"/>
      <c r="O99" s="36"/>
      <c r="P99" s="36"/>
      <c r="Q99" s="36"/>
      <c r="R99" s="36"/>
    </row>
    <row r="100" spans="1:18" ht="11.25" customHeight="1" x14ac:dyDescent="0.25">
      <c r="A100" s="460" t="s">
        <v>603</v>
      </c>
      <c r="B100" s="85">
        <v>241</v>
      </c>
      <c r="C100" s="41">
        <f>ROUND('Biomass Data Assumptions'!B62/1000*B100,0)</f>
        <v>84</v>
      </c>
      <c r="D100" s="41">
        <f>'Biomass Data Assumptions'!C62*C100</f>
        <v>2452800</v>
      </c>
      <c r="E100" s="41">
        <f>('Biomass Data Assumptions'!D62*'Energy Content Assumptions'!C46*D100)/2000</f>
        <v>110.376</v>
      </c>
      <c r="F100" s="41">
        <f>('Biomass Data Assumptions'!E62*B100*365)/2000</f>
        <v>219.91249999999999</v>
      </c>
      <c r="G100" s="41">
        <f>F100+E100</f>
        <v>330.2885</v>
      </c>
      <c r="H100" s="36"/>
      <c r="I100" s="36"/>
      <c r="J100" s="41"/>
      <c r="K100" s="41"/>
      <c r="L100" s="41"/>
      <c r="M100" s="41"/>
      <c r="N100" s="36"/>
      <c r="O100" s="36"/>
      <c r="P100" s="36"/>
      <c r="Q100" s="36"/>
      <c r="R100" s="36"/>
    </row>
    <row r="101" spans="1:18" hidden="1" x14ac:dyDescent="0.25">
      <c r="A101" s="45"/>
      <c r="B101" s="85"/>
      <c r="C101" s="41"/>
      <c r="D101" s="41"/>
      <c r="E101" s="41"/>
      <c r="F101" s="41"/>
      <c r="G101" s="41"/>
      <c r="H101" s="36"/>
      <c r="I101" s="36"/>
      <c r="J101" s="41"/>
      <c r="K101" s="41"/>
      <c r="L101" s="41"/>
      <c r="M101" s="41"/>
      <c r="N101" s="36"/>
      <c r="O101" s="36"/>
      <c r="P101" s="36"/>
      <c r="Q101" s="36"/>
      <c r="R101" s="36"/>
    </row>
    <row r="102" spans="1:18" x14ac:dyDescent="0.25">
      <c r="A102" s="460" t="s">
        <v>604</v>
      </c>
      <c r="B102" s="85">
        <v>9</v>
      </c>
      <c r="C102" s="41">
        <f>ROUND('Biomass Data Assumptions'!B64/1000*B102,0)</f>
        <v>13</v>
      </c>
      <c r="D102" s="41">
        <f>'Biomass Data Assumptions'!C64*C102</f>
        <v>526695</v>
      </c>
      <c r="E102" s="41">
        <f>('Biomass Data Assumptions'!D64*'Energy Content Assumptions'!C48*D102)/2000</f>
        <v>23.701274999999999</v>
      </c>
      <c r="F102" s="41">
        <f>'Biomass Data Assumptions'!E64*B102*365/2000</f>
        <v>16.425000000000001</v>
      </c>
      <c r="G102" s="41">
        <f>F102+E102</f>
        <v>40.126275</v>
      </c>
      <c r="H102" s="36"/>
      <c r="I102" s="36"/>
      <c r="J102" s="41"/>
      <c r="K102" s="41"/>
      <c r="L102" s="41"/>
      <c r="M102" s="41"/>
      <c r="N102" s="36"/>
      <c r="O102" s="36"/>
      <c r="P102" s="36"/>
      <c r="Q102" s="36"/>
      <c r="R102" s="36"/>
    </row>
    <row r="103" spans="1:18" hidden="1" x14ac:dyDescent="0.25">
      <c r="A103" s="45"/>
      <c r="B103" s="85"/>
      <c r="C103" s="41"/>
      <c r="D103" s="41"/>
      <c r="E103" s="41"/>
      <c r="F103" s="41"/>
      <c r="G103" s="41"/>
      <c r="H103" s="457"/>
      <c r="I103" s="457"/>
      <c r="J103" s="41"/>
      <c r="K103" s="41"/>
      <c r="L103" s="41"/>
      <c r="M103" s="41"/>
      <c r="N103" s="36"/>
      <c r="O103" s="36"/>
      <c r="P103" s="36"/>
      <c r="Q103" s="36"/>
      <c r="R103" s="36"/>
    </row>
    <row r="104" spans="1:18" x14ac:dyDescent="0.25">
      <c r="A104" s="467" t="s">
        <v>544</v>
      </c>
      <c r="B104" s="85">
        <f t="shared" ref="B104:G104" si="15">SUM(B100:B103)</f>
        <v>250</v>
      </c>
      <c r="C104" s="41">
        <f t="shared" si="15"/>
        <v>97</v>
      </c>
      <c r="D104" s="41">
        <f t="shared" si="15"/>
        <v>2979495</v>
      </c>
      <c r="E104" s="41">
        <f t="shared" si="15"/>
        <v>134.07727500000001</v>
      </c>
      <c r="F104" s="41">
        <f t="shared" si="15"/>
        <v>236.33750000000001</v>
      </c>
      <c r="G104" s="41">
        <f t="shared" si="15"/>
        <v>370.41477500000002</v>
      </c>
      <c r="H104" s="457"/>
      <c r="I104" s="457"/>
      <c r="J104" s="41"/>
      <c r="K104" s="41"/>
      <c r="L104" s="41"/>
      <c r="M104" s="41"/>
      <c r="N104" s="36"/>
      <c r="O104" s="36"/>
      <c r="P104" s="36"/>
      <c r="Q104" s="36"/>
      <c r="R104" s="36"/>
    </row>
    <row r="105" spans="1:18" x14ac:dyDescent="0.25">
      <c r="A105" s="46"/>
      <c r="B105" s="41"/>
      <c r="C105" s="41"/>
      <c r="D105" s="41"/>
      <c r="E105" s="41"/>
      <c r="F105" s="41"/>
      <c r="G105" s="41"/>
      <c r="H105" s="457"/>
      <c r="I105" s="457"/>
      <c r="J105" s="41"/>
      <c r="K105" s="41"/>
      <c r="L105" s="41"/>
      <c r="M105" s="41"/>
      <c r="N105" s="36"/>
      <c r="O105" s="36"/>
      <c r="P105" s="36"/>
      <c r="Q105" s="36"/>
      <c r="R105" s="36"/>
    </row>
    <row r="106" spans="1:18" ht="13.5" customHeight="1" x14ac:dyDescent="0.25">
      <c r="A106" s="43" t="s">
        <v>545</v>
      </c>
      <c r="B106" s="85">
        <v>1390</v>
      </c>
      <c r="C106" s="41">
        <f>ROUND('Biomass Data Assumptions'!B66/1000*B106,0)</f>
        <v>1390</v>
      </c>
      <c r="D106" s="41">
        <f>'Biomass Data Assumptions'!C66*C106</f>
        <v>28157925</v>
      </c>
      <c r="E106" s="41">
        <f>('Biomass Data Assumptions'!D66*'Energy Content Assumptions'!C50*D106)/2000</f>
        <v>985.52737500000012</v>
      </c>
      <c r="F106" s="41">
        <f>'Biomass Data Assumptions'!E66*B106*365/2000</f>
        <v>3805.125</v>
      </c>
      <c r="G106" s="41">
        <f>F106+E106</f>
        <v>4790.6523749999997</v>
      </c>
      <c r="H106" s="36"/>
      <c r="I106" s="36"/>
      <c r="J106" s="41"/>
      <c r="K106" s="41"/>
      <c r="L106" s="41"/>
      <c r="M106" s="41"/>
      <c r="N106" s="36"/>
      <c r="O106" s="36"/>
      <c r="P106" s="36"/>
      <c r="Q106" s="36"/>
      <c r="R106" s="36"/>
    </row>
    <row r="107" spans="1:18" ht="12" customHeight="1" x14ac:dyDescent="0.25">
      <c r="A107" s="43"/>
      <c r="B107" s="41"/>
      <c r="C107" s="41"/>
      <c r="D107" s="41"/>
      <c r="E107" s="41"/>
      <c r="F107" s="41"/>
      <c r="G107" s="41"/>
      <c r="H107" s="36"/>
      <c r="I107" s="36"/>
      <c r="J107" s="41"/>
      <c r="K107" s="41"/>
      <c r="L107" s="41"/>
      <c r="M107" s="41"/>
      <c r="N107" s="36"/>
      <c r="O107" s="36"/>
      <c r="P107" s="36"/>
      <c r="Q107" s="36"/>
      <c r="R107" s="36"/>
    </row>
    <row r="108" spans="1:18" x14ac:dyDescent="0.25">
      <c r="A108" s="43" t="s">
        <v>546</v>
      </c>
      <c r="B108" s="85">
        <v>1114</v>
      </c>
      <c r="C108" s="41">
        <f>ROUND('Biomass Data Assumptions'!B67/1000*B108,0)</f>
        <v>111</v>
      </c>
      <c r="D108" s="41">
        <f>'Biomass Data Assumptions'!C67*C108</f>
        <v>1661115</v>
      </c>
      <c r="E108" s="41">
        <f>('Biomass Data Assumptions'!D67*'Energy Content Assumptions'!C51*D108)/2000</f>
        <v>41.527875000000002</v>
      </c>
      <c r="F108" s="41">
        <f>'Biomass Data Assumptions'!E67*B108*365/2000</f>
        <v>203.30500000000001</v>
      </c>
      <c r="G108" s="41">
        <f>F108+E108</f>
        <v>244.832875</v>
      </c>
      <c r="H108" s="36"/>
      <c r="I108" s="36"/>
      <c r="J108" s="41"/>
      <c r="K108" s="41"/>
      <c r="L108" s="41"/>
      <c r="M108" s="41"/>
      <c r="N108" s="36"/>
      <c r="O108" s="36"/>
      <c r="P108" s="36"/>
      <c r="Q108" s="36"/>
      <c r="R108" s="36"/>
    </row>
    <row r="109" spans="1:18" x14ac:dyDescent="0.25">
      <c r="A109" s="43"/>
      <c r="B109" s="41"/>
      <c r="C109" s="41"/>
      <c r="D109" s="41"/>
      <c r="E109" s="41"/>
      <c r="F109" s="41"/>
      <c r="G109" s="41"/>
      <c r="H109" s="36"/>
      <c r="I109" s="36"/>
      <c r="J109" s="41"/>
      <c r="K109" s="41"/>
      <c r="L109" s="41"/>
      <c r="M109" s="41"/>
      <c r="N109" s="36"/>
      <c r="O109" s="36"/>
      <c r="P109" s="36"/>
      <c r="Q109" s="36"/>
      <c r="R109" s="36"/>
    </row>
    <row r="110" spans="1:18" x14ac:dyDescent="0.25">
      <c r="A110" s="43" t="s">
        <v>547</v>
      </c>
      <c r="B110" s="85">
        <v>1035</v>
      </c>
      <c r="C110" s="41">
        <f>ROUND('Biomass Data Assumptions'!B68/1000*B110,0)</f>
        <v>104</v>
      </c>
      <c r="D110" s="41">
        <f>'Biomass Data Assumptions'!C68*C110</f>
        <v>1556360</v>
      </c>
      <c r="E110" s="41">
        <f>('Biomass Data Assumptions'!D68*'Energy Content Assumptions'!C52*D110)/2000</f>
        <v>38.908999999999999</v>
      </c>
      <c r="F110" s="41">
        <f>'Biomass Data Assumptions'!E68*B110*365/2000</f>
        <v>188.88749999999999</v>
      </c>
      <c r="G110" s="41">
        <f>F110+E110</f>
        <v>227.79649999999998</v>
      </c>
      <c r="H110" s="150" t="s">
        <v>609</v>
      </c>
      <c r="I110" s="36"/>
      <c r="J110" s="41"/>
      <c r="K110" s="41"/>
      <c r="L110" s="41"/>
      <c r="M110" s="41"/>
      <c r="N110" s="36"/>
      <c r="O110" s="36"/>
      <c r="P110" s="36"/>
      <c r="Q110" s="36"/>
      <c r="R110" s="36"/>
    </row>
    <row r="111" spans="1:18" ht="12" customHeight="1" x14ac:dyDescent="0.25">
      <c r="A111" s="43"/>
      <c r="B111" s="41"/>
      <c r="C111" s="41"/>
      <c r="D111" s="41"/>
      <c r="E111" s="41"/>
      <c r="F111" s="41"/>
      <c r="G111" s="41"/>
      <c r="H111" s="36"/>
      <c r="I111" s="36"/>
      <c r="J111" s="41"/>
      <c r="K111" s="41"/>
      <c r="L111" s="41"/>
      <c r="M111" s="41"/>
      <c r="N111" s="36"/>
      <c r="O111" s="36"/>
      <c r="P111" s="36"/>
      <c r="Q111" s="36"/>
      <c r="R111" s="36"/>
    </row>
    <row r="112" spans="1:18" hidden="1" x14ac:dyDescent="0.25">
      <c r="A112" s="43"/>
      <c r="B112" s="36"/>
      <c r="C112" s="41"/>
      <c r="D112" s="41"/>
      <c r="E112" s="41"/>
      <c r="F112" s="41"/>
      <c r="G112" s="41"/>
      <c r="H112" s="36"/>
      <c r="I112" s="36"/>
      <c r="J112" s="41"/>
      <c r="K112" s="41"/>
      <c r="L112" s="41"/>
      <c r="M112" s="41"/>
      <c r="N112" s="36"/>
      <c r="O112" s="36"/>
      <c r="P112" s="36"/>
      <c r="Q112" s="36"/>
      <c r="R112" s="36"/>
    </row>
    <row r="113" spans="1:18" hidden="1" x14ac:dyDescent="0.25">
      <c r="A113" s="45"/>
      <c r="B113" s="85"/>
      <c r="C113" s="41"/>
      <c r="D113" s="41"/>
      <c r="E113" s="41"/>
      <c r="F113" s="41"/>
      <c r="G113" s="41"/>
      <c r="H113" s="36"/>
      <c r="I113" s="36"/>
      <c r="J113" s="41"/>
      <c r="K113" s="41"/>
      <c r="L113" s="41"/>
      <c r="M113" s="41"/>
      <c r="N113" s="36"/>
      <c r="O113" s="36"/>
      <c r="P113" s="36"/>
      <c r="Q113" s="36"/>
      <c r="R113" s="36"/>
    </row>
    <row r="114" spans="1:18" hidden="1" x14ac:dyDescent="0.25">
      <c r="A114" s="45"/>
      <c r="B114" s="85"/>
      <c r="C114" s="41"/>
      <c r="D114" s="41"/>
      <c r="E114" s="41"/>
      <c r="F114" s="41"/>
      <c r="G114" s="41"/>
      <c r="H114" s="36"/>
      <c r="I114" s="36"/>
      <c r="J114" s="41"/>
      <c r="K114" s="41"/>
      <c r="L114" s="41"/>
      <c r="M114" s="41"/>
      <c r="N114" s="36"/>
      <c r="O114" s="36"/>
      <c r="P114" s="36"/>
      <c r="Q114" s="36"/>
      <c r="R114" s="36"/>
    </row>
    <row r="115" spans="1:18" x14ac:dyDescent="0.25">
      <c r="A115" s="467" t="s">
        <v>605</v>
      </c>
      <c r="B115" s="85">
        <v>422</v>
      </c>
      <c r="C115" s="41">
        <f>ROUND('Biomass Data Assumptions'!$B$71/1000*B115,0)</f>
        <v>169</v>
      </c>
      <c r="D115" s="41">
        <f>'Biomass Data Assumptions'!$C$71*C115</f>
        <v>2899195</v>
      </c>
      <c r="E115" s="41">
        <f>('Biomass Data Assumptions'!$D$71*'Energy Content Assumptions'!$C$55*D115)/2000</f>
        <v>72.479875000000007</v>
      </c>
      <c r="F115" s="41">
        <f>'Biomass Data Assumptions'!$E$71*B115*365/2000</f>
        <v>0</v>
      </c>
      <c r="G115" s="41">
        <f>F115+E115</f>
        <v>72.479875000000007</v>
      </c>
      <c r="H115" s="36"/>
      <c r="I115" s="36"/>
      <c r="J115" s="41"/>
      <c r="K115" s="41"/>
      <c r="L115" s="41"/>
      <c r="M115" s="41"/>
      <c r="N115" s="36"/>
      <c r="O115" s="36"/>
      <c r="P115" s="36"/>
      <c r="Q115" s="36"/>
      <c r="R115" s="36"/>
    </row>
    <row r="116" spans="1:18" x14ac:dyDescent="0.25">
      <c r="A116" s="46"/>
      <c r="B116" s="41"/>
      <c r="C116" s="41"/>
      <c r="D116" s="41"/>
      <c r="E116" s="41"/>
      <c r="F116" s="41"/>
      <c r="G116" s="41"/>
      <c r="H116" s="36"/>
      <c r="I116" s="36"/>
      <c r="J116" s="41"/>
      <c r="K116" s="41"/>
      <c r="L116" s="41"/>
      <c r="M116" s="41"/>
      <c r="N116" s="36"/>
      <c r="O116" s="36"/>
      <c r="P116" s="36"/>
      <c r="Q116" s="36"/>
      <c r="R116" s="36"/>
    </row>
    <row r="117" spans="1:18" x14ac:dyDescent="0.25">
      <c r="A117" s="43" t="s">
        <v>551</v>
      </c>
      <c r="B117" s="85">
        <f>1258+121094+7094</f>
        <v>129446</v>
      </c>
      <c r="C117" s="41">
        <f>ROUND('Biomass Data Assumptions'!B72/1000*B117,0)</f>
        <v>647</v>
      </c>
      <c r="D117" s="41">
        <f>'Biomass Data Assumptions'!C72*C117</f>
        <v>11807750</v>
      </c>
      <c r="E117" s="41">
        <f>('Biomass Data Assumptions'!D72*'Energy Content Assumptions'!C56*D117)/2000</f>
        <v>1151.255625</v>
      </c>
      <c r="F117" s="41">
        <f>'Biomass Data Assumptions'!E72*B117*365/2000</f>
        <v>0</v>
      </c>
      <c r="G117" s="41">
        <f>F117+E117</f>
        <v>1151.255625</v>
      </c>
      <c r="H117" s="457"/>
      <c r="I117" s="36"/>
      <c r="J117" s="41"/>
      <c r="K117" s="41"/>
      <c r="L117" s="41"/>
      <c r="M117" s="41"/>
      <c r="N117" s="36"/>
      <c r="O117" s="36"/>
      <c r="P117" s="36"/>
      <c r="Q117" s="36"/>
      <c r="R117" s="36"/>
    </row>
    <row r="118" spans="1:18" x14ac:dyDescent="0.25">
      <c r="A118" s="43"/>
      <c r="B118" s="41"/>
      <c r="C118" s="41"/>
      <c r="D118" s="41"/>
      <c r="E118" s="41"/>
      <c r="F118" s="41"/>
      <c r="G118" s="41"/>
      <c r="H118" s="457"/>
      <c r="I118" s="36"/>
      <c r="J118" s="41"/>
      <c r="K118" s="41"/>
      <c r="L118" s="41"/>
      <c r="M118" s="41"/>
      <c r="N118" s="36"/>
      <c r="O118" s="36"/>
      <c r="P118" s="36"/>
      <c r="Q118" s="36"/>
      <c r="R118" s="36"/>
    </row>
    <row r="119" spans="1:18" x14ac:dyDescent="0.25">
      <c r="A119" s="43" t="s">
        <v>552</v>
      </c>
      <c r="B119" s="85">
        <v>2525</v>
      </c>
      <c r="C119" s="41">
        <f>ROUND('Biomass Data Assumptions'!B73/1000*B119,0)</f>
        <v>51</v>
      </c>
      <c r="D119" s="41">
        <f>'Biomass Data Assumptions'!C73*C119</f>
        <v>688755</v>
      </c>
      <c r="E119" s="41">
        <f>('Biomass Data Assumptions'!D73*'Energy Content Assumptions'!C57*D119)/2000</f>
        <v>64.570781249999996</v>
      </c>
      <c r="F119" s="41">
        <f>'Biomass Data Assumptions'!E73*B119*365/2000</f>
        <v>46.081249999999997</v>
      </c>
      <c r="G119" s="41">
        <f>F119+E119</f>
        <v>110.65203124999999</v>
      </c>
      <c r="H119" s="457"/>
      <c r="I119" s="36"/>
      <c r="J119" s="41"/>
      <c r="K119" s="41"/>
      <c r="L119" s="41"/>
      <c r="M119" s="41"/>
      <c r="N119" s="36"/>
      <c r="O119" s="36"/>
      <c r="P119" s="36"/>
      <c r="Q119" s="36"/>
      <c r="R119" s="36"/>
    </row>
    <row r="120" spans="1:18" x14ac:dyDescent="0.25">
      <c r="A120" s="43"/>
      <c r="B120" s="41"/>
      <c r="C120" s="41"/>
      <c r="D120" s="41"/>
      <c r="E120" s="41"/>
      <c r="F120" s="41"/>
      <c r="G120" s="41"/>
      <c r="H120" s="457"/>
      <c r="I120" s="36"/>
      <c r="J120" s="41"/>
      <c r="K120" s="41"/>
      <c r="L120" s="41"/>
      <c r="M120" s="41"/>
      <c r="N120" s="36"/>
      <c r="O120" s="36"/>
      <c r="P120" s="36"/>
      <c r="Q120" s="36"/>
      <c r="R120" s="36"/>
    </row>
    <row r="121" spans="1:18" x14ac:dyDescent="0.25">
      <c r="A121" s="43" t="s">
        <v>553</v>
      </c>
      <c r="B121" s="86">
        <f t="shared" ref="B121:G121" si="16">B97+B104+B106+B108+B110+B115+B117+B119</f>
        <v>137698</v>
      </c>
      <c r="C121" s="48">
        <f t="shared" si="16"/>
        <v>4085</v>
      </c>
      <c r="D121" s="48">
        <f t="shared" si="16"/>
        <v>100657875</v>
      </c>
      <c r="E121" s="48">
        <f t="shared" si="16"/>
        <v>3099.23516625</v>
      </c>
      <c r="F121" s="48">
        <f t="shared" si="16"/>
        <v>5586.4162500000002</v>
      </c>
      <c r="G121" s="48">
        <f t="shared" si="16"/>
        <v>8685.6514162500007</v>
      </c>
      <c r="H121" s="457"/>
      <c r="I121" s="36"/>
      <c r="J121" s="48"/>
      <c r="K121" s="48"/>
      <c r="L121" s="48"/>
      <c r="M121" s="48"/>
      <c r="N121" s="36"/>
      <c r="O121" s="36"/>
      <c r="P121" s="36"/>
      <c r="Q121" s="36"/>
      <c r="R121" s="36"/>
    </row>
    <row r="122" spans="1:18" x14ac:dyDescent="0.25">
      <c r="A122" s="36"/>
      <c r="B122" s="36"/>
      <c r="C122" s="36"/>
      <c r="D122" s="36"/>
      <c r="E122" s="36"/>
      <c r="F122" s="36"/>
      <c r="G122" s="36"/>
      <c r="H122" s="36"/>
      <c r="I122" s="36"/>
      <c r="J122" s="36"/>
      <c r="K122" s="36"/>
      <c r="L122" s="36"/>
      <c r="M122" s="36"/>
      <c r="N122" s="36"/>
      <c r="O122" s="36"/>
      <c r="P122" s="36"/>
      <c r="Q122" s="36"/>
      <c r="R122" s="36"/>
    </row>
    <row r="123" spans="1:18" x14ac:dyDescent="0.25">
      <c r="A123" s="49" t="s">
        <v>1014</v>
      </c>
      <c r="B123" s="49" t="s">
        <v>1043</v>
      </c>
      <c r="C123" s="49" t="s">
        <v>1044</v>
      </c>
      <c r="D123" s="547" t="s">
        <v>1013</v>
      </c>
      <c r="E123" s="36"/>
      <c r="F123" s="36"/>
      <c r="G123" s="36"/>
      <c r="H123" s="36"/>
      <c r="I123" s="36"/>
      <c r="J123" s="36"/>
      <c r="K123" s="36"/>
      <c r="L123" s="36"/>
      <c r="M123" s="36"/>
      <c r="N123" s="36"/>
      <c r="O123" s="36"/>
      <c r="P123" s="36"/>
      <c r="Q123" s="36"/>
      <c r="R123" s="36"/>
    </row>
    <row r="124" spans="1:18" x14ac:dyDescent="0.25">
      <c r="A124" s="50" t="s">
        <v>555</v>
      </c>
      <c r="B124" s="87">
        <v>20627.2</v>
      </c>
      <c r="C124" s="543">
        <f>B124*'Energy Content Assumptions'!C33</f>
        <v>18564.48</v>
      </c>
      <c r="D124" s="36"/>
      <c r="E124" s="36"/>
      <c r="F124" s="36"/>
      <c r="G124" s="36"/>
      <c r="H124" s="36"/>
      <c r="I124" s="36"/>
      <c r="J124" s="36"/>
      <c r="K124" s="36"/>
      <c r="L124" s="36"/>
      <c r="M124" s="36"/>
      <c r="N124" s="36"/>
      <c r="O124" s="36"/>
      <c r="P124" s="36"/>
      <c r="Q124" s="36"/>
      <c r="R124" s="36"/>
    </row>
    <row r="125" spans="1:18" x14ac:dyDescent="0.25">
      <c r="A125" s="50" t="s">
        <v>556</v>
      </c>
      <c r="B125" s="87">
        <v>3724.46</v>
      </c>
      <c r="C125" s="543">
        <f>B125*'Energy Content Assumptions'!C34</f>
        <v>3352.0140000000001</v>
      </c>
      <c r="D125" s="36"/>
      <c r="E125" s="36"/>
      <c r="F125" s="36"/>
      <c r="G125" s="36"/>
      <c r="H125" s="36"/>
      <c r="I125" s="36"/>
      <c r="J125" s="36"/>
      <c r="K125" s="36"/>
      <c r="L125" s="36"/>
      <c r="M125" s="36"/>
      <c r="N125" s="36"/>
      <c r="O125" s="36"/>
      <c r="P125" s="36"/>
      <c r="Q125" s="36"/>
      <c r="R125" s="36"/>
    </row>
    <row r="126" spans="1:18" x14ac:dyDescent="0.25">
      <c r="A126" s="50" t="s">
        <v>557</v>
      </c>
      <c r="B126" s="87">
        <v>17750.22</v>
      </c>
      <c r="C126" s="543">
        <f>B126*'Energy Content Assumptions'!C35</f>
        <v>15975.198000000002</v>
      </c>
      <c r="D126" s="36"/>
      <c r="E126" s="36"/>
      <c r="F126" s="36"/>
      <c r="G126" s="36"/>
      <c r="H126" s="36"/>
      <c r="I126" s="36"/>
      <c r="J126" s="36"/>
      <c r="K126" s="36"/>
      <c r="L126" s="36"/>
      <c r="M126" s="36"/>
      <c r="N126" s="36"/>
      <c r="O126" s="36"/>
      <c r="P126" s="36"/>
      <c r="Q126" s="36"/>
      <c r="R126" s="36"/>
    </row>
    <row r="127" spans="1:18" x14ac:dyDescent="0.25">
      <c r="A127" s="50" t="s">
        <v>558</v>
      </c>
      <c r="B127" s="549">
        <v>3857.49</v>
      </c>
      <c r="C127" s="543">
        <f>B127*'Energy Content Assumptions'!C36</f>
        <v>3471.741</v>
      </c>
      <c r="D127" s="36"/>
      <c r="E127" s="36"/>
      <c r="F127" s="36"/>
      <c r="G127" s="36"/>
      <c r="H127" s="36"/>
      <c r="I127" s="36"/>
      <c r="J127" s="36"/>
      <c r="K127" s="36"/>
      <c r="L127" s="36"/>
      <c r="M127" s="36"/>
      <c r="N127" s="36"/>
      <c r="O127" s="36"/>
      <c r="P127" s="36"/>
      <c r="Q127" s="36"/>
      <c r="R127" s="36"/>
    </row>
    <row r="128" spans="1:18" x14ac:dyDescent="0.25">
      <c r="A128" s="50" t="s">
        <v>559</v>
      </c>
      <c r="B128" s="87">
        <v>9038.92</v>
      </c>
      <c r="C128" s="543">
        <f>B128*'Energy Content Assumptions'!C21</f>
        <v>4519.46</v>
      </c>
      <c r="D128" s="36"/>
      <c r="E128" s="36"/>
      <c r="F128" s="36"/>
      <c r="G128" s="36"/>
      <c r="H128" s="36"/>
      <c r="I128" s="36"/>
      <c r="J128" s="36"/>
      <c r="K128" s="36"/>
      <c r="L128" s="36"/>
      <c r="M128" s="36"/>
      <c r="N128" s="36"/>
      <c r="O128" s="36"/>
      <c r="P128" s="36"/>
      <c r="Q128" s="36"/>
      <c r="R128" s="36"/>
    </row>
    <row r="129" spans="1:18" x14ac:dyDescent="0.25">
      <c r="A129" s="50" t="s">
        <v>560</v>
      </c>
      <c r="B129" s="87">
        <v>615.70000000000005</v>
      </c>
      <c r="C129" s="543">
        <f>B129*'Energy Content Assumptions'!C22</f>
        <v>205.23333333333335</v>
      </c>
      <c r="D129" s="36"/>
      <c r="E129" s="36"/>
      <c r="F129" s="36"/>
      <c r="G129" s="36"/>
      <c r="H129" s="36"/>
      <c r="I129" s="36"/>
      <c r="J129" s="36"/>
      <c r="K129" s="36"/>
      <c r="L129" s="36"/>
      <c r="M129" s="36"/>
      <c r="N129" s="36"/>
      <c r="O129" s="36"/>
      <c r="P129" s="36"/>
      <c r="Q129" s="36"/>
      <c r="R129" s="36"/>
    </row>
    <row r="130" spans="1:18" x14ac:dyDescent="0.25">
      <c r="A130" s="50" t="s">
        <v>561</v>
      </c>
      <c r="B130" s="87">
        <v>8077.07</v>
      </c>
      <c r="C130" s="543">
        <f>B130*'Energy Content Assumptions'!C23</f>
        <v>2692.3566666666666</v>
      </c>
      <c r="D130" s="36"/>
      <c r="E130" s="36"/>
      <c r="F130" s="36"/>
      <c r="G130" s="36"/>
      <c r="H130" s="36"/>
      <c r="I130" s="36"/>
      <c r="J130" s="36"/>
      <c r="K130" s="36"/>
      <c r="L130" s="36"/>
      <c r="M130" s="36"/>
      <c r="N130" s="36"/>
      <c r="O130" s="36"/>
      <c r="P130" s="36"/>
      <c r="Q130" s="36"/>
      <c r="R130" s="36"/>
    </row>
    <row r="131" spans="1:18" x14ac:dyDescent="0.25">
      <c r="A131" s="50" t="s">
        <v>562</v>
      </c>
      <c r="B131" s="87">
        <v>532.71</v>
      </c>
      <c r="C131" s="543">
        <f>B131*'Energy Content Assumptions'!C24</f>
        <v>266.35500000000002</v>
      </c>
      <c r="D131" s="36"/>
      <c r="E131" s="36"/>
      <c r="F131" s="36"/>
      <c r="G131" s="36"/>
      <c r="H131" s="36"/>
      <c r="I131" s="36"/>
      <c r="J131" s="36"/>
      <c r="K131" s="36"/>
      <c r="L131" s="36"/>
      <c r="M131" s="36"/>
      <c r="N131" s="36"/>
      <c r="O131" s="36"/>
      <c r="P131" s="36"/>
      <c r="Q131" s="36"/>
      <c r="R131" s="36"/>
    </row>
    <row r="132" spans="1:18" x14ac:dyDescent="0.25">
      <c r="A132" s="50" t="s">
        <v>563</v>
      </c>
      <c r="B132" s="87">
        <v>862.04</v>
      </c>
      <c r="C132" s="543">
        <f>B132*'Energy Content Assumptions'!C31</f>
        <v>215.51</v>
      </c>
      <c r="D132" s="36"/>
      <c r="E132" s="36"/>
      <c r="F132" s="36"/>
      <c r="G132" s="36"/>
      <c r="H132" s="36"/>
      <c r="I132" s="36"/>
      <c r="J132" s="36"/>
      <c r="K132" s="36"/>
      <c r="L132" s="36"/>
      <c r="M132" s="36"/>
      <c r="N132" s="36"/>
      <c r="O132" s="36"/>
      <c r="P132" s="36"/>
      <c r="Q132" s="36"/>
      <c r="R132" s="36"/>
    </row>
    <row r="133" spans="1:18" x14ac:dyDescent="0.25">
      <c r="A133" s="50" t="s">
        <v>564</v>
      </c>
      <c r="B133" s="87">
        <v>11.46</v>
      </c>
      <c r="C133" s="543">
        <f>B133*'Energy Content Assumptions'!C19</f>
        <v>10.314000000000002</v>
      </c>
      <c r="D133" s="36"/>
      <c r="E133" s="36"/>
      <c r="F133" s="36"/>
      <c r="G133" s="36"/>
      <c r="H133" s="36"/>
      <c r="I133" s="36"/>
      <c r="J133" s="36"/>
      <c r="K133" s="36"/>
      <c r="L133" s="36"/>
      <c r="M133" s="36"/>
      <c r="N133" s="36"/>
      <c r="O133" s="36"/>
      <c r="P133" s="36"/>
      <c r="Q133" s="36"/>
      <c r="R133" s="36"/>
    </row>
    <row r="134" spans="1:18" x14ac:dyDescent="0.25">
      <c r="A134" s="50" t="s">
        <v>565</v>
      </c>
      <c r="B134" s="87">
        <v>5867.78</v>
      </c>
      <c r="C134" s="543">
        <f>B134*'Energy Content Assumptions'!C32</f>
        <v>4694.2240000000002</v>
      </c>
      <c r="D134" s="36"/>
      <c r="E134" s="36"/>
      <c r="F134" s="36"/>
      <c r="G134" s="36"/>
      <c r="H134" s="36"/>
      <c r="I134" s="36"/>
      <c r="J134" s="36"/>
      <c r="K134" s="36"/>
      <c r="L134" s="36"/>
      <c r="M134" s="36"/>
      <c r="N134" s="36"/>
      <c r="O134" s="36"/>
      <c r="P134" s="36"/>
      <c r="Q134" s="36"/>
      <c r="R134" s="36"/>
    </row>
    <row r="135" spans="1:18" x14ac:dyDescent="0.25">
      <c r="A135" s="36"/>
      <c r="B135" s="36"/>
      <c r="C135" s="36"/>
      <c r="D135" s="36"/>
      <c r="E135" s="36"/>
      <c r="F135" s="36"/>
      <c r="G135" s="36"/>
      <c r="H135" s="36"/>
      <c r="I135" s="36"/>
      <c r="J135" s="36"/>
      <c r="K135" s="36"/>
      <c r="L135" s="36"/>
      <c r="M135" s="36"/>
      <c r="N135" s="36"/>
      <c r="O135" s="36"/>
      <c r="P135" s="36"/>
      <c r="Q135" s="36"/>
      <c r="R135" s="36"/>
    </row>
    <row r="136" spans="1:18" x14ac:dyDescent="0.25">
      <c r="A136" s="49" t="s">
        <v>462</v>
      </c>
      <c r="B136" s="49" t="s">
        <v>1039</v>
      </c>
      <c r="C136" s="49" t="s">
        <v>1040</v>
      </c>
      <c r="D136" s="36"/>
      <c r="E136" s="36"/>
      <c r="F136" s="36"/>
      <c r="G136" s="36"/>
      <c r="H136" s="36"/>
      <c r="I136" s="36"/>
      <c r="J136" s="36"/>
      <c r="K136" s="36"/>
      <c r="L136" s="36"/>
      <c r="M136" s="36"/>
      <c r="N136" s="36"/>
      <c r="O136" s="36"/>
      <c r="P136" s="36"/>
      <c r="Q136" s="36"/>
      <c r="R136" s="36"/>
    </row>
    <row r="137" spans="1:18" x14ac:dyDescent="0.25">
      <c r="A137" s="50" t="s">
        <v>211</v>
      </c>
      <c r="B137" s="87">
        <f>'Biomass Data Assumptions'!$M$24</f>
        <v>351586.53</v>
      </c>
      <c r="C137" s="544"/>
      <c r="D137" s="546" t="s">
        <v>1016</v>
      </c>
      <c r="E137" s="36"/>
      <c r="F137" s="36"/>
      <c r="G137" s="36"/>
      <c r="H137" s="36"/>
      <c r="I137" s="36"/>
      <c r="J137" s="36"/>
      <c r="K137" s="36"/>
      <c r="L137" s="36"/>
      <c r="M137" s="36"/>
      <c r="N137" s="36"/>
      <c r="O137" s="36"/>
      <c r="P137" s="36"/>
      <c r="Q137" s="36"/>
      <c r="R137" s="36"/>
    </row>
    <row r="138" spans="1:18" x14ac:dyDescent="0.25">
      <c r="A138" s="50" t="s">
        <v>208</v>
      </c>
      <c r="B138" s="87">
        <f>'Biomass Data Assumptions'!$F$24</f>
        <v>246392.77</v>
      </c>
      <c r="C138" s="543">
        <f>B138*'Energy Content Assumptions'!$C$28</f>
        <v>123196.38499999999</v>
      </c>
      <c r="D138" s="546" t="s">
        <v>1016</v>
      </c>
      <c r="E138" s="36"/>
      <c r="F138" s="36"/>
      <c r="G138" s="36"/>
      <c r="H138" s="36"/>
      <c r="I138" s="36"/>
      <c r="J138" s="36"/>
      <c r="K138" s="36"/>
      <c r="L138" s="36"/>
      <c r="M138" s="36"/>
      <c r="N138" s="36"/>
      <c r="O138" s="36"/>
      <c r="P138" s="36"/>
      <c r="Q138" s="36"/>
      <c r="R138" s="36"/>
    </row>
    <row r="139" spans="1:18" x14ac:dyDescent="0.25">
      <c r="A139" s="50" t="s">
        <v>209</v>
      </c>
      <c r="B139" s="87">
        <f>'Biomass Data Assumptions'!$H$24</f>
        <v>46828.9</v>
      </c>
      <c r="C139" s="543"/>
      <c r="D139" s="36" t="s">
        <v>1020</v>
      </c>
      <c r="E139" s="36"/>
      <c r="F139" s="36"/>
      <c r="G139" s="36"/>
      <c r="H139" s="36"/>
      <c r="I139" s="36"/>
      <c r="J139" s="36"/>
      <c r="K139" s="36"/>
      <c r="L139" s="36"/>
      <c r="M139" s="36"/>
      <c r="N139" s="36"/>
      <c r="O139" s="36"/>
      <c r="P139" s="36"/>
      <c r="Q139" s="36"/>
      <c r="R139" s="36"/>
    </row>
    <row r="140" spans="1:18" x14ac:dyDescent="0.25">
      <c r="A140" s="50" t="s">
        <v>210</v>
      </c>
      <c r="B140" s="87">
        <f>'Biomass Data Assumptions'!$I$24</f>
        <v>199563.87</v>
      </c>
      <c r="C140" s="543">
        <f>B140*'Energy Content Assumptions'!$C$28</f>
        <v>99781.934999999998</v>
      </c>
      <c r="D140" s="36" t="s">
        <v>1021</v>
      </c>
      <c r="E140" s="36"/>
      <c r="F140" s="36"/>
      <c r="G140" s="36"/>
      <c r="H140" s="36"/>
      <c r="I140" s="36"/>
      <c r="J140" s="36"/>
      <c r="K140" s="36"/>
      <c r="L140" s="36"/>
      <c r="M140" s="36"/>
      <c r="N140" s="36"/>
      <c r="O140" s="36"/>
      <c r="P140" s="36"/>
      <c r="Q140" s="36"/>
      <c r="R140" s="36"/>
    </row>
    <row r="141" spans="1:18" x14ac:dyDescent="0.25">
      <c r="A141" s="50" t="str">
        <f>'Bioenergy Calculator'!B35</f>
        <v>Food waste, Landfilled</v>
      </c>
      <c r="B141" s="87">
        <f>IF('Bioenergy Calculator'!H75="No",'Biomass Data Assumptions'!J24,'Biomass Data Assumptions'!F24*'Biomass Data Assumptions'!I41)</f>
        <v>31571.004234</v>
      </c>
      <c r="C141" s="543">
        <f>B141*'Energy Content Assumptions'!C26</f>
        <v>9471.3012701999996</v>
      </c>
      <c r="D141" s="36" t="s">
        <v>1063</v>
      </c>
      <c r="E141" s="36"/>
      <c r="F141" s="36"/>
      <c r="G141" s="36"/>
      <c r="H141" s="36"/>
      <c r="I141" s="36"/>
      <c r="J141" s="36"/>
      <c r="K141" s="36"/>
      <c r="L141" s="36"/>
      <c r="M141" s="36"/>
      <c r="N141" s="36"/>
      <c r="O141" s="36"/>
      <c r="P141" s="36"/>
      <c r="Q141" s="36"/>
      <c r="R141" s="36"/>
    </row>
    <row r="142" spans="1:18" x14ac:dyDescent="0.25">
      <c r="A142" s="50" t="str">
        <f>'Bioenergy Calculator'!B36</f>
        <v>Waste paper, Landfilled</v>
      </c>
      <c r="B142" s="87">
        <f>IF('Bioenergy Calculator'!H75="No",'Biomass Data Assumptions'!K24,'Biomass Data Assumptions'!F24*'Biomass Data Assumptions'!I42)</f>
        <v>38815.172715000001</v>
      </c>
      <c r="C142" s="543">
        <f>B142*'Energy Content Assumptions'!C27</f>
        <v>34933.6554435</v>
      </c>
      <c r="D142" s="36" t="s">
        <v>1063</v>
      </c>
      <c r="E142" s="36"/>
      <c r="F142" s="36"/>
      <c r="G142" s="36"/>
      <c r="H142" s="36"/>
      <c r="I142" s="36"/>
      <c r="J142" s="36"/>
      <c r="K142" s="36"/>
      <c r="L142" s="36"/>
      <c r="M142" s="36"/>
      <c r="N142" s="36"/>
      <c r="O142" s="36"/>
      <c r="P142" s="36"/>
      <c r="Q142" s="36"/>
      <c r="R142" s="36"/>
    </row>
    <row r="143" spans="1:18" x14ac:dyDescent="0.25">
      <c r="A143" s="50" t="str">
        <f>'Bioenergy Calculator'!B37</f>
        <v>Other Biomass, Landfilled</v>
      </c>
      <c r="B143" s="87">
        <f>IF('Bioenergy Calculator'!H75="No",'Biomass Data Assumptions'!L24,'Biomass Data Assumptions'!F24*'Biomass Data Assumptions'!I43)</f>
        <v>53742.550190999995</v>
      </c>
      <c r="C143" s="543">
        <f>B143*'Energy Content Assumptions'!$C$28</f>
        <v>26871.275095499997</v>
      </c>
      <c r="D143" s="546" t="s">
        <v>1064</v>
      </c>
      <c r="E143" s="36"/>
      <c r="F143" s="36"/>
      <c r="G143" s="36"/>
      <c r="H143" s="36"/>
      <c r="I143" s="36"/>
      <c r="J143" s="36"/>
      <c r="K143" s="36"/>
      <c r="L143" s="36"/>
      <c r="M143" s="36"/>
      <c r="N143" s="36"/>
      <c r="O143" s="36"/>
      <c r="P143" s="36"/>
      <c r="Q143" s="36"/>
      <c r="R143" s="36"/>
    </row>
    <row r="144" spans="1:18" x14ac:dyDescent="0.25">
      <c r="A144" s="50" t="s">
        <v>463</v>
      </c>
      <c r="B144" s="87">
        <v>103787.97</v>
      </c>
      <c r="C144" s="543">
        <f>B144*'Energy Content Assumptions'!C29</f>
        <v>83030.376000000004</v>
      </c>
      <c r="D144" s="151" t="s">
        <v>206</v>
      </c>
      <c r="E144" s="36"/>
      <c r="F144" s="36"/>
      <c r="G144" s="36"/>
      <c r="H144" s="36"/>
      <c r="I144" s="36"/>
      <c r="J144" s="36"/>
      <c r="K144" s="36"/>
      <c r="L144" s="36"/>
      <c r="M144" s="36"/>
      <c r="N144" s="36"/>
      <c r="O144" s="36"/>
      <c r="P144" s="36"/>
      <c r="Q144" s="36"/>
      <c r="R144" s="36"/>
    </row>
    <row r="145" spans="1:18" x14ac:dyDescent="0.25">
      <c r="A145" s="709" t="s">
        <v>179</v>
      </c>
      <c r="B145" s="710">
        <v>0.4</v>
      </c>
      <c r="C145" s="543">
        <f>C144*B145</f>
        <v>33212.150400000006</v>
      </c>
      <c r="D145" s="36" t="s">
        <v>1202</v>
      </c>
      <c r="E145" s="36"/>
      <c r="F145" s="36"/>
      <c r="G145" s="36"/>
      <c r="H145" s="36"/>
      <c r="I145" s="36"/>
      <c r="J145" s="36"/>
      <c r="K145" s="36"/>
      <c r="L145" s="36"/>
      <c r="M145" s="36"/>
      <c r="N145" s="36"/>
      <c r="O145" s="36"/>
      <c r="P145" s="36"/>
      <c r="Q145" s="36"/>
      <c r="R145" s="36"/>
    </row>
    <row r="146" spans="1:18" x14ac:dyDescent="0.25">
      <c r="A146" s="712"/>
      <c r="B146" s="713"/>
      <c r="C146" s="543"/>
      <c r="D146" s="150" t="s">
        <v>1553</v>
      </c>
      <c r="E146" s="36"/>
      <c r="F146" s="36"/>
      <c r="G146" s="36"/>
      <c r="H146" s="36"/>
      <c r="I146" s="36"/>
      <c r="J146" s="36"/>
      <c r="K146" s="36"/>
      <c r="L146" s="36"/>
      <c r="M146" s="36"/>
      <c r="N146" s="36"/>
      <c r="O146" s="36"/>
      <c r="P146" s="36"/>
      <c r="Q146" s="36"/>
      <c r="R146" s="36"/>
    </row>
    <row r="147" spans="1:18" x14ac:dyDescent="0.25">
      <c r="A147" s="1238" t="s">
        <v>1568</v>
      </c>
      <c r="B147" s="49" t="s">
        <v>1039</v>
      </c>
      <c r="C147" s="49" t="s">
        <v>1571</v>
      </c>
      <c r="D147" s="150"/>
      <c r="E147" s="36"/>
      <c r="F147" s="36"/>
      <c r="G147" s="36"/>
      <c r="H147" s="36"/>
      <c r="I147" s="36"/>
      <c r="J147" s="36"/>
      <c r="K147" s="36"/>
      <c r="L147" s="36"/>
      <c r="M147" s="36"/>
      <c r="N147" s="36"/>
      <c r="O147" s="36"/>
      <c r="P147" s="36"/>
      <c r="Q147" s="36"/>
      <c r="R147" s="36"/>
    </row>
    <row r="148" spans="1:18" x14ac:dyDescent="0.25">
      <c r="A148" s="1236" t="s">
        <v>508</v>
      </c>
      <c r="B148" s="549">
        <f>'Biomass Data Assumptions'!R24/2000</f>
        <v>1423.1536000000001</v>
      </c>
      <c r="C148" s="1239">
        <f>B148*'Energy Content Assumptions'!C39</f>
        <v>1209.68056</v>
      </c>
      <c r="D148" s="150" t="s">
        <v>1569</v>
      </c>
      <c r="E148" s="36"/>
      <c r="F148" s="36"/>
      <c r="G148" s="36"/>
      <c r="H148" s="36"/>
      <c r="I148" s="36"/>
      <c r="J148" s="36"/>
      <c r="K148" s="36"/>
      <c r="L148" s="36"/>
      <c r="M148" s="36"/>
      <c r="N148" s="36"/>
      <c r="O148" s="36"/>
      <c r="P148" s="36"/>
      <c r="Q148" s="36"/>
      <c r="R148" s="36"/>
    </row>
    <row r="149" spans="1:18" x14ac:dyDescent="0.25">
      <c r="A149" s="1236" t="s">
        <v>509</v>
      </c>
      <c r="B149" s="549">
        <f>'Biomass Data Assumptions'!S24/2000</f>
        <v>2162.2231399999996</v>
      </c>
      <c r="C149" s="1239">
        <f>B149*'Energy Content Assumptions'!C40</f>
        <v>108.11115699999999</v>
      </c>
      <c r="D149" s="150" t="s">
        <v>1570</v>
      </c>
      <c r="E149" s="36"/>
      <c r="F149" s="36"/>
      <c r="G149" s="36"/>
      <c r="H149" s="36"/>
      <c r="I149" s="36"/>
      <c r="J149" s="36"/>
      <c r="K149" s="36"/>
      <c r="L149" s="36"/>
      <c r="M149" s="36"/>
      <c r="N149" s="36"/>
      <c r="O149" s="36"/>
      <c r="P149" s="36"/>
      <c r="Q149" s="36"/>
      <c r="R149" s="36"/>
    </row>
    <row r="150" spans="1:18" x14ac:dyDescent="0.25">
      <c r="A150" s="36"/>
      <c r="B150" s="36"/>
      <c r="C150" s="36"/>
      <c r="D150" s="36"/>
      <c r="E150" s="36"/>
      <c r="F150" s="36"/>
      <c r="G150" s="36"/>
      <c r="H150" s="36"/>
      <c r="I150" s="36"/>
      <c r="J150" s="36"/>
      <c r="K150" s="36"/>
      <c r="L150" s="36"/>
      <c r="M150" s="36"/>
      <c r="N150" s="36"/>
      <c r="O150" s="36"/>
      <c r="P150" s="36"/>
      <c r="Q150" s="36"/>
      <c r="R150" s="36"/>
    </row>
    <row r="151" spans="1:18" x14ac:dyDescent="0.25">
      <c r="A151" s="36"/>
      <c r="B151" s="36"/>
      <c r="C151" s="36"/>
      <c r="D151" s="36"/>
      <c r="E151" s="36"/>
      <c r="F151" s="36"/>
      <c r="G151" s="36"/>
      <c r="H151" s="36"/>
      <c r="I151" s="36"/>
      <c r="J151" s="36"/>
      <c r="K151" s="36"/>
      <c r="L151" s="36"/>
      <c r="M151" s="36"/>
      <c r="N151" s="36"/>
      <c r="O151" s="36"/>
      <c r="P151" s="36"/>
      <c r="Q151" s="36"/>
      <c r="R151" s="36"/>
    </row>
    <row r="152" spans="1:18" x14ac:dyDescent="0.25">
      <c r="A152" s="36"/>
      <c r="B152" s="36"/>
      <c r="C152" s="36"/>
      <c r="D152" s="36"/>
      <c r="E152" s="36"/>
      <c r="F152" s="36"/>
      <c r="G152" s="36"/>
      <c r="H152" s="36"/>
      <c r="I152" s="36"/>
      <c r="J152" s="36"/>
      <c r="K152" s="36"/>
      <c r="L152" s="36"/>
      <c r="M152" s="36"/>
      <c r="N152" s="36"/>
      <c r="O152" s="36"/>
      <c r="P152" s="36"/>
      <c r="Q152" s="36"/>
      <c r="R152" s="36"/>
    </row>
    <row r="153" spans="1:18" x14ac:dyDescent="0.25">
      <c r="A153" s="36"/>
      <c r="B153" s="36"/>
      <c r="C153" s="36"/>
      <c r="D153" s="36"/>
      <c r="E153" s="36"/>
      <c r="F153" s="36"/>
      <c r="G153" s="36"/>
      <c r="H153" s="36"/>
      <c r="I153" s="36"/>
      <c r="J153" s="36"/>
      <c r="K153" s="36"/>
      <c r="L153" s="36"/>
      <c r="M153" s="36"/>
      <c r="N153" s="36"/>
      <c r="O153" s="36"/>
      <c r="P153" s="36"/>
      <c r="Q153" s="36"/>
      <c r="R153" s="36"/>
    </row>
    <row r="154" spans="1:18" x14ac:dyDescent="0.25">
      <c r="A154" s="36"/>
      <c r="B154" s="36"/>
      <c r="C154" s="36"/>
      <c r="D154" s="36"/>
      <c r="E154" s="36"/>
      <c r="F154" s="36"/>
      <c r="G154" s="36"/>
      <c r="H154" s="36"/>
      <c r="I154" s="36"/>
      <c r="J154" s="36"/>
      <c r="K154" s="36"/>
      <c r="L154" s="36"/>
      <c r="M154" s="36"/>
      <c r="N154" s="36"/>
      <c r="O154" s="36"/>
      <c r="P154" s="36"/>
      <c r="Q154" s="36"/>
      <c r="R154" s="36"/>
    </row>
    <row r="155" spans="1:18" x14ac:dyDescent="0.25">
      <c r="A155" s="36"/>
      <c r="B155" s="36"/>
      <c r="C155" s="36"/>
      <c r="D155" s="36"/>
      <c r="E155" s="36"/>
      <c r="F155" s="36"/>
      <c r="G155" s="36"/>
      <c r="H155" s="36"/>
      <c r="I155" s="36"/>
      <c r="J155" s="36"/>
      <c r="K155" s="36"/>
      <c r="L155" s="36"/>
      <c r="M155" s="36"/>
      <c r="N155" s="36"/>
      <c r="O155" s="36"/>
      <c r="P155" s="36"/>
      <c r="Q155" s="36"/>
      <c r="R155" s="36"/>
    </row>
    <row r="156" spans="1:18" x14ac:dyDescent="0.25">
      <c r="A156" s="36"/>
      <c r="B156" s="36"/>
      <c r="C156" s="36"/>
      <c r="D156" s="36"/>
      <c r="E156" s="36"/>
      <c r="F156" s="36"/>
      <c r="G156" s="36"/>
      <c r="H156" s="36"/>
      <c r="I156" s="36"/>
      <c r="J156" s="36"/>
      <c r="K156" s="36"/>
      <c r="L156" s="36"/>
      <c r="M156" s="36"/>
      <c r="N156" s="36"/>
      <c r="O156" s="36"/>
      <c r="P156" s="36"/>
      <c r="Q156" s="36"/>
      <c r="R156" s="36"/>
    </row>
    <row r="157" spans="1:18" x14ac:dyDescent="0.25">
      <c r="A157" s="36"/>
      <c r="B157" s="36"/>
      <c r="C157" s="36"/>
      <c r="D157" s="36"/>
      <c r="E157" s="36"/>
      <c r="F157" s="36"/>
      <c r="G157" s="36"/>
      <c r="H157" s="36"/>
      <c r="I157" s="36"/>
      <c r="J157" s="36"/>
      <c r="K157" s="36"/>
      <c r="L157" s="36"/>
      <c r="M157" s="36"/>
      <c r="N157" s="36"/>
      <c r="O157" s="36"/>
      <c r="P157" s="36"/>
      <c r="Q157" s="36"/>
      <c r="R157" s="36"/>
    </row>
    <row r="158" spans="1:18" x14ac:dyDescent="0.25">
      <c r="A158" s="36"/>
      <c r="B158" s="36"/>
      <c r="C158" s="36"/>
      <c r="D158" s="36"/>
      <c r="E158" s="36"/>
      <c r="F158" s="36"/>
      <c r="G158" s="36"/>
      <c r="H158" s="36"/>
      <c r="I158" s="36"/>
      <c r="J158" s="36"/>
      <c r="K158" s="36"/>
      <c r="L158" s="36"/>
      <c r="M158" s="36"/>
      <c r="N158" s="36"/>
      <c r="O158" s="36"/>
      <c r="P158" s="36"/>
      <c r="Q158" s="36"/>
      <c r="R158" s="36"/>
    </row>
    <row r="159" spans="1:18" x14ac:dyDescent="0.25">
      <c r="A159" s="36"/>
      <c r="B159" s="36"/>
      <c r="C159" s="36"/>
      <c r="D159" s="36"/>
      <c r="E159" s="36"/>
      <c r="F159" s="36"/>
      <c r="G159" s="36"/>
      <c r="H159" s="36"/>
      <c r="I159" s="36"/>
      <c r="J159" s="36"/>
      <c r="K159" s="36"/>
      <c r="L159" s="36"/>
      <c r="M159" s="36"/>
      <c r="N159" s="36"/>
      <c r="O159" s="36"/>
      <c r="P159" s="36"/>
      <c r="Q159" s="36"/>
      <c r="R159" s="36"/>
    </row>
    <row r="160" spans="1:18" x14ac:dyDescent="0.25">
      <c r="A160" s="36"/>
      <c r="B160" s="36"/>
      <c r="C160" s="36"/>
      <c r="D160" s="36"/>
      <c r="E160" s="36"/>
      <c r="F160" s="36"/>
      <c r="G160" s="36"/>
      <c r="H160" s="36"/>
      <c r="I160" s="36"/>
      <c r="J160" s="36"/>
      <c r="K160" s="36"/>
      <c r="L160" s="36"/>
      <c r="M160" s="36"/>
      <c r="N160" s="36"/>
      <c r="O160" s="36"/>
      <c r="P160" s="36"/>
      <c r="Q160" s="36"/>
      <c r="R160" s="36"/>
    </row>
    <row r="161" spans="1:18" x14ac:dyDescent="0.25">
      <c r="A161" s="36"/>
      <c r="B161" s="36"/>
      <c r="C161" s="36"/>
      <c r="D161" s="36"/>
      <c r="E161" s="36"/>
      <c r="F161" s="36"/>
      <c r="G161" s="36"/>
      <c r="H161" s="36"/>
      <c r="I161" s="36"/>
      <c r="J161" s="36"/>
      <c r="K161" s="36"/>
      <c r="L161" s="36"/>
      <c r="M161" s="36"/>
      <c r="N161" s="36"/>
      <c r="O161" s="36"/>
      <c r="P161" s="36"/>
      <c r="Q161" s="36"/>
      <c r="R161" s="36"/>
    </row>
    <row r="162" spans="1:18" x14ac:dyDescent="0.25">
      <c r="A162" s="36"/>
      <c r="B162" s="36"/>
      <c r="C162" s="36"/>
      <c r="D162" s="36"/>
      <c r="E162" s="36"/>
      <c r="F162" s="36"/>
      <c r="G162" s="36"/>
      <c r="H162" s="36"/>
      <c r="I162" s="36"/>
      <c r="J162" s="36"/>
      <c r="K162" s="36"/>
      <c r="L162" s="36"/>
      <c r="M162" s="36"/>
      <c r="N162" s="36"/>
      <c r="O162" s="36"/>
      <c r="P162" s="36"/>
      <c r="Q162" s="36"/>
      <c r="R162" s="36"/>
    </row>
    <row r="163" spans="1:18" x14ac:dyDescent="0.25">
      <c r="A163" s="36"/>
      <c r="B163" s="36"/>
      <c r="C163" s="36"/>
      <c r="D163" s="36"/>
      <c r="E163" s="36"/>
      <c r="F163" s="36"/>
      <c r="G163" s="36"/>
      <c r="H163" s="36"/>
      <c r="I163" s="36"/>
      <c r="J163" s="36"/>
      <c r="K163" s="36"/>
      <c r="L163" s="36"/>
      <c r="M163" s="36"/>
      <c r="N163" s="36"/>
      <c r="O163" s="36"/>
      <c r="P163" s="36"/>
      <c r="Q163" s="36"/>
      <c r="R163" s="36"/>
    </row>
    <row r="164" spans="1:18" x14ac:dyDescent="0.25">
      <c r="A164" s="36"/>
      <c r="B164" s="36"/>
      <c r="C164" s="36"/>
      <c r="D164" s="36"/>
      <c r="E164" s="36"/>
      <c r="F164" s="36"/>
      <c r="G164" s="36"/>
      <c r="H164" s="36"/>
      <c r="I164" s="36"/>
      <c r="J164" s="36"/>
      <c r="K164" s="36"/>
      <c r="L164" s="36"/>
      <c r="M164" s="36"/>
      <c r="N164" s="36"/>
      <c r="O164" s="36"/>
      <c r="P164" s="36"/>
      <c r="Q164" s="36"/>
      <c r="R164" s="36"/>
    </row>
    <row r="165" spans="1:18" x14ac:dyDescent="0.25">
      <c r="A165" s="36"/>
      <c r="B165" s="36"/>
      <c r="C165" s="36"/>
      <c r="D165" s="36"/>
      <c r="E165" s="36"/>
      <c r="F165" s="36"/>
      <c r="G165" s="36"/>
      <c r="H165" s="36"/>
      <c r="I165" s="36"/>
      <c r="J165" s="36"/>
      <c r="K165" s="36"/>
      <c r="L165" s="36"/>
      <c r="M165" s="36"/>
      <c r="N165" s="36"/>
      <c r="O165" s="36"/>
      <c r="P165" s="36"/>
      <c r="Q165" s="36"/>
      <c r="R165" s="36"/>
    </row>
    <row r="166" spans="1:18" x14ac:dyDescent="0.25">
      <c r="A166" s="36"/>
      <c r="B166" s="36"/>
      <c r="C166" s="36"/>
      <c r="D166" s="36"/>
      <c r="E166" s="36"/>
      <c r="F166" s="36"/>
      <c r="G166" s="36"/>
      <c r="H166" s="36"/>
      <c r="I166" s="36"/>
      <c r="J166" s="36"/>
      <c r="K166" s="36"/>
      <c r="L166" s="36"/>
      <c r="M166" s="36"/>
      <c r="N166" s="36"/>
      <c r="O166" s="36"/>
      <c r="P166" s="36"/>
      <c r="Q166" s="36"/>
      <c r="R166" s="36"/>
    </row>
    <row r="167" spans="1:18" x14ac:dyDescent="0.25">
      <c r="A167" s="36"/>
      <c r="B167" s="36"/>
      <c r="C167" s="36"/>
      <c r="D167" s="36"/>
      <c r="E167" s="36"/>
      <c r="F167" s="36"/>
      <c r="G167" s="36"/>
      <c r="H167" s="36"/>
      <c r="I167" s="36"/>
      <c r="J167" s="36"/>
      <c r="K167" s="36"/>
      <c r="L167" s="36"/>
      <c r="M167" s="36"/>
      <c r="N167" s="36"/>
      <c r="O167" s="36"/>
      <c r="P167" s="36"/>
      <c r="Q167" s="36"/>
      <c r="R167" s="36"/>
    </row>
    <row r="168" spans="1:18" x14ac:dyDescent="0.25">
      <c r="A168" s="36"/>
      <c r="B168" s="36"/>
      <c r="C168" s="36"/>
      <c r="D168" s="36"/>
      <c r="E168" s="36"/>
      <c r="F168" s="36"/>
      <c r="G168" s="36"/>
      <c r="H168" s="36"/>
      <c r="I168" s="36"/>
      <c r="J168" s="36"/>
      <c r="K168" s="36"/>
      <c r="L168" s="36"/>
      <c r="M168" s="36"/>
      <c r="N168" s="36"/>
      <c r="O168" s="36"/>
      <c r="P168" s="36"/>
      <c r="Q168" s="36"/>
      <c r="R168" s="36"/>
    </row>
    <row r="169" spans="1:18" x14ac:dyDescent="0.25">
      <c r="A169" s="36"/>
      <c r="B169" s="36"/>
      <c r="C169" s="36"/>
      <c r="D169" s="36"/>
      <c r="E169" s="36"/>
      <c r="F169" s="36"/>
      <c r="G169" s="36"/>
      <c r="H169" s="36"/>
      <c r="I169" s="36"/>
      <c r="J169" s="36"/>
      <c r="K169" s="36"/>
      <c r="L169" s="36"/>
      <c r="M169" s="36"/>
      <c r="N169" s="36"/>
      <c r="O169" s="36"/>
      <c r="P169" s="36"/>
      <c r="Q169" s="36"/>
      <c r="R169" s="36"/>
    </row>
    <row r="170" spans="1:18" x14ac:dyDescent="0.25">
      <c r="A170" s="36"/>
      <c r="B170" s="36"/>
      <c r="C170" s="36"/>
      <c r="D170" s="36"/>
      <c r="E170" s="36"/>
      <c r="F170" s="36"/>
      <c r="G170" s="36"/>
      <c r="H170" s="36"/>
      <c r="I170" s="36"/>
      <c r="J170" s="36"/>
      <c r="K170" s="36"/>
      <c r="L170" s="36"/>
      <c r="M170" s="36"/>
      <c r="N170" s="36"/>
      <c r="O170" s="36"/>
      <c r="P170" s="36"/>
      <c r="Q170" s="36"/>
      <c r="R170" s="36"/>
    </row>
    <row r="171" spans="1:18" x14ac:dyDescent="0.25">
      <c r="P171" s="36"/>
      <c r="Q171" s="36"/>
      <c r="R171" s="36"/>
    </row>
    <row r="172" spans="1:18" x14ac:dyDescent="0.25">
      <c r="P172" s="36"/>
      <c r="Q172" s="36"/>
      <c r="R172" s="36"/>
    </row>
    <row r="173" spans="1:18" x14ac:dyDescent="0.25">
      <c r="P173" s="36"/>
      <c r="Q173" s="36"/>
      <c r="R173" s="36"/>
    </row>
    <row r="174" spans="1:18" x14ac:dyDescent="0.25">
      <c r="P174" s="36"/>
      <c r="Q174" s="36"/>
      <c r="R174" s="36"/>
    </row>
    <row r="175" spans="1:18" x14ac:dyDescent="0.25">
      <c r="P175" s="36"/>
      <c r="Q175" s="36"/>
      <c r="R175" s="36"/>
    </row>
    <row r="176" spans="1:18" x14ac:dyDescent="0.25">
      <c r="P176" s="36"/>
      <c r="Q176" s="36"/>
      <c r="R176" s="36"/>
    </row>
    <row r="177" spans="16:18" x14ac:dyDescent="0.25">
      <c r="P177" s="36"/>
      <c r="Q177" s="36"/>
      <c r="R177" s="36"/>
    </row>
    <row r="178" spans="16:18" x14ac:dyDescent="0.25">
      <c r="P178" s="36"/>
      <c r="Q178" s="36"/>
      <c r="R178" s="36"/>
    </row>
    <row r="179" spans="16:18" x14ac:dyDescent="0.25">
      <c r="P179" s="36"/>
      <c r="Q179" s="36"/>
      <c r="R179" s="36"/>
    </row>
    <row r="180" spans="16:18" x14ac:dyDescent="0.25">
      <c r="P180" s="36"/>
      <c r="Q180" s="36"/>
      <c r="R180" s="36"/>
    </row>
    <row r="181" spans="16:18" x14ac:dyDescent="0.25">
      <c r="P181" s="36"/>
      <c r="Q181" s="36"/>
      <c r="R181" s="36"/>
    </row>
    <row r="182" spans="16:18" x14ac:dyDescent="0.25">
      <c r="P182" s="36"/>
      <c r="Q182" s="36"/>
      <c r="R182" s="36"/>
    </row>
    <row r="183" spans="16:18" x14ac:dyDescent="0.25">
      <c r="P183" s="36"/>
      <c r="Q183" s="36"/>
      <c r="R183" s="36"/>
    </row>
    <row r="184" spans="16:18" x14ac:dyDescent="0.25">
      <c r="P184" s="36"/>
      <c r="Q184" s="36"/>
      <c r="R184" s="36"/>
    </row>
    <row r="185" spans="16:18" x14ac:dyDescent="0.25">
      <c r="P185" s="36"/>
      <c r="Q185" s="36"/>
      <c r="R185" s="36"/>
    </row>
    <row r="186" spans="16:18" x14ac:dyDescent="0.25">
      <c r="P186" s="36"/>
      <c r="Q186" s="36"/>
      <c r="R186" s="36"/>
    </row>
    <row r="187" spans="16:18" x14ac:dyDescent="0.25">
      <c r="P187" s="36"/>
      <c r="Q187" s="36"/>
      <c r="R187" s="36"/>
    </row>
    <row r="188" spans="16:18" x14ac:dyDescent="0.25">
      <c r="P188" s="36"/>
      <c r="Q188" s="36"/>
      <c r="R188" s="36"/>
    </row>
    <row r="189" spans="16:18" x14ac:dyDescent="0.25">
      <c r="P189" s="36"/>
      <c r="Q189" s="36"/>
      <c r="R189" s="36"/>
    </row>
    <row r="190" spans="16:18" x14ac:dyDescent="0.25">
      <c r="P190" s="36"/>
      <c r="Q190" s="36"/>
      <c r="R190" s="36"/>
    </row>
    <row r="191" spans="16:18" x14ac:dyDescent="0.25">
      <c r="P191" s="36"/>
      <c r="Q191" s="36"/>
      <c r="R191" s="36"/>
    </row>
    <row r="192" spans="16:18" x14ac:dyDescent="0.25">
      <c r="P192" s="36"/>
      <c r="Q192" s="36"/>
      <c r="R192" s="36"/>
    </row>
    <row r="193" spans="16:18" x14ac:dyDescent="0.25">
      <c r="P193" s="36"/>
      <c r="Q193" s="36"/>
      <c r="R193" s="36"/>
    </row>
    <row r="194" spans="16:18" x14ac:dyDescent="0.25">
      <c r="P194" s="36"/>
      <c r="Q194" s="36"/>
      <c r="R194" s="36"/>
    </row>
    <row r="195" spans="16:18" x14ac:dyDescent="0.25">
      <c r="P195" s="36"/>
      <c r="Q195" s="36"/>
      <c r="R195" s="36"/>
    </row>
    <row r="196" spans="16:18" x14ac:dyDescent="0.25">
      <c r="P196" s="36"/>
      <c r="Q196" s="36"/>
      <c r="R196" s="36"/>
    </row>
    <row r="197" spans="16:18" x14ac:dyDescent="0.25">
      <c r="P197" s="36"/>
      <c r="Q197" s="36"/>
      <c r="R197" s="36"/>
    </row>
    <row r="198" spans="16:18" x14ac:dyDescent="0.25">
      <c r="P198" s="36"/>
      <c r="Q198" s="36"/>
      <c r="R198" s="36"/>
    </row>
    <row r="199" spans="16:18" x14ac:dyDescent="0.25">
      <c r="P199" s="36"/>
      <c r="Q199" s="36"/>
      <c r="R199" s="36"/>
    </row>
  </sheetData>
  <mergeCells count="15">
    <mergeCell ref="A3:A4"/>
    <mergeCell ref="B3:B4"/>
    <mergeCell ref="C3:C4"/>
    <mergeCell ref="A51:A67"/>
    <mergeCell ref="A5:A11"/>
    <mergeCell ref="A13:A29"/>
    <mergeCell ref="A31:A43"/>
    <mergeCell ref="A45:A49"/>
    <mergeCell ref="I1:L1"/>
    <mergeCell ref="M1:P1"/>
    <mergeCell ref="Q3:Q4"/>
    <mergeCell ref="D3:D4"/>
    <mergeCell ref="I3:L3"/>
    <mergeCell ref="M3:P3"/>
    <mergeCell ref="E3:H3"/>
  </mergeCells>
  <phoneticPr fontId="0" type="noConversion"/>
  <pageMargins left="0.75" right="0.75" top="1" bottom="1" header="0.5" footer="0.5"/>
  <pageSetup paperSize="5" scale="50" orientation="landscape" r:id="rId1"/>
  <headerFooter alignWithMargins="0">
    <oddFooter>&amp;L&amp;"Arial,Italic" 7/02/07&amp;C&amp;"Arial,Italic"&amp;A&amp;R&amp;"Arial,Italic"NJAES Report 2007-1 ©2007
New Jersey Agricultural Experiment Station</oddFooter>
  </headerFooter>
  <ignoredErrors>
    <ignoredError sqref="D67" formula="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W64"/>
  <sheetViews>
    <sheetView topLeftCell="E32" zoomScaleNormal="100" workbookViewId="0">
      <selection activeCell="H62" sqref="H62"/>
    </sheetView>
  </sheetViews>
  <sheetFormatPr defaultColWidth="8.88671875" defaultRowHeight="13.2" x14ac:dyDescent="0.25"/>
  <cols>
    <col min="1" max="1" width="46.6640625" customWidth="1"/>
    <col min="2" max="2" width="23.33203125" customWidth="1"/>
    <col min="3" max="3" width="12.44140625" customWidth="1"/>
    <col min="4" max="4" width="12" customWidth="1"/>
    <col min="5" max="5" width="9.6640625" customWidth="1"/>
    <col min="6" max="6" width="18.6640625" customWidth="1"/>
    <col min="7" max="7" width="17.88671875" customWidth="1"/>
    <col min="8" max="11" width="18.6640625" customWidth="1"/>
    <col min="12" max="12" width="70.6640625" customWidth="1"/>
  </cols>
  <sheetData>
    <row r="1" spans="1:23" ht="13.8" thickBot="1" x14ac:dyDescent="0.3">
      <c r="A1" s="120" t="s">
        <v>287</v>
      </c>
      <c r="C1" s="91"/>
      <c r="D1" s="91"/>
      <c r="E1" s="91"/>
      <c r="F1" s="91"/>
      <c r="G1" s="91"/>
      <c r="H1" s="91"/>
      <c r="I1" s="91"/>
      <c r="J1" s="91"/>
      <c r="K1" s="91"/>
      <c r="L1" s="91"/>
      <c r="V1" t="s">
        <v>410</v>
      </c>
      <c r="W1" t="s">
        <v>294</v>
      </c>
    </row>
    <row r="2" spans="1:23" ht="25.5" customHeight="1" x14ac:dyDescent="0.25">
      <c r="A2" s="93" t="s">
        <v>265</v>
      </c>
      <c r="B2" s="101" t="s">
        <v>1324</v>
      </c>
      <c r="C2" s="101" t="s">
        <v>155</v>
      </c>
      <c r="D2" s="101" t="s">
        <v>157</v>
      </c>
      <c r="E2" s="101" t="s">
        <v>156</v>
      </c>
      <c r="F2" s="720" t="s">
        <v>1309</v>
      </c>
      <c r="G2" s="1062" t="s">
        <v>1035</v>
      </c>
      <c r="H2" s="720" t="s">
        <v>1554</v>
      </c>
      <c r="I2" s="720" t="s">
        <v>1555</v>
      </c>
      <c r="J2" s="720" t="s">
        <v>1556</v>
      </c>
      <c r="K2" s="720" t="s">
        <v>1557</v>
      </c>
      <c r="L2" s="102" t="s">
        <v>430</v>
      </c>
      <c r="V2" t="s">
        <v>411</v>
      </c>
      <c r="W2" t="s">
        <v>293</v>
      </c>
    </row>
    <row r="3" spans="1:23" x14ac:dyDescent="0.25">
      <c r="A3" s="660" t="s">
        <v>238</v>
      </c>
      <c r="B3" s="1"/>
      <c r="C3" s="1"/>
      <c r="D3" s="1"/>
      <c r="E3" s="1"/>
      <c r="F3" s="721"/>
      <c r="G3" s="1063"/>
      <c r="H3" s="721"/>
      <c r="I3" s="721"/>
      <c r="J3" s="721"/>
      <c r="K3" s="721"/>
      <c r="L3" s="96"/>
      <c r="V3" t="s">
        <v>292</v>
      </c>
    </row>
    <row r="4" spans="1:23" x14ac:dyDescent="0.25">
      <c r="A4" s="567" t="s">
        <v>519</v>
      </c>
      <c r="B4" s="92">
        <f>C4*D4*E4</f>
        <v>0</v>
      </c>
      <c r="C4" s="90">
        <v>1</v>
      </c>
      <c r="D4" s="90">
        <v>1</v>
      </c>
      <c r="E4" s="90">
        <v>0</v>
      </c>
      <c r="F4" s="90"/>
      <c r="G4" s="1036">
        <f>'Bioenergy Calculator'!C9</f>
        <v>7465.3571999999995</v>
      </c>
      <c r="H4" s="1036">
        <f>$G4*(1-C4)</f>
        <v>0</v>
      </c>
      <c r="I4" s="1036">
        <f>($G4-H4)*(1-D4)</f>
        <v>0</v>
      </c>
      <c r="J4" s="1036">
        <f>($G4-H4-I4)*(1-E4)</f>
        <v>7465.3571999999995</v>
      </c>
      <c r="K4" s="1041">
        <f>G4-H4-I4-J4</f>
        <v>0</v>
      </c>
      <c r="L4" s="1086" t="s">
        <v>984</v>
      </c>
      <c r="N4" s="29"/>
      <c r="O4" s="29"/>
      <c r="P4" s="29"/>
    </row>
    <row r="5" spans="1:23" x14ac:dyDescent="0.25">
      <c r="A5" s="567" t="s">
        <v>520</v>
      </c>
      <c r="B5" s="92">
        <f t="shared" ref="B5:B52" si="0">C5*D5*E5</f>
        <v>0</v>
      </c>
      <c r="C5" s="90">
        <v>1</v>
      </c>
      <c r="D5" s="90">
        <v>1</v>
      </c>
      <c r="E5" s="90">
        <v>0</v>
      </c>
      <c r="F5" s="90"/>
      <c r="G5" s="1036">
        <f>'Bioenergy Calculator'!C10</f>
        <v>8030.0220000000018</v>
      </c>
      <c r="H5" s="1036">
        <f t="shared" ref="H5:H9" si="1">$G5*(1-C5)</f>
        <v>0</v>
      </c>
      <c r="I5" s="1036">
        <f t="shared" ref="I5:I52" si="2">($G5-H5)*(1-D5)</f>
        <v>0</v>
      </c>
      <c r="J5" s="1036">
        <f t="shared" ref="J5:J52" si="3">($G5-H5-I5)*(1-E5)</f>
        <v>8030.0220000000018</v>
      </c>
      <c r="K5" s="1041">
        <f t="shared" ref="K5:K9" si="4">G5-H5-I5-J5</f>
        <v>0</v>
      </c>
      <c r="L5" s="1087"/>
      <c r="N5" s="29"/>
      <c r="O5" s="29"/>
      <c r="P5" s="29"/>
    </row>
    <row r="6" spans="1:23" x14ac:dyDescent="0.25">
      <c r="A6" s="567" t="s">
        <v>521</v>
      </c>
      <c r="B6" s="92">
        <f t="shared" si="0"/>
        <v>0</v>
      </c>
      <c r="C6" s="90">
        <v>1</v>
      </c>
      <c r="D6" s="90">
        <v>1</v>
      </c>
      <c r="E6" s="90">
        <v>0</v>
      </c>
      <c r="F6" s="90"/>
      <c r="G6" s="1036">
        <f>'Bioenergy Calculator'!C11</f>
        <v>217668.5</v>
      </c>
      <c r="H6" s="1036">
        <f t="shared" si="1"/>
        <v>0</v>
      </c>
      <c r="I6" s="1036">
        <f t="shared" si="2"/>
        <v>0</v>
      </c>
      <c r="J6" s="1036">
        <f t="shared" si="3"/>
        <v>217668.5</v>
      </c>
      <c r="K6" s="1041">
        <f t="shared" si="4"/>
        <v>0</v>
      </c>
      <c r="L6" s="1087"/>
      <c r="N6" s="29"/>
      <c r="O6" s="29"/>
      <c r="P6" s="29"/>
    </row>
    <row r="7" spans="1:23" x14ac:dyDescent="0.25">
      <c r="A7" s="567" t="s">
        <v>522</v>
      </c>
      <c r="B7" s="92">
        <f t="shared" si="0"/>
        <v>0</v>
      </c>
      <c r="C7" s="90">
        <v>1</v>
      </c>
      <c r="D7" s="90">
        <v>1</v>
      </c>
      <c r="E7" s="90">
        <v>0</v>
      </c>
      <c r="F7" s="90"/>
      <c r="G7" s="1036">
        <f>'Bioenergy Calculator'!C12</f>
        <v>42085.979999999996</v>
      </c>
      <c r="H7" s="1036">
        <f t="shared" si="1"/>
        <v>0</v>
      </c>
      <c r="I7" s="1036">
        <f t="shared" si="2"/>
        <v>0</v>
      </c>
      <c r="J7" s="1036">
        <f t="shared" si="3"/>
        <v>42085.979999999996</v>
      </c>
      <c r="K7" s="1041">
        <f t="shared" si="4"/>
        <v>0</v>
      </c>
      <c r="L7" s="1088"/>
      <c r="N7" s="29"/>
      <c r="O7" s="29"/>
      <c r="P7" s="29"/>
    </row>
    <row r="8" spans="1:23" x14ac:dyDescent="0.25">
      <c r="A8" s="521" t="s">
        <v>311</v>
      </c>
      <c r="B8" s="92">
        <f t="shared" si="0"/>
        <v>0.5</v>
      </c>
      <c r="C8" s="90">
        <v>1</v>
      </c>
      <c r="D8" s="90">
        <v>1</v>
      </c>
      <c r="E8" s="90">
        <v>0.5</v>
      </c>
      <c r="F8" s="90"/>
      <c r="G8" s="1036">
        <f>'Bioenergy Calculator'!C13</f>
        <v>0</v>
      </c>
      <c r="H8" s="1036">
        <f t="shared" si="1"/>
        <v>0</v>
      </c>
      <c r="I8" s="1036">
        <f t="shared" si="2"/>
        <v>0</v>
      </c>
      <c r="J8" s="1036">
        <f t="shared" si="3"/>
        <v>0</v>
      </c>
      <c r="K8" s="1041">
        <f t="shared" si="4"/>
        <v>0</v>
      </c>
      <c r="L8" s="655"/>
      <c r="N8" s="29"/>
      <c r="O8" s="29"/>
      <c r="P8" s="29"/>
    </row>
    <row r="9" spans="1:23" x14ac:dyDescent="0.25">
      <c r="A9" s="521" t="s">
        <v>507</v>
      </c>
      <c r="B9" s="92">
        <f t="shared" si="0"/>
        <v>1</v>
      </c>
      <c r="C9" s="90">
        <v>1</v>
      </c>
      <c r="D9" s="90">
        <v>1</v>
      </c>
      <c r="E9" s="90">
        <v>1</v>
      </c>
      <c r="F9" s="90"/>
      <c r="G9" s="1036">
        <v>0</v>
      </c>
      <c r="H9" s="1036">
        <f t="shared" si="1"/>
        <v>0</v>
      </c>
      <c r="I9" s="1036">
        <f t="shared" si="2"/>
        <v>0</v>
      </c>
      <c r="J9" s="1036">
        <f t="shared" si="3"/>
        <v>0</v>
      </c>
      <c r="K9" s="1041">
        <f t="shared" si="4"/>
        <v>0</v>
      </c>
      <c r="L9" s="655" t="s">
        <v>237</v>
      </c>
      <c r="N9" s="29"/>
      <c r="O9" s="29"/>
      <c r="P9" s="29"/>
    </row>
    <row r="10" spans="1:23" ht="38.25" customHeight="1" x14ac:dyDescent="0.25">
      <c r="A10" s="660" t="s">
        <v>1314</v>
      </c>
      <c r="B10" s="1"/>
      <c r="C10" s="2"/>
      <c r="D10" s="2"/>
      <c r="E10" s="2"/>
      <c r="F10" s="2"/>
      <c r="G10" s="113"/>
      <c r="H10" s="113"/>
      <c r="I10" s="1046"/>
      <c r="J10" s="1046"/>
      <c r="K10" s="1042"/>
      <c r="L10" s="718" t="s">
        <v>988</v>
      </c>
      <c r="M10" s="384"/>
      <c r="N10" s="3"/>
      <c r="O10" s="3"/>
      <c r="P10" s="3"/>
    </row>
    <row r="11" spans="1:23" x14ac:dyDescent="0.25">
      <c r="A11" s="567" t="s">
        <v>527</v>
      </c>
      <c r="B11" s="92">
        <f t="shared" si="0"/>
        <v>0.8</v>
      </c>
      <c r="C11" s="25">
        <v>0.8</v>
      </c>
      <c r="D11" s="25">
        <v>1</v>
      </c>
      <c r="E11" s="25">
        <v>1</v>
      </c>
      <c r="F11" s="25"/>
      <c r="G11" s="1037">
        <f>'Bioenergy Calculator'!C18</f>
        <v>5257.25</v>
      </c>
      <c r="H11" s="1037">
        <f>$G11*(1-C11)</f>
        <v>1051.4499999999998</v>
      </c>
      <c r="I11" s="1036">
        <f t="shared" si="2"/>
        <v>0</v>
      </c>
      <c r="J11" s="1036">
        <f t="shared" si="3"/>
        <v>0</v>
      </c>
      <c r="K11" s="1041">
        <f>G11-H11-I11-J11</f>
        <v>4205.8</v>
      </c>
      <c r="L11" s="655" t="s">
        <v>986</v>
      </c>
      <c r="N11" s="308"/>
      <c r="O11" s="308"/>
      <c r="P11" s="308"/>
    </row>
    <row r="12" spans="1:23" x14ac:dyDescent="0.25">
      <c r="A12" s="567" t="s">
        <v>520</v>
      </c>
      <c r="B12" s="92">
        <f t="shared" si="0"/>
        <v>0</v>
      </c>
      <c r="C12" s="25">
        <v>0.9</v>
      </c>
      <c r="D12" s="25">
        <v>1</v>
      </c>
      <c r="E12" s="25">
        <v>0</v>
      </c>
      <c r="F12" s="25"/>
      <c r="G12" s="1037">
        <f>'Bioenergy Calculator'!C19</f>
        <v>28106.1</v>
      </c>
      <c r="H12" s="1037">
        <f t="shared" ref="H12:H19" si="5">$G12*(1-C12)</f>
        <v>2810.6099999999992</v>
      </c>
      <c r="I12" s="1036">
        <f t="shared" si="2"/>
        <v>0</v>
      </c>
      <c r="J12" s="1036">
        <f t="shared" si="3"/>
        <v>25295.489999999998</v>
      </c>
      <c r="K12" s="1041">
        <v>0</v>
      </c>
      <c r="L12" s="655" t="s">
        <v>985</v>
      </c>
      <c r="M12" s="344"/>
      <c r="N12" s="654"/>
      <c r="O12" s="654"/>
      <c r="P12" s="308"/>
    </row>
    <row r="13" spans="1:23" x14ac:dyDescent="0.25">
      <c r="A13" s="567" t="s">
        <v>521</v>
      </c>
      <c r="B13" s="92">
        <f t="shared" si="0"/>
        <v>0.85</v>
      </c>
      <c r="C13" s="25">
        <v>0.85</v>
      </c>
      <c r="D13" s="25">
        <v>1</v>
      </c>
      <c r="E13" s="25">
        <v>1</v>
      </c>
      <c r="F13" s="25"/>
      <c r="G13" s="1037">
        <f>'Bioenergy Calculator'!C20</f>
        <v>132134.625</v>
      </c>
      <c r="H13" s="1037">
        <f t="shared" si="5"/>
        <v>19820.193750000002</v>
      </c>
      <c r="I13" s="1036">
        <f t="shared" si="2"/>
        <v>0</v>
      </c>
      <c r="J13" s="1036">
        <f t="shared" si="3"/>
        <v>0</v>
      </c>
      <c r="K13" s="1041">
        <f t="shared" ref="K13:K19" si="6">G13-H13-I13-J13</f>
        <v>112314.43124999999</v>
      </c>
      <c r="L13" s="655" t="s">
        <v>986</v>
      </c>
      <c r="M13" s="344"/>
      <c r="N13" s="654"/>
      <c r="O13" s="654"/>
      <c r="P13" s="308"/>
    </row>
    <row r="14" spans="1:23" x14ac:dyDescent="0.25">
      <c r="A14" s="567" t="s">
        <v>519</v>
      </c>
      <c r="B14" s="92">
        <f t="shared" si="0"/>
        <v>0.75</v>
      </c>
      <c r="C14" s="25">
        <v>0.75</v>
      </c>
      <c r="D14" s="25">
        <v>1</v>
      </c>
      <c r="E14" s="25">
        <v>1</v>
      </c>
      <c r="F14" s="25"/>
      <c r="G14" s="1037">
        <f>'Bioenergy Calculator'!C21</f>
        <v>69075.159999999989</v>
      </c>
      <c r="H14" s="1037">
        <f t="shared" si="5"/>
        <v>17268.789999999997</v>
      </c>
      <c r="I14" s="1036">
        <f t="shared" si="2"/>
        <v>0</v>
      </c>
      <c r="J14" s="1036">
        <f t="shared" si="3"/>
        <v>0</v>
      </c>
      <c r="K14" s="1041">
        <f t="shared" si="6"/>
        <v>51806.369999999995</v>
      </c>
      <c r="L14" s="655" t="s">
        <v>986</v>
      </c>
      <c r="M14" s="344"/>
      <c r="N14" s="654"/>
      <c r="O14" s="654"/>
      <c r="P14" s="308"/>
    </row>
    <row r="15" spans="1:23" x14ac:dyDescent="0.25">
      <c r="A15" s="567" t="s">
        <v>529</v>
      </c>
      <c r="B15" s="92">
        <f t="shared" si="0"/>
        <v>0</v>
      </c>
      <c r="C15" s="25">
        <v>1</v>
      </c>
      <c r="D15" s="25">
        <v>1</v>
      </c>
      <c r="E15" s="25">
        <v>0</v>
      </c>
      <c r="F15" s="25"/>
      <c r="G15" s="1037">
        <f>'Bioenergy Calculator'!C22</f>
        <v>84725.28</v>
      </c>
      <c r="H15" s="1037">
        <f t="shared" si="5"/>
        <v>0</v>
      </c>
      <c r="I15" s="1036">
        <f t="shared" si="2"/>
        <v>0</v>
      </c>
      <c r="J15" s="1036">
        <f t="shared" si="3"/>
        <v>84725.28</v>
      </c>
      <c r="K15" s="1041">
        <f t="shared" si="6"/>
        <v>0</v>
      </c>
      <c r="L15" s="655"/>
      <c r="M15" s="344"/>
      <c r="N15" s="699"/>
      <c r="O15" s="699"/>
      <c r="P15" s="308"/>
    </row>
    <row r="16" spans="1:23" x14ac:dyDescent="0.25">
      <c r="A16" s="567" t="s">
        <v>530</v>
      </c>
      <c r="B16" s="92">
        <f t="shared" si="0"/>
        <v>0.5</v>
      </c>
      <c r="C16" s="25">
        <v>1</v>
      </c>
      <c r="D16" s="25">
        <v>1</v>
      </c>
      <c r="E16" s="25">
        <v>0.5</v>
      </c>
      <c r="F16" s="25"/>
      <c r="G16" s="1037">
        <f>'Bioenergy Calculator'!C23</f>
        <v>135337.25499999998</v>
      </c>
      <c r="H16" s="1037">
        <f t="shared" si="5"/>
        <v>0</v>
      </c>
      <c r="I16" s="1036">
        <f t="shared" si="2"/>
        <v>0</v>
      </c>
      <c r="J16" s="1036">
        <f t="shared" si="3"/>
        <v>67668.627499999988</v>
      </c>
      <c r="K16" s="1041">
        <f t="shared" si="6"/>
        <v>67668.627499999988</v>
      </c>
      <c r="L16" s="655" t="s">
        <v>987</v>
      </c>
      <c r="M16" s="344"/>
      <c r="N16" s="654"/>
      <c r="O16" s="654"/>
      <c r="P16" s="308"/>
    </row>
    <row r="17" spans="1:16" x14ac:dyDescent="0.25">
      <c r="A17" s="567" t="s">
        <v>522</v>
      </c>
      <c r="B17" s="92">
        <f t="shared" si="0"/>
        <v>0</v>
      </c>
      <c r="C17" s="25">
        <v>0.9</v>
      </c>
      <c r="D17" s="25">
        <v>1</v>
      </c>
      <c r="E17" s="25">
        <v>0</v>
      </c>
      <c r="F17" s="25"/>
      <c r="G17" s="1037">
        <f>'Bioenergy Calculator'!C24</f>
        <v>38846.062499999993</v>
      </c>
      <c r="H17" s="1037">
        <f t="shared" si="5"/>
        <v>3884.6062499999985</v>
      </c>
      <c r="I17" s="1036">
        <f t="shared" si="2"/>
        <v>0</v>
      </c>
      <c r="J17" s="1036">
        <f t="shared" si="3"/>
        <v>34961.456249999996</v>
      </c>
      <c r="K17" s="1041">
        <v>0</v>
      </c>
      <c r="L17" s="655" t="s">
        <v>985</v>
      </c>
      <c r="M17" s="344"/>
      <c r="N17" s="654"/>
      <c r="O17" s="654"/>
      <c r="P17" s="308"/>
    </row>
    <row r="18" spans="1:16" x14ac:dyDescent="0.25">
      <c r="A18" s="846" t="s">
        <v>205</v>
      </c>
      <c r="B18" s="92">
        <f t="shared" si="0"/>
        <v>0.5</v>
      </c>
      <c r="C18" s="25">
        <v>0.5</v>
      </c>
      <c r="D18" s="25">
        <v>1</v>
      </c>
      <c r="E18" s="25">
        <v>1</v>
      </c>
      <c r="F18" s="25"/>
      <c r="G18" s="1037">
        <f>'Bioenergy Calculator'!C25</f>
        <v>916426</v>
      </c>
      <c r="H18" s="1037">
        <f t="shared" si="5"/>
        <v>458213</v>
      </c>
      <c r="I18" s="1036">
        <f t="shared" si="2"/>
        <v>0</v>
      </c>
      <c r="J18" s="1036">
        <f t="shared" si="3"/>
        <v>0</v>
      </c>
      <c r="K18" s="1041">
        <f t="shared" si="6"/>
        <v>458213</v>
      </c>
      <c r="L18" s="655" t="s">
        <v>584</v>
      </c>
      <c r="M18" s="344"/>
      <c r="N18" s="654"/>
      <c r="O18" s="654"/>
      <c r="P18" s="308"/>
    </row>
    <row r="19" spans="1:16" x14ac:dyDescent="0.25">
      <c r="A19" s="521" t="s">
        <v>302</v>
      </c>
      <c r="B19" s="92">
        <f t="shared" si="0"/>
        <v>1</v>
      </c>
      <c r="C19" s="571">
        <v>1</v>
      </c>
      <c r="D19" s="571">
        <v>1</v>
      </c>
      <c r="E19" s="571">
        <v>1</v>
      </c>
      <c r="F19" s="571"/>
      <c r="G19" s="1037">
        <f>'Bioenergy Calculator'!C26</f>
        <v>125562.10000000002</v>
      </c>
      <c r="H19" s="1037">
        <f t="shared" si="5"/>
        <v>0</v>
      </c>
      <c r="I19" s="1036">
        <f t="shared" si="2"/>
        <v>0</v>
      </c>
      <c r="J19" s="1036">
        <f t="shared" si="3"/>
        <v>0</v>
      </c>
      <c r="K19" s="1041">
        <f t="shared" si="6"/>
        <v>125562.10000000002</v>
      </c>
      <c r="L19" s="719" t="s">
        <v>237</v>
      </c>
      <c r="N19" s="308"/>
      <c r="O19" s="308"/>
      <c r="P19" s="308"/>
    </row>
    <row r="20" spans="1:16" x14ac:dyDescent="0.25">
      <c r="A20" s="660" t="s">
        <v>1134</v>
      </c>
      <c r="B20" s="1"/>
      <c r="C20" s="2"/>
      <c r="D20" s="2"/>
      <c r="E20" s="2"/>
      <c r="F20" s="2"/>
      <c r="G20" s="113"/>
      <c r="H20" s="113"/>
      <c r="I20" s="1046"/>
      <c r="J20" s="1046"/>
      <c r="K20" s="1042"/>
      <c r="L20" s="655"/>
      <c r="N20" s="3"/>
      <c r="O20" s="3"/>
      <c r="P20" s="3"/>
    </row>
    <row r="21" spans="1:16" ht="25.5" customHeight="1" x14ac:dyDescent="0.25">
      <c r="A21" s="567" t="s">
        <v>559</v>
      </c>
      <c r="B21" s="92">
        <f t="shared" si="0"/>
        <v>1</v>
      </c>
      <c r="C21" s="26">
        <v>1</v>
      </c>
      <c r="D21" s="26">
        <v>1</v>
      </c>
      <c r="E21" s="26">
        <v>1</v>
      </c>
      <c r="F21" s="26">
        <v>0.8</v>
      </c>
      <c r="G21" s="1039">
        <f>'Bioenergy Calculator'!C28</f>
        <v>268796.86500000005</v>
      </c>
      <c r="H21" s="1038">
        <f>$G21*(1-C21)</f>
        <v>0</v>
      </c>
      <c r="I21" s="1036">
        <f t="shared" si="2"/>
        <v>0</v>
      </c>
      <c r="J21" s="1036">
        <f t="shared" si="3"/>
        <v>0</v>
      </c>
      <c r="K21" s="1041">
        <f>G21-H21-I21-J21</f>
        <v>268796.86500000005</v>
      </c>
      <c r="L21" s="718" t="s">
        <v>1312</v>
      </c>
      <c r="M21" s="384"/>
      <c r="N21" s="309"/>
      <c r="O21" s="309"/>
      <c r="P21" s="309"/>
    </row>
    <row r="22" spans="1:16" ht="25.5" customHeight="1" x14ac:dyDescent="0.25">
      <c r="A22" s="567" t="s">
        <v>560</v>
      </c>
      <c r="B22" s="92">
        <f t="shared" si="0"/>
        <v>1</v>
      </c>
      <c r="C22" s="26">
        <v>1</v>
      </c>
      <c r="D22" s="26">
        <v>1</v>
      </c>
      <c r="E22" s="26">
        <v>1</v>
      </c>
      <c r="F22" s="26">
        <v>0.2</v>
      </c>
      <c r="G22" s="1039">
        <f>'Bioenergy Calculator'!C29</f>
        <v>41283.739999999991</v>
      </c>
      <c r="H22" s="1038">
        <f t="shared" ref="H22:H24" si="7">$G22*(1-C22)</f>
        <v>0</v>
      </c>
      <c r="I22" s="1036">
        <f t="shared" si="2"/>
        <v>0</v>
      </c>
      <c r="J22" s="1036">
        <f t="shared" si="3"/>
        <v>0</v>
      </c>
      <c r="K22" s="1041">
        <f t="shared" ref="K22:K24" si="8">G22-H22-I22-J22</f>
        <v>41283.739999999991</v>
      </c>
      <c r="L22" s="718" t="s">
        <v>1312</v>
      </c>
      <c r="M22" s="384"/>
      <c r="N22" s="309"/>
      <c r="O22" s="309"/>
      <c r="P22" s="309"/>
    </row>
    <row r="23" spans="1:16" ht="25.5" customHeight="1" x14ac:dyDescent="0.25">
      <c r="A23" s="567" t="s">
        <v>561</v>
      </c>
      <c r="B23" s="92">
        <f t="shared" si="0"/>
        <v>1</v>
      </c>
      <c r="C23" s="26">
        <v>1</v>
      </c>
      <c r="D23" s="26">
        <v>1</v>
      </c>
      <c r="E23" s="26">
        <v>1</v>
      </c>
      <c r="F23" s="26">
        <v>0.75</v>
      </c>
      <c r="G23" s="1039">
        <f>'Bioenergy Calculator'!C30</f>
        <v>253054.92333333328</v>
      </c>
      <c r="H23" s="1038">
        <f t="shared" si="7"/>
        <v>0</v>
      </c>
      <c r="I23" s="1036">
        <f t="shared" si="2"/>
        <v>0</v>
      </c>
      <c r="J23" s="1036">
        <f t="shared" si="3"/>
        <v>0</v>
      </c>
      <c r="K23" s="1041">
        <f t="shared" si="8"/>
        <v>253054.92333333328</v>
      </c>
      <c r="L23" s="718" t="s">
        <v>1312</v>
      </c>
      <c r="N23" s="309"/>
      <c r="O23" s="309"/>
      <c r="P23" s="309"/>
    </row>
    <row r="24" spans="1:16" ht="25.5" customHeight="1" x14ac:dyDescent="0.25">
      <c r="A24" s="567" t="s">
        <v>562</v>
      </c>
      <c r="B24" s="92">
        <f t="shared" si="0"/>
        <v>1</v>
      </c>
      <c r="C24" s="26">
        <v>1</v>
      </c>
      <c r="D24" s="26">
        <v>1</v>
      </c>
      <c r="E24" s="26">
        <v>1</v>
      </c>
      <c r="F24" s="26">
        <v>0.35</v>
      </c>
      <c r="G24" s="1039">
        <f>'Bioenergy Calculator'!C31</f>
        <v>25855.429999999997</v>
      </c>
      <c r="H24" s="1038">
        <f t="shared" si="7"/>
        <v>0</v>
      </c>
      <c r="I24" s="1036">
        <f t="shared" si="2"/>
        <v>0</v>
      </c>
      <c r="J24" s="1036">
        <f t="shared" si="3"/>
        <v>0</v>
      </c>
      <c r="K24" s="1041">
        <f t="shared" si="8"/>
        <v>25855.429999999997</v>
      </c>
      <c r="L24" s="718" t="s">
        <v>1312</v>
      </c>
      <c r="N24" s="506"/>
      <c r="O24" s="309"/>
      <c r="P24" s="309"/>
    </row>
    <row r="25" spans="1:16" x14ac:dyDescent="0.25">
      <c r="A25" s="660" t="str">
        <f>'Bioenergy Calculator'!B34</f>
        <v>Solid wastes - Landfilled</v>
      </c>
      <c r="B25" s="1"/>
      <c r="C25" s="2"/>
      <c r="D25" s="2"/>
      <c r="E25" s="2"/>
      <c r="F25" s="2"/>
      <c r="G25" s="113"/>
      <c r="H25" s="113"/>
      <c r="I25" s="1046"/>
      <c r="J25" s="1046"/>
      <c r="K25" s="1042"/>
      <c r="L25" s="655"/>
      <c r="N25" s="3"/>
      <c r="O25" s="3"/>
      <c r="P25" s="3"/>
    </row>
    <row r="26" spans="1:16" x14ac:dyDescent="0.25">
      <c r="A26" s="567" t="str">
        <f>'Bioenergy Calculator'!B35</f>
        <v>Food waste, Landfilled</v>
      </c>
      <c r="B26" s="92">
        <f>C26*D26*E26</f>
        <v>0.60000000000000009</v>
      </c>
      <c r="C26" s="26">
        <v>1</v>
      </c>
      <c r="D26" s="26">
        <v>0.75</v>
      </c>
      <c r="E26" s="26">
        <v>0.8</v>
      </c>
      <c r="F26" s="26"/>
      <c r="G26" s="1039">
        <f>'Bioenergy Calculator'!C35</f>
        <v>214286.55948329999</v>
      </c>
      <c r="H26" s="1039">
        <f>$G26*(1-C26)</f>
        <v>0</v>
      </c>
      <c r="I26" s="1036">
        <f t="shared" si="2"/>
        <v>53571.639870824998</v>
      </c>
      <c r="J26" s="1036">
        <f t="shared" si="3"/>
        <v>32142.983922494994</v>
      </c>
      <c r="K26" s="1041">
        <f>G26-H26-I26-J26</f>
        <v>128571.93568998</v>
      </c>
      <c r="L26" s="655" t="s">
        <v>1293</v>
      </c>
      <c r="N26" s="309"/>
      <c r="O26" s="309"/>
      <c r="P26" s="309"/>
    </row>
    <row r="27" spans="1:16" x14ac:dyDescent="0.25">
      <c r="A27" s="567" t="str">
        <f>'Bioenergy Calculator'!B36</f>
        <v>Waste paper, Landfilled</v>
      </c>
      <c r="B27" s="92">
        <f t="shared" si="0"/>
        <v>0.8</v>
      </c>
      <c r="C27" s="26">
        <v>1</v>
      </c>
      <c r="D27" s="26">
        <v>1</v>
      </c>
      <c r="E27" s="26">
        <v>0.8</v>
      </c>
      <c r="F27" s="26"/>
      <c r="G27" s="1039">
        <f>'Bioenergy Calculator'!C36</f>
        <v>779660.5427775</v>
      </c>
      <c r="H27" s="1039">
        <f t="shared" ref="H27:H29" si="9">$G27*(1-C27)</f>
        <v>0</v>
      </c>
      <c r="I27" s="1036">
        <f t="shared" si="2"/>
        <v>0</v>
      </c>
      <c r="J27" s="1036">
        <f t="shared" si="3"/>
        <v>155932.10855549996</v>
      </c>
      <c r="K27" s="1041">
        <f t="shared" ref="K27:K29" si="10">G27-H27-I27-J27</f>
        <v>623728.43422200007</v>
      </c>
      <c r="L27" s="655" t="s">
        <v>89</v>
      </c>
      <c r="N27" s="309"/>
      <c r="O27" s="309"/>
      <c r="P27" s="309"/>
    </row>
    <row r="28" spans="1:16" x14ac:dyDescent="0.25">
      <c r="A28" s="567" t="str">
        <f>'Bioenergy Calculator'!B37</f>
        <v>Other Biomass, Landfilled</v>
      </c>
      <c r="B28" s="92">
        <f>C28*D28*E28</f>
        <v>0.72000000000000008</v>
      </c>
      <c r="C28" s="26">
        <v>1</v>
      </c>
      <c r="D28" s="26">
        <v>0.9</v>
      </c>
      <c r="E28" s="26">
        <v>0.8</v>
      </c>
      <c r="F28" s="26"/>
      <c r="G28" s="1039">
        <f>'Bioenergy Calculator'!C37</f>
        <v>599721.74855750019</v>
      </c>
      <c r="H28" s="1039">
        <f t="shared" si="9"/>
        <v>0</v>
      </c>
      <c r="I28" s="1036">
        <f t="shared" si="2"/>
        <v>59972.174855750003</v>
      </c>
      <c r="J28" s="1036">
        <f t="shared" si="3"/>
        <v>107949.91474035001</v>
      </c>
      <c r="K28" s="1041">
        <f t="shared" si="10"/>
        <v>431799.65896140016</v>
      </c>
      <c r="L28" s="655" t="s">
        <v>1293</v>
      </c>
    </row>
    <row r="29" spans="1:16" x14ac:dyDescent="0.25">
      <c r="A29" s="845" t="s">
        <v>1313</v>
      </c>
      <c r="B29" s="92">
        <f>C29*D29*E29</f>
        <v>0.64000000000000012</v>
      </c>
      <c r="C29" s="26">
        <v>1</v>
      </c>
      <c r="D29" s="26">
        <v>0.8</v>
      </c>
      <c r="E29" s="26">
        <v>0.8</v>
      </c>
      <c r="F29" s="26"/>
      <c r="G29" s="1039">
        <f>'Bioenergy Calculator'!C38</f>
        <v>582995.8208000001</v>
      </c>
      <c r="H29" s="1039">
        <f t="shared" si="9"/>
        <v>0</v>
      </c>
      <c r="I29" s="1036">
        <f t="shared" si="2"/>
        <v>116599.16416</v>
      </c>
      <c r="J29" s="1036">
        <f t="shared" si="3"/>
        <v>93279.331328</v>
      </c>
      <c r="K29" s="1041">
        <f t="shared" si="10"/>
        <v>373117.32531200012</v>
      </c>
      <c r="L29" s="655" t="s">
        <v>1293</v>
      </c>
      <c r="N29" s="309"/>
      <c r="O29" s="309"/>
      <c r="P29" s="309"/>
    </row>
    <row r="30" spans="1:16" x14ac:dyDescent="0.25">
      <c r="A30" s="568" t="s">
        <v>280</v>
      </c>
      <c r="B30" s="1"/>
      <c r="C30" s="2"/>
      <c r="D30" s="2"/>
      <c r="E30" s="2"/>
      <c r="F30" s="2"/>
      <c r="G30" s="113"/>
      <c r="H30" s="113"/>
      <c r="I30" s="1046"/>
      <c r="J30" s="1046"/>
      <c r="K30" s="1042"/>
      <c r="L30" s="655"/>
      <c r="N30" s="3"/>
      <c r="O30" s="3"/>
      <c r="P30" s="3"/>
    </row>
    <row r="31" spans="1:16" x14ac:dyDescent="0.25">
      <c r="A31" s="567" t="s">
        <v>563</v>
      </c>
      <c r="B31" s="92">
        <f>C31*D31*E31</f>
        <v>1</v>
      </c>
      <c r="C31" s="26">
        <v>1</v>
      </c>
      <c r="D31" s="26">
        <v>1</v>
      </c>
      <c r="E31" s="26">
        <v>1</v>
      </c>
      <c r="F31" s="26"/>
      <c r="G31" s="1039">
        <f>'Bioenergy Calculator'!C40</f>
        <v>66877.455000000016</v>
      </c>
      <c r="H31" s="1039">
        <f>$G31*(1-C31)</f>
        <v>0</v>
      </c>
      <c r="I31" s="1036">
        <f t="shared" si="2"/>
        <v>0</v>
      </c>
      <c r="J31" s="1036">
        <f t="shared" si="3"/>
        <v>0</v>
      </c>
      <c r="K31" s="1041">
        <f>G31-H31-I31-J31</f>
        <v>66877.455000000016</v>
      </c>
      <c r="L31" s="655" t="s">
        <v>237</v>
      </c>
      <c r="N31" s="309"/>
      <c r="O31" s="309"/>
      <c r="P31" s="309"/>
    </row>
    <row r="32" spans="1:16" x14ac:dyDescent="0.25">
      <c r="A32" s="567" t="s">
        <v>565</v>
      </c>
      <c r="B32" s="92">
        <f>C32*D32*E32</f>
        <v>0.5</v>
      </c>
      <c r="C32" s="26">
        <v>1</v>
      </c>
      <c r="D32" s="26">
        <v>1</v>
      </c>
      <c r="E32" s="26">
        <v>0.5</v>
      </c>
      <c r="F32" s="26"/>
      <c r="G32" s="1039">
        <f>'Bioenergy Calculator'!C41</f>
        <v>129506.64000000003</v>
      </c>
      <c r="H32" s="1039">
        <f t="shared" ref="H32:H36" si="11">$G32*(1-C32)</f>
        <v>0</v>
      </c>
      <c r="I32" s="1036">
        <f t="shared" si="2"/>
        <v>0</v>
      </c>
      <c r="J32" s="1036">
        <f t="shared" si="3"/>
        <v>64753.320000000014</v>
      </c>
      <c r="K32" s="1041">
        <f t="shared" ref="K32:K36" si="12">G32-H32-I32-J32</f>
        <v>64753.320000000014</v>
      </c>
      <c r="L32" s="655" t="s">
        <v>1293</v>
      </c>
      <c r="N32" s="309"/>
      <c r="O32" s="309"/>
      <c r="P32" s="309"/>
    </row>
    <row r="33" spans="1:16" x14ac:dyDescent="0.25">
      <c r="A33" s="569" t="s">
        <v>555</v>
      </c>
      <c r="B33" s="92">
        <f t="shared" si="0"/>
        <v>0</v>
      </c>
      <c r="C33" s="26">
        <v>1</v>
      </c>
      <c r="D33" s="26">
        <v>1</v>
      </c>
      <c r="E33" s="26">
        <v>0</v>
      </c>
      <c r="F33" s="26"/>
      <c r="G33" s="1039">
        <f>'Bioenergy Calculator'!C42</f>
        <v>736575.51599999995</v>
      </c>
      <c r="H33" s="1039">
        <f t="shared" si="11"/>
        <v>0</v>
      </c>
      <c r="I33" s="1036">
        <f t="shared" si="2"/>
        <v>0</v>
      </c>
      <c r="J33" s="1036">
        <f t="shared" si="3"/>
        <v>736575.51599999995</v>
      </c>
      <c r="K33" s="1041">
        <f t="shared" si="12"/>
        <v>0</v>
      </c>
      <c r="L33" s="655" t="s">
        <v>1293</v>
      </c>
      <c r="N33" s="309"/>
      <c r="O33" s="309"/>
      <c r="P33" s="309"/>
    </row>
    <row r="34" spans="1:16" x14ac:dyDescent="0.25">
      <c r="A34" s="569" t="s">
        <v>556</v>
      </c>
      <c r="B34" s="92">
        <f t="shared" si="0"/>
        <v>0</v>
      </c>
      <c r="C34" s="26">
        <v>1</v>
      </c>
      <c r="D34" s="26">
        <v>1</v>
      </c>
      <c r="E34" s="26">
        <v>0</v>
      </c>
      <c r="F34" s="26"/>
      <c r="G34" s="1039">
        <f>'Bioenergy Calculator'!C43</f>
        <v>174898.71000000002</v>
      </c>
      <c r="H34" s="1039">
        <f t="shared" si="11"/>
        <v>0</v>
      </c>
      <c r="I34" s="1036">
        <f t="shared" si="2"/>
        <v>0</v>
      </c>
      <c r="J34" s="1036">
        <f t="shared" si="3"/>
        <v>174898.71000000002</v>
      </c>
      <c r="K34" s="1041">
        <f t="shared" si="12"/>
        <v>0</v>
      </c>
      <c r="L34" s="655" t="s">
        <v>1293</v>
      </c>
      <c r="N34" s="309"/>
      <c r="O34" s="309"/>
      <c r="P34" s="309"/>
    </row>
    <row r="35" spans="1:16" x14ac:dyDescent="0.25">
      <c r="A35" s="569" t="s">
        <v>557</v>
      </c>
      <c r="B35" s="92">
        <f t="shared" si="0"/>
        <v>0</v>
      </c>
      <c r="C35" s="26">
        <v>1</v>
      </c>
      <c r="D35" s="26">
        <v>1</v>
      </c>
      <c r="E35" s="26">
        <v>0</v>
      </c>
      <c r="F35" s="26"/>
      <c r="G35" s="1039">
        <f>'Bioenergy Calculator'!C44</f>
        <v>269912.304</v>
      </c>
      <c r="H35" s="1039">
        <f t="shared" si="11"/>
        <v>0</v>
      </c>
      <c r="I35" s="1036">
        <f t="shared" si="2"/>
        <v>0</v>
      </c>
      <c r="J35" s="1036">
        <f t="shared" si="3"/>
        <v>269912.304</v>
      </c>
      <c r="K35" s="1041">
        <f t="shared" si="12"/>
        <v>0</v>
      </c>
      <c r="L35" s="655" t="s">
        <v>1293</v>
      </c>
      <c r="N35" s="309"/>
      <c r="O35" s="309"/>
      <c r="P35" s="309"/>
    </row>
    <row r="36" spans="1:16" x14ac:dyDescent="0.25">
      <c r="A36" s="569" t="s">
        <v>558</v>
      </c>
      <c r="B36" s="92">
        <f t="shared" si="0"/>
        <v>1</v>
      </c>
      <c r="C36" s="26">
        <v>1</v>
      </c>
      <c r="D36" s="26">
        <v>1</v>
      </c>
      <c r="E36" s="26">
        <v>1</v>
      </c>
      <c r="F36" s="26"/>
      <c r="G36" s="1039">
        <f>'Bioenergy Calculator'!C45</f>
        <v>147228.67800000004</v>
      </c>
      <c r="H36" s="1039">
        <f t="shared" si="11"/>
        <v>0</v>
      </c>
      <c r="I36" s="1036">
        <f t="shared" si="2"/>
        <v>0</v>
      </c>
      <c r="J36" s="1036">
        <f t="shared" si="3"/>
        <v>0</v>
      </c>
      <c r="K36" s="1041">
        <f t="shared" si="12"/>
        <v>147228.67800000004</v>
      </c>
      <c r="L36" s="655" t="s">
        <v>237</v>
      </c>
      <c r="N36" s="309"/>
      <c r="O36" s="309"/>
      <c r="P36" s="309"/>
    </row>
    <row r="37" spans="1:16" x14ac:dyDescent="0.25">
      <c r="A37" s="521" t="s">
        <v>510</v>
      </c>
      <c r="B37" s="1"/>
      <c r="C37" s="2"/>
      <c r="D37" s="2"/>
      <c r="E37" s="2"/>
      <c r="F37" s="2"/>
      <c r="G37" s="113"/>
      <c r="H37" s="113"/>
      <c r="I37" s="1046"/>
      <c r="J37" s="1046"/>
      <c r="K37" s="1042"/>
      <c r="L37" s="655"/>
      <c r="N37" s="3"/>
      <c r="O37" s="3"/>
      <c r="P37" s="3"/>
    </row>
    <row r="38" spans="1:16" x14ac:dyDescent="0.25">
      <c r="A38" s="567" t="s">
        <v>525</v>
      </c>
      <c r="B38" s="92">
        <f t="shared" si="0"/>
        <v>1</v>
      </c>
      <c r="C38" s="90">
        <v>1</v>
      </c>
      <c r="D38" s="90">
        <v>1</v>
      </c>
      <c r="E38" s="90">
        <v>1</v>
      </c>
      <c r="F38" s="90"/>
      <c r="G38" s="1040">
        <f>'Bioenergy Calculator'!C49</f>
        <v>78859.199999999997</v>
      </c>
      <c r="H38" s="1040">
        <f>$G38*(1-C38)</f>
        <v>0</v>
      </c>
      <c r="I38" s="1036">
        <f t="shared" si="2"/>
        <v>0</v>
      </c>
      <c r="J38" s="1036">
        <f t="shared" si="3"/>
        <v>0</v>
      </c>
      <c r="K38" s="1041">
        <f>G38-H38-I38-J38</f>
        <v>78859.199999999997</v>
      </c>
      <c r="L38" s="655" t="s">
        <v>237</v>
      </c>
      <c r="N38" s="29"/>
      <c r="O38" s="29"/>
      <c r="P38" s="29"/>
    </row>
    <row r="39" spans="1:16" x14ac:dyDescent="0.25">
      <c r="A39" s="521" t="s">
        <v>508</v>
      </c>
      <c r="B39" s="92">
        <f t="shared" si="0"/>
        <v>0.5</v>
      </c>
      <c r="C39" s="90">
        <v>1</v>
      </c>
      <c r="D39" s="90">
        <v>1</v>
      </c>
      <c r="E39" s="90">
        <v>0.5</v>
      </c>
      <c r="F39" s="90"/>
      <c r="G39" s="1040">
        <f>'Bioenergy Calculator'!C50</f>
        <v>32881.683560000005</v>
      </c>
      <c r="H39" s="1040">
        <f t="shared" ref="H39:H40" si="13">$G39*(1-C39)</f>
        <v>0</v>
      </c>
      <c r="I39" s="1036">
        <f t="shared" si="2"/>
        <v>0</v>
      </c>
      <c r="J39" s="1036">
        <f t="shared" si="3"/>
        <v>16440.841780000002</v>
      </c>
      <c r="K39" s="1041">
        <f t="shared" ref="K39:K40" si="14">G39-H39-I39-J39</f>
        <v>16440.841780000002</v>
      </c>
      <c r="L39" s="655" t="s">
        <v>1293</v>
      </c>
      <c r="N39" s="29"/>
      <c r="O39" s="29"/>
      <c r="P39" s="29"/>
    </row>
    <row r="40" spans="1:16" x14ac:dyDescent="0.25">
      <c r="A40" s="521" t="s">
        <v>509</v>
      </c>
      <c r="B40" s="92">
        <f t="shared" si="0"/>
        <v>1</v>
      </c>
      <c r="C40" s="90">
        <v>1</v>
      </c>
      <c r="D40" s="90">
        <v>1</v>
      </c>
      <c r="E40" s="90">
        <v>1</v>
      </c>
      <c r="F40" s="90"/>
      <c r="G40" s="1040">
        <f>'Bioenergy Calculator'!C51</f>
        <v>2938.6905694999996</v>
      </c>
      <c r="H40" s="1040">
        <f t="shared" si="13"/>
        <v>0</v>
      </c>
      <c r="I40" s="1036">
        <f t="shared" si="2"/>
        <v>0</v>
      </c>
      <c r="J40" s="1036">
        <f t="shared" si="3"/>
        <v>0</v>
      </c>
      <c r="K40" s="1041">
        <f t="shared" si="14"/>
        <v>2938.6905694999996</v>
      </c>
      <c r="L40" s="655" t="s">
        <v>237</v>
      </c>
      <c r="N40" s="29"/>
      <c r="O40" s="29"/>
      <c r="P40" s="29"/>
    </row>
    <row r="41" spans="1:16" x14ac:dyDescent="0.25">
      <c r="A41" s="521" t="s">
        <v>505</v>
      </c>
      <c r="B41" s="1"/>
      <c r="C41" s="2"/>
      <c r="D41" s="2"/>
      <c r="E41" s="2"/>
      <c r="F41" s="2"/>
      <c r="G41" s="113"/>
      <c r="H41" s="113"/>
      <c r="I41" s="1046"/>
      <c r="J41" s="1046"/>
      <c r="K41" s="1042"/>
      <c r="L41" s="655"/>
      <c r="N41" s="3"/>
      <c r="O41" s="3"/>
      <c r="P41" s="3"/>
    </row>
    <row r="42" spans="1:16" x14ac:dyDescent="0.25">
      <c r="A42" s="567" t="s">
        <v>535</v>
      </c>
      <c r="B42" s="92">
        <f t="shared" si="0"/>
        <v>0.2</v>
      </c>
      <c r="C42" s="90">
        <v>0.2</v>
      </c>
      <c r="D42" s="90">
        <v>1</v>
      </c>
      <c r="E42" s="90">
        <v>1</v>
      </c>
      <c r="F42" s="90"/>
      <c r="G42" s="1040">
        <f>'Bioenergy Calculator'!C55</f>
        <v>20937.1008</v>
      </c>
      <c r="H42" s="1040">
        <f>$G42*(1-C42)</f>
        <v>16749.680640000002</v>
      </c>
      <c r="I42" s="1036">
        <f t="shared" si="2"/>
        <v>0</v>
      </c>
      <c r="J42" s="1036">
        <f t="shared" si="3"/>
        <v>0</v>
      </c>
      <c r="K42" s="1041">
        <f>G42-H42-I42-J42</f>
        <v>4187.4201599999978</v>
      </c>
      <c r="L42" s="655" t="s">
        <v>1311</v>
      </c>
      <c r="N42" s="29"/>
      <c r="O42" s="29"/>
      <c r="P42" s="29"/>
    </row>
    <row r="43" spans="1:16" x14ac:dyDescent="0.25">
      <c r="A43" s="567" t="s">
        <v>539</v>
      </c>
      <c r="B43" s="92">
        <f t="shared" si="0"/>
        <v>0.6</v>
      </c>
      <c r="C43" s="90">
        <v>0.6</v>
      </c>
      <c r="D43" s="90">
        <v>1</v>
      </c>
      <c r="E43" s="90">
        <v>1</v>
      </c>
      <c r="F43" s="90"/>
      <c r="G43" s="1040">
        <f>'Bioenergy Calculator'!C56</f>
        <v>51657.106800000001</v>
      </c>
      <c r="H43" s="1040">
        <f t="shared" ref="H43:H52" si="15">$G43*(1-C43)</f>
        <v>20662.842720000001</v>
      </c>
      <c r="I43" s="1036">
        <f t="shared" si="2"/>
        <v>0</v>
      </c>
      <c r="J43" s="1036">
        <f t="shared" si="3"/>
        <v>0</v>
      </c>
      <c r="K43" s="1041">
        <f t="shared" ref="K43:K52" si="16">G43-H43-I43-J43</f>
        <v>30994.264080000001</v>
      </c>
      <c r="L43" s="655" t="s">
        <v>1311</v>
      </c>
      <c r="N43" s="29"/>
      <c r="O43" s="29"/>
      <c r="P43" s="29"/>
    </row>
    <row r="44" spans="1:16" x14ac:dyDescent="0.25">
      <c r="A44" s="567" t="s">
        <v>545</v>
      </c>
      <c r="B44" s="92">
        <f t="shared" si="0"/>
        <v>0.6</v>
      </c>
      <c r="C44" s="90">
        <v>0.6</v>
      </c>
      <c r="D44" s="90">
        <v>1</v>
      </c>
      <c r="E44" s="90">
        <v>1</v>
      </c>
      <c r="F44" s="90"/>
      <c r="G44" s="1040">
        <f>'Bioenergy Calculator'!C57</f>
        <v>109693.2556375</v>
      </c>
      <c r="H44" s="1040">
        <f t="shared" si="15"/>
        <v>43877.302255000002</v>
      </c>
      <c r="I44" s="1036">
        <f t="shared" si="2"/>
        <v>0</v>
      </c>
      <c r="J44" s="1036">
        <f t="shared" si="3"/>
        <v>0</v>
      </c>
      <c r="K44" s="1041">
        <f t="shared" si="16"/>
        <v>65815.953382499996</v>
      </c>
      <c r="L44" s="655" t="s">
        <v>1311</v>
      </c>
      <c r="N44" s="29"/>
      <c r="O44" s="29"/>
      <c r="P44" s="29"/>
    </row>
    <row r="45" spans="1:16" x14ac:dyDescent="0.25">
      <c r="A45" s="567" t="s">
        <v>546</v>
      </c>
      <c r="B45" s="92">
        <f t="shared" si="0"/>
        <v>0.2</v>
      </c>
      <c r="C45" s="90">
        <v>0.2</v>
      </c>
      <c r="D45" s="90">
        <v>1</v>
      </c>
      <c r="E45" s="90">
        <v>1</v>
      </c>
      <c r="F45" s="90"/>
      <c r="G45" s="1040">
        <f>'Bioenergy Calculator'!C58</f>
        <v>5393.7802000000001</v>
      </c>
      <c r="H45" s="1040">
        <f t="shared" si="15"/>
        <v>4315.0241599999999</v>
      </c>
      <c r="I45" s="1036">
        <f t="shared" si="2"/>
        <v>0</v>
      </c>
      <c r="J45" s="1036">
        <f t="shared" si="3"/>
        <v>0</v>
      </c>
      <c r="K45" s="1041">
        <f t="shared" si="16"/>
        <v>1078.7560400000002</v>
      </c>
      <c r="L45" s="655" t="s">
        <v>1311</v>
      </c>
      <c r="N45" s="29"/>
      <c r="O45" s="29"/>
      <c r="P45" s="29"/>
    </row>
    <row r="46" spans="1:16" x14ac:dyDescent="0.25">
      <c r="A46" s="567" t="s">
        <v>547</v>
      </c>
      <c r="B46" s="92">
        <f t="shared" si="0"/>
        <v>0.2</v>
      </c>
      <c r="C46" s="90">
        <v>0.2</v>
      </c>
      <c r="D46" s="90">
        <v>1</v>
      </c>
      <c r="E46" s="90">
        <v>1</v>
      </c>
      <c r="F46" s="90"/>
      <c r="G46" s="1040">
        <f>'Bioenergy Calculator'!C59</f>
        <v>2818.0098749999997</v>
      </c>
      <c r="H46" s="1040">
        <f t="shared" si="15"/>
        <v>2254.4078999999997</v>
      </c>
      <c r="I46" s="1036">
        <f t="shared" si="2"/>
        <v>0</v>
      </c>
      <c r="J46" s="1036">
        <f t="shared" si="3"/>
        <v>0</v>
      </c>
      <c r="K46" s="1041">
        <f t="shared" si="16"/>
        <v>563.60197500000004</v>
      </c>
      <c r="L46" s="655" t="s">
        <v>1311</v>
      </c>
      <c r="N46" s="29"/>
      <c r="O46" s="29"/>
      <c r="P46" s="29"/>
    </row>
    <row r="47" spans="1:16" x14ac:dyDescent="0.25">
      <c r="A47" s="567" t="s">
        <v>548</v>
      </c>
      <c r="B47" s="92">
        <f t="shared" si="0"/>
        <v>0.5</v>
      </c>
      <c r="C47" s="90">
        <v>0.5</v>
      </c>
      <c r="D47" s="90">
        <v>1</v>
      </c>
      <c r="E47" s="90">
        <v>1</v>
      </c>
      <c r="F47" s="90"/>
      <c r="G47" s="1040">
        <f>'Bioenergy Calculator'!C60</f>
        <v>3209.7005000000004</v>
      </c>
      <c r="H47" s="1040">
        <f t="shared" si="15"/>
        <v>1604.8502500000002</v>
      </c>
      <c r="I47" s="1036">
        <f t="shared" si="2"/>
        <v>0</v>
      </c>
      <c r="J47" s="1036">
        <f t="shared" si="3"/>
        <v>0</v>
      </c>
      <c r="K47" s="1041">
        <f t="shared" si="16"/>
        <v>1604.8502500000002</v>
      </c>
      <c r="L47" s="655" t="s">
        <v>1311</v>
      </c>
      <c r="N47" s="29"/>
      <c r="O47" s="29"/>
      <c r="P47" s="29"/>
    </row>
    <row r="48" spans="1:16" x14ac:dyDescent="0.25">
      <c r="A48" s="567" t="s">
        <v>551</v>
      </c>
      <c r="B48" s="92">
        <f t="shared" si="0"/>
        <v>1</v>
      </c>
      <c r="C48" s="90">
        <v>1</v>
      </c>
      <c r="D48" s="90">
        <v>1</v>
      </c>
      <c r="E48" s="90">
        <v>1</v>
      </c>
      <c r="F48" s="90"/>
      <c r="G48" s="1040">
        <f>'Bioenergy Calculator'!C61</f>
        <v>13053.494999999999</v>
      </c>
      <c r="H48" s="1040">
        <f t="shared" si="15"/>
        <v>0</v>
      </c>
      <c r="I48" s="1036">
        <f t="shared" si="2"/>
        <v>0</v>
      </c>
      <c r="J48" s="1036">
        <f t="shared" si="3"/>
        <v>0</v>
      </c>
      <c r="K48" s="1041">
        <f t="shared" si="16"/>
        <v>13053.494999999999</v>
      </c>
      <c r="L48" s="655" t="s">
        <v>1311</v>
      </c>
      <c r="N48" s="29"/>
      <c r="O48" s="29"/>
      <c r="P48" s="29"/>
    </row>
    <row r="49" spans="1:16" x14ac:dyDescent="0.25">
      <c r="A49" s="567" t="s">
        <v>552</v>
      </c>
      <c r="B49" s="92">
        <f t="shared" si="0"/>
        <v>1</v>
      </c>
      <c r="C49" s="90">
        <v>1</v>
      </c>
      <c r="D49" s="90">
        <v>1</v>
      </c>
      <c r="E49" s="90">
        <v>1</v>
      </c>
      <c r="F49" s="90"/>
      <c r="G49" s="1040">
        <f>'Bioenergy Calculator'!C62</f>
        <v>860.69053125000016</v>
      </c>
      <c r="H49" s="1040">
        <f t="shared" si="15"/>
        <v>0</v>
      </c>
      <c r="I49" s="1036">
        <f t="shared" si="2"/>
        <v>0</v>
      </c>
      <c r="J49" s="1036">
        <f t="shared" si="3"/>
        <v>0</v>
      </c>
      <c r="K49" s="1041">
        <f t="shared" si="16"/>
        <v>860.69053125000016</v>
      </c>
      <c r="L49" s="655" t="s">
        <v>1311</v>
      </c>
      <c r="N49" s="29"/>
      <c r="O49" s="29"/>
      <c r="P49" s="29"/>
    </row>
    <row r="50" spans="1:16" x14ac:dyDescent="0.25">
      <c r="A50" s="521" t="s">
        <v>305</v>
      </c>
      <c r="B50" s="92">
        <f>C50*D50*E50</f>
        <v>1</v>
      </c>
      <c r="C50" s="90">
        <v>1</v>
      </c>
      <c r="D50" s="90">
        <v>1</v>
      </c>
      <c r="E50" s="90">
        <v>1</v>
      </c>
      <c r="F50" s="90"/>
      <c r="G50" s="1040">
        <f>'Bioenergy Calculator'!C63</f>
        <v>127170.30800100001</v>
      </c>
      <c r="H50" s="1040">
        <f t="shared" si="15"/>
        <v>0</v>
      </c>
      <c r="I50" s="1036">
        <f t="shared" si="2"/>
        <v>0</v>
      </c>
      <c r="J50" s="1036">
        <f t="shared" si="3"/>
        <v>0</v>
      </c>
      <c r="K50" s="1041">
        <f t="shared" si="16"/>
        <v>127170.30800100001</v>
      </c>
      <c r="L50" s="655" t="s">
        <v>237</v>
      </c>
      <c r="N50" s="29"/>
      <c r="O50" s="29"/>
      <c r="P50" s="29"/>
    </row>
    <row r="51" spans="1:16" x14ac:dyDescent="0.25">
      <c r="A51" s="521" t="s">
        <v>304</v>
      </c>
      <c r="B51" s="92">
        <f t="shared" si="0"/>
        <v>1</v>
      </c>
      <c r="C51" s="90">
        <v>1</v>
      </c>
      <c r="D51" s="90">
        <v>1</v>
      </c>
      <c r="E51" s="90">
        <v>1</v>
      </c>
      <c r="F51" s="90"/>
      <c r="G51" s="1040">
        <f>'Bioenergy Calculator'!C66*(1000000/29487.1582406855)</f>
        <v>115686.60648157111</v>
      </c>
      <c r="H51" s="1040">
        <f t="shared" si="15"/>
        <v>0</v>
      </c>
      <c r="I51" s="1036">
        <f t="shared" si="2"/>
        <v>0</v>
      </c>
      <c r="J51" s="1036">
        <f t="shared" si="3"/>
        <v>0</v>
      </c>
      <c r="K51" s="1041">
        <f t="shared" si="16"/>
        <v>115686.60648157111</v>
      </c>
      <c r="L51" s="655" t="s">
        <v>169</v>
      </c>
      <c r="N51" s="29"/>
      <c r="O51" s="29"/>
      <c r="P51" s="29"/>
    </row>
    <row r="52" spans="1:16" ht="13.8" thickBot="1" x14ac:dyDescent="0.3">
      <c r="A52" s="570" t="s">
        <v>512</v>
      </c>
      <c r="B52" s="111">
        <f t="shared" si="0"/>
        <v>1</v>
      </c>
      <c r="C52" s="656">
        <v>1</v>
      </c>
      <c r="D52" s="656">
        <v>1</v>
      </c>
      <c r="E52" s="656">
        <v>1</v>
      </c>
      <c r="F52" s="656">
        <v>0.75</v>
      </c>
      <c r="G52" s="1036">
        <f>'Bioenergy Calculator'!C67*(1000000/25364.5039539246)</f>
        <v>401922.83996540587</v>
      </c>
      <c r="H52" s="1045">
        <f t="shared" si="15"/>
        <v>0</v>
      </c>
      <c r="I52" s="1036">
        <f t="shared" si="2"/>
        <v>0</v>
      </c>
      <c r="J52" s="1036">
        <f t="shared" si="3"/>
        <v>0</v>
      </c>
      <c r="K52" s="1043">
        <f t="shared" si="16"/>
        <v>401922.83996540587</v>
      </c>
      <c r="L52" s="1044" t="s">
        <v>168</v>
      </c>
      <c r="N52" s="29"/>
      <c r="O52" s="29"/>
      <c r="P52" s="29"/>
    </row>
    <row r="53" spans="1:16" x14ac:dyDescent="0.25">
      <c r="G53" s="1048" t="s">
        <v>220</v>
      </c>
      <c r="H53" s="1047">
        <f>SUM(H4:H52)</f>
        <v>592512.75792500004</v>
      </c>
      <c r="I53" s="1047">
        <f t="shared" ref="I53:K53" si="17">SUM(I4:I52)</f>
        <v>230142.978886575</v>
      </c>
      <c r="J53" s="1047">
        <f t="shared" si="17"/>
        <v>2139785.7432763446</v>
      </c>
      <c r="K53" s="1047">
        <f t="shared" si="17"/>
        <v>4106015.6124849413</v>
      </c>
    </row>
    <row r="55" spans="1:16" x14ac:dyDescent="0.25">
      <c r="B55" s="20" t="s">
        <v>369</v>
      </c>
    </row>
    <row r="56" spans="1:16" x14ac:dyDescent="0.25">
      <c r="A56" t="s">
        <v>295</v>
      </c>
      <c r="B56" s="320" t="s">
        <v>292</v>
      </c>
      <c r="D56" t="s">
        <v>1133</v>
      </c>
    </row>
    <row r="57" spans="1:16" x14ac:dyDescent="0.25">
      <c r="A57" s="121" t="s">
        <v>519</v>
      </c>
      <c r="B57" s="58" t="s">
        <v>293</v>
      </c>
    </row>
    <row r="58" spans="1:16" x14ac:dyDescent="0.25">
      <c r="A58" s="63" t="s">
        <v>527</v>
      </c>
      <c r="B58" s="58" t="s">
        <v>293</v>
      </c>
    </row>
    <row r="59" spans="1:16" x14ac:dyDescent="0.25">
      <c r="A59" s="63" t="s">
        <v>520</v>
      </c>
      <c r="B59" s="58" t="s">
        <v>293</v>
      </c>
    </row>
    <row r="60" spans="1:16" x14ac:dyDescent="0.25">
      <c r="A60" s="63" t="s">
        <v>521</v>
      </c>
      <c r="B60" s="58" t="s">
        <v>293</v>
      </c>
    </row>
    <row r="61" spans="1:16" x14ac:dyDescent="0.25">
      <c r="A61" s="63" t="s">
        <v>528</v>
      </c>
      <c r="B61" s="58" t="s">
        <v>293</v>
      </c>
    </row>
    <row r="62" spans="1:16" x14ac:dyDescent="0.25">
      <c r="A62" s="63" t="s">
        <v>529</v>
      </c>
      <c r="B62" s="58" t="s">
        <v>293</v>
      </c>
    </row>
    <row r="63" spans="1:16" x14ac:dyDescent="0.25">
      <c r="A63" s="63" t="s">
        <v>530</v>
      </c>
      <c r="B63" s="58" t="s">
        <v>293</v>
      </c>
      <c r="E63" s="134"/>
      <c r="F63" s="134"/>
      <c r="G63" s="134"/>
      <c r="H63" s="134"/>
      <c r="I63" s="134"/>
      <c r="J63" s="134"/>
      <c r="K63" s="134"/>
    </row>
    <row r="64" spans="1:16" x14ac:dyDescent="0.25">
      <c r="A64" s="63" t="s">
        <v>522</v>
      </c>
      <c r="B64" s="58" t="s">
        <v>293</v>
      </c>
    </row>
  </sheetData>
  <mergeCells count="2">
    <mergeCell ref="L4:L7"/>
    <mergeCell ref="G2:G3"/>
  </mergeCells>
  <phoneticPr fontId="0" type="noConversion"/>
  <dataValidations count="2">
    <dataValidation type="list" allowBlank="1" showInputMessage="1" showErrorMessage="1" sqref="B56">
      <formula1>$V$1:$V$3</formula1>
    </dataValidation>
    <dataValidation type="list" allowBlank="1" showInputMessage="1" showErrorMessage="1" sqref="B57:B64">
      <formula1>$W$1:$W$2</formula1>
    </dataValidation>
  </dataValidations>
  <pageMargins left="0.75" right="0.75" top="1" bottom="1" header="0.5" footer="0.5"/>
  <pageSetup paperSize="5" scale="50" orientation="landscape" r:id="rId1"/>
  <headerFooter alignWithMargins="0">
    <oddFooter>&amp;L&amp;"Arial,Italic" 7/02/07&amp;C&amp;"Arial,Italic"&amp;A&amp;R&amp;"Arial,Italic"NJAES Report 2007-1 ©2007
New Jersey Agricultural Experiment Station</oddFooter>
  </headerFooter>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S199"/>
  <sheetViews>
    <sheetView topLeftCell="A97" zoomScale="70" zoomScaleNormal="70" workbookViewId="0">
      <selection activeCell="C147" sqref="C147"/>
    </sheetView>
  </sheetViews>
  <sheetFormatPr defaultColWidth="9.109375" defaultRowHeight="13.2" x14ac:dyDescent="0.25"/>
  <cols>
    <col min="1" max="1" width="28.6640625" style="5" customWidth="1"/>
    <col min="2" max="2" width="42.6640625" style="5" customWidth="1"/>
    <col min="3" max="3" width="23.6640625" style="5" customWidth="1"/>
    <col min="4" max="4" width="18.6640625" style="5" customWidth="1"/>
    <col min="5" max="16" width="14.6640625" style="5" customWidth="1"/>
    <col min="17" max="17" width="45.6640625" style="5" customWidth="1"/>
    <col min="18" max="18" width="34.44140625" style="5" customWidth="1"/>
    <col min="19" max="19" width="19.33203125" style="5" customWidth="1"/>
    <col min="20" max="20" width="14" style="5" customWidth="1"/>
    <col min="21" max="16384" width="9.109375" style="5"/>
  </cols>
  <sheetData>
    <row r="1" spans="1:17" ht="15.6" x14ac:dyDescent="0.3">
      <c r="A1" s="407" t="s">
        <v>573</v>
      </c>
      <c r="E1" s="412" t="s">
        <v>433</v>
      </c>
      <c r="I1" s="1195" t="str">
        <f>'Bioenergy Calculator'!B3</f>
        <v>None</v>
      </c>
      <c r="J1" s="1195"/>
      <c r="K1" s="1195"/>
      <c r="L1" s="1196"/>
      <c r="M1" s="1195" t="str">
        <f>'Bioenergy Calculator'!B4</f>
        <v>None</v>
      </c>
      <c r="N1" s="1195"/>
      <c r="O1" s="1195"/>
      <c r="P1" s="1196"/>
    </row>
    <row r="3" spans="1:17" s="6" customFormat="1" ht="24.75" customHeight="1" x14ac:dyDescent="0.25">
      <c r="A3" s="1062" t="s">
        <v>567</v>
      </c>
      <c r="B3" s="1062" t="s">
        <v>506</v>
      </c>
      <c r="C3" s="1062" t="s">
        <v>1035</v>
      </c>
      <c r="D3" s="1062" t="s">
        <v>1051</v>
      </c>
      <c r="E3" s="1083" t="s">
        <v>523</v>
      </c>
      <c r="F3" s="1209"/>
      <c r="G3" s="1209"/>
      <c r="H3" s="1198"/>
      <c r="I3" s="1072" t="s">
        <v>275</v>
      </c>
      <c r="J3" s="1073"/>
      <c r="K3" s="1074"/>
      <c r="L3" s="1075"/>
      <c r="M3" s="1083" t="s">
        <v>274</v>
      </c>
      <c r="N3" s="1084"/>
      <c r="O3" s="1197"/>
      <c r="P3" s="1198"/>
      <c r="Q3" s="1060" t="s">
        <v>570</v>
      </c>
    </row>
    <row r="4" spans="1:17" s="6" customFormat="1" x14ac:dyDescent="0.25">
      <c r="A4" s="1063"/>
      <c r="B4" s="1063"/>
      <c r="C4" s="1063"/>
      <c r="D4" s="1071"/>
      <c r="E4" s="22">
        <v>2012</v>
      </c>
      <c r="F4" s="22">
        <v>2015</v>
      </c>
      <c r="G4" s="22">
        <v>2020</v>
      </c>
      <c r="H4" s="22">
        <v>2025</v>
      </c>
      <c r="I4" s="22">
        <v>2012</v>
      </c>
      <c r="J4" s="22">
        <v>2015</v>
      </c>
      <c r="K4" s="22">
        <v>2020</v>
      </c>
      <c r="L4" s="22">
        <v>2025</v>
      </c>
      <c r="M4" s="22">
        <v>2012</v>
      </c>
      <c r="N4" s="22">
        <v>2015</v>
      </c>
      <c r="O4" s="22">
        <v>2020</v>
      </c>
      <c r="P4" s="22">
        <v>2025</v>
      </c>
      <c r="Q4" s="1061"/>
    </row>
    <row r="5" spans="1:17" x14ac:dyDescent="0.25">
      <c r="A5" s="1064" t="s">
        <v>513</v>
      </c>
      <c r="B5" s="1" t="s">
        <v>511</v>
      </c>
      <c r="C5" s="13"/>
      <c r="D5" s="13"/>
      <c r="E5" s="13"/>
      <c r="F5" s="13"/>
      <c r="G5" s="13"/>
      <c r="H5" s="13"/>
      <c r="I5" s="7"/>
      <c r="J5" s="7"/>
      <c r="K5" s="7"/>
      <c r="L5" s="7"/>
      <c r="M5" s="7"/>
      <c r="N5" s="7"/>
      <c r="O5" s="7"/>
      <c r="P5" s="7"/>
      <c r="Q5" s="7"/>
    </row>
    <row r="6" spans="1:17" x14ac:dyDescent="0.25">
      <c r="A6" s="1064"/>
      <c r="B6" s="11" t="str">
        <f>IF('Prac. Rec. Assumptions'!$B$56='Prac. Rec. Assumptions'!$V$3,A74,IF('Prac. Rec. Assumptions'!B57="No",A74,"Sorghum- Converted to Energy Crop"))</f>
        <v>Sorghum</v>
      </c>
      <c r="C6" s="294">
        <f>IF('Prac. Rec. Assumptions'!$B$56='Prac. Rec. Assumptions'!$V$3,D74,IF('Prac. Rec. Assumptions'!B57="No",D74,0))</f>
        <v>146.27199999999999</v>
      </c>
      <c r="D6" s="294" t="s">
        <v>431</v>
      </c>
      <c r="E6" s="294">
        <f>C6*'Prac. Rec. Assumptions'!B4</f>
        <v>0</v>
      </c>
      <c r="F6" s="294">
        <f>$E6</f>
        <v>0</v>
      </c>
      <c r="G6" s="294">
        <f>$E6</f>
        <v>0</v>
      </c>
      <c r="H6" s="294">
        <f>$E6</f>
        <v>0</v>
      </c>
      <c r="I6" s="16" t="str">
        <f>IF('Conversion Tables'!F7="NA","NA",$D6/'Conversion Tables'!F7)</f>
        <v>NA</v>
      </c>
      <c r="J6" s="16" t="str">
        <f>IF('Conversion Tables'!G7="NA","NA",$D6/'Conversion Tables'!G7)</f>
        <v>NA</v>
      </c>
      <c r="K6" s="16" t="str">
        <f>IF('Conversion Tables'!H7="NA","NA",$D6/'Conversion Tables'!H7)</f>
        <v>NA</v>
      </c>
      <c r="L6" s="16" t="str">
        <f>IF('Conversion Tables'!H7="NA","NA",$D6/'Conversion Tables'!H7)</f>
        <v>NA</v>
      </c>
      <c r="M6" s="16" t="str">
        <f>IF('Conversion Tables'!K7="NA","NA",$C74*'Conversion Tables'!K7)</f>
        <v>NA</v>
      </c>
      <c r="N6" s="16" t="str">
        <f>IF('Conversion Tables'!L7="NA","NA",$C74*'Conversion Tables'!L7)</f>
        <v>NA</v>
      </c>
      <c r="O6" s="16" t="str">
        <f>IF('Conversion Tables'!M7="NA","NA",$C74*'Conversion Tables'!M7)</f>
        <v>NA</v>
      </c>
      <c r="P6" s="16" t="str">
        <f>IF('Conversion Tables'!N7="NA","NA",$C74*'Conversion Tables'!N7)</f>
        <v>NA</v>
      </c>
      <c r="Q6" s="15"/>
    </row>
    <row r="7" spans="1:17" x14ac:dyDescent="0.25">
      <c r="A7" s="1064"/>
      <c r="B7" s="11" t="str">
        <f>IF('Prac. Rec. Assumptions'!$B$56='Prac. Rec. Assumptions'!$V$3,A75,IF('Prac. Rec. Assumptions'!B59="No",A75,"Rye- Converted to Energy Crop"))</f>
        <v>Rye</v>
      </c>
      <c r="C7" s="294">
        <f>IF('Prac. Rec. Assumptions'!$B$56='Prac. Rec. Assumptions'!$V$3,D75,IF('Prac. Rec. Assumptions'!B59="No",D75,0))</f>
        <v>129.94800000000001</v>
      </c>
      <c r="D7" s="294" t="s">
        <v>431</v>
      </c>
      <c r="E7" s="294">
        <f>C7*'Prac. Rec. Assumptions'!B5</f>
        <v>0</v>
      </c>
      <c r="F7" s="294">
        <f t="shared" ref="F7:H10" si="0">$E7</f>
        <v>0</v>
      </c>
      <c r="G7" s="294">
        <f t="shared" si="0"/>
        <v>0</v>
      </c>
      <c r="H7" s="294">
        <f t="shared" si="0"/>
        <v>0</v>
      </c>
      <c r="I7" s="16" t="str">
        <f>IF('Conversion Tables'!F8="NA","NA",$D7/'Conversion Tables'!F8)</f>
        <v>NA</v>
      </c>
      <c r="J7" s="16" t="str">
        <f>IF('Conversion Tables'!G8="NA","NA",$D7/'Conversion Tables'!G8)</f>
        <v>NA</v>
      </c>
      <c r="K7" s="16" t="str">
        <f>IF('Conversion Tables'!H8="NA","NA",$D7/'Conversion Tables'!H8)</f>
        <v>NA</v>
      </c>
      <c r="L7" s="16" t="str">
        <f>IF('Conversion Tables'!H8="NA","NA",$D7/'Conversion Tables'!H8)</f>
        <v>NA</v>
      </c>
      <c r="M7" s="16" t="str">
        <f>IF('Conversion Tables'!K8="NA","NA",$C75*'Conversion Tables'!K8)</f>
        <v>NA</v>
      </c>
      <c r="N7" s="16" t="str">
        <f>IF('Conversion Tables'!L8="NA","NA",$C75*'Conversion Tables'!L8)</f>
        <v>NA</v>
      </c>
      <c r="O7" s="16" t="str">
        <f>IF('Conversion Tables'!M8="NA","NA",$C75*'Conversion Tables'!M8)</f>
        <v>NA</v>
      </c>
      <c r="P7" s="16" t="str">
        <f>IF('Conversion Tables'!N8="NA","NA",$C75*'Conversion Tables'!N8)</f>
        <v>NA</v>
      </c>
      <c r="Q7" s="15"/>
    </row>
    <row r="8" spans="1:17" x14ac:dyDescent="0.25">
      <c r="A8" s="1064"/>
      <c r="B8" s="11" t="str">
        <f>IF('Prac. Rec. Assumptions'!$B$56='Prac. Rec. Assumptions'!$V$3,A76,IF('Prac. Rec. Assumptions'!B60="No",A76,"Corn for Grain- Converted to Energy Crop"))</f>
        <v>Corn for Grain</v>
      </c>
      <c r="C8" s="294">
        <f>IF('Prac. Rec. Assumptions'!$B$56='Prac. Rec. Assumptions'!$V$3,D76,IF('Prac. Rec. Assumptions'!B60="No",D76,0))</f>
        <v>9058</v>
      </c>
      <c r="D8" s="294" t="s">
        <v>431</v>
      </c>
      <c r="E8" s="294">
        <f>C8*'Prac. Rec. Assumptions'!B6</f>
        <v>0</v>
      </c>
      <c r="F8" s="294">
        <f t="shared" si="0"/>
        <v>0</v>
      </c>
      <c r="G8" s="294">
        <f t="shared" si="0"/>
        <v>0</v>
      </c>
      <c r="H8" s="294">
        <f t="shared" si="0"/>
        <v>0</v>
      </c>
      <c r="I8" s="16" t="str">
        <f>IF('Conversion Tables'!F9="NA","NA",$D8/'Conversion Tables'!F9)</f>
        <v>NA</v>
      </c>
      <c r="J8" s="16" t="str">
        <f>IF('Conversion Tables'!G9="NA","NA",$D8/'Conversion Tables'!G9)</f>
        <v>NA</v>
      </c>
      <c r="K8" s="16" t="str">
        <f>IF('Conversion Tables'!H9="NA","NA",$D8/'Conversion Tables'!H9)</f>
        <v>NA</v>
      </c>
      <c r="L8" s="16" t="str">
        <f>IF('Conversion Tables'!H9="NA","NA",$D8/'Conversion Tables'!H9)</f>
        <v>NA</v>
      </c>
      <c r="M8" s="16" t="str">
        <f>IF('Conversion Tables'!K9="NA","NA",$C76*'Conversion Tables'!K9)</f>
        <v>NA</v>
      </c>
      <c r="N8" s="16" t="str">
        <f>IF('Conversion Tables'!L9="NA","NA",$C76*'Conversion Tables'!L9)</f>
        <v>NA</v>
      </c>
      <c r="O8" s="16" t="str">
        <f>IF('Conversion Tables'!M9="NA","NA",$C76*'Conversion Tables'!M9)</f>
        <v>NA</v>
      </c>
      <c r="P8" s="16" t="str">
        <f>IF('Conversion Tables'!N9="NA","NA",$C76*'Conversion Tables'!N9)</f>
        <v>NA</v>
      </c>
      <c r="Q8" s="15"/>
    </row>
    <row r="9" spans="1:17" x14ac:dyDescent="0.25">
      <c r="A9" s="1064"/>
      <c r="B9" s="11" t="str">
        <f>IF('Prac. Rec. Assumptions'!$B$56='Prac. Rec. Assumptions'!$V$3,A78,IF('Prac. Rec. Assumptions'!B64="No",A78,"Wheat- Converted to Energy Crop"))</f>
        <v>Wheat</v>
      </c>
      <c r="C9" s="294">
        <f>IF('Prac. Rec. Assumptions'!$B$56='Prac. Rec. Assumptions'!$V$3,D78,IF('Prac. Rec. Assumptions'!B64="No",D78,0))</f>
        <v>79.38</v>
      </c>
      <c r="D9" s="294" t="s">
        <v>431</v>
      </c>
      <c r="E9" s="294">
        <f>C9*'Prac. Rec. Assumptions'!B7</f>
        <v>0</v>
      </c>
      <c r="F9" s="294">
        <f t="shared" si="0"/>
        <v>0</v>
      </c>
      <c r="G9" s="294">
        <f t="shared" si="0"/>
        <v>0</v>
      </c>
      <c r="H9" s="294">
        <f t="shared" si="0"/>
        <v>0</v>
      </c>
      <c r="I9" s="16" t="str">
        <f>IF('Conversion Tables'!F10="NA","NA",$D9/'Conversion Tables'!F10)</f>
        <v>NA</v>
      </c>
      <c r="J9" s="16" t="str">
        <f>IF('Conversion Tables'!G10="NA","NA",$D9/'Conversion Tables'!G10)</f>
        <v>NA</v>
      </c>
      <c r="K9" s="16" t="str">
        <f>IF('Conversion Tables'!H10="NA","NA",$D9/'Conversion Tables'!H10)</f>
        <v>NA</v>
      </c>
      <c r="L9" s="16" t="str">
        <f>IF('Conversion Tables'!H10="NA","NA",$D9/'Conversion Tables'!H10)</f>
        <v>NA</v>
      </c>
      <c r="M9" s="16" t="str">
        <f>IF('Conversion Tables'!K10="NA","NA",$C78*'Conversion Tables'!K10)</f>
        <v>NA</v>
      </c>
      <c r="N9" s="16" t="str">
        <f>IF('Conversion Tables'!L10="NA","NA",$C78*'Conversion Tables'!L10)</f>
        <v>NA</v>
      </c>
      <c r="O9" s="16" t="str">
        <f>IF('Conversion Tables'!M10="NA","NA",$C78*'Conversion Tables'!M10)</f>
        <v>NA</v>
      </c>
      <c r="P9" s="16" t="str">
        <f>IF('Conversion Tables'!N10="NA","NA",$C78*'Conversion Tables'!N10)</f>
        <v>NA</v>
      </c>
      <c r="Q9" s="15"/>
    </row>
    <row r="10" spans="1:17" x14ac:dyDescent="0.25">
      <c r="A10" s="1064"/>
      <c r="B10" s="129" t="s">
        <v>301</v>
      </c>
      <c r="C10" s="294"/>
      <c r="D10" s="294" t="s">
        <v>431</v>
      </c>
      <c r="E10" s="294">
        <f>C10*'Prac. Rec. Assumptions'!B8</f>
        <v>0</v>
      </c>
      <c r="F10" s="294">
        <f t="shared" si="0"/>
        <v>0</v>
      </c>
      <c r="G10" s="294">
        <f t="shared" si="0"/>
        <v>0</v>
      </c>
      <c r="H10" s="294">
        <f t="shared" si="0"/>
        <v>0</v>
      </c>
      <c r="I10" s="16" t="str">
        <f>IF('Conversion Tables'!F11="NA","NA",$D10/'Conversion Tables'!F11)</f>
        <v>NA</v>
      </c>
      <c r="J10" s="16" t="str">
        <f>IF('Conversion Tables'!G11="NA","NA",$D10/'Conversion Tables'!G11)</f>
        <v>NA</v>
      </c>
      <c r="K10" s="16" t="str">
        <f>IF('Conversion Tables'!H11="NA","NA",$D10/'Conversion Tables'!H11)</f>
        <v>NA</v>
      </c>
      <c r="L10" s="16" t="str">
        <f>IF('Conversion Tables'!H11="NA","NA",$D10/'Conversion Tables'!H11)</f>
        <v>NA</v>
      </c>
      <c r="M10" s="16" t="str">
        <f>IF('Conversion Tables'!K11="NA","NA",E10*'Conversion Tables'!K11)</f>
        <v>NA</v>
      </c>
      <c r="N10" s="16" t="str">
        <f>IF('Conversion Tables'!L11="NA","NA",F10*'Conversion Tables'!L11)</f>
        <v>NA</v>
      </c>
      <c r="O10" s="16" t="str">
        <f>IF('Conversion Tables'!M11="NA","NA",G10*'Conversion Tables'!M11)</f>
        <v>NA</v>
      </c>
      <c r="P10" s="16" t="str">
        <f>IF('Conversion Tables'!N11="NA","NA",H10*'Conversion Tables'!N11)</f>
        <v>NA</v>
      </c>
      <c r="Q10" s="7"/>
    </row>
    <row r="11" spans="1:17" x14ac:dyDescent="0.25">
      <c r="A11" s="1065"/>
      <c r="B11" s="9" t="s">
        <v>524</v>
      </c>
      <c r="C11" s="295">
        <f t="shared" ref="C11:P11" si="1">SUM(C5:C10)</f>
        <v>9413.5999999999985</v>
      </c>
      <c r="D11" s="295">
        <f t="shared" si="1"/>
        <v>0</v>
      </c>
      <c r="E11" s="295">
        <f t="shared" si="1"/>
        <v>0</v>
      </c>
      <c r="F11" s="295">
        <f t="shared" si="1"/>
        <v>0</v>
      </c>
      <c r="G11" s="295">
        <f t="shared" si="1"/>
        <v>0</v>
      </c>
      <c r="H11" s="295">
        <f t="shared" si="1"/>
        <v>0</v>
      </c>
      <c r="I11" s="19">
        <f t="shared" si="1"/>
        <v>0</v>
      </c>
      <c r="J11" s="19">
        <f t="shared" si="1"/>
        <v>0</v>
      </c>
      <c r="K11" s="19">
        <f t="shared" si="1"/>
        <v>0</v>
      </c>
      <c r="L11" s="19">
        <f t="shared" si="1"/>
        <v>0</v>
      </c>
      <c r="M11" s="19">
        <f t="shared" si="1"/>
        <v>0</v>
      </c>
      <c r="N11" s="19">
        <f t="shared" si="1"/>
        <v>0</v>
      </c>
      <c r="O11" s="19">
        <f t="shared" si="1"/>
        <v>0</v>
      </c>
      <c r="P11" s="19">
        <f t="shared" si="1"/>
        <v>0</v>
      </c>
      <c r="Q11" s="19"/>
    </row>
    <row r="12" spans="1:17" x14ac:dyDescent="0.25">
      <c r="A12" s="8"/>
      <c r="C12" s="296"/>
      <c r="D12" s="296"/>
      <c r="E12" s="296"/>
      <c r="F12" s="296"/>
      <c r="G12" s="296"/>
      <c r="H12" s="296"/>
      <c r="I12" s="28"/>
      <c r="J12" s="28"/>
      <c r="K12" s="28"/>
      <c r="L12" s="28"/>
      <c r="M12" s="28"/>
      <c r="N12" s="28"/>
      <c r="O12" s="28"/>
      <c r="P12" s="28"/>
    </row>
    <row r="13" spans="1:17" x14ac:dyDescent="0.25">
      <c r="A13" s="1206" t="s">
        <v>514</v>
      </c>
      <c r="B13" s="1" t="s">
        <v>507</v>
      </c>
      <c r="C13" s="294">
        <f>D90</f>
        <v>0</v>
      </c>
      <c r="D13" s="294">
        <f>E13*'Conversion Tables'!C12</f>
        <v>0</v>
      </c>
      <c r="E13" s="294">
        <f>C13*'Prac. Rec. Assumptions'!B9</f>
        <v>0</v>
      </c>
      <c r="F13" s="294">
        <f>$E13</f>
        <v>0</v>
      </c>
      <c r="G13" s="294">
        <f>$E13</f>
        <v>0</v>
      </c>
      <c r="H13" s="294">
        <f>$E13</f>
        <v>0</v>
      </c>
      <c r="I13" s="16" t="str">
        <f>IF('Conversion Tables'!F12="NA","NA",(E13*'Conversion Tables'!$C12)/'Conversion Tables'!F12)</f>
        <v>NA</v>
      </c>
      <c r="J13" s="16" t="str">
        <f>IF('Conversion Tables'!G12="NA","NA",(F13*'Conversion Tables'!$C12)/'Conversion Tables'!G12)</f>
        <v>NA</v>
      </c>
      <c r="K13" s="16" t="str">
        <f>IF('Conversion Tables'!H12="NA","NA",(G13*'Conversion Tables'!$C12)/'Conversion Tables'!H12)</f>
        <v>NA</v>
      </c>
      <c r="L13" s="16" t="str">
        <f>IF('Conversion Tables'!I12="NA","NA",(H13*'Conversion Tables'!$C12)/'Conversion Tables'!I12)</f>
        <v>NA</v>
      </c>
      <c r="M13" s="16" t="str">
        <f>IF('Conversion Tables'!K12="NA","NA",E13*'Conversion Tables'!K12)</f>
        <v>NA</v>
      </c>
      <c r="N13" s="16" t="str">
        <f>IF('Conversion Tables'!L12="NA","NA",F13*'Conversion Tables'!L12)</f>
        <v>NA</v>
      </c>
      <c r="O13" s="16" t="str">
        <f>IF('Conversion Tables'!M12="NA","NA",G13*'Conversion Tables'!M12)</f>
        <v>NA</v>
      </c>
      <c r="P13" s="16" t="str">
        <f>IF('Conversion Tables'!N12="NA","NA",H13*'Conversion Tables'!N12)</f>
        <v>NA</v>
      </c>
      <c r="Q13" s="7"/>
    </row>
    <row r="14" spans="1:17" x14ac:dyDescent="0.25">
      <c r="A14" s="1207"/>
      <c r="B14" s="1" t="s">
        <v>504</v>
      </c>
      <c r="C14" s="294"/>
      <c r="D14" s="294"/>
      <c r="E14" s="294"/>
      <c r="F14" s="294"/>
      <c r="G14" s="294"/>
      <c r="H14" s="294"/>
      <c r="I14" s="16"/>
      <c r="J14" s="16"/>
      <c r="K14" s="16"/>
      <c r="L14" s="16"/>
      <c r="M14" s="16"/>
      <c r="N14" s="16"/>
      <c r="O14" s="16"/>
      <c r="P14" s="16"/>
      <c r="Q14" s="7"/>
    </row>
    <row r="15" spans="1:17" x14ac:dyDescent="0.25">
      <c r="A15" s="1207"/>
      <c r="B15" s="11" t="str">
        <f>IF('Prac. Rec. Assumptions'!$B$56='Prac. Rec. Assumptions'!$V$3,A81,IF('Prac. Rec. Assumptions'!B57="No",A81,"Sweet Corn- Converted to Energy Crop"))</f>
        <v>Sweet Corn</v>
      </c>
      <c r="C15" s="294">
        <f>IF('Prac. Rec. Assumptions'!$B$56='Prac. Rec. Assumptions'!$V$3,D81,IF('Prac. Rec. Assumptions'!B58="No",D81,0))</f>
        <v>278.8</v>
      </c>
      <c r="D15" s="294">
        <f>E15*'Conversion Tables'!C14</f>
        <v>3508.86528</v>
      </c>
      <c r="E15" s="294">
        <f>C15*'Prac. Rec. Assumptions'!B11</f>
        <v>223.04000000000002</v>
      </c>
      <c r="F15" s="294">
        <f>$E15</f>
        <v>223.04000000000002</v>
      </c>
      <c r="G15" s="294">
        <f>$E15</f>
        <v>223.04000000000002</v>
      </c>
      <c r="H15" s="294">
        <f>$E15</f>
        <v>223.04000000000002</v>
      </c>
      <c r="I15" s="16" t="str">
        <f>IF('Conversion Tables'!F14="NA","NA",(E15*'Conversion Tables'!$C14)/'Conversion Tables'!F14)</f>
        <v>NA</v>
      </c>
      <c r="J15" s="16" t="str">
        <f>IF('Conversion Tables'!G14="NA","NA",(F15*'Conversion Tables'!$C14)/'Conversion Tables'!G14)</f>
        <v>NA</v>
      </c>
      <c r="K15" s="16" t="str">
        <f>IF('Conversion Tables'!H14="NA","NA",(G15*'Conversion Tables'!$C14)/'Conversion Tables'!H14)</f>
        <v>NA</v>
      </c>
      <c r="L15" s="16" t="str">
        <f>IF('Conversion Tables'!I14="NA","NA",(H15*'Conversion Tables'!$C14)/'Conversion Tables'!I14)</f>
        <v>NA</v>
      </c>
      <c r="M15" s="16" t="str">
        <f>IF('Conversion Tables'!K14="NA","NA",E15*'Conversion Tables'!K14)</f>
        <v>NA</v>
      </c>
      <c r="N15" s="16" t="str">
        <f>IF('Conversion Tables'!L14="NA","NA",F15*'Conversion Tables'!L14)</f>
        <v>NA</v>
      </c>
      <c r="O15" s="16" t="str">
        <f>IF('Conversion Tables'!M14="NA","NA",G15*'Conversion Tables'!M14)</f>
        <v>NA</v>
      </c>
      <c r="P15" s="16" t="str">
        <f>IF('Conversion Tables'!N14="NA","NA",H15*'Conversion Tables'!N14)</f>
        <v>NA</v>
      </c>
      <c r="Q15" s="15"/>
    </row>
    <row r="16" spans="1:17" x14ac:dyDescent="0.25">
      <c r="A16" s="1207"/>
      <c r="B16" s="11" t="str">
        <f>IF('Prac. Rec. Assumptions'!$B$56='Prac. Rec. Assumptions'!$V$3,A82,IF('Prac. Rec. Assumptions'!B58="No",A82,"Rye- Converted to Energy Crop"))</f>
        <v>Rye</v>
      </c>
      <c r="C16" s="294">
        <f>IF('Prac. Rec. Assumptions'!$B$56='Prac. Rec. Assumptions'!$V$3,D82,IF('Prac. Rec. Assumptions'!B59="No",D82,0))</f>
        <v>485.77499999999998</v>
      </c>
      <c r="D16" s="294">
        <f>E16*'Conversion Tables'!C15</f>
        <v>0</v>
      </c>
      <c r="E16" s="294">
        <f>C16*'Prac. Rec. Assumptions'!B12</f>
        <v>0</v>
      </c>
      <c r="F16" s="294">
        <f t="shared" ref="F16:H23" si="2">$E16</f>
        <v>0</v>
      </c>
      <c r="G16" s="294">
        <f t="shared" si="2"/>
        <v>0</v>
      </c>
      <c r="H16" s="294">
        <f t="shared" si="2"/>
        <v>0</v>
      </c>
      <c r="I16" s="16" t="str">
        <f>IF('Conversion Tables'!F15="NA","NA",(E16*'Conversion Tables'!$C15)/'Conversion Tables'!F15)</f>
        <v>NA</v>
      </c>
      <c r="J16" s="16" t="str">
        <f>IF('Conversion Tables'!G15="NA","NA",(F16*'Conversion Tables'!$C15)/'Conversion Tables'!G15)</f>
        <v>NA</v>
      </c>
      <c r="K16" s="16" t="str">
        <f>IF('Conversion Tables'!H15="NA","NA",(G16*'Conversion Tables'!$C15)/'Conversion Tables'!H15)</f>
        <v>NA</v>
      </c>
      <c r="L16" s="16" t="str">
        <f>IF('Conversion Tables'!I15="NA","NA",(H16*'Conversion Tables'!$C15)/'Conversion Tables'!I15)</f>
        <v>NA</v>
      </c>
      <c r="M16" s="16" t="str">
        <f>IF('Conversion Tables'!K15="NA","NA",E16*'Conversion Tables'!K15)</f>
        <v>NA</v>
      </c>
      <c r="N16" s="16" t="str">
        <f>IF('Conversion Tables'!L15="NA","NA",F16*'Conversion Tables'!L15)</f>
        <v>NA</v>
      </c>
      <c r="O16" s="16" t="str">
        <f>IF('Conversion Tables'!M15="NA","NA",G16*'Conversion Tables'!M15)</f>
        <v>NA</v>
      </c>
      <c r="P16" s="16" t="str">
        <f>IF('Conversion Tables'!N15="NA","NA",H16*'Conversion Tables'!N15)</f>
        <v>NA</v>
      </c>
      <c r="Q16" s="15"/>
    </row>
    <row r="17" spans="1:17" x14ac:dyDescent="0.25">
      <c r="A17" s="1207"/>
      <c r="B17" s="11" t="str">
        <f>IF('Prac. Rec. Assumptions'!$B$56='Prac. Rec. Assumptions'!$V$3,A83,IF('Prac. Rec. Assumptions'!B59="No",A83,"Corn for Grain- Converted to Energy Crop"))</f>
        <v>Corn for Grain</v>
      </c>
      <c r="C17" s="294">
        <f>IF('Prac. Rec. Assumptions'!$B$56='Prac. Rec. Assumptions'!$V$3,D83,IF('Prac. Rec. Assumptions'!B60="No",D83,0))</f>
        <v>5499.5</v>
      </c>
      <c r="D17" s="294">
        <f>E17*'Conversion Tables'!C16</f>
        <v>73540.4139</v>
      </c>
      <c r="E17" s="294">
        <f>C17*'Prac. Rec. Assumptions'!B13</f>
        <v>4674.5749999999998</v>
      </c>
      <c r="F17" s="294">
        <f t="shared" si="2"/>
        <v>4674.5749999999998</v>
      </c>
      <c r="G17" s="294">
        <f t="shared" si="2"/>
        <v>4674.5749999999998</v>
      </c>
      <c r="H17" s="294">
        <f t="shared" si="2"/>
        <v>4674.5749999999998</v>
      </c>
      <c r="I17" s="16" t="str">
        <f>IF('Conversion Tables'!F16="NA","NA",(E17*'Conversion Tables'!$C16)/'Conversion Tables'!F16)</f>
        <v>NA</v>
      </c>
      <c r="J17" s="16" t="str">
        <f>IF('Conversion Tables'!G16="NA","NA",(F17*'Conversion Tables'!$C16)/'Conversion Tables'!G16)</f>
        <v>NA</v>
      </c>
      <c r="K17" s="16" t="str">
        <f>IF('Conversion Tables'!H16="NA","NA",(G17*'Conversion Tables'!$C16)/'Conversion Tables'!H16)</f>
        <v>NA</v>
      </c>
      <c r="L17" s="16" t="str">
        <f>IF('Conversion Tables'!I16="NA","NA",(H17*'Conversion Tables'!$C16)/'Conversion Tables'!I16)</f>
        <v>NA</v>
      </c>
      <c r="M17" s="16" t="str">
        <f>IF('Conversion Tables'!K16="NA","NA",E17*'Conversion Tables'!K16)</f>
        <v>NA</v>
      </c>
      <c r="N17" s="16" t="str">
        <f>IF('Conversion Tables'!L16="NA","NA",F17*'Conversion Tables'!L16)</f>
        <v>NA</v>
      </c>
      <c r="O17" s="16" t="str">
        <f>IF('Conversion Tables'!M16="NA","NA",G17*'Conversion Tables'!M16)</f>
        <v>NA</v>
      </c>
      <c r="P17" s="16" t="str">
        <f>IF('Conversion Tables'!N16="NA","NA",H17*'Conversion Tables'!N16)</f>
        <v>NA</v>
      </c>
      <c r="Q17" s="15"/>
    </row>
    <row r="18" spans="1:17" x14ac:dyDescent="0.25">
      <c r="A18" s="1207"/>
      <c r="B18" s="11" t="str">
        <f>IF('Prac. Rec. Assumptions'!$B$56='Prac. Rec. Assumptions'!$V$3,A84,IF('Prac. Rec. Assumptions'!B60="No",A84,"Corn for Silage- Converted to Energy Crop"))</f>
        <v>Corn for Silage</v>
      </c>
      <c r="C18" s="294">
        <f>IF('Prac. Rec. Assumptions'!$B$56='Prac. Rec. Assumptions'!$V$3,D84,IF('Prac. Rec. Assumptions'!B61="No",D84,0))</f>
        <v>13890.8</v>
      </c>
      <c r="D18" s="294">
        <f>E18*'Conversion Tables'!C17</f>
        <v>163897.54919999998</v>
      </c>
      <c r="E18" s="294">
        <f>C18*'Prac. Rec. Assumptions'!B14</f>
        <v>10418.099999999999</v>
      </c>
      <c r="F18" s="294">
        <f t="shared" si="2"/>
        <v>10418.099999999999</v>
      </c>
      <c r="G18" s="294">
        <f t="shared" si="2"/>
        <v>10418.099999999999</v>
      </c>
      <c r="H18" s="294">
        <f t="shared" si="2"/>
        <v>10418.099999999999</v>
      </c>
      <c r="I18" s="16" t="str">
        <f>IF('Conversion Tables'!F17="NA","NA",(E18*'Conversion Tables'!$C17)/'Conversion Tables'!F17)</f>
        <v>NA</v>
      </c>
      <c r="J18" s="16" t="str">
        <f>IF('Conversion Tables'!G17="NA","NA",(F18*'Conversion Tables'!$C17)/'Conversion Tables'!G17)</f>
        <v>NA</v>
      </c>
      <c r="K18" s="16" t="str">
        <f>IF('Conversion Tables'!H17="NA","NA",(G18*'Conversion Tables'!$C17)/'Conversion Tables'!H17)</f>
        <v>NA</v>
      </c>
      <c r="L18" s="16" t="str">
        <f>IF('Conversion Tables'!I17="NA","NA",(H18*'Conversion Tables'!$C17)/'Conversion Tables'!I17)</f>
        <v>NA</v>
      </c>
      <c r="M18" s="16" t="str">
        <f>IF('Conversion Tables'!K17="NA","NA",E18*'Conversion Tables'!K17)</f>
        <v>NA</v>
      </c>
      <c r="N18" s="16" t="str">
        <f>IF('Conversion Tables'!L17="NA","NA",F18*'Conversion Tables'!L17)</f>
        <v>NA</v>
      </c>
      <c r="O18" s="16" t="str">
        <f>IF('Conversion Tables'!M17="NA","NA",G18*'Conversion Tables'!M17)</f>
        <v>NA</v>
      </c>
      <c r="P18" s="16" t="str">
        <f>IF('Conversion Tables'!N17="NA","NA",H18*'Conversion Tables'!N17)</f>
        <v>NA</v>
      </c>
      <c r="Q18" s="15"/>
    </row>
    <row r="19" spans="1:17" x14ac:dyDescent="0.25">
      <c r="A19" s="1207"/>
      <c r="B19" s="11" t="str">
        <f>IF('Prac. Rec. Assumptions'!$B$56='Prac. Rec. Assumptions'!$V$3,A85,IF('Prac. Rec. Assumptions'!B61="No",A85,"Alfalfa Hay- Converted to Energy Crop"))</f>
        <v>Alfalfa Hay</v>
      </c>
      <c r="C19" s="294">
        <f>IF('Prac. Rec. Assumptions'!$B$56='Prac. Rec. Assumptions'!$V$3,D85,IF('Prac. Rec. Assumptions'!B62="No",D85,0))</f>
        <v>15381.6</v>
      </c>
      <c r="D19" s="294">
        <f>E19*'Conversion Tables'!C18</f>
        <v>0</v>
      </c>
      <c r="E19" s="294">
        <f>C19*'Prac. Rec. Assumptions'!B15</f>
        <v>0</v>
      </c>
      <c r="F19" s="294">
        <f t="shared" si="2"/>
        <v>0</v>
      </c>
      <c r="G19" s="294">
        <f t="shared" si="2"/>
        <v>0</v>
      </c>
      <c r="H19" s="294">
        <f t="shared" si="2"/>
        <v>0</v>
      </c>
      <c r="I19" s="16" t="str">
        <f>IF('Conversion Tables'!F18="NA","NA",(E19*'Conversion Tables'!$C18)/'Conversion Tables'!F18)</f>
        <v>NA</v>
      </c>
      <c r="J19" s="16" t="str">
        <f>IF('Conversion Tables'!G18="NA","NA",(F19*'Conversion Tables'!$C18)/'Conversion Tables'!G18)</f>
        <v>NA</v>
      </c>
      <c r="K19" s="16" t="str">
        <f>IF('Conversion Tables'!H18="NA","NA",(G19*'Conversion Tables'!$C18)/'Conversion Tables'!H18)</f>
        <v>NA</v>
      </c>
      <c r="L19" s="16" t="str">
        <f>IF('Conversion Tables'!I18="NA","NA",(H19*'Conversion Tables'!$C18)/'Conversion Tables'!I18)</f>
        <v>NA</v>
      </c>
      <c r="M19" s="16" t="str">
        <f>IF('Conversion Tables'!K18="NA","NA",E19*'Conversion Tables'!K18)</f>
        <v>NA</v>
      </c>
      <c r="N19" s="16" t="str">
        <f>IF('Conversion Tables'!L18="NA","NA",F19*'Conversion Tables'!L18)</f>
        <v>NA</v>
      </c>
      <c r="O19" s="16" t="str">
        <f>IF('Conversion Tables'!M18="NA","NA",G19*'Conversion Tables'!M18)</f>
        <v>NA</v>
      </c>
      <c r="P19" s="16" t="str">
        <f>IF('Conversion Tables'!N18="NA","NA",H19*'Conversion Tables'!N18)</f>
        <v>NA</v>
      </c>
      <c r="Q19" s="15"/>
    </row>
    <row r="20" spans="1:17" x14ac:dyDescent="0.25">
      <c r="A20" s="1207"/>
      <c r="B20" s="11" t="str">
        <f>IF('Prac. Rec. Assumptions'!$B$56='Prac. Rec. Assumptions'!$V$3,A86,IF('Prac. Rec. Assumptions'!B62="No",A86,"Other Hay- Converted to Energy Crop"))</f>
        <v>Other Hay</v>
      </c>
      <c r="C20" s="294">
        <f>IF('Prac. Rec. Assumptions'!$B$56='Prac. Rec. Assumptions'!$V$3,D86,IF('Prac. Rec. Assumptions'!B63="No",D86,0))</f>
        <v>21479.924999999999</v>
      </c>
      <c r="D20" s="294">
        <f>E20*'Conversion Tables'!C19</f>
        <v>167543.41499999998</v>
      </c>
      <c r="E20" s="294">
        <f>C20*'Prac. Rec. Assumptions'!B16</f>
        <v>10739.9625</v>
      </c>
      <c r="F20" s="294">
        <f t="shared" si="2"/>
        <v>10739.9625</v>
      </c>
      <c r="G20" s="294">
        <f t="shared" si="2"/>
        <v>10739.9625</v>
      </c>
      <c r="H20" s="294">
        <f t="shared" si="2"/>
        <v>10739.9625</v>
      </c>
      <c r="I20" s="16" t="str">
        <f>IF('Conversion Tables'!F19="NA","NA",(E20*'Conversion Tables'!$C19)/'Conversion Tables'!F19)</f>
        <v>NA</v>
      </c>
      <c r="J20" s="16" t="str">
        <f>IF('Conversion Tables'!G19="NA","NA",(F20*'Conversion Tables'!$C19)/'Conversion Tables'!G19)</f>
        <v>NA</v>
      </c>
      <c r="K20" s="16" t="str">
        <f>IF('Conversion Tables'!H19="NA","NA",(G20*'Conversion Tables'!$C19)/'Conversion Tables'!H19)</f>
        <v>NA</v>
      </c>
      <c r="L20" s="16" t="str">
        <f>IF('Conversion Tables'!I19="NA","NA",(H20*'Conversion Tables'!$C19)/'Conversion Tables'!I19)</f>
        <v>NA</v>
      </c>
      <c r="M20" s="16" t="str">
        <f>IF('Conversion Tables'!K19="NA","NA",E20*'Conversion Tables'!K19)</f>
        <v>NA</v>
      </c>
      <c r="N20" s="16" t="str">
        <f>IF('Conversion Tables'!L19="NA","NA",F20*'Conversion Tables'!L19)</f>
        <v>NA</v>
      </c>
      <c r="O20" s="16" t="str">
        <f>IF('Conversion Tables'!M19="NA","NA",G20*'Conversion Tables'!M19)</f>
        <v>NA</v>
      </c>
      <c r="P20" s="16" t="str">
        <f>IF('Conversion Tables'!N19="NA","NA",H20*'Conversion Tables'!N19)</f>
        <v>NA</v>
      </c>
      <c r="Q20" s="15"/>
    </row>
    <row r="21" spans="1:17" x14ac:dyDescent="0.25">
      <c r="A21" s="1207"/>
      <c r="B21" s="11" t="str">
        <f>IF('Prac. Rec. Assumptions'!$B$56='Prac. Rec. Assumptions'!$V$3,A87,IF('Prac. Rec. Assumptions'!B63="No",A87,"Wheat- Converted to Energy Crop"))</f>
        <v>Wheat</v>
      </c>
      <c r="C21" s="294">
        <f>IF('Prac. Rec. Assumptions'!$B$56='Prac. Rec. Assumptions'!$V$3,D87,IF('Prac. Rec. Assumptions'!B64="No",D87,0))</f>
        <v>72.887500000000003</v>
      </c>
      <c r="D21" s="294">
        <f>E21*'Conversion Tables'!C20</f>
        <v>0</v>
      </c>
      <c r="E21" s="294">
        <f>C21*'Prac. Rec. Assumptions'!B17</f>
        <v>0</v>
      </c>
      <c r="F21" s="294">
        <f t="shared" si="2"/>
        <v>0</v>
      </c>
      <c r="G21" s="294">
        <f t="shared" si="2"/>
        <v>0</v>
      </c>
      <c r="H21" s="294">
        <f t="shared" si="2"/>
        <v>0</v>
      </c>
      <c r="I21" s="16" t="str">
        <f>IF('Conversion Tables'!F20="NA","NA",(E21*'Conversion Tables'!$C20)/'Conversion Tables'!F20)</f>
        <v>NA</v>
      </c>
      <c r="J21" s="16" t="str">
        <f>IF('Conversion Tables'!G20="NA","NA",(F21*'Conversion Tables'!$C20)/'Conversion Tables'!G20)</f>
        <v>NA</v>
      </c>
      <c r="K21" s="16" t="str">
        <f>IF('Conversion Tables'!H20="NA","NA",(G21*'Conversion Tables'!$C20)/'Conversion Tables'!H20)</f>
        <v>NA</v>
      </c>
      <c r="L21" s="16" t="str">
        <f>IF('Conversion Tables'!I20="NA","NA",(H21*'Conversion Tables'!$C20)/'Conversion Tables'!I20)</f>
        <v>NA</v>
      </c>
      <c r="M21" s="16" t="str">
        <f>IF('Conversion Tables'!K20="NA","NA",E21*'Conversion Tables'!K20)</f>
        <v>NA</v>
      </c>
      <c r="N21" s="16" t="str">
        <f>IF('Conversion Tables'!L20="NA","NA",F21*'Conversion Tables'!L20)</f>
        <v>NA</v>
      </c>
      <c r="O21" s="16" t="str">
        <f>IF('Conversion Tables'!M20="NA","NA",G21*'Conversion Tables'!M20)</f>
        <v>NA</v>
      </c>
      <c r="P21" s="16" t="str">
        <f>IF('Conversion Tables'!N20="NA","NA",H21*'Conversion Tables'!N20)</f>
        <v>NA</v>
      </c>
      <c r="Q21" s="15"/>
    </row>
    <row r="22" spans="1:17" x14ac:dyDescent="0.25">
      <c r="A22" s="1207"/>
      <c r="B22" s="148" t="s">
        <v>205</v>
      </c>
      <c r="C22" s="294">
        <f>'Biomass Data Assumptions'!P25*1000*'Energy Content Assumptions'!C18</f>
        <v>89546</v>
      </c>
      <c r="D22" s="294">
        <f>E22*'Conversion Tables'!C21</f>
        <v>698458.79999999993</v>
      </c>
      <c r="E22" s="294">
        <f>C22*'Prac. Rec. Assumptions'!B18</f>
        <v>44773</v>
      </c>
      <c r="F22" s="294">
        <f t="shared" si="2"/>
        <v>44773</v>
      </c>
      <c r="G22" s="294">
        <f t="shared" si="2"/>
        <v>44773</v>
      </c>
      <c r="H22" s="294">
        <f t="shared" si="2"/>
        <v>44773</v>
      </c>
      <c r="I22" s="16" t="str">
        <f>IF('Conversion Tables'!F21="NA","NA",(E22*'Conversion Tables'!$C21)/'Conversion Tables'!F21)</f>
        <v>NA</v>
      </c>
      <c r="J22" s="16" t="str">
        <f>IF('Conversion Tables'!G21="NA","NA",(F22*'Conversion Tables'!$C21)/'Conversion Tables'!G21)</f>
        <v>NA</v>
      </c>
      <c r="K22" s="16" t="str">
        <f>IF('Conversion Tables'!H21="NA","NA",(G22*'Conversion Tables'!$C21)/'Conversion Tables'!H21)</f>
        <v>NA</v>
      </c>
      <c r="L22" s="16" t="str">
        <f>IF('Conversion Tables'!I21="NA","NA",(H22*'Conversion Tables'!$C21)/'Conversion Tables'!I21)</f>
        <v>NA</v>
      </c>
      <c r="M22" s="16" t="str">
        <f>IF('Conversion Tables'!K21="NA","NA",E22*'Conversion Tables'!K21)</f>
        <v>NA</v>
      </c>
      <c r="N22" s="16" t="str">
        <f>IF('Conversion Tables'!L21="NA","NA",F22*'Conversion Tables'!L21)</f>
        <v>NA</v>
      </c>
      <c r="O22" s="16" t="str">
        <f>IF('Conversion Tables'!M21="NA","NA",G22*'Conversion Tables'!M21)</f>
        <v>NA</v>
      </c>
      <c r="P22" s="16" t="str">
        <f>IF('Conversion Tables'!N21="NA","NA",H22*'Conversion Tables'!N21)</f>
        <v>NA</v>
      </c>
      <c r="Q22" s="15"/>
    </row>
    <row r="23" spans="1:17" x14ac:dyDescent="0.25">
      <c r="A23" s="1207"/>
      <c r="B23" s="2" t="s">
        <v>302</v>
      </c>
      <c r="C23" s="294">
        <f>B133</f>
        <v>48.03</v>
      </c>
      <c r="D23" s="294">
        <f>E23*'Conversion Tables'!C22</f>
        <v>784.61807999999996</v>
      </c>
      <c r="E23" s="294">
        <f>C23*'Prac. Rec. Assumptions'!B19</f>
        <v>48.03</v>
      </c>
      <c r="F23" s="297">
        <f t="shared" si="2"/>
        <v>48.03</v>
      </c>
      <c r="G23" s="297">
        <f t="shared" si="2"/>
        <v>48.03</v>
      </c>
      <c r="H23" s="297">
        <f t="shared" si="2"/>
        <v>48.03</v>
      </c>
      <c r="I23" s="16" t="str">
        <f>IF('Conversion Tables'!F22="NA","NA",(E23*'Conversion Tables'!$C22)/'Conversion Tables'!F22)</f>
        <v>NA</v>
      </c>
      <c r="J23" s="16" t="str">
        <f>IF('Conversion Tables'!G22="NA","NA",(F23*'Conversion Tables'!$C22)/'Conversion Tables'!G22)</f>
        <v>NA</v>
      </c>
      <c r="K23" s="16" t="str">
        <f>IF('Conversion Tables'!H22="NA","NA",(G23*'Conversion Tables'!$C22)/'Conversion Tables'!H22)</f>
        <v>NA</v>
      </c>
      <c r="L23" s="16" t="str">
        <f>IF('Conversion Tables'!I22="NA","NA",(H23*'Conversion Tables'!$C22)/'Conversion Tables'!I22)</f>
        <v>NA</v>
      </c>
      <c r="M23" s="16" t="str">
        <f>IF('Conversion Tables'!K22="NA","NA",E23*'Conversion Tables'!K22)</f>
        <v>NA</v>
      </c>
      <c r="N23" s="16" t="str">
        <f>IF('Conversion Tables'!L22="NA","NA",F23*'Conversion Tables'!L22)</f>
        <v>NA</v>
      </c>
      <c r="O23" s="16" t="str">
        <f>IF('Conversion Tables'!M22="NA","NA",G23*'Conversion Tables'!M22)</f>
        <v>NA</v>
      </c>
      <c r="P23" s="16" t="str">
        <f>IF('Conversion Tables'!N22="NA","NA",H23*'Conversion Tables'!N22)</f>
        <v>NA</v>
      </c>
      <c r="Q23" s="7"/>
    </row>
    <row r="24" spans="1:17" x14ac:dyDescent="0.25">
      <c r="A24" s="1207"/>
      <c r="B24" s="1" t="s">
        <v>518</v>
      </c>
      <c r="C24" s="294"/>
      <c r="D24" s="294"/>
      <c r="E24" s="294"/>
      <c r="F24" s="294"/>
      <c r="G24" s="294"/>
      <c r="H24" s="294"/>
      <c r="I24" s="16"/>
      <c r="J24" s="16"/>
      <c r="K24" s="16"/>
      <c r="L24" s="16"/>
      <c r="M24" s="16"/>
      <c r="N24" s="16"/>
      <c r="O24" s="16"/>
      <c r="P24" s="16"/>
      <c r="Q24" s="7"/>
    </row>
    <row r="25" spans="1:17" x14ac:dyDescent="0.25">
      <c r="A25" s="1207"/>
      <c r="B25" s="11" t="s">
        <v>559</v>
      </c>
      <c r="C25" s="294">
        <f>C128</f>
        <v>2214.2550000000001</v>
      </c>
      <c r="D25" s="294">
        <f>E25*'Conversion Tables'!C24</f>
        <v>39192.313500000004</v>
      </c>
      <c r="E25" s="294">
        <f>C25*'Prac. Rec. Assumptions'!B21</f>
        <v>2214.2550000000001</v>
      </c>
      <c r="F25" s="294">
        <f>($C25*(1+'Biomass Data Assumptions'!G$110))*'Prac. Rec. Assumptions'!$B21</f>
        <v>2280.0683916776752</v>
      </c>
      <c r="G25" s="294">
        <f>($C25*(1+'Biomass Data Assumptions'!H$110))*'Prac. Rec. Assumptions'!$B21</f>
        <v>2369.2821003963008</v>
      </c>
      <c r="H25" s="294">
        <f>($C25*(1+'Biomass Data Assumptions'!I$110))*'Prac. Rec. Assumptions'!$B21</f>
        <v>2413.1576948480847</v>
      </c>
      <c r="I25" s="16" t="str">
        <f>IF('Conversion Tables'!F24="NA","NA",(E25*'Conversion Tables'!$C24)/'Conversion Tables'!F24)</f>
        <v>NA</v>
      </c>
      <c r="J25" s="16" t="str">
        <f>IF('Conversion Tables'!G24="NA","NA",(F25*'Conversion Tables'!$C24)/'Conversion Tables'!G24)</f>
        <v>NA</v>
      </c>
      <c r="K25" s="16" t="str">
        <f>IF('Conversion Tables'!H24="NA","NA",(G25*'Conversion Tables'!$C24)/'Conversion Tables'!H24)</f>
        <v>NA</v>
      </c>
      <c r="L25" s="16" t="str">
        <f>IF('Conversion Tables'!I24="NA","NA",(H25*'Conversion Tables'!$C24)/'Conversion Tables'!I24)</f>
        <v>NA</v>
      </c>
      <c r="M25" s="16" t="str">
        <f>IF('Conversion Tables'!K24="NA","NA",E25*'Conversion Tables'!K24)</f>
        <v>NA</v>
      </c>
      <c r="N25" s="16" t="str">
        <f>IF('Conversion Tables'!L24="NA","NA",F25*'Conversion Tables'!L24)</f>
        <v>NA</v>
      </c>
      <c r="O25" s="16" t="str">
        <f>IF('Conversion Tables'!M24="NA","NA",G25*'Conversion Tables'!M24)</f>
        <v>NA</v>
      </c>
      <c r="P25" s="16" t="str">
        <f>IF('Conversion Tables'!N24="NA","NA",H25*'Conversion Tables'!N24)</f>
        <v>NA</v>
      </c>
      <c r="Q25" s="13"/>
    </row>
    <row r="26" spans="1:17" x14ac:dyDescent="0.25">
      <c r="A26" s="1207"/>
      <c r="B26" s="11" t="s">
        <v>560</v>
      </c>
      <c r="C26" s="294">
        <f>C129</f>
        <v>49.129999999999995</v>
      </c>
      <c r="D26" s="294">
        <f>E26*'Conversion Tables'!C25</f>
        <v>766.42799999999988</v>
      </c>
      <c r="E26" s="294">
        <f>C26*'Prac. Rec. Assumptions'!B22</f>
        <v>49.129999999999995</v>
      </c>
      <c r="F26" s="294">
        <f>($C26*(1+'Biomass Data Assumptions'!G$110))*'Prac. Rec. Assumptions'!$B22</f>
        <v>50.590270805812409</v>
      </c>
      <c r="G26" s="294">
        <f>($C26*(1+'Biomass Data Assumptions'!H$110))*'Prac. Rec. Assumptions'!$B22</f>
        <v>52.569749009247019</v>
      </c>
      <c r="H26" s="294">
        <f>($C26*(1+'Biomass Data Assumptions'!I$110))*'Prac. Rec. Assumptions'!$B22</f>
        <v>53.543262879788635</v>
      </c>
      <c r="I26" s="16" t="str">
        <f>IF('Conversion Tables'!F25="NA","NA",(E26*'Conversion Tables'!$C25)/'Conversion Tables'!F25)</f>
        <v>NA</v>
      </c>
      <c r="J26" s="16" t="str">
        <f>IF('Conversion Tables'!G25="NA","NA",(F26*'Conversion Tables'!$C25)/'Conversion Tables'!G25)</f>
        <v>NA</v>
      </c>
      <c r="K26" s="16" t="str">
        <f>IF('Conversion Tables'!H25="NA","NA",(G26*'Conversion Tables'!$C25)/'Conversion Tables'!H25)</f>
        <v>NA</v>
      </c>
      <c r="L26" s="16" t="str">
        <f>IF('Conversion Tables'!I25="NA","NA",(H26*'Conversion Tables'!$C25)/'Conversion Tables'!I25)</f>
        <v>NA</v>
      </c>
      <c r="M26" s="16" t="str">
        <f>IF('Conversion Tables'!K25="NA","NA",E26*'Conversion Tables'!K25)</f>
        <v>NA</v>
      </c>
      <c r="N26" s="16" t="str">
        <f>IF('Conversion Tables'!L25="NA","NA",F26*'Conversion Tables'!L25)</f>
        <v>NA</v>
      </c>
      <c r="O26" s="16" t="str">
        <f>IF('Conversion Tables'!M25="NA","NA",G26*'Conversion Tables'!M25)</f>
        <v>NA</v>
      </c>
      <c r="P26" s="16" t="str">
        <f>IF('Conversion Tables'!N25="NA","NA",H26*'Conversion Tables'!N25)</f>
        <v>NA</v>
      </c>
      <c r="Q26" s="13"/>
    </row>
    <row r="27" spans="1:17" x14ac:dyDescent="0.25">
      <c r="A27" s="1207"/>
      <c r="B27" s="11" t="s">
        <v>561</v>
      </c>
      <c r="C27" s="294">
        <f>C130</f>
        <v>817.44333333333327</v>
      </c>
      <c r="D27" s="294">
        <f>E27*'Conversion Tables'!C26</f>
        <v>12752.115999999998</v>
      </c>
      <c r="E27" s="294">
        <f>C27*'Prac. Rec. Assumptions'!B23</f>
        <v>817.44333333333327</v>
      </c>
      <c r="F27" s="294">
        <f>($C27*(1+'Biomass Data Assumptions'!G$110))*'Prac. Rec. Assumptions'!$B23</f>
        <v>841.73986569793033</v>
      </c>
      <c r="G27" s="294">
        <f>($C27*(1+'Biomass Data Assumptions'!H$110))*'Prac. Rec. Assumptions'!$B23</f>
        <v>874.67516512549525</v>
      </c>
      <c r="H27" s="294">
        <f>($C27*(1+'Biomass Data Assumptions'!I$110))*'Prac. Rec. Assumptions'!$B23</f>
        <v>890.87285336856007</v>
      </c>
      <c r="I27" s="16" t="str">
        <f>IF('Conversion Tables'!F26="NA","NA",(E27*'Conversion Tables'!$C26)/'Conversion Tables'!F26)</f>
        <v>NA</v>
      </c>
      <c r="J27" s="16" t="str">
        <f>IF('Conversion Tables'!G26="NA","NA",(F27*'Conversion Tables'!$C26)/'Conversion Tables'!G26)</f>
        <v>NA</v>
      </c>
      <c r="K27" s="16" t="str">
        <f>IF('Conversion Tables'!H26="NA","NA",(G27*'Conversion Tables'!$C26)/'Conversion Tables'!H26)</f>
        <v>NA</v>
      </c>
      <c r="L27" s="16" t="str">
        <f>IF('Conversion Tables'!I26="NA","NA",(H27*'Conversion Tables'!$C26)/'Conversion Tables'!I26)</f>
        <v>NA</v>
      </c>
      <c r="M27" s="16" t="str">
        <f>IF('Conversion Tables'!K26="NA","NA",E27*'Conversion Tables'!K26)</f>
        <v>NA</v>
      </c>
      <c r="N27" s="16" t="str">
        <f>IF('Conversion Tables'!L26="NA","NA",F27*'Conversion Tables'!L26)</f>
        <v>NA</v>
      </c>
      <c r="O27" s="16" t="str">
        <f>IF('Conversion Tables'!M26="NA","NA",G27*'Conversion Tables'!M26)</f>
        <v>NA</v>
      </c>
      <c r="P27" s="16" t="str">
        <f>IF('Conversion Tables'!N26="NA","NA",H27*'Conversion Tables'!N26)</f>
        <v>NA</v>
      </c>
      <c r="Q27" s="13"/>
    </row>
    <row r="28" spans="1:17" x14ac:dyDescent="0.25">
      <c r="A28" s="1207"/>
      <c r="B28" s="11" t="s">
        <v>562</v>
      </c>
      <c r="C28" s="294">
        <f>C131</f>
        <v>1316.66</v>
      </c>
      <c r="D28" s="294">
        <f>E28*'Conversion Tables'!C27</f>
        <v>23304.882000000001</v>
      </c>
      <c r="E28" s="294">
        <f>C28*'Prac. Rec. Assumptions'!B24</f>
        <v>1316.66</v>
      </c>
      <c r="F28" s="294">
        <f>($C28*(1+'Biomass Data Assumptions'!G$110))*'Prac. Rec. Assumptions'!$B24</f>
        <v>1355.7945442536329</v>
      </c>
      <c r="G28" s="294">
        <f>($C28*(1+'Biomass Data Assumptions'!H$110))*'Prac. Rec. Assumptions'!$B24</f>
        <v>1408.8435931307793</v>
      </c>
      <c r="H28" s="294">
        <f>($C28*(1+'Biomass Data Assumptions'!I$110))*'Prac. Rec. Assumptions'!$B24</f>
        <v>1434.933289299868</v>
      </c>
      <c r="I28" s="16" t="str">
        <f>IF('Conversion Tables'!F27="NA","NA",(E28*'Conversion Tables'!$C27)/'Conversion Tables'!F27)</f>
        <v>NA</v>
      </c>
      <c r="J28" s="16" t="str">
        <f>IF('Conversion Tables'!G27="NA","NA",(F28*'Conversion Tables'!$C27)/'Conversion Tables'!G27)</f>
        <v>NA</v>
      </c>
      <c r="K28" s="16" t="str">
        <f>IF('Conversion Tables'!H27="NA","NA",(G28*'Conversion Tables'!$C27)/'Conversion Tables'!H27)</f>
        <v>NA</v>
      </c>
      <c r="L28" s="16" t="str">
        <f>IF('Conversion Tables'!I27="NA","NA",(H28*'Conversion Tables'!$C27)/'Conversion Tables'!I27)</f>
        <v>NA</v>
      </c>
      <c r="M28" s="16" t="str">
        <f>IF('Conversion Tables'!K27="NA","NA",E28*'Conversion Tables'!K27)</f>
        <v>NA</v>
      </c>
      <c r="N28" s="16" t="str">
        <f>IF('Conversion Tables'!L27="NA","NA",F28*'Conversion Tables'!L27)</f>
        <v>NA</v>
      </c>
      <c r="O28" s="16" t="str">
        <f>IF('Conversion Tables'!M27="NA","NA",G28*'Conversion Tables'!M27)</f>
        <v>NA</v>
      </c>
      <c r="P28" s="16" t="str">
        <f>IF('Conversion Tables'!N27="NA","NA",H28*'Conversion Tables'!N27)</f>
        <v>NA</v>
      </c>
      <c r="Q28" s="13"/>
    </row>
    <row r="29" spans="1:17" x14ac:dyDescent="0.25">
      <c r="A29" s="1208"/>
      <c r="B29" s="9" t="s">
        <v>524</v>
      </c>
      <c r="C29" s="295">
        <f t="shared" ref="C29:P29" si="3">SUM(C13:C28)</f>
        <v>151080.80583333332</v>
      </c>
      <c r="D29" s="295">
        <f>SUM(D13:D28)</f>
        <v>1183749.4009599998</v>
      </c>
      <c r="E29" s="295">
        <f t="shared" si="3"/>
        <v>75274.195833333331</v>
      </c>
      <c r="F29" s="295">
        <f>SUM(F13:F28)</f>
        <v>75404.900572435043</v>
      </c>
      <c r="G29" s="295">
        <f>SUM(G13:G28)</f>
        <v>75582.0781076618</v>
      </c>
      <c r="H29" s="295">
        <f>SUM(H13:H28)</f>
        <v>75669.214600396284</v>
      </c>
      <c r="I29" s="19">
        <f t="shared" si="3"/>
        <v>0</v>
      </c>
      <c r="J29" s="19">
        <f t="shared" si="3"/>
        <v>0</v>
      </c>
      <c r="K29" s="19">
        <f t="shared" si="3"/>
        <v>0</v>
      </c>
      <c r="L29" s="19">
        <f t="shared" si="3"/>
        <v>0</v>
      </c>
      <c r="M29" s="19">
        <f t="shared" si="3"/>
        <v>0</v>
      </c>
      <c r="N29" s="19">
        <f t="shared" si="3"/>
        <v>0</v>
      </c>
      <c r="O29" s="19">
        <f t="shared" si="3"/>
        <v>0</v>
      </c>
      <c r="P29" s="19">
        <f t="shared" si="3"/>
        <v>0</v>
      </c>
      <c r="Q29" s="19"/>
    </row>
    <row r="30" spans="1:17" x14ac:dyDescent="0.25">
      <c r="A30" s="8"/>
      <c r="C30" s="296"/>
      <c r="D30" s="296"/>
      <c r="E30" s="296"/>
      <c r="F30" s="296"/>
      <c r="G30" s="296"/>
      <c r="H30" s="296"/>
      <c r="I30" s="28"/>
      <c r="J30" s="28"/>
      <c r="K30" s="28"/>
      <c r="L30" s="28"/>
      <c r="M30" s="28"/>
      <c r="N30" s="28"/>
      <c r="O30" s="28"/>
      <c r="P30" s="28"/>
    </row>
    <row r="31" spans="1:17" x14ac:dyDescent="0.25">
      <c r="A31" s="1064" t="s">
        <v>516</v>
      </c>
      <c r="B31" s="130" t="str">
        <f>'Bioenergy Calculator'!B34</f>
        <v>Solid wastes - Landfilled</v>
      </c>
      <c r="C31" s="294"/>
      <c r="D31" s="294"/>
      <c r="E31" s="294"/>
      <c r="F31" s="294"/>
      <c r="G31" s="294"/>
      <c r="H31" s="294"/>
      <c r="I31" s="16"/>
      <c r="J31" s="16"/>
      <c r="K31" s="16"/>
      <c r="L31" s="16"/>
      <c r="M31" s="16"/>
      <c r="N31" s="16"/>
      <c r="O31" s="16"/>
      <c r="P31" s="16"/>
      <c r="Q31" s="7"/>
    </row>
    <row r="32" spans="1:17" x14ac:dyDescent="0.25">
      <c r="A32" s="1064"/>
      <c r="B32" s="11" t="str">
        <f>'Bioenergy Calculator'!B35</f>
        <v>Food waste, Landfilled</v>
      </c>
      <c r="C32" s="294">
        <f>C141</f>
        <v>3573.9729269999998</v>
      </c>
      <c r="D32" s="294">
        <f>E32*'Conversion Tables'!C29</f>
        <v>34310.140099200005</v>
      </c>
      <c r="E32" s="294">
        <f>C32*'Prac. Rec. Assumptions'!B26</f>
        <v>2144.3837562000003</v>
      </c>
      <c r="F32" s="294">
        <f>($C32*(1+'Biomass Data Assumptions'!G$110)*(1+'Biomass Data Assumptions'!C$82))*'Prac. Rec. Assumptions'!$B26</f>
        <v>2206.6211251087607</v>
      </c>
      <c r="G32" s="294">
        <f>($C32*(1+'Biomass Data Assumptions'!H$110)*(1+'Biomass Data Assumptions'!D$82))*'Prac. Rec. Assumptions'!$B26</f>
        <v>2291.4041416486139</v>
      </c>
      <c r="H32" s="294">
        <f>($C32*(1+'Biomass Data Assumptions'!I$110)*(1+'Biomass Data Assumptions'!E$82))*'Prac. Rec. Assumptions'!$B26</f>
        <v>2332.252923810408</v>
      </c>
      <c r="I32" s="16" t="str">
        <f>IF('Conversion Tables'!F29="NA","NA",(E32*'Conversion Tables'!$C29)/'Conversion Tables'!F29)</f>
        <v>NA</v>
      </c>
      <c r="J32" s="16" t="str">
        <f>IF('Conversion Tables'!G29="NA","NA",(F32*'Conversion Tables'!$C29)/'Conversion Tables'!G29)</f>
        <v>NA</v>
      </c>
      <c r="K32" s="16" t="str">
        <f>IF('Conversion Tables'!H29="NA","NA",(G32*'Conversion Tables'!$C29)/'Conversion Tables'!H29)</f>
        <v>NA</v>
      </c>
      <c r="L32" s="16" t="str">
        <f>IF('Conversion Tables'!I29="NA","NA",(H32*'Conversion Tables'!$C29)/'Conversion Tables'!I29)</f>
        <v>NA</v>
      </c>
      <c r="M32" s="16" t="str">
        <f>IF('Conversion Tables'!K29="NA","NA",E32*'Conversion Tables'!K29)</f>
        <v>NA</v>
      </c>
      <c r="N32" s="16" t="str">
        <f>IF('Conversion Tables'!L29="NA","NA",F32*'Conversion Tables'!L29)</f>
        <v>NA</v>
      </c>
      <c r="O32" s="16" t="str">
        <f>IF('Conversion Tables'!M29="NA","NA",G32*'Conversion Tables'!M29)</f>
        <v>NA</v>
      </c>
      <c r="P32" s="16" t="str">
        <f>IF('Conversion Tables'!N29="NA","NA",H32*'Conversion Tables'!N29)</f>
        <v>NA</v>
      </c>
      <c r="Q32" s="7"/>
    </row>
    <row r="33" spans="1:17" x14ac:dyDescent="0.25">
      <c r="A33" s="1064"/>
      <c r="B33" s="11" t="str">
        <f>'Bioenergy Calculator'!B36</f>
        <v>Waste paper, Landfilled</v>
      </c>
      <c r="C33" s="294">
        <f>C142</f>
        <v>13182.1314975</v>
      </c>
      <c r="D33" s="294">
        <f>E33*'Conversion Tables'!C30</f>
        <v>153144.73088535602</v>
      </c>
      <c r="E33" s="294">
        <f>C33*'Prac. Rec. Assumptions'!B27</f>
        <v>10545.705198000001</v>
      </c>
      <c r="F33" s="294">
        <f>($C33*(1+'Biomass Data Assumptions'!G$110)*(1+'Biomass Data Assumptions'!C$82))*'Prac. Rec. Assumptions'!$B27</f>
        <v>10851.777720193524</v>
      </c>
      <c r="G33" s="294">
        <f>($C33*(1+'Biomass Data Assumptions'!H$110)*(1+'Biomass Data Assumptions'!D$82))*'Prac. Rec. Assumptions'!$B27</f>
        <v>11268.725804062082</v>
      </c>
      <c r="H33" s="294">
        <f>($C33*(1+'Biomass Data Assumptions'!I$110)*(1+'Biomass Data Assumptions'!E$82))*'Prac. Rec. Assumptions'!$B27</f>
        <v>11469.612988144738</v>
      </c>
      <c r="I33" s="16" t="str">
        <f>IF('Conversion Tables'!F30="NA","NA",(E33*'Conversion Tables'!$C30)/'Conversion Tables'!F30)</f>
        <v>NA</v>
      </c>
      <c r="J33" s="16" t="str">
        <f>IF('Conversion Tables'!G30="NA","NA",(F33*'Conversion Tables'!$C30)/'Conversion Tables'!G30)</f>
        <v>NA</v>
      </c>
      <c r="K33" s="16" t="str">
        <f>IF('Conversion Tables'!H30="NA","NA",(G33*'Conversion Tables'!$C30)/'Conversion Tables'!H30)</f>
        <v>NA</v>
      </c>
      <c r="L33" s="16" t="str">
        <f>IF('Conversion Tables'!I30="NA","NA",(H33*'Conversion Tables'!$C30)/'Conversion Tables'!I30)</f>
        <v>NA</v>
      </c>
      <c r="M33" s="16" t="str">
        <f>IF('Conversion Tables'!K30="NA","NA",E33*'Conversion Tables'!K30)</f>
        <v>NA</v>
      </c>
      <c r="N33" s="16" t="str">
        <f>IF('Conversion Tables'!L30="NA","NA",F33*'Conversion Tables'!L30)</f>
        <v>NA</v>
      </c>
      <c r="O33" s="16" t="str">
        <f>IF('Conversion Tables'!M30="NA","NA",G33*'Conversion Tables'!M30)</f>
        <v>NA</v>
      </c>
      <c r="P33" s="16" t="str">
        <f>IF('Conversion Tables'!N30="NA","NA",H33*'Conversion Tables'!N30)</f>
        <v>NA</v>
      </c>
      <c r="Q33" s="7"/>
    </row>
    <row r="34" spans="1:17" x14ac:dyDescent="0.25">
      <c r="A34" s="1064"/>
      <c r="B34" s="11" t="str">
        <f>'Bioenergy Calculator'!B37</f>
        <v>Other Biomass, Landfilled</v>
      </c>
      <c r="C34" s="294">
        <f>C143</f>
        <v>10139.811517499998</v>
      </c>
      <c r="D34" s="294">
        <f>E34*'Conversion Tables'!C31</f>
        <v>106020.2468571372</v>
      </c>
      <c r="E34" s="294">
        <f>C34*'Prac. Rec. Assumptions'!B28</f>
        <v>7300.6642925999995</v>
      </c>
      <c r="F34" s="294">
        <f>($C34*(1+'Biomass Data Assumptions'!G$110)*(1+'Biomass Data Assumptions'!C$82))*'Prac. Rec. Assumptions'!$B28</f>
        <v>7512.5546016661074</v>
      </c>
      <c r="G34" s="294">
        <f>($C34*(1+'Biomass Data Assumptions'!H$110)*(1+'Biomass Data Assumptions'!D$82))*'Prac. Rec. Assumptions'!$B28</f>
        <v>7801.2027224522326</v>
      </c>
      <c r="H34" s="294">
        <f>($C34*(1+'Biomass Data Assumptions'!I$110)*(1+'Biomass Data Assumptions'!E$82))*'Prac. Rec. Assumptions'!$B28</f>
        <v>7940.2744928210213</v>
      </c>
      <c r="I34" s="16" t="str">
        <f>IF('Conversion Tables'!F31="NA","NA",(E34*'Conversion Tables'!$C31)/'Conversion Tables'!F31)</f>
        <v>NA</v>
      </c>
      <c r="J34" s="16" t="str">
        <f>IF('Conversion Tables'!G31="NA","NA",(F34*'Conversion Tables'!$C31)/'Conversion Tables'!G31)</f>
        <v>NA</v>
      </c>
      <c r="K34" s="16" t="str">
        <f>IF('Conversion Tables'!H31="NA","NA",(G34*'Conversion Tables'!$C31)/'Conversion Tables'!H31)</f>
        <v>NA</v>
      </c>
      <c r="L34" s="16" t="str">
        <f>IF('Conversion Tables'!I31="NA","NA",(H34*'Conversion Tables'!$C31)/'Conversion Tables'!I31)</f>
        <v>NA</v>
      </c>
      <c r="M34" s="16" t="str">
        <f>IF('Conversion Tables'!K31="NA","NA",E34*'Conversion Tables'!K31)</f>
        <v>NA</v>
      </c>
      <c r="N34" s="16" t="str">
        <f>IF('Conversion Tables'!L31="NA","NA",F34*'Conversion Tables'!L31)</f>
        <v>NA</v>
      </c>
      <c r="O34" s="16" t="str">
        <f>IF('Conversion Tables'!M31="NA","NA",G34*'Conversion Tables'!M31)</f>
        <v>NA</v>
      </c>
      <c r="P34" s="16" t="str">
        <f>IF('Conversion Tables'!N31="NA","NA",H34*'Conversion Tables'!N31)</f>
        <v>NA</v>
      </c>
      <c r="Q34" s="7"/>
    </row>
    <row r="35" spans="1:17" x14ac:dyDescent="0.25">
      <c r="A35" s="1065"/>
      <c r="B35" s="11" t="str">
        <f>'Bioenergy Calculator'!B38</f>
        <v>C&amp;D (Non-recycled wood)</v>
      </c>
      <c r="C35" s="294">
        <f>C145</f>
        <v>3522.5440000000003</v>
      </c>
      <c r="D35" s="294">
        <f>E35*'Conversion Tables'!C32</f>
        <v>39903.378432000012</v>
      </c>
      <c r="E35" s="294">
        <f>C35*'Prac. Rec. Assumptions'!B29</f>
        <v>2254.4281600000008</v>
      </c>
      <c r="F35" s="294">
        <f>($C35*(1+'Biomass Data Assumptions'!G$110)*(1+'Biomass Data Assumptions'!C$83))*'Prac. Rec. Assumptions'!$B29</f>
        <v>2437.99742138491</v>
      </c>
      <c r="G35" s="294">
        <f>($C35*(1+'Biomass Data Assumptions'!H$110)*(1+'Biomass Data Assumptions'!D$83))*'Prac. Rec. Assumptions'!$B29</f>
        <v>2660.5948288418363</v>
      </c>
      <c r="H35" s="294">
        <f>($C35*(1+'Biomass Data Assumptions'!I$110)*(1+'Biomass Data Assumptions'!E$83))*'Prac. Rec. Assumptions'!$B29</f>
        <v>2845.9303927266733</v>
      </c>
      <c r="I35" s="16" t="str">
        <f>IF('Conversion Tables'!F32="NA","NA",(E35*'Conversion Tables'!$C32)/'Conversion Tables'!F32)</f>
        <v>NA</v>
      </c>
      <c r="J35" s="16" t="str">
        <f>IF('Conversion Tables'!G32="NA","NA",(F35*'Conversion Tables'!$C32)/'Conversion Tables'!G32)</f>
        <v>NA</v>
      </c>
      <c r="K35" s="16" t="str">
        <f>IF('Conversion Tables'!H32="NA","NA",(G35*'Conversion Tables'!$C32)/'Conversion Tables'!H32)</f>
        <v>NA</v>
      </c>
      <c r="L35" s="16" t="str">
        <f>IF('Conversion Tables'!I32="NA","NA",(H35*'Conversion Tables'!$C32)/'Conversion Tables'!I32)</f>
        <v>NA</v>
      </c>
      <c r="M35" s="16" t="str">
        <f>IF('Conversion Tables'!K32="NA","NA",E35*'Conversion Tables'!K32)</f>
        <v>NA</v>
      </c>
      <c r="N35" s="16" t="str">
        <f>IF('Conversion Tables'!L32="NA","NA",F35*'Conversion Tables'!L32)</f>
        <v>NA</v>
      </c>
      <c r="O35" s="16" t="str">
        <f>IF('Conversion Tables'!M32="NA","NA",G35*'Conversion Tables'!M32)</f>
        <v>NA</v>
      </c>
      <c r="P35" s="16" t="str">
        <f>IF('Conversion Tables'!N32="NA","NA",H35*'Conversion Tables'!N32)</f>
        <v>NA</v>
      </c>
      <c r="Q35" s="7"/>
    </row>
    <row r="36" spans="1:17" x14ac:dyDescent="0.25">
      <c r="A36" s="1065"/>
      <c r="B36" s="4" t="s">
        <v>280</v>
      </c>
      <c r="C36" s="294"/>
      <c r="D36" s="294"/>
      <c r="E36" s="294"/>
      <c r="F36" s="294"/>
      <c r="G36" s="294"/>
      <c r="H36" s="294"/>
      <c r="I36" s="16"/>
      <c r="J36" s="16"/>
      <c r="K36" s="16"/>
      <c r="L36" s="16"/>
      <c r="M36" s="16"/>
      <c r="N36" s="16"/>
      <c r="O36" s="16"/>
      <c r="P36" s="16"/>
      <c r="Q36" s="7"/>
    </row>
    <row r="37" spans="1:17" x14ac:dyDescent="0.25">
      <c r="A37" s="1065"/>
      <c r="B37" s="677" t="s">
        <v>563</v>
      </c>
      <c r="C37" s="299">
        <f>C132</f>
        <v>226.285</v>
      </c>
      <c r="D37" s="294">
        <f>E37*'Conversion Tables'!C34</f>
        <v>3620.56</v>
      </c>
      <c r="E37" s="294">
        <f>C37*'Prac. Rec. Assumptions'!B31</f>
        <v>226.285</v>
      </c>
      <c r="F37" s="294">
        <f>($C37*(1+'Biomass Data Assumptions'!G$110)*(1+'Biomass Data Assumptions'!C$84))*'Prac. Rec. Assumptions'!$B31</f>
        <v>254.7917345459814</v>
      </c>
      <c r="G37" s="294">
        <f>($C37*(1+'Biomass Data Assumptions'!H$110)*(1+'Biomass Data Assumptions'!D$84))*'Prac. Rec. Assumptions'!$B31</f>
        <v>289.5099962357088</v>
      </c>
      <c r="H37" s="294">
        <f>($C37*(1+'Biomass Data Assumptions'!I$110)*(1+'Biomass Data Assumptions'!E$84))*'Prac. Rec. Assumptions'!$B31</f>
        <v>322.43473600259597</v>
      </c>
      <c r="I37" s="16" t="str">
        <f>IF('Conversion Tables'!F34="NA","NA",(E37*'Conversion Tables'!$C34)/'Conversion Tables'!F34)</f>
        <v>NA</v>
      </c>
      <c r="J37" s="16" t="str">
        <f>IF('Conversion Tables'!G34="NA","NA",(F37*'Conversion Tables'!$C34)/'Conversion Tables'!G34)</f>
        <v>NA</v>
      </c>
      <c r="K37" s="16" t="str">
        <f>IF('Conversion Tables'!H34="NA","NA",(G37*'Conversion Tables'!$C34)/'Conversion Tables'!H34)</f>
        <v>NA</v>
      </c>
      <c r="L37" s="16" t="str">
        <f>IF('Conversion Tables'!I34="NA","NA",(H37*'Conversion Tables'!$C34)/'Conversion Tables'!I34)</f>
        <v>NA</v>
      </c>
      <c r="M37" s="16" t="str">
        <f>IF('Conversion Tables'!K34="NA","NA",E37*'Conversion Tables'!K34)</f>
        <v>NA</v>
      </c>
      <c r="N37" s="16" t="str">
        <f>IF('Conversion Tables'!L34="NA","NA",F37*'Conversion Tables'!L34)</f>
        <v>NA</v>
      </c>
      <c r="O37" s="16" t="str">
        <f>IF('Conversion Tables'!M34="NA","NA",G37*'Conversion Tables'!M34)</f>
        <v>NA</v>
      </c>
      <c r="P37" s="16" t="str">
        <f>IF('Conversion Tables'!N34="NA","NA",H37*'Conversion Tables'!N34)</f>
        <v>NA</v>
      </c>
      <c r="Q37" s="18"/>
    </row>
    <row r="38" spans="1:17" x14ac:dyDescent="0.25">
      <c r="A38" s="1065"/>
      <c r="B38" s="11" t="s">
        <v>565</v>
      </c>
      <c r="C38" s="294">
        <f>C134</f>
        <v>661.53600000000006</v>
      </c>
      <c r="D38" s="294">
        <f>E38*'Conversion Tables'!C35</f>
        <v>5854.5936000000002</v>
      </c>
      <c r="E38" s="294">
        <f>C38*'Prac. Rec. Assumptions'!B32</f>
        <v>330.76800000000003</v>
      </c>
      <c r="F38" s="294">
        <f>($C38*(1+'Biomass Data Assumptions'!G$110)*(1+'Biomass Data Assumptions'!C$84))*'Prac. Rec. Assumptions'!$B32</f>
        <v>372.43720287383246</v>
      </c>
      <c r="G38" s="294">
        <f>($C38*(1+'Biomass Data Assumptions'!H$110)*(1+'Biomass Data Assumptions'!D$84))*'Prac. Rec. Assumptions'!$B32</f>
        <v>423.18599303927761</v>
      </c>
      <c r="H38" s="294">
        <f>($C38*(1+'Biomass Data Assumptions'!I$110)*(1+'Biomass Data Assumptions'!E$84))*'Prac. Rec. Assumptions'!$B32</f>
        <v>471.31313502046822</v>
      </c>
      <c r="I38" s="16" t="str">
        <f>IF('Conversion Tables'!F35="NA","NA",(E38*'Conversion Tables'!$C35)/'Conversion Tables'!F35)</f>
        <v>NA</v>
      </c>
      <c r="J38" s="16" t="str">
        <f>IF('Conversion Tables'!G35="NA","NA",(F38*'Conversion Tables'!$C35)/'Conversion Tables'!G35)</f>
        <v>NA</v>
      </c>
      <c r="K38" s="16" t="str">
        <f>IF('Conversion Tables'!H35="NA","NA",(G38*'Conversion Tables'!$C35)/'Conversion Tables'!H35)</f>
        <v>NA</v>
      </c>
      <c r="L38" s="16" t="str">
        <f>IF('Conversion Tables'!I35="NA","NA",(H38*'Conversion Tables'!$C35)/'Conversion Tables'!I35)</f>
        <v>NA</v>
      </c>
      <c r="M38" s="16" t="str">
        <f>IF('Conversion Tables'!K35="NA","NA",E38*'Conversion Tables'!K35)</f>
        <v>NA</v>
      </c>
      <c r="N38" s="16" t="str">
        <f>IF('Conversion Tables'!L35="NA","NA",F38*'Conversion Tables'!L35)</f>
        <v>NA</v>
      </c>
      <c r="O38" s="16" t="str">
        <f>IF('Conversion Tables'!M35="NA","NA",G38*'Conversion Tables'!M35)</f>
        <v>NA</v>
      </c>
      <c r="P38" s="16" t="str">
        <f>IF('Conversion Tables'!N35="NA","NA",H38*'Conversion Tables'!N35)</f>
        <v>NA</v>
      </c>
      <c r="Q38" s="13"/>
    </row>
    <row r="39" spans="1:17" x14ac:dyDescent="0.25">
      <c r="A39" s="1065"/>
      <c r="B39" s="17" t="s">
        <v>555</v>
      </c>
      <c r="C39" s="294">
        <f>C124</f>
        <v>7276.1130000000003</v>
      </c>
      <c r="D39" s="299">
        <f>E39*'Conversion Tables'!C36</f>
        <v>0</v>
      </c>
      <c r="E39" s="299">
        <f>C39*'Prac. Rec. Assumptions'!B33</f>
        <v>0</v>
      </c>
      <c r="F39" s="294">
        <f>($C39*(1+'Biomass Data Assumptions'!G$110)*(1+'Biomass Data Assumptions'!C$84))*'Prac. Rec. Assumptions'!$B33</f>
        <v>0</v>
      </c>
      <c r="G39" s="294">
        <f>($C39*(1+'Biomass Data Assumptions'!H$110)*(1+'Biomass Data Assumptions'!D$84))*'Prac. Rec. Assumptions'!$B33</f>
        <v>0</v>
      </c>
      <c r="H39" s="294">
        <f>($C39*(1+'Biomass Data Assumptions'!I$110)*(1+'Biomass Data Assumptions'!E$84))*'Prac. Rec. Assumptions'!$B33</f>
        <v>0</v>
      </c>
      <c r="I39" s="16" t="str">
        <f>IF('Conversion Tables'!F36="NA","NA",(E39*'Conversion Tables'!$C36)/'Conversion Tables'!F36)</f>
        <v>NA</v>
      </c>
      <c r="J39" s="16" t="str">
        <f>IF('Conversion Tables'!G36="NA","NA",(F39*'Conversion Tables'!$C36)/'Conversion Tables'!G36)</f>
        <v>NA</v>
      </c>
      <c r="K39" s="16" t="str">
        <f>IF('Conversion Tables'!H36="NA","NA",(G39*'Conversion Tables'!$C36)/'Conversion Tables'!H36)</f>
        <v>NA</v>
      </c>
      <c r="L39" s="16" t="str">
        <f>IF('Conversion Tables'!I36="NA","NA",(H39*'Conversion Tables'!$C36)/'Conversion Tables'!I36)</f>
        <v>NA</v>
      </c>
      <c r="M39" s="16" t="str">
        <f>IF('Conversion Tables'!K36="NA","NA",E39*'Conversion Tables'!K36)</f>
        <v>NA</v>
      </c>
      <c r="N39" s="16" t="str">
        <f>IF('Conversion Tables'!L36="NA","NA",F39*'Conversion Tables'!L36)</f>
        <v>NA</v>
      </c>
      <c r="O39" s="16" t="str">
        <f>IF('Conversion Tables'!M36="NA","NA",G39*'Conversion Tables'!M36)</f>
        <v>NA</v>
      </c>
      <c r="P39" s="16" t="str">
        <f>IF('Conversion Tables'!N36="NA","NA",H39*'Conversion Tables'!N36)</f>
        <v>NA</v>
      </c>
      <c r="Q39" s="27"/>
    </row>
    <row r="40" spans="1:17" x14ac:dyDescent="0.25">
      <c r="A40" s="1065"/>
      <c r="B40" s="17" t="s">
        <v>556</v>
      </c>
      <c r="C40" s="294">
        <f>C125</f>
        <v>1777.68</v>
      </c>
      <c r="D40" s="299">
        <f>E40*'Conversion Tables'!C37</f>
        <v>0</v>
      </c>
      <c r="E40" s="299">
        <f>C40*'Prac. Rec. Assumptions'!B34</f>
        <v>0</v>
      </c>
      <c r="F40" s="294">
        <f>($C40*(1+'Biomass Data Assumptions'!G$110)*(1+'Biomass Data Assumptions'!C$84))*'Prac. Rec. Assumptions'!$B34</f>
        <v>0</v>
      </c>
      <c r="G40" s="294">
        <f>($C40*(1+'Biomass Data Assumptions'!H$110)*(1+'Biomass Data Assumptions'!D$84))*'Prac. Rec. Assumptions'!$B34</f>
        <v>0</v>
      </c>
      <c r="H40" s="294">
        <f>($C40*(1+'Biomass Data Assumptions'!I$110)*(1+'Biomass Data Assumptions'!E$84))*'Prac. Rec. Assumptions'!$B34</f>
        <v>0</v>
      </c>
      <c r="I40" s="16" t="str">
        <f>IF('Conversion Tables'!F37="NA","NA",(E40*'Conversion Tables'!$C37)/'Conversion Tables'!F37)</f>
        <v>NA</v>
      </c>
      <c r="J40" s="16" t="str">
        <f>IF('Conversion Tables'!G37="NA","NA",(F40*'Conversion Tables'!$C37)/'Conversion Tables'!G37)</f>
        <v>NA</v>
      </c>
      <c r="K40" s="16" t="str">
        <f>IF('Conversion Tables'!H37="NA","NA",(G40*'Conversion Tables'!$C37)/'Conversion Tables'!H37)</f>
        <v>NA</v>
      </c>
      <c r="L40" s="16" t="str">
        <f>IF('Conversion Tables'!I37="NA","NA",(H40*'Conversion Tables'!$C37)/'Conversion Tables'!I37)</f>
        <v>NA</v>
      </c>
      <c r="M40" s="16" t="str">
        <f>IF('Conversion Tables'!K37="NA","NA",E40*'Conversion Tables'!K37)</f>
        <v>NA</v>
      </c>
      <c r="N40" s="16" t="str">
        <f>IF('Conversion Tables'!L37="NA","NA",F40*'Conversion Tables'!L37)</f>
        <v>NA</v>
      </c>
      <c r="O40" s="16" t="str">
        <f>IF('Conversion Tables'!M37="NA","NA",G40*'Conversion Tables'!M37)</f>
        <v>NA</v>
      </c>
      <c r="P40" s="16" t="str">
        <f>IF('Conversion Tables'!N37="NA","NA",H40*'Conversion Tables'!N37)</f>
        <v>NA</v>
      </c>
      <c r="Q40" s="27"/>
    </row>
    <row r="41" spans="1:17" x14ac:dyDescent="0.25">
      <c r="A41" s="1065"/>
      <c r="B41" s="17" t="s">
        <v>557</v>
      </c>
      <c r="C41" s="294">
        <f>C126</f>
        <v>3880.674</v>
      </c>
      <c r="D41" s="299">
        <f>E41*'Conversion Tables'!C38</f>
        <v>0</v>
      </c>
      <c r="E41" s="299">
        <f>C41*'Prac. Rec. Assumptions'!B35</f>
        <v>0</v>
      </c>
      <c r="F41" s="294">
        <f>($C41*(1+'Biomass Data Assumptions'!G$110)*(1+'Biomass Data Assumptions'!C$84))*'Prac. Rec. Assumptions'!$B35</f>
        <v>0</v>
      </c>
      <c r="G41" s="294">
        <f>($C41*(1+'Biomass Data Assumptions'!H$110)*(1+'Biomass Data Assumptions'!D$84))*'Prac. Rec. Assumptions'!$B35</f>
        <v>0</v>
      </c>
      <c r="H41" s="294">
        <f>($C41*(1+'Biomass Data Assumptions'!I$110)*(1+'Biomass Data Assumptions'!E$84))*'Prac. Rec. Assumptions'!$B35</f>
        <v>0</v>
      </c>
      <c r="I41" s="16" t="str">
        <f>IF('Conversion Tables'!F38="NA","NA",(E41*'Conversion Tables'!$C38)/'Conversion Tables'!F38)</f>
        <v>NA</v>
      </c>
      <c r="J41" s="16" t="str">
        <f>IF('Conversion Tables'!G38="NA","NA",(F41*'Conversion Tables'!$C38)/'Conversion Tables'!G38)</f>
        <v>NA</v>
      </c>
      <c r="K41" s="16" t="str">
        <f>IF('Conversion Tables'!H38="NA","NA",(G41*'Conversion Tables'!$C38)/'Conversion Tables'!H38)</f>
        <v>NA</v>
      </c>
      <c r="L41" s="16" t="str">
        <f>IF('Conversion Tables'!I38="NA","NA",(H41*'Conversion Tables'!$C38)/'Conversion Tables'!I38)</f>
        <v>NA</v>
      </c>
      <c r="M41" s="16" t="str">
        <f>IF('Conversion Tables'!K38="NA","NA",E41*'Conversion Tables'!K38)</f>
        <v>NA</v>
      </c>
      <c r="N41" s="16" t="str">
        <f>IF('Conversion Tables'!L38="NA","NA",F41*'Conversion Tables'!L38)</f>
        <v>NA</v>
      </c>
      <c r="O41" s="16" t="str">
        <f>IF('Conversion Tables'!M38="NA","NA",G41*'Conversion Tables'!M38)</f>
        <v>NA</v>
      </c>
      <c r="P41" s="16" t="str">
        <f>IF('Conversion Tables'!N38="NA","NA",H41*'Conversion Tables'!N38)</f>
        <v>NA</v>
      </c>
      <c r="Q41" s="27"/>
    </row>
    <row r="42" spans="1:17" x14ac:dyDescent="0.25">
      <c r="A42" s="1065"/>
      <c r="B42" s="17" t="s">
        <v>558</v>
      </c>
      <c r="C42" s="294">
        <f>C127</f>
        <v>1788.615</v>
      </c>
      <c r="D42" s="299">
        <f>E42*'Conversion Tables'!C39</f>
        <v>25974.267029999999</v>
      </c>
      <c r="E42" s="299">
        <f>C42*'Prac. Rec. Assumptions'!B36</f>
        <v>1788.615</v>
      </c>
      <c r="F42" s="294">
        <f>($C42*(1+'Biomass Data Assumptions'!G$110)*(1+'Biomass Data Assumptions'!C$84))*'Prac. Rec. Assumptions'!$B36</f>
        <v>2013.9395818766623</v>
      </c>
      <c r="G42" s="294">
        <f>($C42*(1+'Biomass Data Assumptions'!H$110)*(1+'Biomass Data Assumptions'!D$84))*'Prac. Rec. Assumptions'!$B36</f>
        <v>2288.3616762804972</v>
      </c>
      <c r="H42" s="294">
        <f>($C42*(1+'Biomass Data Assumptions'!I$110)*(1+'Biomass Data Assumptions'!E$84))*'Prac. Rec. Assumptions'!$B36</f>
        <v>2548.6073108481919</v>
      </c>
      <c r="I42" s="16" t="str">
        <f>IF('Conversion Tables'!F39="NA","NA",(E42*'Conversion Tables'!$C39)/'Conversion Tables'!F39)</f>
        <v>NA</v>
      </c>
      <c r="J42" s="16" t="str">
        <f>IF('Conversion Tables'!G39="NA","NA",(F42*'Conversion Tables'!$C39)/'Conversion Tables'!G39)</f>
        <v>NA</v>
      </c>
      <c r="K42" s="16" t="str">
        <f>IF('Conversion Tables'!H39="NA","NA",(G42*'Conversion Tables'!$C39)/'Conversion Tables'!H39)</f>
        <v>NA</v>
      </c>
      <c r="L42" s="16" t="str">
        <f>IF('Conversion Tables'!I39="NA","NA",(H42*'Conversion Tables'!$C39)/'Conversion Tables'!I39)</f>
        <v>NA</v>
      </c>
      <c r="M42" s="16" t="str">
        <f>IF('Conversion Tables'!K39="NA","NA",E42*'Conversion Tables'!K39)</f>
        <v>NA</v>
      </c>
      <c r="N42" s="16" t="str">
        <f>IF('Conversion Tables'!L39="NA","NA",F42*'Conversion Tables'!L39)</f>
        <v>NA</v>
      </c>
      <c r="O42" s="16" t="str">
        <f>IF('Conversion Tables'!M39="NA","NA",G42*'Conversion Tables'!M39)</f>
        <v>NA</v>
      </c>
      <c r="P42" s="16" t="str">
        <f>IF('Conversion Tables'!N39="NA","NA",H42*'Conversion Tables'!N39)</f>
        <v>NA</v>
      </c>
      <c r="Q42" s="27"/>
    </row>
    <row r="43" spans="1:17" x14ac:dyDescent="0.25">
      <c r="A43" s="1065"/>
      <c r="B43" s="9" t="s">
        <v>524</v>
      </c>
      <c r="C43" s="295">
        <f t="shared" ref="C43:P43" si="4">SUM(C31:C42)</f>
        <v>46029.362942</v>
      </c>
      <c r="D43" s="295">
        <f t="shared" si="4"/>
        <v>368827.91690369323</v>
      </c>
      <c r="E43" s="295">
        <f t="shared" si="4"/>
        <v>24590.849406800004</v>
      </c>
      <c r="F43" s="295">
        <f t="shared" si="4"/>
        <v>25650.119387649778</v>
      </c>
      <c r="G43" s="295">
        <f t="shared" si="4"/>
        <v>27022.98516256025</v>
      </c>
      <c r="H43" s="295">
        <f t="shared" si="4"/>
        <v>27930.425979374097</v>
      </c>
      <c r="I43" s="19">
        <f t="shared" si="4"/>
        <v>0</v>
      </c>
      <c r="J43" s="19">
        <f t="shared" si="4"/>
        <v>0</v>
      </c>
      <c r="K43" s="19">
        <f t="shared" si="4"/>
        <v>0</v>
      </c>
      <c r="L43" s="19">
        <f t="shared" si="4"/>
        <v>0</v>
      </c>
      <c r="M43" s="19">
        <f t="shared" si="4"/>
        <v>0</v>
      </c>
      <c r="N43" s="19">
        <f t="shared" si="4"/>
        <v>0</v>
      </c>
      <c r="O43" s="19">
        <f t="shared" si="4"/>
        <v>0</v>
      </c>
      <c r="P43" s="19">
        <f t="shared" si="4"/>
        <v>0</v>
      </c>
      <c r="Q43" s="19"/>
    </row>
    <row r="44" spans="1:17" x14ac:dyDescent="0.25">
      <c r="A44" s="8"/>
      <c r="C44" s="296"/>
      <c r="D44" s="296"/>
      <c r="E44" s="296"/>
      <c r="F44" s="296"/>
      <c r="G44" s="296"/>
      <c r="H44" s="296"/>
      <c r="I44" s="28"/>
      <c r="J44" s="28"/>
      <c r="K44" s="28"/>
      <c r="L44" s="28"/>
      <c r="M44" s="28"/>
      <c r="N44" s="28"/>
      <c r="O44" s="28"/>
      <c r="P44" s="28"/>
    </row>
    <row r="45" spans="1:17" x14ac:dyDescent="0.25">
      <c r="A45" s="1064" t="s">
        <v>515</v>
      </c>
      <c r="B45" s="2" t="s">
        <v>510</v>
      </c>
      <c r="C45" s="294"/>
      <c r="D45" s="294"/>
      <c r="E45" s="294"/>
      <c r="F45" s="294"/>
      <c r="G45" s="294"/>
      <c r="H45" s="294"/>
      <c r="I45" s="16"/>
      <c r="J45" s="16"/>
      <c r="K45" s="16"/>
      <c r="L45" s="16"/>
      <c r="M45" s="16"/>
      <c r="N45" s="16"/>
      <c r="O45" s="16"/>
      <c r="P45" s="16"/>
      <c r="Q45" s="7"/>
    </row>
    <row r="46" spans="1:17" x14ac:dyDescent="0.25">
      <c r="A46" s="1064"/>
      <c r="B46" s="12" t="s">
        <v>525</v>
      </c>
      <c r="C46" s="294">
        <f>D77</f>
        <v>34.56</v>
      </c>
      <c r="D46" s="294">
        <f>E46*'Conversion Tables'!C41</f>
        <v>0</v>
      </c>
      <c r="E46" s="294">
        <f>C46*'Prac. Rec. Assumptions'!B38</f>
        <v>34.56</v>
      </c>
      <c r="F46" s="294">
        <f>$E46</f>
        <v>34.56</v>
      </c>
      <c r="G46" s="294">
        <f>$E46</f>
        <v>34.56</v>
      </c>
      <c r="H46" s="294">
        <f>$E46</f>
        <v>34.56</v>
      </c>
      <c r="I46" s="16" t="str">
        <f>IF('Conversion Tables'!F41="NA","NA",(E46*'Conversion Tables'!$C41)/'Conversion Tables'!F41)</f>
        <v>NA</v>
      </c>
      <c r="J46" s="16" t="str">
        <f>IF('Conversion Tables'!G41="NA","NA",(F46*'Conversion Tables'!$C41)/'Conversion Tables'!G41)</f>
        <v>NA</v>
      </c>
      <c r="K46" s="16" t="str">
        <f>IF('Conversion Tables'!H41="NA","NA",(G46*'Conversion Tables'!$C41)/'Conversion Tables'!H41)</f>
        <v>NA</v>
      </c>
      <c r="L46" s="16" t="str">
        <f>IF('Conversion Tables'!I41="NA","NA",(H46*'Conversion Tables'!$C41)/'Conversion Tables'!I41)</f>
        <v>NA</v>
      </c>
      <c r="M46" s="16" t="str">
        <f>IF('Conversion Tables'!K41="NA","NA",E46*'Conversion Tables'!K41)</f>
        <v>NA</v>
      </c>
      <c r="N46" s="16" t="str">
        <f>IF('Conversion Tables'!L41="NA","NA",F46*'Conversion Tables'!L41)</f>
        <v>NA</v>
      </c>
      <c r="O46" s="16" t="str">
        <f>IF('Conversion Tables'!M41="NA","NA",G46*'Conversion Tables'!M41)</f>
        <v>NA</v>
      </c>
      <c r="P46" s="16" t="str">
        <f>IF('Conversion Tables'!N41="NA","NA",H46*'Conversion Tables'!N41)</f>
        <v>NA</v>
      </c>
      <c r="Q46" s="15"/>
    </row>
    <row r="47" spans="1:17" x14ac:dyDescent="0.25">
      <c r="A47" s="1065"/>
      <c r="B47" s="2" t="s">
        <v>508</v>
      </c>
      <c r="C47" s="294">
        <f t="shared" ref="C47:C48" si="5">C148</f>
        <v>558.25109999999995</v>
      </c>
      <c r="D47" s="294"/>
      <c r="E47" s="294">
        <f>C47*'Prac. Rec. Assumptions'!B39</f>
        <v>279.12554999999998</v>
      </c>
      <c r="F47" s="294">
        <f>($C47*(1+'Biomass Data Assumptions'!G$110))*'Prac. Rec. Assumptions'!$B39</f>
        <v>287.42188404887713</v>
      </c>
      <c r="G47" s="294">
        <f>($C47*(1+'Biomass Data Assumptions'!H$110))*'Prac. Rec. Assumptions'!$B39</f>
        <v>298.66802575957723</v>
      </c>
      <c r="H47" s="294">
        <f>($C47*(1+'Biomass Data Assumptions'!I$110))*'Prac. Rec. Assumptions'!$B39</f>
        <v>304.19891512549538</v>
      </c>
      <c r="I47" s="16" t="str">
        <f>IF('Conversion Tables'!F42="NA","NA",(E47*'Conversion Tables'!$C42)/'Conversion Tables'!F42)</f>
        <v>NA</v>
      </c>
      <c r="J47" s="16" t="str">
        <f>IF('Conversion Tables'!G42="NA","NA",(F47*'Conversion Tables'!$C42)/'Conversion Tables'!G42)</f>
        <v>NA</v>
      </c>
      <c r="K47" s="16" t="str">
        <f>IF('Conversion Tables'!H42="NA","NA",(G47*'Conversion Tables'!$C42)/'Conversion Tables'!H42)</f>
        <v>NA</v>
      </c>
      <c r="L47" s="16" t="str">
        <f>IF('Conversion Tables'!I42="NA","NA",(H47*'Conversion Tables'!$C42)/'Conversion Tables'!I42)</f>
        <v>NA</v>
      </c>
      <c r="M47" s="16" t="str">
        <f>IF('Conversion Tables'!K42="NA","NA",E47*'Conversion Tables'!K42)</f>
        <v>NA</v>
      </c>
      <c r="N47" s="16" t="str">
        <f>IF('Conversion Tables'!L42="NA","NA",F47*'Conversion Tables'!L42)</f>
        <v>NA</v>
      </c>
      <c r="O47" s="16" t="str">
        <f>IF('Conversion Tables'!M42="NA","NA",G47*'Conversion Tables'!M42)</f>
        <v>NA</v>
      </c>
      <c r="P47" s="16" t="str">
        <f>IF('Conversion Tables'!N42="NA","NA",H47*'Conversion Tables'!N42)</f>
        <v>NA</v>
      </c>
      <c r="Q47" s="7"/>
    </row>
    <row r="48" spans="1:17" x14ac:dyDescent="0.25">
      <c r="A48" s="1065"/>
      <c r="B48" s="1" t="s">
        <v>509</v>
      </c>
      <c r="C48" s="294">
        <f t="shared" si="5"/>
        <v>49.891826250000001</v>
      </c>
      <c r="D48" s="294"/>
      <c r="E48" s="294">
        <f>C48*'Prac. Rec. Assumptions'!B40</f>
        <v>49.891826250000001</v>
      </c>
      <c r="F48" s="294">
        <f>($C48*(1+'Biomass Data Assumptions'!G$110))*'Prac. Rec. Assumptions'!$B40</f>
        <v>51.374740504458387</v>
      </c>
      <c r="G48" s="294">
        <f>($C48*(1+'Biomass Data Assumptions'!H$110))*'Prac. Rec. Assumptions'!$B40</f>
        <v>53.384913160501981</v>
      </c>
      <c r="H48" s="294">
        <f>($C48*(1+'Biomass Data Assumptions'!I$110))*'Prac. Rec. Assumptions'!$B40</f>
        <v>54.37352266347424</v>
      </c>
      <c r="I48" s="16" t="str">
        <f>IF('Conversion Tables'!F43="NA","NA",(E48*'Conversion Tables'!$C43)/'Conversion Tables'!F43)</f>
        <v>NA</v>
      </c>
      <c r="J48" s="16" t="str">
        <f>IF('Conversion Tables'!G43="NA","NA",(F48*'Conversion Tables'!$C43)/'Conversion Tables'!G43)</f>
        <v>NA</v>
      </c>
      <c r="K48" s="16" t="str">
        <f>IF('Conversion Tables'!H43="NA","NA",(G48*'Conversion Tables'!$C43)/'Conversion Tables'!H43)</f>
        <v>NA</v>
      </c>
      <c r="L48" s="16" t="str">
        <f>IF('Conversion Tables'!I43="NA","NA",(H48*'Conversion Tables'!$C43)/'Conversion Tables'!I43)</f>
        <v>NA</v>
      </c>
      <c r="M48" s="16" t="str">
        <f>IF('Conversion Tables'!K43="NA","NA",E48*'Conversion Tables'!K43)</f>
        <v>NA</v>
      </c>
      <c r="N48" s="16" t="str">
        <f>IF('Conversion Tables'!L43="NA","NA",F48*'Conversion Tables'!L43)</f>
        <v>NA</v>
      </c>
      <c r="O48" s="16" t="str">
        <f>IF('Conversion Tables'!M43="NA","NA",G48*'Conversion Tables'!M43)</f>
        <v>NA</v>
      </c>
      <c r="P48" s="16" t="str">
        <f>IF('Conversion Tables'!N43="NA","NA",H48*'Conversion Tables'!N43)</f>
        <v>NA</v>
      </c>
      <c r="Q48" s="7"/>
    </row>
    <row r="49" spans="1:17" x14ac:dyDescent="0.25">
      <c r="A49" s="1065"/>
      <c r="B49" s="9" t="s">
        <v>524</v>
      </c>
      <c r="C49" s="295">
        <f t="shared" ref="C49:P49" si="6">SUM(C45:C48)</f>
        <v>642.7029262499999</v>
      </c>
      <c r="D49" s="295">
        <f>SUM(D45:D48)</f>
        <v>0</v>
      </c>
      <c r="E49" s="295">
        <f t="shared" si="6"/>
        <v>363.57737624999999</v>
      </c>
      <c r="F49" s="295">
        <f>SUM(F45:F48)</f>
        <v>373.35662455333551</v>
      </c>
      <c r="G49" s="295">
        <f>SUM(G45:G48)</f>
        <v>386.61293892007922</v>
      </c>
      <c r="H49" s="295">
        <f>SUM(H45:H48)</f>
        <v>393.13243778896964</v>
      </c>
      <c r="I49" s="19">
        <f t="shared" si="6"/>
        <v>0</v>
      </c>
      <c r="J49" s="19">
        <f t="shared" si="6"/>
        <v>0</v>
      </c>
      <c r="K49" s="19">
        <f t="shared" si="6"/>
        <v>0</v>
      </c>
      <c r="L49" s="19">
        <f t="shared" si="6"/>
        <v>0</v>
      </c>
      <c r="M49" s="19">
        <f t="shared" si="6"/>
        <v>0</v>
      </c>
      <c r="N49" s="19">
        <f t="shared" si="6"/>
        <v>0</v>
      </c>
      <c r="O49" s="19">
        <f t="shared" si="6"/>
        <v>0</v>
      </c>
      <c r="P49" s="19">
        <f t="shared" si="6"/>
        <v>0</v>
      </c>
      <c r="Q49" s="19"/>
    </row>
    <row r="50" spans="1:17" x14ac:dyDescent="0.25">
      <c r="A50" s="8"/>
      <c r="C50" s="296"/>
      <c r="D50" s="296"/>
      <c r="E50" s="296"/>
      <c r="F50" s="296"/>
      <c r="G50" s="296"/>
      <c r="H50" s="296"/>
      <c r="I50" s="28"/>
      <c r="J50" s="28"/>
      <c r="K50" s="28"/>
      <c r="L50" s="28"/>
      <c r="M50" s="28"/>
      <c r="N50" s="28"/>
      <c r="O50" s="28"/>
      <c r="P50" s="28"/>
    </row>
    <row r="51" spans="1:17" x14ac:dyDescent="0.25">
      <c r="A51" s="1200" t="s">
        <v>517</v>
      </c>
      <c r="B51" s="2" t="s">
        <v>505</v>
      </c>
      <c r="C51" s="294"/>
      <c r="D51" s="294"/>
      <c r="E51" s="294"/>
      <c r="F51" s="294"/>
      <c r="G51" s="294"/>
      <c r="H51" s="294"/>
      <c r="I51" s="16"/>
      <c r="J51" s="16"/>
      <c r="K51" s="16"/>
      <c r="L51" s="16"/>
      <c r="M51" s="16"/>
      <c r="N51" s="16"/>
      <c r="O51" s="16"/>
      <c r="P51" s="16"/>
      <c r="Q51" s="7"/>
    </row>
    <row r="52" spans="1:17" x14ac:dyDescent="0.25">
      <c r="A52" s="1201"/>
      <c r="B52" s="12" t="s">
        <v>535</v>
      </c>
      <c r="C52" s="294">
        <f>G97</f>
        <v>3143.9639999999999</v>
      </c>
      <c r="D52" s="299">
        <f>E52*'Conversion Tables'!C45</f>
        <v>9283.4968992000013</v>
      </c>
      <c r="E52" s="299">
        <f>C52*'Prac. Rec. Assumptions'!B42</f>
        <v>628.79280000000006</v>
      </c>
      <c r="F52" s="294">
        <f t="shared" ref="F52:H59" si="7">$E52</f>
        <v>628.79280000000006</v>
      </c>
      <c r="G52" s="294">
        <f t="shared" si="7"/>
        <v>628.79280000000006</v>
      </c>
      <c r="H52" s="294">
        <f t="shared" si="7"/>
        <v>628.79280000000006</v>
      </c>
      <c r="I52" s="16" t="str">
        <f>IF('Conversion Tables'!F45="NA","NA",(E52*'Conversion Tables'!$C45)/'Conversion Tables'!F45)</f>
        <v>NA</v>
      </c>
      <c r="J52" s="16" t="str">
        <f>IF('Conversion Tables'!G45="NA","NA",(F52*'Conversion Tables'!$C45)/'Conversion Tables'!G45)</f>
        <v>NA</v>
      </c>
      <c r="K52" s="16" t="str">
        <f>IF('Conversion Tables'!H45="NA","NA",(G52*'Conversion Tables'!$C45)/'Conversion Tables'!H45)</f>
        <v>NA</v>
      </c>
      <c r="L52" s="16" t="str">
        <f>IF('Conversion Tables'!I45="NA","NA",(H52*'Conversion Tables'!$C45)/'Conversion Tables'!I45)</f>
        <v>NA</v>
      </c>
      <c r="M52" s="16" t="str">
        <f>IF('Conversion Tables'!K45="NA","NA",E52*'Conversion Tables'!K45)</f>
        <v>NA</v>
      </c>
      <c r="N52" s="16" t="str">
        <f>IF('Conversion Tables'!L45="NA","NA",F52*'Conversion Tables'!L45)</f>
        <v>NA</v>
      </c>
      <c r="O52" s="16" t="str">
        <f>IF('Conversion Tables'!M45="NA","NA",G52*'Conversion Tables'!M45)</f>
        <v>NA</v>
      </c>
      <c r="P52" s="16" t="str">
        <f>IF('Conversion Tables'!N45="NA","NA",H52*'Conversion Tables'!N45)</f>
        <v>NA</v>
      </c>
      <c r="Q52" s="27"/>
    </row>
    <row r="53" spans="1:17" x14ac:dyDescent="0.25">
      <c r="A53" s="1201"/>
      <c r="B53" s="12" t="s">
        <v>539</v>
      </c>
      <c r="C53" s="294">
        <f>G104</f>
        <v>12125.064575</v>
      </c>
      <c r="D53" s="299">
        <f>E53*'Conversion Tables'!C46</f>
        <v>107408.67203117999</v>
      </c>
      <c r="E53" s="299">
        <f>C53*'Prac. Rec. Assumptions'!B43</f>
        <v>7275.0387449999998</v>
      </c>
      <c r="F53" s="294">
        <f t="shared" si="7"/>
        <v>7275.0387449999998</v>
      </c>
      <c r="G53" s="294">
        <f t="shared" si="7"/>
        <v>7275.0387449999998</v>
      </c>
      <c r="H53" s="294">
        <f t="shared" si="7"/>
        <v>7275.0387449999998</v>
      </c>
      <c r="I53" s="16" t="str">
        <f>IF('Conversion Tables'!F46="NA","NA",(E53*'Conversion Tables'!$C46)/'Conversion Tables'!F46)</f>
        <v>NA</v>
      </c>
      <c r="J53" s="16" t="str">
        <f>IF('Conversion Tables'!G46="NA","NA",(F53*'Conversion Tables'!$C46)/'Conversion Tables'!G46)</f>
        <v>NA</v>
      </c>
      <c r="K53" s="16" t="str">
        <f>IF('Conversion Tables'!H46="NA","NA",(G53*'Conversion Tables'!$C46)/'Conversion Tables'!H46)</f>
        <v>NA</v>
      </c>
      <c r="L53" s="16" t="str">
        <f>IF('Conversion Tables'!I46="NA","NA",(H53*'Conversion Tables'!$C46)/'Conversion Tables'!I46)</f>
        <v>NA</v>
      </c>
      <c r="M53" s="16" t="str">
        <f>IF('Conversion Tables'!K46="NA","NA",E53*'Conversion Tables'!K46)</f>
        <v>NA</v>
      </c>
      <c r="N53" s="16" t="str">
        <f>IF('Conversion Tables'!L46="NA","NA",F53*'Conversion Tables'!L46)</f>
        <v>NA</v>
      </c>
      <c r="O53" s="16" t="str">
        <f>IF('Conversion Tables'!M46="NA","NA",G53*'Conversion Tables'!M46)</f>
        <v>NA</v>
      </c>
      <c r="P53" s="16" t="str">
        <f>IF('Conversion Tables'!N46="NA","NA",H53*'Conversion Tables'!N46)</f>
        <v>NA</v>
      </c>
      <c r="Q53" s="27"/>
    </row>
    <row r="54" spans="1:17" x14ac:dyDescent="0.25">
      <c r="A54" s="1201"/>
      <c r="B54" s="12" t="s">
        <v>545</v>
      </c>
      <c r="C54" s="294">
        <f>G106</f>
        <v>10949.570212500001</v>
      </c>
      <c r="D54" s="299">
        <f>E54*'Conversion Tables'!C47</f>
        <v>96995.672770410005</v>
      </c>
      <c r="E54" s="299">
        <f>C54*'Prac. Rec. Assumptions'!B44</f>
        <v>6569.7421275000006</v>
      </c>
      <c r="F54" s="294">
        <f t="shared" si="7"/>
        <v>6569.7421275000006</v>
      </c>
      <c r="G54" s="294">
        <f t="shared" si="7"/>
        <v>6569.7421275000006</v>
      </c>
      <c r="H54" s="294">
        <f t="shared" si="7"/>
        <v>6569.7421275000006</v>
      </c>
      <c r="I54" s="16" t="str">
        <f>IF('Conversion Tables'!F47="NA","NA",(E54*'Conversion Tables'!$C47)/'Conversion Tables'!F47)</f>
        <v>NA</v>
      </c>
      <c r="J54" s="16" t="str">
        <f>IF('Conversion Tables'!G47="NA","NA",(F54*'Conversion Tables'!$C47)/'Conversion Tables'!G47)</f>
        <v>NA</v>
      </c>
      <c r="K54" s="16" t="str">
        <f>IF('Conversion Tables'!H47="NA","NA",(G54*'Conversion Tables'!$C47)/'Conversion Tables'!H47)</f>
        <v>NA</v>
      </c>
      <c r="L54" s="16" t="str">
        <f>IF('Conversion Tables'!I47="NA","NA",(H54*'Conversion Tables'!$C47)/'Conversion Tables'!I47)</f>
        <v>NA</v>
      </c>
      <c r="M54" s="16" t="str">
        <f>IF('Conversion Tables'!K47="NA","NA",E54*'Conversion Tables'!K47)</f>
        <v>NA</v>
      </c>
      <c r="N54" s="16" t="str">
        <f>IF('Conversion Tables'!L47="NA","NA",F54*'Conversion Tables'!L47)</f>
        <v>NA</v>
      </c>
      <c r="O54" s="16" t="str">
        <f>IF('Conversion Tables'!M47="NA","NA",G54*'Conversion Tables'!M47)</f>
        <v>NA</v>
      </c>
      <c r="P54" s="16" t="str">
        <f>IF('Conversion Tables'!N47="NA","NA",H54*'Conversion Tables'!N47)</f>
        <v>NA</v>
      </c>
      <c r="Q54" s="27"/>
    </row>
    <row r="55" spans="1:17" x14ac:dyDescent="0.25">
      <c r="A55" s="1201"/>
      <c r="B55" s="12" t="s">
        <v>546</v>
      </c>
      <c r="C55" s="294">
        <f>G108</f>
        <v>430.846</v>
      </c>
      <c r="D55" s="299">
        <f>E55*'Conversion Tables'!C48</f>
        <v>1272.2020688</v>
      </c>
      <c r="E55" s="299">
        <f>C55*'Prac. Rec. Assumptions'!B45</f>
        <v>86.169200000000004</v>
      </c>
      <c r="F55" s="294">
        <f t="shared" si="7"/>
        <v>86.169200000000004</v>
      </c>
      <c r="G55" s="294">
        <f t="shared" si="7"/>
        <v>86.169200000000004</v>
      </c>
      <c r="H55" s="294">
        <f t="shared" si="7"/>
        <v>86.169200000000004</v>
      </c>
      <c r="I55" s="16" t="str">
        <f>IF('Conversion Tables'!F48="NA","NA",(E55*'Conversion Tables'!$C48)/'Conversion Tables'!F48)</f>
        <v>NA</v>
      </c>
      <c r="J55" s="16" t="str">
        <f>IF('Conversion Tables'!G48="NA","NA",(F55*'Conversion Tables'!$C48)/'Conversion Tables'!G48)</f>
        <v>NA</v>
      </c>
      <c r="K55" s="16" t="str">
        <f>IF('Conversion Tables'!H48="NA","NA",(G55*'Conversion Tables'!$C48)/'Conversion Tables'!H48)</f>
        <v>NA</v>
      </c>
      <c r="L55" s="16" t="str">
        <f>IF('Conversion Tables'!I48="NA","NA",(H55*'Conversion Tables'!$C48)/'Conversion Tables'!I48)</f>
        <v>NA</v>
      </c>
      <c r="M55" s="16" t="str">
        <f>IF('Conversion Tables'!K48="NA","NA",E55*'Conversion Tables'!K48)</f>
        <v>NA</v>
      </c>
      <c r="N55" s="16" t="str">
        <f>IF('Conversion Tables'!L48="NA","NA",F55*'Conversion Tables'!L48)</f>
        <v>NA</v>
      </c>
      <c r="O55" s="16" t="str">
        <f>IF('Conversion Tables'!M48="NA","NA",G55*'Conversion Tables'!M48)</f>
        <v>NA</v>
      </c>
      <c r="P55" s="16" t="str">
        <f>IF('Conversion Tables'!N48="NA","NA",H55*'Conversion Tables'!N48)</f>
        <v>NA</v>
      </c>
      <c r="Q55" s="27"/>
    </row>
    <row r="56" spans="1:17" x14ac:dyDescent="0.25">
      <c r="A56" s="1201"/>
      <c r="B56" s="12" t="s">
        <v>547</v>
      </c>
      <c r="C56" s="294">
        <f>G110</f>
        <v>316.12650000000002</v>
      </c>
      <c r="D56" s="299">
        <f>E56*'Conversion Tables'!C49</f>
        <v>933.45832919999998</v>
      </c>
      <c r="E56" s="299">
        <f>C56*'Prac. Rec. Assumptions'!B46</f>
        <v>63.225300000000004</v>
      </c>
      <c r="F56" s="294">
        <f t="shared" si="7"/>
        <v>63.225300000000004</v>
      </c>
      <c r="G56" s="294">
        <f t="shared" si="7"/>
        <v>63.225300000000004</v>
      </c>
      <c r="H56" s="294">
        <f t="shared" si="7"/>
        <v>63.225300000000004</v>
      </c>
      <c r="I56" s="16" t="str">
        <f>IF('Conversion Tables'!F49="NA","NA",(E56*'Conversion Tables'!$C49)/'Conversion Tables'!F49)</f>
        <v>NA</v>
      </c>
      <c r="J56" s="16" t="str">
        <f>IF('Conversion Tables'!G49="NA","NA",(F56*'Conversion Tables'!$C49)/'Conversion Tables'!G49)</f>
        <v>NA</v>
      </c>
      <c r="K56" s="16" t="str">
        <f>IF('Conversion Tables'!H49="NA","NA",(G56*'Conversion Tables'!$C49)/'Conversion Tables'!H49)</f>
        <v>NA</v>
      </c>
      <c r="L56" s="16" t="str">
        <f>IF('Conversion Tables'!I49="NA","NA",(H56*'Conversion Tables'!$C49)/'Conversion Tables'!I49)</f>
        <v>NA</v>
      </c>
      <c r="M56" s="16" t="str">
        <f>IF('Conversion Tables'!K49="NA","NA",E56*'Conversion Tables'!K49)</f>
        <v>NA</v>
      </c>
      <c r="N56" s="16" t="str">
        <f>IF('Conversion Tables'!L49="NA","NA",F56*'Conversion Tables'!L49)</f>
        <v>NA</v>
      </c>
      <c r="O56" s="16" t="str">
        <f>IF('Conversion Tables'!M49="NA","NA",G56*'Conversion Tables'!M49)</f>
        <v>NA</v>
      </c>
      <c r="P56" s="16" t="str">
        <f>IF('Conversion Tables'!N49="NA","NA",H56*'Conversion Tables'!N49)</f>
        <v>NA</v>
      </c>
      <c r="Q56" s="27"/>
    </row>
    <row r="57" spans="1:17" x14ac:dyDescent="0.25">
      <c r="A57" s="1201"/>
      <c r="B57" s="133" t="s">
        <v>605</v>
      </c>
      <c r="C57" s="294">
        <f>G115</f>
        <v>79.770750000000007</v>
      </c>
      <c r="D57" s="299">
        <f>E57*'Conversion Tables'!C50</f>
        <v>588.86767650000002</v>
      </c>
      <c r="E57" s="299">
        <f>C57*'Prac. Rec. Assumptions'!B47</f>
        <v>39.885375000000003</v>
      </c>
      <c r="F57" s="294">
        <f t="shared" si="7"/>
        <v>39.885375000000003</v>
      </c>
      <c r="G57" s="294">
        <f t="shared" si="7"/>
        <v>39.885375000000003</v>
      </c>
      <c r="H57" s="294">
        <f t="shared" si="7"/>
        <v>39.885375000000003</v>
      </c>
      <c r="I57" s="16" t="str">
        <f>IF('Conversion Tables'!F50="NA","NA",(E57*'Conversion Tables'!$C50)/'Conversion Tables'!F50)</f>
        <v>NA</v>
      </c>
      <c r="J57" s="16" t="str">
        <f>IF('Conversion Tables'!G50="NA","NA",(F57*'Conversion Tables'!$C50)/'Conversion Tables'!G50)</f>
        <v>NA</v>
      </c>
      <c r="K57" s="16" t="str">
        <f>IF('Conversion Tables'!H50="NA","NA",(G57*'Conversion Tables'!$C50)/'Conversion Tables'!H50)</f>
        <v>NA</v>
      </c>
      <c r="L57" s="16" t="str">
        <f>IF('Conversion Tables'!I50="NA","NA",(H57*'Conversion Tables'!$C50)/'Conversion Tables'!I50)</f>
        <v>NA</v>
      </c>
      <c r="M57" s="16" t="str">
        <f>IF('Conversion Tables'!K50="NA","NA",E57*'Conversion Tables'!K50)</f>
        <v>NA</v>
      </c>
      <c r="N57" s="16" t="str">
        <f>IF('Conversion Tables'!L50="NA","NA",F57*'Conversion Tables'!L50)</f>
        <v>NA</v>
      </c>
      <c r="O57" s="16" t="str">
        <f>IF('Conversion Tables'!M50="NA","NA",G57*'Conversion Tables'!M50)</f>
        <v>NA</v>
      </c>
      <c r="P57" s="16" t="str">
        <f>IF('Conversion Tables'!N50="NA","NA",H57*'Conversion Tables'!N50)</f>
        <v>NA</v>
      </c>
      <c r="Q57" s="27"/>
    </row>
    <row r="58" spans="1:17" x14ac:dyDescent="0.25">
      <c r="A58" s="1201"/>
      <c r="B58" s="12" t="s">
        <v>551</v>
      </c>
      <c r="C58" s="294">
        <f>G117</f>
        <v>131.67375000000001</v>
      </c>
      <c r="D58" s="299">
        <f>E58*'Conversion Tables'!C51</f>
        <v>1580.085</v>
      </c>
      <c r="E58" s="299">
        <f>C58*'Prac. Rec. Assumptions'!B48</f>
        <v>131.67375000000001</v>
      </c>
      <c r="F58" s="294">
        <f t="shared" si="7"/>
        <v>131.67375000000001</v>
      </c>
      <c r="G58" s="294">
        <f t="shared" si="7"/>
        <v>131.67375000000001</v>
      </c>
      <c r="H58" s="294">
        <f t="shared" si="7"/>
        <v>131.67375000000001</v>
      </c>
      <c r="I58" s="16" t="str">
        <f>IF('Conversion Tables'!F51="NA","NA",(E58*'Conversion Tables'!$C51)/'Conversion Tables'!F51)</f>
        <v>NA</v>
      </c>
      <c r="J58" s="16" t="str">
        <f>IF('Conversion Tables'!G51="NA","NA",(F58*'Conversion Tables'!$C51)/'Conversion Tables'!G51)</f>
        <v>NA</v>
      </c>
      <c r="K58" s="16" t="str">
        <f>IF('Conversion Tables'!H51="NA","NA",(G58*'Conversion Tables'!$C51)/'Conversion Tables'!H51)</f>
        <v>NA</v>
      </c>
      <c r="L58" s="16" t="str">
        <f>IF('Conversion Tables'!I51="NA","NA",(H58*'Conversion Tables'!$C51)/'Conversion Tables'!I51)</f>
        <v>NA</v>
      </c>
      <c r="M58" s="16" t="str">
        <f>IF('Conversion Tables'!K51="NA","NA",E58*'Conversion Tables'!K51)</f>
        <v>NA</v>
      </c>
      <c r="N58" s="16" t="str">
        <f>IF('Conversion Tables'!L51="NA","NA",F58*'Conversion Tables'!L51)</f>
        <v>NA</v>
      </c>
      <c r="O58" s="16" t="str">
        <f>IF('Conversion Tables'!M51="NA","NA",G58*'Conversion Tables'!M51)</f>
        <v>NA</v>
      </c>
      <c r="P58" s="16" t="str">
        <f>IF('Conversion Tables'!N51="NA","NA",H58*'Conversion Tables'!N51)</f>
        <v>NA</v>
      </c>
      <c r="Q58" s="27"/>
    </row>
    <row r="59" spans="1:17" x14ac:dyDescent="0.25">
      <c r="A59" s="1201"/>
      <c r="B59" s="12" t="s">
        <v>552</v>
      </c>
      <c r="C59" s="294">
        <f>G119</f>
        <v>23.599531249999998</v>
      </c>
      <c r="D59" s="299">
        <f>E59*'Conversion Tables'!C52</f>
        <v>348.42347937499994</v>
      </c>
      <c r="E59" s="299">
        <f>C59*'Prac. Rec. Assumptions'!B49</f>
        <v>23.599531249999998</v>
      </c>
      <c r="F59" s="294">
        <f t="shared" si="7"/>
        <v>23.599531249999998</v>
      </c>
      <c r="G59" s="294">
        <f t="shared" si="7"/>
        <v>23.599531249999998</v>
      </c>
      <c r="H59" s="294">
        <f t="shared" si="7"/>
        <v>23.599531249999998</v>
      </c>
      <c r="I59" s="16" t="str">
        <f>IF('Conversion Tables'!F52="NA","NA",(E59*'Conversion Tables'!$C52)/'Conversion Tables'!F52)</f>
        <v>NA</v>
      </c>
      <c r="J59" s="16" t="str">
        <f>IF('Conversion Tables'!G52="NA","NA",(F59*'Conversion Tables'!$C52)/'Conversion Tables'!G52)</f>
        <v>NA</v>
      </c>
      <c r="K59" s="16" t="str">
        <f>IF('Conversion Tables'!H52="NA","NA",(G59*'Conversion Tables'!$C52)/'Conversion Tables'!H52)</f>
        <v>NA</v>
      </c>
      <c r="L59" s="16" t="str">
        <f>IF('Conversion Tables'!I52="NA","NA",(H59*'Conversion Tables'!$C52)/'Conversion Tables'!I52)</f>
        <v>NA</v>
      </c>
      <c r="M59" s="16" t="str">
        <f>IF('Conversion Tables'!K52="NA","NA",E59*'Conversion Tables'!K52)</f>
        <v>NA</v>
      </c>
      <c r="N59" s="16" t="str">
        <f>IF('Conversion Tables'!L52="NA","NA",F59*'Conversion Tables'!L52)</f>
        <v>NA</v>
      </c>
      <c r="O59" s="16" t="str">
        <f>IF('Conversion Tables'!M52="NA","NA",G59*'Conversion Tables'!M52)</f>
        <v>NA</v>
      </c>
      <c r="P59" s="16" t="str">
        <f>IF('Conversion Tables'!N52="NA","NA",H59*'Conversion Tables'!N52)</f>
        <v>NA</v>
      </c>
      <c r="Q59" s="27"/>
    </row>
    <row r="60" spans="1:17" x14ac:dyDescent="0.25">
      <c r="A60" s="1202"/>
      <c r="B60" s="129" t="s">
        <v>305</v>
      </c>
      <c r="C60" s="294">
        <f>'Biomass Data Assumptions'!AE25</f>
        <v>209.99005499999998</v>
      </c>
      <c r="D60" s="299">
        <f>E60*'Conversion Tables'!C53</f>
        <v>2519.8806599999998</v>
      </c>
      <c r="E60" s="299">
        <f>C60*'Prac. Rec. Assumptions'!B50</f>
        <v>209.99005499999998</v>
      </c>
      <c r="F60" s="294">
        <f>($C60*(1+'Biomass Data Assumptions'!G$110*(4/5)))*'Prac. Rec. Assumptions'!$B50</f>
        <v>214.9832135072655</v>
      </c>
      <c r="G60" s="294">
        <f>($C60*(1+'Biomass Data Assumptions'!H$110*(9/10)))*'Prac. Rec. Assumptions'!$B50</f>
        <v>223.2219250442536</v>
      </c>
      <c r="H60" s="294">
        <f>($C60*(1+'Biomass Data Assumptions'!I$110*(14/15)))*'Prac. Rec. Assumptions'!$B50</f>
        <v>227.59556203302509</v>
      </c>
      <c r="I60" s="16" t="str">
        <f>IF('Conversion Tables'!F53="NA","NA",(E60*'Conversion Tables'!$C53)/'Conversion Tables'!F53)</f>
        <v>NA</v>
      </c>
      <c r="J60" s="16" t="str">
        <f>IF('Conversion Tables'!G53="NA","NA",(F60*'Conversion Tables'!$C53)/'Conversion Tables'!G53)</f>
        <v>NA</v>
      </c>
      <c r="K60" s="16" t="str">
        <f>IF('Conversion Tables'!H53="NA","NA",(G60*'Conversion Tables'!$C53)/'Conversion Tables'!H53)</f>
        <v>NA</v>
      </c>
      <c r="L60" s="16" t="str">
        <f>IF('Conversion Tables'!I53="NA","NA",(H60*'Conversion Tables'!$C53)/'Conversion Tables'!I53)</f>
        <v>NA</v>
      </c>
      <c r="M60" s="16" t="str">
        <f>IF('Conversion Tables'!K53="NA","NA",E60*'Conversion Tables'!K53)</f>
        <v>NA</v>
      </c>
      <c r="N60" s="16" t="str">
        <f>IF('Conversion Tables'!L53="NA","NA",F60*'Conversion Tables'!L53)</f>
        <v>NA</v>
      </c>
      <c r="O60" s="16" t="str">
        <f>IF('Conversion Tables'!M53="NA","NA",G60*'Conversion Tables'!M53)</f>
        <v>NA</v>
      </c>
      <c r="P60" s="16" t="str">
        <f>IF('Conversion Tables'!N53="NA","NA",H60*'Conversion Tables'!N53)</f>
        <v>NA</v>
      </c>
      <c r="Q60" s="7"/>
    </row>
    <row r="61" spans="1:17" x14ac:dyDescent="0.25">
      <c r="A61" s="1202"/>
      <c r="B61" s="9" t="s">
        <v>257</v>
      </c>
      <c r="C61" s="295">
        <f>SUM(C52:C60)</f>
        <v>27410.605373750001</v>
      </c>
      <c r="D61" s="295">
        <f>SUM(D52:D60)</f>
        <v>220930.75891466494</v>
      </c>
      <c r="E61" s="295">
        <f t="shared" ref="E61:P61" si="8">SUM(E52:E60)</f>
        <v>15028.116883750001</v>
      </c>
      <c r="F61" s="295">
        <f>SUM(F52:F60)</f>
        <v>15033.110042257265</v>
      </c>
      <c r="G61" s="295">
        <f>SUM(G52:G60)</f>
        <v>15041.348753794255</v>
      </c>
      <c r="H61" s="295">
        <f>SUM(H52:H60)</f>
        <v>15045.722390783027</v>
      </c>
      <c r="I61" s="19">
        <f t="shared" si="8"/>
        <v>0</v>
      </c>
      <c r="J61" s="19">
        <f t="shared" si="8"/>
        <v>0</v>
      </c>
      <c r="K61" s="19">
        <f t="shared" si="8"/>
        <v>0</v>
      </c>
      <c r="L61" s="19">
        <f t="shared" si="8"/>
        <v>0</v>
      </c>
      <c r="M61" s="19">
        <f t="shared" si="8"/>
        <v>0</v>
      </c>
      <c r="N61" s="19">
        <f t="shared" si="8"/>
        <v>0</v>
      </c>
      <c r="O61" s="19">
        <f t="shared" si="8"/>
        <v>0</v>
      </c>
      <c r="P61" s="19">
        <f t="shared" si="8"/>
        <v>0</v>
      </c>
      <c r="Q61" s="7"/>
    </row>
    <row r="62" spans="1:17" x14ac:dyDescent="0.25">
      <c r="A62" s="1202"/>
      <c r="B62" s="7" t="s">
        <v>256</v>
      </c>
      <c r="C62" s="298" t="s">
        <v>251</v>
      </c>
      <c r="D62" s="13"/>
      <c r="E62" s="298" t="s">
        <v>251</v>
      </c>
      <c r="F62" s="298"/>
      <c r="G62" s="298"/>
      <c r="H62" s="298"/>
      <c r="I62" s="7"/>
      <c r="J62" s="7"/>
      <c r="K62" s="7"/>
      <c r="L62" s="7"/>
      <c r="M62" s="7"/>
      <c r="N62" s="7"/>
      <c r="O62" s="7"/>
      <c r="P62" s="7"/>
      <c r="Q62" s="7"/>
    </row>
    <row r="63" spans="1:17" x14ac:dyDescent="0.25">
      <c r="A63" s="1203"/>
      <c r="B63" s="133" t="s">
        <v>304</v>
      </c>
      <c r="C63" s="294">
        <f>'Biomass Data Assumptions'!AB25</f>
        <v>0</v>
      </c>
      <c r="D63" s="300">
        <f>E63*'Conversion Tables'!C55</f>
        <v>0</v>
      </c>
      <c r="E63" s="299">
        <f>C63*'Prac. Rec. Assumptions'!B51</f>
        <v>0</v>
      </c>
      <c r="F63" s="294">
        <f>($C63*(1+'Biomass Data Assumptions'!G$110*(4/5)))*'Prac. Rec. Assumptions'!$B51</f>
        <v>0</v>
      </c>
      <c r="G63" s="294">
        <f>($C63*(1+'Biomass Data Assumptions'!H$110*(9/10)))*'Prac. Rec. Assumptions'!$B51</f>
        <v>0</v>
      </c>
      <c r="H63" s="294">
        <f>($C63*(1+'Biomass Data Assumptions'!I$110*(14/15)))*'Prac. Rec. Assumptions'!$B51</f>
        <v>0</v>
      </c>
      <c r="I63" s="16" t="str">
        <f>IF('Conversion Tables'!F55="NA","NA",(E63*'Conversion Tables'!$C55)/'Conversion Tables'!F55)</f>
        <v>NA</v>
      </c>
      <c r="J63" s="16" t="str">
        <f>IF('Conversion Tables'!G55="NA","NA",(F63*'Conversion Tables'!$C55)/'Conversion Tables'!G55)</f>
        <v>NA</v>
      </c>
      <c r="K63" s="16" t="str">
        <f>IF('Conversion Tables'!H55="NA","NA",(G63*'Conversion Tables'!$C55)/'Conversion Tables'!H55)</f>
        <v>NA</v>
      </c>
      <c r="L63" s="16" t="str">
        <f>IF('Conversion Tables'!I55="NA","NA",(H63*'Conversion Tables'!$C55)/'Conversion Tables'!I55)</f>
        <v>NA</v>
      </c>
      <c r="M63" s="16" t="str">
        <f>IF('Conversion Tables'!K55="NA","NA",E63*'Conversion Tables'!K55)</f>
        <v>NA</v>
      </c>
      <c r="N63" s="16" t="str">
        <f>IF('Conversion Tables'!L55="NA","NA",F63*'Conversion Tables'!L55)</f>
        <v>NA</v>
      </c>
      <c r="O63" s="16" t="str">
        <f>IF('Conversion Tables'!M55="NA","NA",G63*'Conversion Tables'!M55)</f>
        <v>NA</v>
      </c>
      <c r="P63" s="16" t="str">
        <f>IF('Conversion Tables'!N55="NA","NA",H63*'Conversion Tables'!N55)</f>
        <v>NA</v>
      </c>
      <c r="Q63" s="7"/>
    </row>
    <row r="64" spans="1:17" x14ac:dyDescent="0.25">
      <c r="A64" s="1204"/>
      <c r="B64" s="17" t="s">
        <v>512</v>
      </c>
      <c r="C64" s="294">
        <f>'Biomass Data Assumptions'!X25</f>
        <v>17.764743112578401</v>
      </c>
      <c r="D64" s="300">
        <f>E64*'Conversion Tables'!C56</f>
        <v>8988.9600149646703</v>
      </c>
      <c r="E64" s="299">
        <f>C64*'Prac. Rec. Assumptions'!B52</f>
        <v>17.764743112578401</v>
      </c>
      <c r="F64" s="545">
        <f>($C64*(1+'Biomass Data Assumptions'!G$110*(3/5))*(1+('Biomass Data Assumptions'!C$82-((1+'Biomass Data Assumptions'!$B$82)^2 - 1))))*'Prac. Rec. Assumptions'!$B52</f>
        <v>18.074186408173045</v>
      </c>
      <c r="G64" s="545">
        <f>($C64*(1+'Biomass Data Assumptions'!H$110*(4/5))*(1+('Biomass Data Assumptions'!D$82-((1+'Biomass Data Assumptions'!$B$82)^2 - 1))))*'Prac. Rec. Assumptions'!$B52</f>
        <v>18.739386167646991</v>
      </c>
      <c r="H64" s="545">
        <f>($C64*(1+'Biomass Data Assumptions'!I$110*(13/15))*(1+('Biomass Data Assumptions'!E$82-((1+'Biomass Data Assumptions'!$B$82)^2 - 1))))*'Prac. Rec. Assumptions'!$B52</f>
        <v>19.113974213114513</v>
      </c>
      <c r="I64" s="16" t="str">
        <f>IF('Conversion Tables'!F56="NA","NA",(E64*'Conversion Tables'!$C56)/'Conversion Tables'!F56)</f>
        <v>NA</v>
      </c>
      <c r="J64" s="16" t="str">
        <f>IF('Conversion Tables'!G56="NA","NA",(F64*'Conversion Tables'!$C56)/'Conversion Tables'!G56)</f>
        <v>NA</v>
      </c>
      <c r="K64" s="16" t="str">
        <f>IF('Conversion Tables'!H56="NA","NA",(G64*'Conversion Tables'!$C56)/'Conversion Tables'!H56)</f>
        <v>NA</v>
      </c>
      <c r="L64" s="16" t="str">
        <f>IF('Conversion Tables'!I56="NA","NA",(H64*'Conversion Tables'!$C56)/'Conversion Tables'!I56)</f>
        <v>NA</v>
      </c>
      <c r="M64" s="16" t="str">
        <f>IF('Conversion Tables'!K56="NA","NA",E64*'Conversion Tables'!K56)</f>
        <v>NA</v>
      </c>
      <c r="N64" s="16" t="str">
        <f>IF('Conversion Tables'!L56="NA","NA",F64*'Conversion Tables'!L56)</f>
        <v>NA</v>
      </c>
      <c r="O64" s="16" t="str">
        <f>IF('Conversion Tables'!M56="NA","NA",G64*'Conversion Tables'!M56)</f>
        <v>NA</v>
      </c>
      <c r="P64" s="16" t="str">
        <f>IF('Conversion Tables'!N56="NA","NA",H64*'Conversion Tables'!N56)</f>
        <v>NA</v>
      </c>
      <c r="Q64" s="7"/>
    </row>
    <row r="65" spans="1:19" x14ac:dyDescent="0.25">
      <c r="A65" s="1204"/>
      <c r="B65" s="9" t="s">
        <v>248</v>
      </c>
      <c r="C65" s="295">
        <f>SUM(C63:C64)</f>
        <v>17.764743112578401</v>
      </c>
      <c r="D65" s="295">
        <f>SUM(D63:D64)</f>
        <v>8988.9600149646703</v>
      </c>
      <c r="E65" s="295">
        <f t="shared" ref="E65:P65" si="9">SUM(E63:E64)</f>
        <v>17.764743112578401</v>
      </c>
      <c r="F65" s="295">
        <f>SUM(F63:F64)</f>
        <v>18.074186408173045</v>
      </c>
      <c r="G65" s="295">
        <f>SUM(G63:G64)</f>
        <v>18.739386167646991</v>
      </c>
      <c r="H65" s="295">
        <f>SUM(H63:H64)</f>
        <v>19.113974213114513</v>
      </c>
      <c r="I65" s="19">
        <f t="shared" si="9"/>
        <v>0</v>
      </c>
      <c r="J65" s="19">
        <f t="shared" si="9"/>
        <v>0</v>
      </c>
      <c r="K65" s="19">
        <f t="shared" si="9"/>
        <v>0</v>
      </c>
      <c r="L65" s="19">
        <f t="shared" si="9"/>
        <v>0</v>
      </c>
      <c r="M65" s="19">
        <f t="shared" si="9"/>
        <v>0</v>
      </c>
      <c r="N65" s="19">
        <f t="shared" si="9"/>
        <v>0</v>
      </c>
      <c r="O65" s="19">
        <f t="shared" si="9"/>
        <v>0</v>
      </c>
      <c r="P65" s="19">
        <f t="shared" si="9"/>
        <v>0</v>
      </c>
      <c r="Q65" s="19">
        <f>SUM(Q51:Q64)</f>
        <v>0</v>
      </c>
    </row>
    <row r="66" spans="1:19" x14ac:dyDescent="0.25">
      <c r="A66" s="1204"/>
      <c r="B66" s="9"/>
      <c r="C66" s="295"/>
      <c r="D66" s="295"/>
      <c r="E66" s="295"/>
      <c r="F66" s="295"/>
      <c r="G66" s="295"/>
      <c r="H66" s="295"/>
      <c r="I66" s="19"/>
      <c r="J66" s="19"/>
      <c r="K66" s="19"/>
      <c r="L66" s="19"/>
      <c r="M66" s="19"/>
      <c r="N66" s="19"/>
      <c r="O66" s="19"/>
      <c r="P66" s="19"/>
      <c r="Q66" s="19"/>
    </row>
    <row r="67" spans="1:19" x14ac:dyDescent="0.25">
      <c r="A67" s="1205"/>
      <c r="B67" s="9" t="s">
        <v>258</v>
      </c>
      <c r="C67" s="295">
        <f>C61+(C63*1000000/29487.1582406855)+(C64*1000000/25364.5039539246)</f>
        <v>28110.983474770568</v>
      </c>
      <c r="D67" s="295">
        <f t="shared" ref="D67" si="10">D61+D65</f>
        <v>229919.7189296296</v>
      </c>
      <c r="E67" s="295">
        <f>E61+(E63*1000000/29487.1582406855)+(E64*1000000/25364.5039539246)</f>
        <v>15728.494984770568</v>
      </c>
      <c r="F67" s="295">
        <f t="shared" ref="F67:H67" si="11">F61+(F63*1000000/29487.1582406855)+(F64*1000000/25364.5039539246)</f>
        <v>15745.687999271735</v>
      </c>
      <c r="G67" s="295">
        <f t="shared" si="11"/>
        <v>15780.152327547861</v>
      </c>
      <c r="H67" s="295">
        <f t="shared" si="11"/>
        <v>15799.294163676186</v>
      </c>
      <c r="I67" s="19">
        <f t="shared" ref="I67:P67" si="12">I61+I65</f>
        <v>0</v>
      </c>
      <c r="J67" s="19">
        <f t="shared" si="12"/>
        <v>0</v>
      </c>
      <c r="K67" s="19">
        <f t="shared" si="12"/>
        <v>0</v>
      </c>
      <c r="L67" s="19">
        <f t="shared" si="12"/>
        <v>0</v>
      </c>
      <c r="M67" s="19">
        <f t="shared" si="12"/>
        <v>0</v>
      </c>
      <c r="N67" s="19">
        <f t="shared" si="12"/>
        <v>0</v>
      </c>
      <c r="O67" s="19">
        <f t="shared" si="12"/>
        <v>0</v>
      </c>
      <c r="P67" s="19">
        <f t="shared" si="12"/>
        <v>0</v>
      </c>
      <c r="Q67" s="19"/>
    </row>
    <row r="68" spans="1:19" customFormat="1" x14ac:dyDescent="0.25">
      <c r="B68" s="270" t="s">
        <v>162</v>
      </c>
      <c r="C68" s="132">
        <f>C11+C29+C43+C49+C67</f>
        <v>235277.45517635389</v>
      </c>
      <c r="D68" s="132"/>
      <c r="E68" s="132">
        <f>E11+E29+E43+E49+E67</f>
        <v>115957.11760115391</v>
      </c>
      <c r="F68" s="132">
        <f>F11+F29+F43+F49+F67</f>
        <v>117174.06458390987</v>
      </c>
      <c r="G68" s="132">
        <f>G11+G29+G43+G49+G67</f>
        <v>118771.82853668998</v>
      </c>
      <c r="H68" s="132">
        <f>H11+H29+H43+H49+H67</f>
        <v>119792.06718123553</v>
      </c>
      <c r="I68" s="264"/>
    </row>
    <row r="69" spans="1:19" ht="13.8" thickBot="1" x14ac:dyDescent="0.3">
      <c r="A69" s="10"/>
      <c r="B69" s="10"/>
      <c r="C69" s="10"/>
      <c r="D69" s="10"/>
      <c r="E69" s="10"/>
      <c r="F69" s="10"/>
      <c r="G69" s="10"/>
      <c r="H69" s="10"/>
      <c r="I69" s="1003">
        <f>SUM(I8:I66)/2</f>
        <v>0</v>
      </c>
      <c r="J69" s="1003">
        <f>SUM(J8:J66)/2</f>
        <v>0</v>
      </c>
      <c r="K69" s="1003">
        <f>SUM(K8:K66)/2</f>
        <v>0</v>
      </c>
      <c r="L69" s="1003">
        <f>SUM(L8:L66)/2</f>
        <v>0</v>
      </c>
      <c r="M69" s="1003">
        <f>SUM(M8:M66)/2</f>
        <v>0</v>
      </c>
      <c r="N69" s="1003">
        <f t="shared" ref="N69:P69" si="13">SUM(N8:N66)/2</f>
        <v>0</v>
      </c>
      <c r="O69" s="1003">
        <f t="shared" si="13"/>
        <v>0</v>
      </c>
      <c r="P69" s="1003">
        <f t="shared" si="13"/>
        <v>0</v>
      </c>
      <c r="Q69" s="10"/>
      <c r="R69" s="10"/>
      <c r="S69" s="10"/>
    </row>
    <row r="70" spans="1:19" x14ac:dyDescent="0.25">
      <c r="A70" s="35" t="s">
        <v>23</v>
      </c>
      <c r="B70" s="36"/>
      <c r="C70" s="36"/>
      <c r="D70" s="36"/>
      <c r="E70" s="36"/>
      <c r="F70" s="36"/>
      <c r="G70" s="36"/>
      <c r="H70" s="36"/>
      <c r="I70" s="36"/>
      <c r="J70" s="36"/>
      <c r="K70" s="36"/>
      <c r="L70" s="36"/>
      <c r="M70" s="36"/>
      <c r="N70" s="36"/>
      <c r="O70" s="36"/>
      <c r="P70" s="36"/>
      <c r="Q70" s="36"/>
      <c r="R70" s="36"/>
    </row>
    <row r="71" spans="1:19" x14ac:dyDescent="0.25">
      <c r="A71" s="36"/>
      <c r="B71" s="36"/>
      <c r="C71" s="36"/>
      <c r="D71" s="36"/>
      <c r="E71" s="36"/>
      <c r="F71" s="36"/>
      <c r="G71" s="36"/>
      <c r="H71" s="36"/>
      <c r="I71" s="36"/>
      <c r="J71" s="36"/>
      <c r="K71" s="36"/>
      <c r="L71" s="36"/>
      <c r="M71" s="36"/>
      <c r="N71" s="36"/>
      <c r="O71" s="36"/>
      <c r="P71" s="36"/>
      <c r="Q71" s="36"/>
      <c r="R71" s="36"/>
    </row>
    <row r="72" spans="1:19" x14ac:dyDescent="0.25">
      <c r="A72" s="36"/>
      <c r="B72" s="36"/>
      <c r="C72" s="36"/>
      <c r="D72" s="36"/>
      <c r="E72" s="36"/>
      <c r="F72" s="36"/>
      <c r="G72" s="36"/>
      <c r="H72" s="36"/>
      <c r="I72" s="36"/>
      <c r="J72" s="36"/>
      <c r="K72" s="36"/>
      <c r="L72" s="36"/>
      <c r="M72" s="36"/>
      <c r="N72" s="36"/>
      <c r="O72" s="36"/>
      <c r="P72" s="36"/>
      <c r="Q72" s="36"/>
      <c r="R72" s="36"/>
    </row>
    <row r="73" spans="1:19" ht="26.4" x14ac:dyDescent="0.25">
      <c r="A73" s="37" t="s">
        <v>1037</v>
      </c>
      <c r="B73" s="454" t="s">
        <v>297</v>
      </c>
      <c r="C73" s="37" t="s">
        <v>1042</v>
      </c>
      <c r="D73" s="37" t="s">
        <v>1041</v>
      </c>
      <c r="E73" s="36" t="s">
        <v>598</v>
      </c>
      <c r="F73" s="38"/>
      <c r="G73" s="38"/>
      <c r="H73" s="36"/>
      <c r="I73" s="36"/>
      <c r="J73" s="36"/>
      <c r="K73" s="36"/>
      <c r="L73" s="36"/>
      <c r="M73" s="36"/>
      <c r="N73" s="36"/>
      <c r="O73" s="36"/>
      <c r="P73" s="36"/>
      <c r="Q73" s="36"/>
      <c r="R73" s="36"/>
    </row>
    <row r="74" spans="1:19" x14ac:dyDescent="0.25">
      <c r="A74" s="39" t="s">
        <v>519</v>
      </c>
      <c r="B74" s="21">
        <v>80</v>
      </c>
      <c r="C74" s="40">
        <f>'Biomass Data Assumptions'!B38*B74</f>
        <v>5224</v>
      </c>
      <c r="D74" s="40">
        <f>(C74*'Biomass Data Assumptions'!C38)/2000</f>
        <v>146.27199999999999</v>
      </c>
      <c r="E74" s="41"/>
      <c r="F74" s="41"/>
      <c r="G74" s="41"/>
      <c r="H74" s="36"/>
      <c r="I74" s="36"/>
      <c r="J74" s="36"/>
      <c r="K74" s="36"/>
      <c r="L74" s="36"/>
      <c r="M74" s="36"/>
      <c r="N74" s="36"/>
      <c r="O74" s="36"/>
      <c r="P74" s="36"/>
      <c r="Q74" s="36"/>
      <c r="R74" s="36"/>
    </row>
    <row r="75" spans="1:19" x14ac:dyDescent="0.25">
      <c r="A75" s="39" t="s">
        <v>520</v>
      </c>
      <c r="B75" s="21">
        <v>170</v>
      </c>
      <c r="C75" s="40">
        <f>'Biomass Data Assumptions'!B39*B75</f>
        <v>4641</v>
      </c>
      <c r="D75" s="40">
        <f>(C75*'Biomass Data Assumptions'!C39)/2000</f>
        <v>129.94800000000001</v>
      </c>
      <c r="E75" s="41"/>
      <c r="F75" s="41"/>
      <c r="G75" s="41"/>
      <c r="H75" s="36"/>
      <c r="I75" s="36"/>
      <c r="J75" s="36"/>
      <c r="K75" s="36"/>
      <c r="L75" s="36"/>
      <c r="M75" s="36"/>
      <c r="N75" s="36"/>
      <c r="O75" s="36"/>
      <c r="P75" s="36"/>
      <c r="Q75" s="36"/>
      <c r="R75" s="36"/>
    </row>
    <row r="76" spans="1:19" x14ac:dyDescent="0.25">
      <c r="A76" s="39" t="s">
        <v>521</v>
      </c>
      <c r="B76" s="21">
        <v>2588</v>
      </c>
      <c r="C76" s="40">
        <f>'Biomass Data Assumptions'!B40*B76</f>
        <v>323500</v>
      </c>
      <c r="D76" s="40">
        <f>(C76*'Biomass Data Assumptions'!C40)/2000</f>
        <v>9058</v>
      </c>
      <c r="E76" s="41"/>
      <c r="F76" s="41"/>
      <c r="G76" s="41"/>
      <c r="H76" s="36"/>
      <c r="I76" s="36"/>
      <c r="J76" s="36"/>
      <c r="K76" s="36"/>
      <c r="L76" s="36"/>
      <c r="M76" s="36"/>
      <c r="N76" s="36"/>
      <c r="O76" s="36"/>
      <c r="P76" s="36"/>
      <c r="Q76" s="36"/>
      <c r="R76" s="36"/>
    </row>
    <row r="77" spans="1:19" x14ac:dyDescent="0.25">
      <c r="A77" s="39" t="s">
        <v>525</v>
      </c>
      <c r="B77" s="21">
        <v>36</v>
      </c>
      <c r="C77" s="40">
        <f>'Biomass Data Assumptions'!B41*B77</f>
        <v>1152</v>
      </c>
      <c r="D77" s="40">
        <f>(C77*'Biomass Data Assumptions'!C41)/2000</f>
        <v>34.56</v>
      </c>
      <c r="E77" s="41"/>
      <c r="F77" s="41"/>
      <c r="G77" s="41"/>
      <c r="H77" s="36"/>
      <c r="I77" s="36"/>
      <c r="J77" s="36"/>
      <c r="K77" s="36"/>
      <c r="L77" s="36"/>
      <c r="M77" s="36"/>
      <c r="N77" s="36"/>
      <c r="O77" s="36"/>
      <c r="P77" s="36"/>
      <c r="Q77" s="36"/>
      <c r="R77" s="36"/>
    </row>
    <row r="78" spans="1:19" x14ac:dyDescent="0.25">
      <c r="A78" s="39" t="s">
        <v>522</v>
      </c>
      <c r="B78" s="21">
        <v>49</v>
      </c>
      <c r="C78" s="40">
        <f>'Biomass Data Assumptions'!B42*B78</f>
        <v>2646</v>
      </c>
      <c r="D78" s="40">
        <f>(C78*'Biomass Data Assumptions'!C42)/2000</f>
        <v>79.38</v>
      </c>
      <c r="E78" s="41"/>
      <c r="F78" s="41"/>
      <c r="G78" s="41"/>
      <c r="H78" s="36"/>
      <c r="I78" s="36"/>
      <c r="J78" s="36"/>
      <c r="K78" s="36"/>
      <c r="L78" s="36"/>
      <c r="M78" s="36"/>
      <c r="N78" s="36"/>
      <c r="O78" s="36"/>
      <c r="P78" s="36"/>
      <c r="Q78" s="36"/>
      <c r="R78" s="36"/>
    </row>
    <row r="79" spans="1:19" x14ac:dyDescent="0.25">
      <c r="A79" s="36"/>
      <c r="B79" s="36"/>
      <c r="C79" s="36"/>
      <c r="D79" s="36"/>
      <c r="E79" s="36"/>
      <c r="F79" s="36"/>
      <c r="G79" s="36"/>
      <c r="H79" s="36"/>
      <c r="I79" s="36"/>
      <c r="J79" s="36"/>
      <c r="K79" s="36"/>
      <c r="L79" s="36"/>
      <c r="M79" s="36"/>
      <c r="N79" s="36"/>
      <c r="O79" s="36"/>
      <c r="P79" s="36"/>
      <c r="Q79" s="36"/>
      <c r="R79" s="36"/>
    </row>
    <row r="80" spans="1:19" ht="39.6" x14ac:dyDescent="0.25">
      <c r="A80" s="37" t="s">
        <v>1038</v>
      </c>
      <c r="B80" s="454" t="s">
        <v>297</v>
      </c>
      <c r="C80" s="37" t="s">
        <v>1041</v>
      </c>
      <c r="D80" s="37" t="s">
        <v>1036</v>
      </c>
      <c r="E80" s="36" t="s">
        <v>598</v>
      </c>
      <c r="F80" s="38"/>
      <c r="G80" s="38"/>
      <c r="H80" s="36"/>
      <c r="I80" s="36"/>
      <c r="J80" s="36"/>
      <c r="K80" s="36"/>
      <c r="L80" s="36"/>
      <c r="M80" s="36"/>
      <c r="N80" s="36"/>
      <c r="O80" s="36"/>
      <c r="P80" s="36"/>
      <c r="Q80" s="36"/>
      <c r="R80" s="36"/>
    </row>
    <row r="81" spans="1:18" x14ac:dyDescent="0.25">
      <c r="A81" s="39" t="s">
        <v>527</v>
      </c>
      <c r="B81" s="21">
        <v>328</v>
      </c>
      <c r="C81" s="40">
        <f>'Biomass Data Assumptions'!B49*B81</f>
        <v>328</v>
      </c>
      <c r="D81" s="40">
        <f>C81*'Energy Content Assumptions'!C11</f>
        <v>278.8</v>
      </c>
      <c r="E81" s="41"/>
      <c r="F81" s="41"/>
      <c r="G81" s="41"/>
      <c r="H81" s="36"/>
      <c r="I81" s="36"/>
      <c r="J81" s="36"/>
      <c r="K81" s="36"/>
      <c r="L81" s="36"/>
      <c r="M81" s="36"/>
      <c r="N81" s="36"/>
      <c r="O81" s="36"/>
      <c r="P81" s="36"/>
      <c r="Q81" s="36"/>
      <c r="R81" s="36"/>
    </row>
    <row r="82" spans="1:18" x14ac:dyDescent="0.25">
      <c r="A82" s="39" t="s">
        <v>520</v>
      </c>
      <c r="B82" s="21">
        <f>170+84</f>
        <v>254</v>
      </c>
      <c r="C82" s="40">
        <f>'Biomass Data Assumptions'!B50*B82</f>
        <v>571.5</v>
      </c>
      <c r="D82" s="40">
        <f>C82*'Energy Content Assumptions'!C12</f>
        <v>485.77499999999998</v>
      </c>
      <c r="E82" s="41"/>
      <c r="F82" s="41"/>
      <c r="G82" s="41"/>
      <c r="H82" s="36"/>
      <c r="I82" s="36"/>
      <c r="J82" s="36"/>
      <c r="K82" s="36"/>
      <c r="L82" s="36"/>
      <c r="M82" s="36"/>
      <c r="N82" s="36"/>
      <c r="O82" s="36"/>
      <c r="P82" s="36"/>
      <c r="Q82" s="36"/>
      <c r="R82" s="36"/>
    </row>
    <row r="83" spans="1:18" x14ac:dyDescent="0.25">
      <c r="A83" s="39" t="s">
        <v>521</v>
      </c>
      <c r="B83" s="21">
        <v>2588</v>
      </c>
      <c r="C83" s="40">
        <f>'Biomass Data Assumptions'!B51*B83</f>
        <v>6470</v>
      </c>
      <c r="D83" s="40">
        <f>C83*'Energy Content Assumptions'!C13</f>
        <v>5499.5</v>
      </c>
      <c r="E83" s="41"/>
      <c r="F83" s="41"/>
      <c r="G83" s="41"/>
      <c r="H83" s="36"/>
      <c r="I83" s="36"/>
      <c r="J83" s="36"/>
      <c r="K83" s="36"/>
      <c r="L83" s="36"/>
      <c r="M83" s="36"/>
      <c r="N83" s="36"/>
      <c r="O83" s="36"/>
      <c r="P83" s="36"/>
      <c r="Q83" s="36"/>
      <c r="R83" s="36"/>
    </row>
    <row r="84" spans="1:18" x14ac:dyDescent="0.25">
      <c r="A84" s="39" t="s">
        <v>528</v>
      </c>
      <c r="B84" s="21">
        <v>2420</v>
      </c>
      <c r="C84" s="40">
        <f>'Biomass Data Assumptions'!B52*B84</f>
        <v>39688</v>
      </c>
      <c r="D84" s="40">
        <f>C84*'Energy Content Assumptions'!C14</f>
        <v>13890.8</v>
      </c>
      <c r="E84" s="41"/>
      <c r="F84" s="41"/>
      <c r="G84" s="41"/>
      <c r="H84" s="36"/>
      <c r="I84" s="36"/>
      <c r="J84" s="36"/>
      <c r="K84" s="36"/>
      <c r="L84" s="36"/>
      <c r="M84" s="36"/>
      <c r="N84" s="36"/>
      <c r="O84" s="36"/>
      <c r="P84" s="36"/>
      <c r="Q84" s="36"/>
      <c r="R84" s="36"/>
    </row>
    <row r="85" spans="1:18" x14ac:dyDescent="0.25">
      <c r="A85" s="39" t="s">
        <v>529</v>
      </c>
      <c r="B85" s="21">
        <v>5655</v>
      </c>
      <c r="C85" s="40">
        <f>'Biomass Data Assumptions'!B53*B85</f>
        <v>18096</v>
      </c>
      <c r="D85" s="40">
        <f>C85*'Energy Content Assumptions'!C15</f>
        <v>15381.6</v>
      </c>
      <c r="E85" s="41"/>
      <c r="F85" s="41"/>
      <c r="G85" s="41"/>
      <c r="H85" s="36"/>
      <c r="I85" s="36"/>
      <c r="J85" s="36"/>
      <c r="K85" s="36"/>
      <c r="L85" s="36"/>
      <c r="M85" s="36"/>
      <c r="N85" s="36"/>
      <c r="O85" s="36"/>
      <c r="P85" s="36"/>
      <c r="Q85" s="36"/>
      <c r="R85" s="36"/>
    </row>
    <row r="86" spans="1:18" x14ac:dyDescent="0.25">
      <c r="A86" s="39" t="s">
        <v>530</v>
      </c>
      <c r="B86" s="21">
        <v>14865</v>
      </c>
      <c r="C86" s="40">
        <f>'Biomass Data Assumptions'!B54*B86</f>
        <v>25270.5</v>
      </c>
      <c r="D86" s="40">
        <f>C86*'Energy Content Assumptions'!C16</f>
        <v>21479.924999999999</v>
      </c>
      <c r="E86" s="41"/>
      <c r="F86" s="41"/>
      <c r="G86" s="41"/>
      <c r="H86" s="36"/>
      <c r="I86" s="36"/>
      <c r="J86" s="36"/>
      <c r="K86" s="36"/>
      <c r="L86" s="36"/>
      <c r="M86" s="36"/>
      <c r="N86" s="36"/>
      <c r="O86" s="36"/>
      <c r="P86" s="36"/>
      <c r="Q86" s="36"/>
      <c r="R86" s="36"/>
    </row>
    <row r="87" spans="1:18" x14ac:dyDescent="0.25">
      <c r="A87" s="39" t="s">
        <v>522</v>
      </c>
      <c r="B87" s="21">
        <v>49</v>
      </c>
      <c r="C87" s="40">
        <f>'Biomass Data Assumptions'!B55*B87</f>
        <v>85.75</v>
      </c>
      <c r="D87" s="40">
        <f>C87*'Energy Content Assumptions'!C17</f>
        <v>72.887500000000003</v>
      </c>
      <c r="E87" s="41"/>
      <c r="F87" s="41"/>
      <c r="G87" s="41"/>
      <c r="H87" s="36"/>
      <c r="I87" s="36"/>
      <c r="J87" s="36"/>
      <c r="K87" s="36"/>
      <c r="L87" s="36"/>
      <c r="M87" s="36"/>
      <c r="N87" s="36"/>
      <c r="O87" s="36"/>
      <c r="P87" s="36"/>
      <c r="Q87" s="36"/>
      <c r="R87" s="36"/>
    </row>
    <row r="88" spans="1:18" x14ac:dyDescent="0.25">
      <c r="A88" s="43"/>
      <c r="B88" s="41"/>
      <c r="C88" s="41"/>
      <c r="D88" s="41"/>
      <c r="E88" s="41"/>
      <c r="F88" s="41"/>
      <c r="G88" s="41"/>
      <c r="H88" s="36"/>
      <c r="I88" s="36"/>
      <c r="J88" s="36"/>
      <c r="K88" s="36"/>
      <c r="L88" s="36"/>
      <c r="M88" s="36"/>
      <c r="N88" s="36"/>
      <c r="O88" s="36"/>
      <c r="P88" s="36"/>
      <c r="Q88" s="36"/>
      <c r="R88" s="36"/>
    </row>
    <row r="89" spans="1:18" x14ac:dyDescent="0.25">
      <c r="A89" s="43"/>
      <c r="B89" s="640" t="s">
        <v>297</v>
      </c>
      <c r="C89" s="122" t="s">
        <v>299</v>
      </c>
      <c r="D89" s="122" t="s">
        <v>300</v>
      </c>
      <c r="E89" s="41"/>
      <c r="F89" s="41"/>
      <c r="G89" s="41"/>
      <c r="H89" s="36"/>
      <c r="I89" s="36"/>
      <c r="J89" s="36"/>
      <c r="K89" s="36"/>
      <c r="L89" s="36"/>
      <c r="M89" s="36"/>
      <c r="N89" s="36"/>
      <c r="O89" s="36"/>
      <c r="P89" s="36"/>
      <c r="Q89" s="36"/>
      <c r="R89" s="36"/>
    </row>
    <row r="90" spans="1:18" x14ac:dyDescent="0.25">
      <c r="A90" s="43" t="s">
        <v>296</v>
      </c>
      <c r="B90" s="85">
        <f>IF('Prac. Rec. Assumptions'!B56='Prac. Rec. Assumptions'!V3,0,SUM(IF('Prac. Rec. Assumptions'!B57="Yes",B74,0),IF('Prac. Rec. Assumptions'!B58="Yes",B81,0),IF('Prac. Rec. Assumptions'!B59="Yes",B82,0),IF('Prac. Rec. Assumptions'!B60="Yes",B83,0),IF('Prac. Rec. Assumptions'!B61="Yes",B84,0),IF('Prac. Rec. Assumptions'!B62="Yes",B85,0),IF('Prac. Rec. Assumptions'!B63="Yes",B86,0),IF('Prac. Rec. Assumptions'!B64="Yes",B87,0)))</f>
        <v>0</v>
      </c>
      <c r="C90" s="41">
        <f>IF('Prac. Rec. Assumptions'!B56='Prac. Rec. Assumptions'!V1,'Biomass Data Assumptions'!C46,IF('Prac. Rec. Assumptions'!B56='Prac. Rec. Assumptions'!V2,'Biomass Data Assumptions'!C45,0))</f>
        <v>0</v>
      </c>
      <c r="D90" s="41">
        <f>(C90*'Energy Content Assumptions'!C9)*B90</f>
        <v>0</v>
      </c>
      <c r="E90" s="41"/>
      <c r="F90" s="41"/>
      <c r="G90" s="41"/>
      <c r="H90" s="36"/>
      <c r="I90" s="36"/>
      <c r="J90" s="36"/>
      <c r="K90" s="36"/>
      <c r="L90" s="36"/>
      <c r="M90" s="36"/>
      <c r="N90" s="36"/>
      <c r="O90" s="36"/>
      <c r="P90" s="36"/>
      <c r="Q90" s="36"/>
      <c r="R90" s="36"/>
    </row>
    <row r="91" spans="1:18" x14ac:dyDescent="0.25">
      <c r="A91" s="36"/>
      <c r="B91" s="36"/>
      <c r="C91" s="36"/>
      <c r="D91" s="36"/>
      <c r="E91" s="36"/>
      <c r="F91" s="36"/>
      <c r="G91" s="36"/>
      <c r="H91" s="36"/>
      <c r="I91" s="36"/>
      <c r="J91" s="36"/>
      <c r="K91" s="36"/>
      <c r="L91" s="36"/>
      <c r="M91" s="36"/>
      <c r="N91" s="36"/>
      <c r="O91" s="36"/>
      <c r="P91" s="36"/>
      <c r="Q91" s="36"/>
      <c r="R91" s="36"/>
    </row>
    <row r="92" spans="1:18" ht="39.6" x14ac:dyDescent="0.25">
      <c r="A92" s="42" t="s">
        <v>531</v>
      </c>
      <c r="B92" s="455" t="s">
        <v>298</v>
      </c>
      <c r="C92" s="38" t="s">
        <v>1050</v>
      </c>
      <c r="D92" s="38" t="s">
        <v>1045</v>
      </c>
      <c r="E92" s="38" t="s">
        <v>1048</v>
      </c>
      <c r="F92" s="38" t="s">
        <v>1047</v>
      </c>
      <c r="G92" s="38" t="s">
        <v>1046</v>
      </c>
      <c r="H92" s="36" t="s">
        <v>599</v>
      </c>
      <c r="I92" s="36"/>
      <c r="J92" s="38"/>
      <c r="K92" s="38"/>
      <c r="L92" s="38"/>
      <c r="M92" s="38"/>
      <c r="N92" s="36"/>
      <c r="O92" s="36"/>
      <c r="P92" s="36"/>
      <c r="Q92" s="36"/>
      <c r="R92" s="36"/>
    </row>
    <row r="93" spans="1:18" x14ac:dyDescent="0.25">
      <c r="A93" s="42"/>
      <c r="B93" s="38"/>
      <c r="C93" s="38"/>
      <c r="D93" s="38"/>
      <c r="E93" s="38"/>
      <c r="F93" s="36"/>
      <c r="G93" s="36"/>
      <c r="H93" s="36"/>
      <c r="I93" s="36"/>
      <c r="J93" s="38"/>
      <c r="K93" s="38"/>
      <c r="L93" s="38"/>
      <c r="M93" s="38"/>
      <c r="N93" s="36"/>
      <c r="O93" s="36"/>
      <c r="P93" s="36"/>
      <c r="Q93" s="36"/>
      <c r="R93" s="36"/>
    </row>
    <row r="94" spans="1:18" hidden="1" x14ac:dyDescent="0.25">
      <c r="A94" s="43"/>
      <c r="B94" s="36"/>
      <c r="C94" s="41"/>
      <c r="D94" s="41"/>
      <c r="E94" s="44"/>
      <c r="F94" s="36"/>
      <c r="G94" s="36"/>
      <c r="H94" s="36"/>
      <c r="I94" s="36"/>
      <c r="J94" s="44"/>
      <c r="K94" s="44"/>
      <c r="L94" s="44"/>
      <c r="M94" s="44"/>
      <c r="N94" s="36"/>
      <c r="O94" s="36"/>
      <c r="P94" s="36"/>
      <c r="Q94" s="36"/>
      <c r="R94" s="36"/>
    </row>
    <row r="95" spans="1:18" hidden="1" x14ac:dyDescent="0.25">
      <c r="A95" s="45"/>
      <c r="B95" s="85"/>
      <c r="C95" s="41"/>
      <c r="D95" s="41"/>
      <c r="E95" s="41"/>
      <c r="F95" s="41"/>
      <c r="G95" s="41"/>
      <c r="H95" s="36"/>
      <c r="I95" s="36"/>
      <c r="J95" s="41"/>
      <c r="K95" s="41"/>
      <c r="L95" s="41"/>
      <c r="M95" s="41"/>
      <c r="N95" s="36"/>
      <c r="O95" s="36"/>
      <c r="P95" s="36"/>
      <c r="Q95" s="36"/>
      <c r="R95" s="36"/>
    </row>
    <row r="96" spans="1:18" hidden="1" x14ac:dyDescent="0.25">
      <c r="A96" s="45"/>
      <c r="B96" s="85"/>
      <c r="C96" s="41"/>
      <c r="D96" s="41"/>
      <c r="E96" s="41"/>
      <c r="F96" s="41"/>
      <c r="G96" s="41"/>
      <c r="H96" s="36"/>
      <c r="I96" s="36"/>
      <c r="J96" s="41"/>
      <c r="K96" s="41"/>
      <c r="L96" s="41"/>
      <c r="M96" s="41"/>
      <c r="N96" s="36"/>
      <c r="O96" s="36"/>
      <c r="P96" s="36"/>
      <c r="Q96" s="36"/>
      <c r="R96" s="36"/>
    </row>
    <row r="97" spans="1:18" x14ac:dyDescent="0.25">
      <c r="A97" s="467" t="s">
        <v>535</v>
      </c>
      <c r="B97" s="85">
        <v>2775</v>
      </c>
      <c r="C97" s="41">
        <f>ROUND('Biomass Data Assumptions'!$B$60/1000*B97,0)</f>
        <v>2775</v>
      </c>
      <c r="D97" s="41">
        <f>'Biomass Data Assumptions'!$C$60*C97</f>
        <v>93184500</v>
      </c>
      <c r="E97" s="41">
        <f>('Biomass Data Assumptions'!$D$60*'Energy Content Assumptions'!$C$44*D97)/2000</f>
        <v>1118.2139999999999</v>
      </c>
      <c r="F97" s="41">
        <f>('Biomass Data Assumptions'!$E$60*B97*365)/2000</f>
        <v>2025.75</v>
      </c>
      <c r="G97" s="41">
        <f>F97+E97</f>
        <v>3143.9639999999999</v>
      </c>
      <c r="H97" s="36"/>
      <c r="I97" s="36"/>
      <c r="J97" s="41"/>
      <c r="K97" s="41"/>
      <c r="L97" s="41"/>
      <c r="M97" s="41"/>
      <c r="N97" s="36"/>
      <c r="O97" s="36"/>
      <c r="P97" s="36"/>
      <c r="Q97" s="36"/>
      <c r="R97" s="36"/>
    </row>
    <row r="98" spans="1:18" x14ac:dyDescent="0.25">
      <c r="A98" s="46"/>
      <c r="B98" s="41"/>
      <c r="C98" s="41"/>
      <c r="D98" s="41"/>
      <c r="E98" s="41"/>
      <c r="F98" s="41"/>
      <c r="G98" s="41"/>
      <c r="H98" s="36"/>
      <c r="I98" s="36"/>
      <c r="J98" s="41"/>
      <c r="K98" s="41"/>
      <c r="L98" s="41"/>
      <c r="M98" s="41"/>
      <c r="N98" s="36"/>
      <c r="O98" s="36"/>
      <c r="P98" s="36"/>
      <c r="Q98" s="36"/>
      <c r="R98" s="36"/>
    </row>
    <row r="99" spans="1:18" x14ac:dyDescent="0.25">
      <c r="A99" s="43" t="s">
        <v>539</v>
      </c>
      <c r="B99" s="47"/>
      <c r="C99" s="41"/>
      <c r="D99" s="41"/>
      <c r="E99" s="41"/>
      <c r="F99" s="41"/>
      <c r="G99" s="41"/>
      <c r="H99" s="36"/>
      <c r="I99" s="36"/>
      <c r="J99" s="41"/>
      <c r="K99" s="41"/>
      <c r="L99" s="41"/>
      <c r="M99" s="41"/>
      <c r="N99" s="36"/>
      <c r="O99" s="36"/>
      <c r="P99" s="36"/>
      <c r="Q99" s="36"/>
      <c r="R99" s="36"/>
    </row>
    <row r="100" spans="1:18" x14ac:dyDescent="0.25">
      <c r="A100" s="460" t="s">
        <v>603</v>
      </c>
      <c r="B100" s="85">
        <v>1888</v>
      </c>
      <c r="C100" s="41">
        <f>ROUND('Biomass Data Assumptions'!B62/1000*B100,0)</f>
        <v>661</v>
      </c>
      <c r="D100" s="41">
        <f>'Biomass Data Assumptions'!C62*C100</f>
        <v>19301200</v>
      </c>
      <c r="E100" s="41">
        <f>('Biomass Data Assumptions'!D62*'Energy Content Assumptions'!C46*D100)/2000</f>
        <v>868.55399999999997</v>
      </c>
      <c r="F100" s="41">
        <f>('Biomass Data Assumptions'!E62*B100*365)/2000</f>
        <v>1722.8</v>
      </c>
      <c r="G100" s="41">
        <f>F100+E100</f>
        <v>2591.3539999999998</v>
      </c>
      <c r="H100" s="36"/>
      <c r="I100" s="36"/>
      <c r="J100" s="41"/>
      <c r="K100" s="41"/>
      <c r="L100" s="41"/>
      <c r="M100" s="41"/>
      <c r="N100" s="36"/>
      <c r="O100" s="36"/>
      <c r="P100" s="36"/>
      <c r="Q100" s="36"/>
      <c r="R100" s="36"/>
    </row>
    <row r="101" spans="1:18" hidden="1" x14ac:dyDescent="0.25">
      <c r="A101" s="45"/>
      <c r="B101" s="85"/>
      <c r="C101" s="41"/>
      <c r="D101" s="41"/>
      <c r="E101" s="41"/>
      <c r="F101" s="41"/>
      <c r="G101" s="41"/>
      <c r="H101" s="36"/>
      <c r="I101" s="36"/>
      <c r="J101" s="41"/>
      <c r="K101" s="41"/>
      <c r="L101" s="41"/>
      <c r="M101" s="41"/>
      <c r="N101" s="36"/>
      <c r="O101" s="36"/>
      <c r="P101" s="36"/>
      <c r="Q101" s="36"/>
      <c r="R101" s="36"/>
    </row>
    <row r="102" spans="1:18" x14ac:dyDescent="0.25">
      <c r="A102" s="460" t="s">
        <v>604</v>
      </c>
      <c r="B102" s="85">
        <v>2178</v>
      </c>
      <c r="C102" s="41">
        <f>ROUND('Biomass Data Assumptions'!B64/1000*B102,0)</f>
        <v>3049</v>
      </c>
      <c r="D102" s="41">
        <f>'Biomass Data Assumptions'!C64*C102</f>
        <v>123530235</v>
      </c>
      <c r="E102" s="41">
        <f>('Biomass Data Assumptions'!D64*'Energy Content Assumptions'!C48*D102)/2000</f>
        <v>5558.8605750000006</v>
      </c>
      <c r="F102" s="41">
        <f>'Biomass Data Assumptions'!E64*B102*365/2000</f>
        <v>3974.85</v>
      </c>
      <c r="G102" s="41">
        <f>F102+E102</f>
        <v>9533.710575000001</v>
      </c>
      <c r="H102" s="36"/>
      <c r="I102" s="36"/>
      <c r="J102" s="41"/>
      <c r="K102" s="41"/>
      <c r="L102" s="41"/>
      <c r="M102" s="41"/>
      <c r="N102" s="36"/>
      <c r="O102" s="36"/>
      <c r="P102" s="36"/>
      <c r="Q102" s="36"/>
      <c r="R102" s="36"/>
    </row>
    <row r="103" spans="1:18" hidden="1" x14ac:dyDescent="0.25">
      <c r="A103" s="45"/>
      <c r="B103" s="85"/>
      <c r="C103" s="41"/>
      <c r="D103" s="41"/>
      <c r="E103" s="41"/>
      <c r="F103" s="41"/>
      <c r="G103" s="41"/>
      <c r="H103" s="457"/>
      <c r="I103" s="36"/>
      <c r="J103" s="41"/>
      <c r="K103" s="41"/>
      <c r="L103" s="41"/>
      <c r="M103" s="41"/>
      <c r="N103" s="36"/>
      <c r="O103" s="36"/>
      <c r="P103" s="36"/>
      <c r="Q103" s="36"/>
      <c r="R103" s="36"/>
    </row>
    <row r="104" spans="1:18" x14ac:dyDescent="0.25">
      <c r="A104" s="467" t="s">
        <v>544</v>
      </c>
      <c r="B104" s="85">
        <f t="shared" ref="B104:G104" si="14">SUM(B100:B103)</f>
        <v>4066</v>
      </c>
      <c r="C104" s="41">
        <f t="shared" si="14"/>
        <v>3710</v>
      </c>
      <c r="D104" s="41">
        <f t="shared" si="14"/>
        <v>142831435</v>
      </c>
      <c r="E104" s="41">
        <f t="shared" si="14"/>
        <v>6427.4145750000007</v>
      </c>
      <c r="F104" s="41">
        <f t="shared" si="14"/>
        <v>5697.65</v>
      </c>
      <c r="G104" s="41">
        <f t="shared" si="14"/>
        <v>12125.064575</v>
      </c>
      <c r="H104" s="457"/>
      <c r="I104" s="36"/>
      <c r="J104" s="41"/>
      <c r="K104" s="41"/>
      <c r="L104" s="41"/>
      <c r="M104" s="41"/>
      <c r="N104" s="36"/>
      <c r="O104" s="36"/>
      <c r="P104" s="36"/>
      <c r="Q104" s="36"/>
      <c r="R104" s="36"/>
    </row>
    <row r="105" spans="1:18" x14ac:dyDescent="0.25">
      <c r="A105" s="46"/>
      <c r="B105" s="41"/>
      <c r="C105" s="41"/>
      <c r="D105" s="41"/>
      <c r="E105" s="41"/>
      <c r="F105" s="41"/>
      <c r="G105" s="41"/>
      <c r="H105" s="36"/>
      <c r="I105" s="36"/>
      <c r="J105" s="41"/>
      <c r="K105" s="41"/>
      <c r="L105" s="41"/>
      <c r="M105" s="41"/>
      <c r="N105" s="36"/>
      <c r="O105" s="36"/>
      <c r="P105" s="36"/>
      <c r="Q105" s="36"/>
      <c r="R105" s="36"/>
    </row>
    <row r="106" spans="1:18" x14ac:dyDescent="0.25">
      <c r="A106" s="43" t="s">
        <v>545</v>
      </c>
      <c r="B106" s="85">
        <v>3177</v>
      </c>
      <c r="C106" s="41">
        <f>ROUND('Biomass Data Assumptions'!B66/1000*B106,0)</f>
        <v>3177</v>
      </c>
      <c r="D106" s="41">
        <f>'Biomass Data Assumptions'!C66*C106</f>
        <v>64358077.5</v>
      </c>
      <c r="E106" s="41">
        <f>('Biomass Data Assumptions'!D66*'Energy Content Assumptions'!C50*D106)/2000</f>
        <v>2252.5327125000003</v>
      </c>
      <c r="F106" s="41">
        <f>'Biomass Data Assumptions'!E66*B106*365/2000</f>
        <v>8697.0375000000004</v>
      </c>
      <c r="G106" s="41">
        <f>F106+E106</f>
        <v>10949.570212500001</v>
      </c>
      <c r="H106" s="36"/>
      <c r="I106" s="36"/>
      <c r="J106" s="41"/>
      <c r="K106" s="41"/>
      <c r="L106" s="41"/>
      <c r="M106" s="41"/>
      <c r="N106" s="36"/>
      <c r="O106" s="36"/>
      <c r="P106" s="36"/>
      <c r="Q106" s="36"/>
      <c r="R106" s="36"/>
    </row>
    <row r="107" spans="1:18" x14ac:dyDescent="0.25">
      <c r="A107" s="43"/>
      <c r="B107" s="41"/>
      <c r="C107" s="41"/>
      <c r="D107" s="41"/>
      <c r="E107" s="41"/>
      <c r="F107" s="41"/>
      <c r="G107" s="41"/>
      <c r="H107" s="36"/>
      <c r="I107" s="36"/>
      <c r="J107" s="41"/>
      <c r="K107" s="41"/>
      <c r="L107" s="41"/>
      <c r="M107" s="41"/>
      <c r="N107" s="36"/>
      <c r="O107" s="36"/>
      <c r="P107" s="36"/>
      <c r="Q107" s="36"/>
      <c r="R107" s="36"/>
    </row>
    <row r="108" spans="1:18" x14ac:dyDescent="0.25">
      <c r="A108" s="43" t="s">
        <v>546</v>
      </c>
      <c r="B108" s="85">
        <v>1959</v>
      </c>
      <c r="C108" s="41">
        <f>ROUND('Biomass Data Assumptions'!B67/1000*B108,0)</f>
        <v>196</v>
      </c>
      <c r="D108" s="41">
        <f>'Biomass Data Assumptions'!C67*C108</f>
        <v>2933140</v>
      </c>
      <c r="E108" s="41">
        <f>('Biomass Data Assumptions'!D67*'Energy Content Assumptions'!C51*D108)/2000</f>
        <v>73.328500000000005</v>
      </c>
      <c r="F108" s="41">
        <f>'Biomass Data Assumptions'!E67*B108*365/2000</f>
        <v>357.51749999999998</v>
      </c>
      <c r="G108" s="41">
        <f>F108+E108</f>
        <v>430.846</v>
      </c>
      <c r="H108" s="36"/>
      <c r="I108" s="36"/>
      <c r="J108" s="41"/>
      <c r="K108" s="41"/>
      <c r="L108" s="41"/>
      <c r="M108" s="41"/>
      <c r="N108" s="36"/>
      <c r="O108" s="36"/>
      <c r="P108" s="36"/>
      <c r="Q108" s="36"/>
      <c r="R108" s="36"/>
    </row>
    <row r="109" spans="1:18" x14ac:dyDescent="0.25">
      <c r="A109" s="43"/>
      <c r="B109" s="41"/>
      <c r="C109" s="41"/>
      <c r="D109" s="41"/>
      <c r="E109" s="41"/>
      <c r="F109" s="41"/>
      <c r="G109" s="41"/>
      <c r="H109" s="36"/>
      <c r="I109" s="36"/>
      <c r="J109" s="41"/>
      <c r="K109" s="41"/>
      <c r="L109" s="41"/>
      <c r="M109" s="41"/>
      <c r="N109" s="36"/>
      <c r="O109" s="36"/>
      <c r="P109" s="36"/>
      <c r="Q109" s="36"/>
      <c r="R109" s="36"/>
    </row>
    <row r="110" spans="1:18" x14ac:dyDescent="0.25">
      <c r="A110" s="43" t="s">
        <v>547</v>
      </c>
      <c r="B110" s="85">
        <v>1437</v>
      </c>
      <c r="C110" s="41">
        <f>ROUND('Biomass Data Assumptions'!B68/1000*B110,0)</f>
        <v>144</v>
      </c>
      <c r="D110" s="41">
        <f>'Biomass Data Assumptions'!C68*C110</f>
        <v>2154960</v>
      </c>
      <c r="E110" s="41">
        <f>('Biomass Data Assumptions'!D68*'Energy Content Assumptions'!C52*D110)/2000</f>
        <v>53.874000000000002</v>
      </c>
      <c r="F110" s="41">
        <f>'Biomass Data Assumptions'!E68*B110*365/2000</f>
        <v>262.2525</v>
      </c>
      <c r="G110" s="41">
        <f>F110+E110</f>
        <v>316.12650000000002</v>
      </c>
      <c r="H110" s="36"/>
      <c r="I110" s="36"/>
      <c r="J110" s="41"/>
      <c r="K110" s="41"/>
      <c r="L110" s="41"/>
      <c r="M110" s="41"/>
      <c r="N110" s="36"/>
      <c r="O110" s="36"/>
      <c r="P110" s="36"/>
      <c r="Q110" s="36"/>
      <c r="R110" s="36"/>
    </row>
    <row r="111" spans="1:18" ht="12" customHeight="1" x14ac:dyDescent="0.25">
      <c r="A111" s="43"/>
      <c r="B111" s="41"/>
      <c r="C111" s="41"/>
      <c r="D111" s="41"/>
      <c r="E111" s="41"/>
      <c r="F111" s="41"/>
      <c r="G111" s="41"/>
      <c r="H111" s="36"/>
      <c r="I111" s="36"/>
      <c r="J111" s="41"/>
      <c r="K111" s="41"/>
      <c r="L111" s="41"/>
      <c r="M111" s="41"/>
      <c r="N111" s="36"/>
      <c r="O111" s="36"/>
      <c r="P111" s="36"/>
      <c r="Q111" s="36"/>
      <c r="R111" s="36"/>
    </row>
    <row r="112" spans="1:18" hidden="1" x14ac:dyDescent="0.25">
      <c r="A112" s="43"/>
      <c r="B112" s="36"/>
      <c r="C112" s="41"/>
      <c r="D112" s="41"/>
      <c r="E112" s="41"/>
      <c r="F112" s="41"/>
      <c r="G112" s="41"/>
      <c r="H112" s="36"/>
      <c r="I112" s="36"/>
      <c r="J112" s="41"/>
      <c r="K112" s="41"/>
      <c r="L112" s="41"/>
      <c r="M112" s="41"/>
      <c r="N112" s="36"/>
      <c r="O112" s="36"/>
      <c r="P112" s="36"/>
      <c r="Q112" s="36"/>
      <c r="R112" s="36"/>
    </row>
    <row r="113" spans="1:18" hidden="1" x14ac:dyDescent="0.25">
      <c r="A113" s="45"/>
      <c r="B113" s="85"/>
      <c r="C113" s="41"/>
      <c r="D113" s="41"/>
      <c r="E113" s="41"/>
      <c r="F113" s="41"/>
      <c r="G113" s="41"/>
      <c r="H113" s="457"/>
      <c r="I113" s="36"/>
      <c r="J113" s="41"/>
      <c r="K113" s="41"/>
      <c r="L113" s="41"/>
      <c r="M113" s="41"/>
      <c r="N113" s="36"/>
      <c r="O113" s="36"/>
      <c r="P113" s="36"/>
      <c r="Q113" s="36"/>
      <c r="R113" s="36"/>
    </row>
    <row r="114" spans="1:18" hidden="1" x14ac:dyDescent="0.25">
      <c r="A114" s="45"/>
      <c r="B114" s="85"/>
      <c r="C114" s="41"/>
      <c r="D114" s="41"/>
      <c r="E114" s="41"/>
      <c r="F114" s="41"/>
      <c r="G114" s="41"/>
      <c r="H114" s="457"/>
      <c r="I114" s="36"/>
      <c r="J114" s="41"/>
      <c r="K114" s="41"/>
      <c r="L114" s="41"/>
      <c r="M114" s="41"/>
      <c r="N114" s="36"/>
      <c r="O114" s="36"/>
      <c r="P114" s="36"/>
      <c r="Q114" s="36"/>
      <c r="R114" s="36"/>
    </row>
    <row r="115" spans="1:18" x14ac:dyDescent="0.25">
      <c r="A115" s="467" t="s">
        <v>605</v>
      </c>
      <c r="B115" s="85">
        <v>466</v>
      </c>
      <c r="C115" s="41">
        <f>ROUND('Biomass Data Assumptions'!$B$71/1000*B115,0)</f>
        <v>186</v>
      </c>
      <c r="D115" s="41">
        <f>'Biomass Data Assumptions'!$C$71*C115</f>
        <v>3190830</v>
      </c>
      <c r="E115" s="41">
        <f>('Biomass Data Assumptions'!$D$71*'Energy Content Assumptions'!$C$55*D115)/2000</f>
        <v>79.770750000000007</v>
      </c>
      <c r="F115" s="41">
        <f>'Biomass Data Assumptions'!$E$71*B115*365/2000</f>
        <v>0</v>
      </c>
      <c r="G115" s="41">
        <f>F115+E115</f>
        <v>79.770750000000007</v>
      </c>
      <c r="H115" s="457"/>
      <c r="I115" s="36"/>
      <c r="J115" s="41"/>
      <c r="K115" s="41"/>
      <c r="L115" s="41"/>
      <c r="M115" s="41"/>
      <c r="N115" s="36"/>
      <c r="O115" s="36"/>
      <c r="P115" s="36"/>
      <c r="Q115" s="36"/>
      <c r="R115" s="36"/>
    </row>
    <row r="116" spans="1:18" x14ac:dyDescent="0.25">
      <c r="A116" s="46"/>
      <c r="B116" s="41"/>
      <c r="C116" s="41"/>
      <c r="D116" s="41"/>
      <c r="E116" s="41"/>
      <c r="F116" s="41"/>
      <c r="G116" s="41"/>
      <c r="H116" s="457"/>
      <c r="I116" s="36"/>
      <c r="J116" s="41"/>
      <c r="K116" s="41"/>
      <c r="L116" s="41"/>
      <c r="M116" s="41"/>
      <c r="N116" s="36"/>
      <c r="O116" s="36"/>
      <c r="P116" s="36"/>
      <c r="Q116" s="36"/>
      <c r="R116" s="36"/>
    </row>
    <row r="117" spans="1:18" x14ac:dyDescent="0.25">
      <c r="A117" s="43" t="s">
        <v>551</v>
      </c>
      <c r="B117" s="85">
        <f>1419+4931+8358</f>
        <v>14708</v>
      </c>
      <c r="C117" s="41">
        <f>ROUND('Biomass Data Assumptions'!B72/1000*B117,0)</f>
        <v>74</v>
      </c>
      <c r="D117" s="41">
        <f>'Biomass Data Assumptions'!C72*C117</f>
        <v>1350500</v>
      </c>
      <c r="E117" s="41">
        <f>('Biomass Data Assumptions'!D72*'Energy Content Assumptions'!C56*D117)/2000</f>
        <v>131.67375000000001</v>
      </c>
      <c r="F117" s="41">
        <f>'Biomass Data Assumptions'!E72*B117*365/2000</f>
        <v>0</v>
      </c>
      <c r="G117" s="41">
        <f>F117+E117</f>
        <v>131.67375000000001</v>
      </c>
      <c r="H117" s="36"/>
      <c r="I117" s="36"/>
      <c r="J117" s="41"/>
      <c r="K117" s="41"/>
      <c r="L117" s="41"/>
      <c r="M117" s="41"/>
      <c r="N117" s="36"/>
      <c r="O117" s="36"/>
      <c r="P117" s="36"/>
      <c r="Q117" s="36"/>
      <c r="R117" s="36"/>
    </row>
    <row r="118" spans="1:18" x14ac:dyDescent="0.25">
      <c r="A118" s="43"/>
      <c r="B118" s="41"/>
      <c r="C118" s="41"/>
      <c r="D118" s="41"/>
      <c r="E118" s="41"/>
      <c r="F118" s="41"/>
      <c r="G118" s="41"/>
      <c r="H118" s="36"/>
      <c r="I118" s="36"/>
      <c r="J118" s="41"/>
      <c r="K118" s="41"/>
      <c r="L118" s="41"/>
      <c r="M118" s="41"/>
      <c r="N118" s="36"/>
      <c r="O118" s="36"/>
      <c r="P118" s="36"/>
      <c r="Q118" s="36"/>
      <c r="R118" s="36"/>
    </row>
    <row r="119" spans="1:18" x14ac:dyDescent="0.25">
      <c r="A119" s="43" t="s">
        <v>552</v>
      </c>
      <c r="B119" s="85">
        <v>530</v>
      </c>
      <c r="C119" s="41">
        <f>ROUND('Biomass Data Assumptions'!B73/1000*B119,0)</f>
        <v>11</v>
      </c>
      <c r="D119" s="41">
        <f>'Biomass Data Assumptions'!C73*C119</f>
        <v>148555</v>
      </c>
      <c r="E119" s="41">
        <f>('Biomass Data Assumptions'!D73*'Energy Content Assumptions'!C57*D119)/2000</f>
        <v>13.927031250000001</v>
      </c>
      <c r="F119" s="41">
        <f>'Biomass Data Assumptions'!E73*B119*365/2000</f>
        <v>9.6724999999999994</v>
      </c>
      <c r="G119" s="41">
        <f>F119+E119</f>
        <v>23.599531249999998</v>
      </c>
      <c r="H119" s="36"/>
      <c r="I119" s="36"/>
      <c r="J119" s="41"/>
      <c r="K119" s="41"/>
      <c r="L119" s="41"/>
      <c r="M119" s="41"/>
      <c r="N119" s="36"/>
      <c r="O119" s="36"/>
      <c r="P119" s="36"/>
      <c r="Q119" s="36"/>
      <c r="R119" s="36"/>
    </row>
    <row r="120" spans="1:18" x14ac:dyDescent="0.25">
      <c r="A120" s="43"/>
      <c r="B120" s="41"/>
      <c r="C120" s="41"/>
      <c r="D120" s="41"/>
      <c r="E120" s="41"/>
      <c r="F120" s="41"/>
      <c r="G120" s="41"/>
      <c r="H120" s="36"/>
      <c r="I120" s="36"/>
      <c r="J120" s="41"/>
      <c r="K120" s="41"/>
      <c r="L120" s="41"/>
      <c r="M120" s="41"/>
      <c r="N120" s="36"/>
      <c r="O120" s="36"/>
      <c r="P120" s="36"/>
      <c r="Q120" s="36"/>
      <c r="R120" s="36"/>
    </row>
    <row r="121" spans="1:18" x14ac:dyDescent="0.25">
      <c r="A121" s="43" t="s">
        <v>553</v>
      </c>
      <c r="B121" s="86">
        <f t="shared" ref="B121:G121" si="15">B97+B104+B106+B108+B110+B115+B117+B119</f>
        <v>29118</v>
      </c>
      <c r="C121" s="48">
        <f t="shared" si="15"/>
        <v>10273</v>
      </c>
      <c r="D121" s="48">
        <f t="shared" si="15"/>
        <v>310151997.5</v>
      </c>
      <c r="E121" s="48">
        <f t="shared" si="15"/>
        <v>10150.735318749999</v>
      </c>
      <c r="F121" s="48">
        <f t="shared" si="15"/>
        <v>17049.88</v>
      </c>
      <c r="G121" s="48">
        <f t="shared" si="15"/>
        <v>27200.615318750002</v>
      </c>
      <c r="H121" s="36"/>
      <c r="I121" s="36"/>
      <c r="J121" s="48"/>
      <c r="K121" s="48"/>
      <c r="L121" s="48"/>
      <c r="M121" s="48"/>
      <c r="N121" s="36"/>
      <c r="O121" s="36"/>
      <c r="P121" s="36"/>
      <c r="Q121" s="36"/>
      <c r="R121" s="36"/>
    </row>
    <row r="122" spans="1:18" x14ac:dyDescent="0.25">
      <c r="A122" s="36"/>
      <c r="B122" s="36"/>
      <c r="C122" s="36"/>
      <c r="D122" s="36"/>
      <c r="E122" s="36"/>
      <c r="F122" s="36"/>
      <c r="G122" s="36"/>
      <c r="H122" s="36"/>
      <c r="I122" s="36"/>
      <c r="J122" s="36"/>
      <c r="K122" s="36"/>
      <c r="L122" s="36"/>
      <c r="M122" s="36"/>
      <c r="N122" s="36"/>
      <c r="O122" s="36"/>
      <c r="P122" s="36"/>
      <c r="Q122" s="36"/>
      <c r="R122" s="36"/>
    </row>
    <row r="123" spans="1:18" x14ac:dyDescent="0.25">
      <c r="A123" s="49" t="s">
        <v>1014</v>
      </c>
      <c r="B123" s="49" t="s">
        <v>1043</v>
      </c>
      <c r="C123" s="49" t="s">
        <v>1044</v>
      </c>
      <c r="D123" s="547" t="s">
        <v>1013</v>
      </c>
      <c r="E123" s="36"/>
      <c r="F123" s="36"/>
      <c r="G123" s="36"/>
      <c r="H123" s="36"/>
      <c r="I123" s="36"/>
      <c r="J123" s="36"/>
      <c r="K123" s="36"/>
      <c r="L123" s="36"/>
      <c r="M123" s="36"/>
      <c r="N123" s="36"/>
      <c r="O123" s="36"/>
      <c r="P123" s="36"/>
      <c r="Q123" s="36"/>
      <c r="R123" s="36"/>
    </row>
    <row r="124" spans="1:18" x14ac:dyDescent="0.25">
      <c r="A124" s="50" t="s">
        <v>555</v>
      </c>
      <c r="B124" s="87">
        <v>8084.57</v>
      </c>
      <c r="C124" s="543">
        <f>B124*'Energy Content Assumptions'!C33</f>
        <v>7276.1130000000003</v>
      </c>
      <c r="D124" s="36"/>
      <c r="E124" s="36"/>
      <c r="F124" s="36"/>
      <c r="G124" s="36"/>
      <c r="H124" s="36"/>
      <c r="I124" s="36"/>
      <c r="J124" s="36"/>
      <c r="K124" s="36"/>
      <c r="L124" s="36"/>
      <c r="M124" s="36"/>
      <c r="N124" s="36"/>
      <c r="O124" s="36"/>
      <c r="P124" s="36"/>
      <c r="Q124" s="36"/>
      <c r="R124" s="36"/>
    </row>
    <row r="125" spans="1:18" x14ac:dyDescent="0.25">
      <c r="A125" s="50" t="s">
        <v>556</v>
      </c>
      <c r="B125" s="87">
        <v>1975.2</v>
      </c>
      <c r="C125" s="543">
        <f>B125*'Energy Content Assumptions'!C34</f>
        <v>1777.68</v>
      </c>
      <c r="D125" s="36"/>
      <c r="E125" s="36"/>
      <c r="F125" s="36"/>
      <c r="G125" s="36"/>
      <c r="H125" s="36"/>
      <c r="I125" s="36"/>
      <c r="J125" s="36"/>
      <c r="K125" s="36"/>
      <c r="L125" s="36"/>
      <c r="M125" s="36"/>
      <c r="N125" s="36"/>
      <c r="O125" s="36"/>
      <c r="P125" s="36"/>
      <c r="Q125" s="36"/>
      <c r="R125" s="36"/>
    </row>
    <row r="126" spans="1:18" x14ac:dyDescent="0.25">
      <c r="A126" s="50" t="s">
        <v>557</v>
      </c>
      <c r="B126" s="87">
        <v>4311.8599999999997</v>
      </c>
      <c r="C126" s="543">
        <f>B126*'Energy Content Assumptions'!C35</f>
        <v>3880.674</v>
      </c>
      <c r="D126" s="36"/>
      <c r="E126" s="36"/>
      <c r="F126" s="36"/>
      <c r="G126" s="36"/>
      <c r="H126" s="36"/>
      <c r="I126" s="36"/>
      <c r="J126" s="36"/>
      <c r="K126" s="36"/>
      <c r="L126" s="36"/>
      <c r="M126" s="36"/>
      <c r="N126" s="36"/>
      <c r="O126" s="36"/>
      <c r="P126" s="36"/>
      <c r="Q126" s="36"/>
      <c r="R126" s="36"/>
    </row>
    <row r="127" spans="1:18" x14ac:dyDescent="0.25">
      <c r="A127" s="50" t="s">
        <v>558</v>
      </c>
      <c r="B127" s="87">
        <v>1987.35</v>
      </c>
      <c r="C127" s="543">
        <f>B127*'Energy Content Assumptions'!C36</f>
        <v>1788.615</v>
      </c>
      <c r="D127" s="36"/>
      <c r="E127" s="36"/>
      <c r="F127" s="36"/>
      <c r="G127" s="36"/>
      <c r="H127" s="36"/>
      <c r="I127" s="36"/>
      <c r="J127" s="36"/>
      <c r="K127" s="36"/>
      <c r="L127" s="36"/>
      <c r="M127" s="36"/>
      <c r="N127" s="36"/>
      <c r="O127" s="36"/>
      <c r="P127" s="36"/>
      <c r="Q127" s="36"/>
      <c r="R127" s="36"/>
    </row>
    <row r="128" spans="1:18" x14ac:dyDescent="0.25">
      <c r="A128" s="50" t="s">
        <v>559</v>
      </c>
      <c r="B128" s="87">
        <v>4428.51</v>
      </c>
      <c r="C128" s="543">
        <f>B128*'Energy Content Assumptions'!C21</f>
        <v>2214.2550000000001</v>
      </c>
      <c r="D128" s="36"/>
      <c r="E128" s="36"/>
      <c r="F128" s="36"/>
      <c r="G128" s="36"/>
      <c r="H128" s="36"/>
      <c r="I128" s="36"/>
      <c r="J128" s="36"/>
      <c r="K128" s="36"/>
      <c r="L128" s="36"/>
      <c r="M128" s="36"/>
      <c r="N128" s="36"/>
      <c r="O128" s="36"/>
      <c r="P128" s="36"/>
      <c r="Q128" s="36"/>
      <c r="R128" s="36"/>
    </row>
    <row r="129" spans="1:18" x14ac:dyDescent="0.25">
      <c r="A129" s="50" t="s">
        <v>560</v>
      </c>
      <c r="B129" s="87">
        <v>147.38999999999999</v>
      </c>
      <c r="C129" s="543">
        <f>B129*'Energy Content Assumptions'!C22</f>
        <v>49.129999999999995</v>
      </c>
      <c r="D129" s="36"/>
      <c r="E129" s="36"/>
      <c r="F129" s="36"/>
      <c r="G129" s="36"/>
      <c r="H129" s="36"/>
      <c r="I129" s="36"/>
      <c r="J129" s="36"/>
      <c r="K129" s="36"/>
      <c r="L129" s="36"/>
      <c r="M129" s="36"/>
      <c r="N129" s="36"/>
      <c r="O129" s="36"/>
      <c r="P129" s="36"/>
      <c r="Q129" s="36"/>
      <c r="R129" s="36"/>
    </row>
    <row r="130" spans="1:18" x14ac:dyDescent="0.25">
      <c r="A130" s="50" t="s">
        <v>561</v>
      </c>
      <c r="B130" s="87">
        <v>2452.33</v>
      </c>
      <c r="C130" s="543">
        <f>B130*'Energy Content Assumptions'!C23</f>
        <v>817.44333333333327</v>
      </c>
      <c r="D130" s="36"/>
      <c r="E130" s="36"/>
      <c r="F130" s="36"/>
      <c r="G130" s="36"/>
      <c r="H130" s="36"/>
      <c r="I130" s="36"/>
      <c r="J130" s="36"/>
      <c r="K130" s="36"/>
      <c r="L130" s="36"/>
      <c r="M130" s="36"/>
      <c r="N130" s="36"/>
      <c r="O130" s="36"/>
      <c r="P130" s="36"/>
      <c r="Q130" s="36"/>
      <c r="R130" s="36"/>
    </row>
    <row r="131" spans="1:18" x14ac:dyDescent="0.25">
      <c r="A131" s="50" t="s">
        <v>562</v>
      </c>
      <c r="B131" s="87">
        <v>2633.32</v>
      </c>
      <c r="C131" s="543">
        <f>B131*'Energy Content Assumptions'!C24</f>
        <v>1316.66</v>
      </c>
      <c r="D131" s="36"/>
      <c r="E131" s="36"/>
      <c r="F131" s="36"/>
      <c r="G131" s="36"/>
      <c r="H131" s="36"/>
      <c r="I131" s="36"/>
      <c r="J131" s="36"/>
      <c r="K131" s="36"/>
      <c r="L131" s="36"/>
      <c r="M131" s="36"/>
      <c r="N131" s="36"/>
      <c r="O131" s="36"/>
      <c r="P131" s="36"/>
      <c r="Q131" s="36"/>
      <c r="R131" s="36"/>
    </row>
    <row r="132" spans="1:18" x14ac:dyDescent="0.25">
      <c r="A132" s="50" t="s">
        <v>563</v>
      </c>
      <c r="B132" s="87">
        <v>905.14</v>
      </c>
      <c r="C132" s="543">
        <f>B132*'Energy Content Assumptions'!C31</f>
        <v>226.285</v>
      </c>
      <c r="D132" s="36"/>
      <c r="E132" s="36"/>
      <c r="F132" s="36"/>
      <c r="G132" s="36"/>
      <c r="H132" s="36"/>
      <c r="I132" s="36"/>
      <c r="J132" s="36"/>
      <c r="K132" s="36"/>
      <c r="L132" s="36"/>
      <c r="M132" s="36"/>
      <c r="N132" s="36"/>
      <c r="O132" s="36"/>
      <c r="P132" s="36"/>
      <c r="Q132" s="36"/>
      <c r="R132" s="36"/>
    </row>
    <row r="133" spans="1:18" x14ac:dyDescent="0.25">
      <c r="A133" s="50" t="s">
        <v>564</v>
      </c>
      <c r="B133" s="87">
        <v>48.03</v>
      </c>
      <c r="C133" s="543">
        <f>B133*'Energy Content Assumptions'!C19</f>
        <v>43.227000000000004</v>
      </c>
      <c r="D133" s="36"/>
      <c r="E133" s="36"/>
      <c r="F133" s="36"/>
      <c r="G133" s="36"/>
      <c r="H133" s="36"/>
      <c r="I133" s="36"/>
      <c r="J133" s="36"/>
      <c r="K133" s="36"/>
      <c r="L133" s="36"/>
      <c r="M133" s="36"/>
      <c r="N133" s="36"/>
      <c r="O133" s="36"/>
      <c r="P133" s="36"/>
      <c r="Q133" s="36"/>
      <c r="R133" s="36"/>
    </row>
    <row r="134" spans="1:18" x14ac:dyDescent="0.25">
      <c r="A134" s="50" t="s">
        <v>565</v>
      </c>
      <c r="B134" s="87">
        <v>826.92</v>
      </c>
      <c r="C134" s="543">
        <f>B134*'Energy Content Assumptions'!C32</f>
        <v>661.53600000000006</v>
      </c>
      <c r="D134" s="36"/>
      <c r="E134" s="36"/>
      <c r="F134" s="36"/>
      <c r="G134" s="36"/>
      <c r="H134" s="36"/>
      <c r="I134" s="36"/>
      <c r="J134" s="36"/>
      <c r="K134" s="36"/>
      <c r="L134" s="36"/>
      <c r="M134" s="36"/>
      <c r="N134" s="36"/>
      <c r="O134" s="36"/>
      <c r="P134" s="36"/>
      <c r="Q134" s="36"/>
      <c r="R134" s="36"/>
    </row>
    <row r="135" spans="1:18" x14ac:dyDescent="0.25">
      <c r="A135" s="36"/>
      <c r="B135" s="36"/>
      <c r="C135" s="36"/>
      <c r="D135" s="36"/>
      <c r="E135" s="36"/>
      <c r="F135" s="36"/>
      <c r="G135" s="36"/>
      <c r="H135" s="36"/>
      <c r="I135" s="36"/>
      <c r="J135" s="36"/>
      <c r="K135" s="36"/>
      <c r="L135" s="36"/>
      <c r="M135" s="36"/>
      <c r="N135" s="36"/>
      <c r="O135" s="36"/>
      <c r="P135" s="36"/>
      <c r="Q135" s="36"/>
      <c r="R135" s="36"/>
    </row>
    <row r="136" spans="1:18" x14ac:dyDescent="0.25">
      <c r="A136" s="49" t="s">
        <v>462</v>
      </c>
      <c r="B136" s="49" t="s">
        <v>1039</v>
      </c>
      <c r="C136" s="49" t="s">
        <v>1040</v>
      </c>
      <c r="D136" s="36"/>
      <c r="E136" s="36"/>
      <c r="F136" s="36"/>
      <c r="G136" s="36"/>
      <c r="H136" s="36"/>
      <c r="I136" s="36"/>
      <c r="J136" s="36"/>
      <c r="K136" s="36"/>
      <c r="L136" s="36"/>
      <c r="M136" s="36"/>
      <c r="N136" s="36"/>
      <c r="O136" s="36"/>
      <c r="P136" s="36"/>
      <c r="Q136" s="36"/>
      <c r="R136" s="36"/>
    </row>
    <row r="137" spans="1:18" x14ac:dyDescent="0.25">
      <c r="A137" s="50" t="s">
        <v>211</v>
      </c>
      <c r="B137" s="87">
        <f>'Biomass Data Assumptions'!$M$25</f>
        <v>113829.62</v>
      </c>
      <c r="C137" s="544"/>
      <c r="D137" s="546" t="s">
        <v>1016</v>
      </c>
      <c r="E137" s="36"/>
      <c r="F137" s="36"/>
      <c r="G137" s="36"/>
      <c r="H137" s="36"/>
      <c r="I137" s="36"/>
      <c r="J137" s="36"/>
      <c r="K137" s="36"/>
      <c r="L137" s="36"/>
      <c r="M137" s="36"/>
      <c r="N137" s="36"/>
      <c r="O137" s="36"/>
      <c r="P137" s="36"/>
      <c r="Q137" s="36"/>
      <c r="R137" s="36"/>
    </row>
    <row r="138" spans="1:18" x14ac:dyDescent="0.25">
      <c r="A138" s="50" t="s">
        <v>208</v>
      </c>
      <c r="B138" s="87">
        <f>'Biomass Data Assumptions'!$F$25</f>
        <v>78280.75</v>
      </c>
      <c r="C138" s="543">
        <f>B138*'Energy Content Assumptions'!$C$28</f>
        <v>39140.375</v>
      </c>
      <c r="D138" s="546" t="s">
        <v>1016</v>
      </c>
      <c r="E138" s="36"/>
      <c r="F138" s="36"/>
      <c r="G138" s="36"/>
      <c r="H138" s="36"/>
      <c r="I138" s="36"/>
      <c r="J138" s="36"/>
      <c r="K138" s="36"/>
      <c r="L138" s="36"/>
      <c r="M138" s="36"/>
      <c r="N138" s="36"/>
      <c r="O138" s="36"/>
      <c r="P138" s="36"/>
      <c r="Q138" s="36"/>
      <c r="R138" s="36"/>
    </row>
    <row r="139" spans="1:18" x14ac:dyDescent="0.25">
      <c r="A139" s="50" t="s">
        <v>209</v>
      </c>
      <c r="B139" s="87">
        <f>'Biomass Data Assumptions'!$H$25</f>
        <v>2975.8</v>
      </c>
      <c r="C139" s="543"/>
      <c r="D139" s="36" t="s">
        <v>1020</v>
      </c>
      <c r="E139" s="36"/>
      <c r="F139" s="36"/>
      <c r="G139" s="36"/>
      <c r="H139" s="36"/>
      <c r="I139" s="36"/>
      <c r="J139" s="36"/>
      <c r="K139" s="36"/>
      <c r="L139" s="36"/>
      <c r="M139" s="36"/>
      <c r="N139" s="36"/>
      <c r="O139" s="36"/>
      <c r="P139" s="36"/>
      <c r="Q139" s="36"/>
      <c r="R139" s="36"/>
    </row>
    <row r="140" spans="1:18" x14ac:dyDescent="0.25">
      <c r="A140" s="50" t="s">
        <v>210</v>
      </c>
      <c r="B140" s="87">
        <f>'Biomass Data Assumptions'!$I$25</f>
        <v>75304.95</v>
      </c>
      <c r="C140" s="543">
        <f>B140*'Energy Content Assumptions'!$C$28</f>
        <v>37652.474999999999</v>
      </c>
      <c r="D140" s="36" t="s">
        <v>1021</v>
      </c>
      <c r="E140" s="36"/>
      <c r="F140" s="36"/>
      <c r="G140" s="36"/>
      <c r="H140" s="36"/>
      <c r="I140" s="36"/>
      <c r="J140" s="36"/>
      <c r="K140" s="36"/>
      <c r="L140" s="36"/>
      <c r="M140" s="36"/>
      <c r="N140" s="36"/>
      <c r="O140" s="36"/>
      <c r="P140" s="36"/>
      <c r="Q140" s="36"/>
      <c r="R140" s="36"/>
    </row>
    <row r="141" spans="1:18" x14ac:dyDescent="0.25">
      <c r="A141" s="50" t="str">
        <f>'Bioenergy Calculator'!B35</f>
        <v>Food waste, Landfilled</v>
      </c>
      <c r="B141" s="87">
        <f>IF('Bioenergy Calculator'!H75="No",'Biomass Data Assumptions'!J25,'Biomass Data Assumptions'!F25*'Biomass Data Assumptions'!I41)</f>
        <v>11913.24309</v>
      </c>
      <c r="C141" s="543">
        <f>B141*'Energy Content Assumptions'!C26</f>
        <v>3573.9729269999998</v>
      </c>
      <c r="D141" s="36" t="s">
        <v>1063</v>
      </c>
      <c r="E141" s="36"/>
      <c r="F141" s="36"/>
      <c r="G141" s="36"/>
      <c r="H141" s="36"/>
      <c r="I141" s="36"/>
      <c r="J141" s="36"/>
      <c r="K141" s="36"/>
      <c r="L141" s="36"/>
      <c r="M141" s="36"/>
      <c r="N141" s="36"/>
      <c r="O141" s="36"/>
      <c r="P141" s="36"/>
      <c r="Q141" s="36"/>
      <c r="R141" s="36"/>
    </row>
    <row r="142" spans="1:18" x14ac:dyDescent="0.25">
      <c r="A142" s="50" t="str">
        <f>'Bioenergy Calculator'!B36</f>
        <v>Waste paper, Landfilled</v>
      </c>
      <c r="B142" s="87">
        <f>IF('Bioenergy Calculator'!H75="No",'Biomass Data Assumptions'!K25,'Biomass Data Assumptions'!F25*'Biomass Data Assumptions'!I42)</f>
        <v>14646.812775</v>
      </c>
      <c r="C142" s="543">
        <f>B142*'Energy Content Assumptions'!C27</f>
        <v>13182.1314975</v>
      </c>
      <c r="D142" s="36" t="s">
        <v>1063</v>
      </c>
      <c r="E142" s="36"/>
      <c r="F142" s="36"/>
      <c r="G142" s="36"/>
      <c r="H142" s="36"/>
      <c r="I142" s="36"/>
      <c r="J142" s="36"/>
      <c r="K142" s="36"/>
      <c r="L142" s="36"/>
      <c r="M142" s="36"/>
      <c r="N142" s="36"/>
      <c r="O142" s="36"/>
      <c r="P142" s="36"/>
      <c r="Q142" s="36"/>
      <c r="R142" s="36"/>
    </row>
    <row r="143" spans="1:18" x14ac:dyDescent="0.25">
      <c r="A143" s="50" t="str">
        <f>'Bioenergy Calculator'!B37</f>
        <v>Other Biomass, Landfilled</v>
      </c>
      <c r="B143" s="87">
        <f>IF('Bioenergy Calculator'!H75="No",'Biomass Data Assumptions'!L25,'Biomass Data Assumptions'!F25*'Biomass Data Assumptions'!I43)</f>
        <v>20279.623034999997</v>
      </c>
      <c r="C143" s="543">
        <f>B143*'Energy Content Assumptions'!$C$28</f>
        <v>10139.811517499998</v>
      </c>
      <c r="D143" s="546" t="s">
        <v>1064</v>
      </c>
      <c r="E143" s="36"/>
      <c r="F143" s="36"/>
      <c r="G143" s="36"/>
      <c r="H143" s="36"/>
      <c r="I143" s="36"/>
      <c r="J143" s="36"/>
      <c r="K143" s="36"/>
      <c r="L143" s="36"/>
      <c r="M143" s="36"/>
      <c r="N143" s="36"/>
      <c r="O143" s="36"/>
      <c r="P143" s="36"/>
      <c r="Q143" s="36"/>
      <c r="R143" s="36"/>
    </row>
    <row r="144" spans="1:18" x14ac:dyDescent="0.25">
      <c r="A144" s="50" t="s">
        <v>463</v>
      </c>
      <c r="B144" s="87">
        <v>11007.95</v>
      </c>
      <c r="C144" s="543">
        <f>B144*'Energy Content Assumptions'!C29</f>
        <v>8806.36</v>
      </c>
      <c r="D144" s="151" t="s">
        <v>206</v>
      </c>
      <c r="E144" s="36"/>
      <c r="F144" s="36"/>
      <c r="G144" s="36"/>
      <c r="H144" s="36"/>
      <c r="I144" s="36"/>
      <c r="J144" s="36"/>
      <c r="K144" s="36"/>
      <c r="L144" s="36"/>
      <c r="M144" s="36"/>
      <c r="N144" s="36"/>
      <c r="O144" s="36"/>
      <c r="P144" s="36"/>
      <c r="Q144" s="36"/>
      <c r="R144" s="36"/>
    </row>
    <row r="145" spans="1:18" x14ac:dyDescent="0.25">
      <c r="A145" s="709" t="s">
        <v>179</v>
      </c>
      <c r="B145" s="710">
        <v>0.4</v>
      </c>
      <c r="C145" s="543">
        <f>C144*B145</f>
        <v>3522.5440000000003</v>
      </c>
      <c r="D145" s="36" t="s">
        <v>1202</v>
      </c>
      <c r="E145" s="36"/>
      <c r="F145" s="36"/>
      <c r="G145" s="36"/>
      <c r="H145" s="36"/>
      <c r="I145" s="36"/>
      <c r="J145" s="36"/>
      <c r="K145" s="36"/>
      <c r="L145" s="36"/>
      <c r="M145" s="36"/>
      <c r="N145" s="36"/>
      <c r="O145" s="36"/>
      <c r="P145" s="36"/>
      <c r="Q145" s="36"/>
      <c r="R145" s="36"/>
    </row>
    <row r="146" spans="1:18" x14ac:dyDescent="0.25">
      <c r="A146" s="712"/>
      <c r="B146" s="713"/>
      <c r="C146" s="543"/>
      <c r="D146" s="150" t="s">
        <v>1553</v>
      </c>
      <c r="E146" s="36"/>
      <c r="F146" s="36"/>
      <c r="G146" s="36"/>
      <c r="H146" s="36"/>
      <c r="I146" s="36"/>
      <c r="J146" s="36"/>
      <c r="K146" s="36"/>
      <c r="L146" s="36"/>
      <c r="M146" s="36"/>
      <c r="N146" s="36"/>
      <c r="O146" s="36"/>
      <c r="P146" s="36"/>
      <c r="Q146" s="36"/>
      <c r="R146" s="36"/>
    </row>
    <row r="147" spans="1:18" x14ac:dyDescent="0.25">
      <c r="A147" s="1238" t="s">
        <v>1568</v>
      </c>
      <c r="B147" s="49" t="s">
        <v>1039</v>
      </c>
      <c r="C147" s="49" t="s">
        <v>1571</v>
      </c>
      <c r="D147" s="150"/>
      <c r="E147" s="36"/>
      <c r="F147" s="36"/>
      <c r="G147" s="36"/>
      <c r="H147" s="36"/>
      <c r="I147" s="36"/>
      <c r="J147" s="36"/>
      <c r="K147" s="36"/>
      <c r="L147" s="36"/>
      <c r="M147" s="36"/>
      <c r="N147" s="36"/>
      <c r="O147" s="36"/>
      <c r="P147" s="36"/>
      <c r="Q147" s="36"/>
      <c r="R147" s="36"/>
    </row>
    <row r="148" spans="1:18" x14ac:dyDescent="0.25">
      <c r="A148" s="1236" t="s">
        <v>508</v>
      </c>
      <c r="B148" s="549">
        <f>'Biomass Data Assumptions'!R25/2000</f>
        <v>656.76599999999996</v>
      </c>
      <c r="C148" s="1239">
        <f>B148*'Energy Content Assumptions'!C39</f>
        <v>558.25109999999995</v>
      </c>
      <c r="D148" s="150" t="s">
        <v>1569</v>
      </c>
      <c r="E148" s="36"/>
      <c r="F148" s="36"/>
      <c r="G148" s="36"/>
      <c r="H148" s="36"/>
      <c r="I148" s="36"/>
      <c r="J148" s="36"/>
      <c r="K148" s="36"/>
      <c r="L148" s="36"/>
      <c r="M148" s="36"/>
      <c r="N148" s="36"/>
      <c r="O148" s="36"/>
      <c r="P148" s="36"/>
      <c r="Q148" s="36"/>
      <c r="R148" s="36"/>
    </row>
    <row r="149" spans="1:18" x14ac:dyDescent="0.25">
      <c r="A149" s="1236" t="s">
        <v>509</v>
      </c>
      <c r="B149" s="549">
        <f>'Biomass Data Assumptions'!S25/2000</f>
        <v>997.83652499999994</v>
      </c>
      <c r="C149" s="1239">
        <f>B149*'Energy Content Assumptions'!C40</f>
        <v>49.891826250000001</v>
      </c>
      <c r="D149" s="150" t="s">
        <v>1570</v>
      </c>
      <c r="E149" s="36"/>
      <c r="F149" s="36"/>
      <c r="G149" s="36"/>
      <c r="H149" s="36"/>
      <c r="I149" s="36"/>
      <c r="J149" s="36"/>
      <c r="K149" s="36"/>
      <c r="L149" s="36"/>
      <c r="M149" s="36"/>
      <c r="N149" s="36"/>
      <c r="O149" s="36"/>
      <c r="P149" s="36"/>
      <c r="Q149" s="36"/>
      <c r="R149" s="36"/>
    </row>
    <row r="150" spans="1:18" x14ac:dyDescent="0.25">
      <c r="A150" s="36"/>
      <c r="B150" s="36"/>
      <c r="C150" s="36"/>
      <c r="D150" s="36"/>
      <c r="E150" s="36"/>
      <c r="F150" s="36"/>
      <c r="G150" s="36"/>
      <c r="H150" s="36"/>
      <c r="I150" s="36"/>
      <c r="J150" s="36"/>
      <c r="K150" s="36"/>
      <c r="L150" s="36"/>
      <c r="M150" s="36"/>
      <c r="N150" s="36"/>
      <c r="O150" s="36"/>
      <c r="P150" s="36"/>
      <c r="Q150" s="36"/>
      <c r="R150" s="36"/>
    </row>
    <row r="151" spans="1:18" x14ac:dyDescent="0.25">
      <c r="A151" s="36"/>
      <c r="B151" s="36"/>
      <c r="C151" s="36"/>
      <c r="D151" s="36"/>
      <c r="E151" s="36"/>
      <c r="F151" s="36"/>
      <c r="G151" s="36"/>
      <c r="H151" s="36"/>
      <c r="I151" s="36"/>
      <c r="J151" s="36"/>
      <c r="K151" s="36"/>
      <c r="L151" s="36"/>
      <c r="M151" s="36"/>
      <c r="N151" s="36"/>
      <c r="O151" s="36"/>
      <c r="P151" s="36"/>
      <c r="Q151" s="36"/>
      <c r="R151" s="36"/>
    </row>
    <row r="152" spans="1:18" x14ac:dyDescent="0.25">
      <c r="A152" s="36"/>
      <c r="B152" s="36"/>
      <c r="C152" s="36"/>
      <c r="D152" s="36"/>
      <c r="E152" s="36"/>
      <c r="F152" s="36"/>
      <c r="G152" s="36"/>
      <c r="H152" s="36"/>
      <c r="I152" s="36"/>
      <c r="J152" s="36"/>
      <c r="K152" s="36"/>
      <c r="L152" s="36"/>
      <c r="M152" s="36"/>
      <c r="N152" s="36"/>
      <c r="O152" s="36"/>
      <c r="P152" s="36"/>
      <c r="Q152" s="36"/>
      <c r="R152" s="36"/>
    </row>
    <row r="153" spans="1:18" x14ac:dyDescent="0.25">
      <c r="A153" s="36"/>
      <c r="B153" s="36"/>
      <c r="C153" s="36"/>
      <c r="D153" s="36"/>
      <c r="E153" s="36"/>
      <c r="F153" s="36"/>
      <c r="G153" s="36"/>
      <c r="H153" s="36"/>
      <c r="I153" s="36"/>
      <c r="J153" s="36"/>
      <c r="K153" s="36"/>
      <c r="L153" s="36"/>
      <c r="M153" s="36"/>
      <c r="N153" s="36"/>
      <c r="O153" s="36"/>
      <c r="P153" s="36"/>
      <c r="Q153" s="36"/>
      <c r="R153" s="36"/>
    </row>
    <row r="154" spans="1:18" x14ac:dyDescent="0.25">
      <c r="A154" s="36"/>
      <c r="B154" s="36"/>
      <c r="C154" s="36"/>
      <c r="D154" s="36"/>
      <c r="E154" s="36"/>
      <c r="F154" s="36"/>
      <c r="G154" s="36"/>
      <c r="H154" s="36"/>
      <c r="I154" s="36"/>
      <c r="J154" s="36"/>
      <c r="K154" s="36"/>
      <c r="L154" s="36"/>
      <c r="M154" s="36"/>
      <c r="N154" s="36"/>
      <c r="O154" s="36"/>
      <c r="P154" s="36"/>
      <c r="Q154" s="36"/>
      <c r="R154" s="36"/>
    </row>
    <row r="155" spans="1:18" x14ac:dyDescent="0.25">
      <c r="A155" s="36"/>
      <c r="B155" s="36"/>
      <c r="C155" s="36"/>
      <c r="D155" s="36"/>
      <c r="E155" s="36"/>
      <c r="F155" s="36"/>
      <c r="G155" s="36"/>
      <c r="H155" s="36"/>
      <c r="I155" s="36"/>
      <c r="J155" s="36"/>
      <c r="K155" s="36"/>
      <c r="L155" s="36"/>
      <c r="M155" s="36"/>
      <c r="N155" s="36"/>
      <c r="O155" s="36"/>
      <c r="P155" s="36"/>
      <c r="Q155" s="36"/>
      <c r="R155" s="36"/>
    </row>
    <row r="156" spans="1:18" x14ac:dyDescent="0.25">
      <c r="A156" s="36"/>
      <c r="B156" s="36"/>
      <c r="C156" s="36"/>
      <c r="D156" s="36"/>
      <c r="E156" s="36"/>
      <c r="F156" s="36"/>
      <c r="G156" s="36"/>
      <c r="H156" s="36"/>
      <c r="I156" s="36"/>
      <c r="J156" s="36"/>
      <c r="K156" s="36"/>
      <c r="L156" s="36"/>
      <c r="M156" s="36"/>
      <c r="N156" s="36"/>
      <c r="O156" s="36"/>
      <c r="P156" s="36"/>
      <c r="Q156" s="36"/>
      <c r="R156" s="36"/>
    </row>
    <row r="157" spans="1:18" x14ac:dyDescent="0.25">
      <c r="A157" s="36"/>
      <c r="B157" s="36"/>
      <c r="C157" s="36"/>
      <c r="D157" s="36"/>
      <c r="E157" s="36"/>
      <c r="F157" s="36"/>
      <c r="G157" s="36"/>
      <c r="H157" s="36"/>
      <c r="I157" s="36"/>
      <c r="J157" s="36"/>
      <c r="K157" s="36"/>
      <c r="L157" s="36"/>
      <c r="M157" s="36"/>
      <c r="N157" s="36"/>
      <c r="O157" s="36"/>
      <c r="P157" s="36"/>
      <c r="Q157" s="36"/>
      <c r="R157" s="36"/>
    </row>
    <row r="158" spans="1:18" x14ac:dyDescent="0.25">
      <c r="A158" s="36"/>
      <c r="B158" s="36"/>
      <c r="C158" s="36"/>
      <c r="D158" s="36"/>
      <c r="E158" s="36"/>
      <c r="F158" s="36"/>
      <c r="G158" s="36"/>
      <c r="H158" s="36"/>
      <c r="I158" s="36"/>
      <c r="J158" s="36"/>
      <c r="K158" s="36"/>
      <c r="L158" s="36"/>
      <c r="M158" s="36"/>
      <c r="N158" s="36"/>
      <c r="O158" s="36"/>
      <c r="P158" s="36"/>
      <c r="Q158" s="36"/>
      <c r="R158" s="36"/>
    </row>
    <row r="159" spans="1:18" x14ac:dyDescent="0.25">
      <c r="A159" s="36"/>
      <c r="B159" s="36"/>
      <c r="C159" s="36"/>
      <c r="D159" s="36"/>
      <c r="E159" s="36"/>
      <c r="F159" s="36"/>
      <c r="G159" s="36"/>
      <c r="H159" s="36"/>
      <c r="I159" s="36"/>
      <c r="J159" s="36"/>
      <c r="K159" s="36"/>
      <c r="L159" s="36"/>
      <c r="M159" s="36"/>
      <c r="N159" s="36"/>
      <c r="O159" s="36"/>
      <c r="P159" s="36"/>
      <c r="Q159" s="36"/>
      <c r="R159" s="36"/>
    </row>
    <row r="160" spans="1:18" x14ac:dyDescent="0.25">
      <c r="A160" s="36"/>
      <c r="B160" s="36"/>
      <c r="C160" s="36"/>
      <c r="D160" s="36"/>
      <c r="E160" s="36"/>
      <c r="F160" s="36"/>
      <c r="G160" s="36"/>
      <c r="H160" s="36"/>
      <c r="I160" s="36"/>
      <c r="J160" s="36"/>
      <c r="K160" s="36"/>
      <c r="L160" s="36"/>
      <c r="M160" s="36"/>
      <c r="N160" s="36"/>
      <c r="O160" s="36"/>
      <c r="P160" s="36"/>
      <c r="Q160" s="36"/>
      <c r="R160" s="36"/>
    </row>
    <row r="161" spans="1:18" x14ac:dyDescent="0.25">
      <c r="A161" s="36"/>
      <c r="B161" s="36"/>
      <c r="C161" s="36"/>
      <c r="D161" s="36"/>
      <c r="E161" s="36"/>
      <c r="F161" s="36"/>
      <c r="G161" s="36"/>
      <c r="H161" s="36"/>
      <c r="I161" s="36"/>
      <c r="J161" s="36"/>
      <c r="K161" s="36"/>
      <c r="L161" s="36"/>
      <c r="M161" s="36"/>
      <c r="N161" s="36"/>
      <c r="O161" s="36"/>
      <c r="P161" s="36"/>
      <c r="Q161" s="36"/>
      <c r="R161" s="36"/>
    </row>
    <row r="162" spans="1:18" x14ac:dyDescent="0.25">
      <c r="A162" s="36"/>
      <c r="B162" s="36"/>
      <c r="C162" s="36"/>
      <c r="D162" s="36"/>
      <c r="E162" s="36"/>
      <c r="F162" s="36"/>
      <c r="G162" s="36"/>
      <c r="H162" s="36"/>
      <c r="I162" s="36"/>
      <c r="J162" s="36"/>
      <c r="K162" s="36"/>
      <c r="L162" s="36"/>
      <c r="M162" s="36"/>
      <c r="N162" s="36"/>
      <c r="O162" s="36"/>
      <c r="P162" s="36"/>
      <c r="Q162" s="36"/>
      <c r="R162" s="36"/>
    </row>
    <row r="163" spans="1:18" x14ac:dyDescent="0.25">
      <c r="A163" s="36"/>
      <c r="B163" s="36"/>
      <c r="C163" s="36"/>
      <c r="D163" s="36"/>
      <c r="E163" s="36"/>
      <c r="F163" s="36"/>
      <c r="G163" s="36"/>
      <c r="H163" s="36"/>
      <c r="I163" s="36"/>
      <c r="J163" s="36"/>
      <c r="K163" s="36"/>
      <c r="L163" s="36"/>
      <c r="M163" s="36"/>
      <c r="N163" s="36"/>
      <c r="O163" s="36"/>
      <c r="P163" s="36"/>
      <c r="Q163" s="36"/>
      <c r="R163" s="36"/>
    </row>
    <row r="164" spans="1:18" x14ac:dyDescent="0.25">
      <c r="A164" s="36"/>
      <c r="B164" s="36"/>
      <c r="C164" s="36"/>
      <c r="D164" s="36"/>
      <c r="E164" s="36"/>
      <c r="F164" s="36"/>
      <c r="G164" s="36"/>
      <c r="H164" s="36"/>
      <c r="I164" s="36"/>
      <c r="J164" s="36"/>
      <c r="K164" s="36"/>
      <c r="L164" s="36"/>
      <c r="M164" s="36"/>
      <c r="N164" s="36"/>
      <c r="O164" s="36"/>
      <c r="P164" s="36"/>
      <c r="Q164" s="36"/>
      <c r="R164" s="36"/>
    </row>
    <row r="165" spans="1:18" x14ac:dyDescent="0.25">
      <c r="A165" s="36"/>
      <c r="B165" s="36"/>
      <c r="C165" s="36"/>
      <c r="D165" s="36"/>
      <c r="E165" s="36"/>
      <c r="F165" s="36"/>
      <c r="G165" s="36"/>
      <c r="H165" s="36"/>
      <c r="I165" s="36"/>
      <c r="J165" s="36"/>
      <c r="K165" s="36"/>
      <c r="L165" s="36"/>
      <c r="M165" s="36"/>
      <c r="N165" s="36"/>
      <c r="O165" s="36"/>
      <c r="P165" s="36"/>
      <c r="Q165" s="36"/>
      <c r="R165" s="36"/>
    </row>
    <row r="166" spans="1:18" x14ac:dyDescent="0.25">
      <c r="A166" s="36"/>
      <c r="B166" s="36"/>
      <c r="C166" s="36"/>
      <c r="D166" s="36"/>
      <c r="E166" s="36"/>
      <c r="F166" s="36"/>
      <c r="G166" s="36"/>
      <c r="H166" s="36"/>
      <c r="I166" s="36"/>
      <c r="J166" s="36"/>
      <c r="K166" s="36"/>
      <c r="L166" s="36"/>
      <c r="M166" s="36"/>
      <c r="N166" s="36"/>
      <c r="O166" s="36"/>
      <c r="P166" s="36"/>
      <c r="Q166" s="36"/>
      <c r="R166" s="36"/>
    </row>
    <row r="167" spans="1:18" x14ac:dyDescent="0.25">
      <c r="A167" s="36"/>
      <c r="B167" s="36"/>
      <c r="C167" s="36"/>
      <c r="D167" s="36"/>
      <c r="E167" s="36"/>
      <c r="F167" s="36"/>
      <c r="G167" s="36"/>
      <c r="H167" s="36"/>
      <c r="I167" s="36"/>
      <c r="J167" s="36"/>
      <c r="K167" s="36"/>
      <c r="L167" s="36"/>
      <c r="M167" s="36"/>
      <c r="N167" s="36"/>
      <c r="O167" s="36"/>
      <c r="P167" s="36"/>
      <c r="Q167" s="36"/>
      <c r="R167" s="36"/>
    </row>
    <row r="168" spans="1:18" x14ac:dyDescent="0.25">
      <c r="A168" s="36"/>
      <c r="B168" s="36"/>
      <c r="C168" s="36"/>
      <c r="D168" s="36"/>
      <c r="E168" s="36"/>
      <c r="F168" s="36"/>
      <c r="G168" s="36"/>
      <c r="H168" s="36"/>
      <c r="I168" s="36"/>
      <c r="J168" s="36"/>
      <c r="K168" s="36"/>
      <c r="L168" s="36"/>
      <c r="M168" s="36"/>
      <c r="N168" s="36"/>
      <c r="O168" s="36"/>
      <c r="P168" s="36"/>
      <c r="Q168" s="36"/>
      <c r="R168" s="36"/>
    </row>
    <row r="169" spans="1:18" x14ac:dyDescent="0.25">
      <c r="A169" s="36"/>
      <c r="B169" s="36"/>
      <c r="C169" s="36"/>
      <c r="D169" s="36"/>
      <c r="E169" s="36"/>
      <c r="F169" s="36"/>
      <c r="G169" s="36"/>
      <c r="H169" s="36"/>
      <c r="I169" s="36"/>
      <c r="J169" s="36"/>
      <c r="K169" s="36"/>
      <c r="L169" s="36"/>
      <c r="M169" s="36"/>
      <c r="N169" s="36"/>
      <c r="O169" s="36"/>
      <c r="P169" s="36"/>
      <c r="Q169" s="36"/>
      <c r="R169" s="36"/>
    </row>
    <row r="170" spans="1:18" x14ac:dyDescent="0.25">
      <c r="A170" s="36"/>
      <c r="B170" s="36"/>
      <c r="C170" s="36"/>
      <c r="D170" s="36"/>
      <c r="E170" s="36"/>
      <c r="F170" s="36"/>
      <c r="G170" s="36"/>
      <c r="H170" s="36"/>
      <c r="I170" s="36"/>
      <c r="J170" s="36"/>
      <c r="K170" s="36"/>
      <c r="L170" s="36"/>
      <c r="M170" s="36"/>
      <c r="N170" s="36"/>
      <c r="O170" s="36"/>
      <c r="P170" s="36"/>
      <c r="Q170" s="36"/>
      <c r="R170" s="36"/>
    </row>
    <row r="171" spans="1:18" x14ac:dyDescent="0.25">
      <c r="P171" s="36"/>
      <c r="Q171" s="36"/>
      <c r="R171" s="36"/>
    </row>
    <row r="172" spans="1:18" x14ac:dyDescent="0.25">
      <c r="P172" s="36"/>
      <c r="Q172" s="36"/>
      <c r="R172" s="36"/>
    </row>
    <row r="173" spans="1:18" x14ac:dyDescent="0.25">
      <c r="P173" s="36"/>
      <c r="Q173" s="36"/>
      <c r="R173" s="36"/>
    </row>
    <row r="174" spans="1:18" x14ac:dyDescent="0.25">
      <c r="P174" s="36"/>
      <c r="Q174" s="36"/>
      <c r="R174" s="36"/>
    </row>
    <row r="175" spans="1:18" x14ac:dyDescent="0.25">
      <c r="P175" s="36"/>
      <c r="Q175" s="36"/>
      <c r="R175" s="36"/>
    </row>
    <row r="176" spans="1:18" x14ac:dyDescent="0.25">
      <c r="P176" s="36"/>
      <c r="Q176" s="36"/>
      <c r="R176" s="36"/>
    </row>
    <row r="177" spans="16:18" x14ac:dyDescent="0.25">
      <c r="P177" s="36"/>
      <c r="Q177" s="36"/>
      <c r="R177" s="36"/>
    </row>
    <row r="178" spans="16:18" x14ac:dyDescent="0.25">
      <c r="P178" s="36"/>
      <c r="Q178" s="36"/>
      <c r="R178" s="36"/>
    </row>
    <row r="179" spans="16:18" x14ac:dyDescent="0.25">
      <c r="P179" s="36"/>
      <c r="Q179" s="36"/>
      <c r="R179" s="36"/>
    </row>
    <row r="180" spans="16:18" x14ac:dyDescent="0.25">
      <c r="P180" s="36"/>
      <c r="Q180" s="36"/>
      <c r="R180" s="36"/>
    </row>
    <row r="181" spans="16:18" x14ac:dyDescent="0.25">
      <c r="P181" s="36"/>
      <c r="Q181" s="36"/>
      <c r="R181" s="36"/>
    </row>
    <row r="182" spans="16:18" x14ac:dyDescent="0.25">
      <c r="P182" s="36"/>
      <c r="Q182" s="36"/>
      <c r="R182" s="36"/>
    </row>
    <row r="183" spans="16:18" x14ac:dyDescent="0.25">
      <c r="P183" s="36"/>
      <c r="Q183" s="36"/>
      <c r="R183" s="36"/>
    </row>
    <row r="184" spans="16:18" x14ac:dyDescent="0.25">
      <c r="P184" s="36"/>
      <c r="Q184" s="36"/>
      <c r="R184" s="36"/>
    </row>
    <row r="185" spans="16:18" x14ac:dyDescent="0.25">
      <c r="P185" s="36"/>
      <c r="Q185" s="36"/>
      <c r="R185" s="36"/>
    </row>
    <row r="186" spans="16:18" x14ac:dyDescent="0.25">
      <c r="P186" s="36"/>
      <c r="Q186" s="36"/>
      <c r="R186" s="36"/>
    </row>
    <row r="187" spans="16:18" x14ac:dyDescent="0.25">
      <c r="P187" s="36"/>
      <c r="Q187" s="36"/>
      <c r="R187" s="36"/>
    </row>
    <row r="188" spans="16:18" x14ac:dyDescent="0.25">
      <c r="P188" s="36"/>
      <c r="Q188" s="36"/>
      <c r="R188" s="36"/>
    </row>
    <row r="189" spans="16:18" x14ac:dyDescent="0.25">
      <c r="P189" s="36"/>
      <c r="Q189" s="36"/>
      <c r="R189" s="36"/>
    </row>
    <row r="190" spans="16:18" x14ac:dyDescent="0.25">
      <c r="P190" s="36"/>
      <c r="Q190" s="36"/>
      <c r="R190" s="36"/>
    </row>
    <row r="191" spans="16:18" x14ac:dyDescent="0.25">
      <c r="P191" s="36"/>
      <c r="Q191" s="36"/>
      <c r="R191" s="36"/>
    </row>
    <row r="192" spans="16:18" x14ac:dyDescent="0.25">
      <c r="P192" s="36"/>
      <c r="Q192" s="36"/>
      <c r="R192" s="36"/>
    </row>
    <row r="193" spans="16:18" x14ac:dyDescent="0.25">
      <c r="P193" s="36"/>
      <c r="Q193" s="36"/>
      <c r="R193" s="36"/>
    </row>
    <row r="194" spans="16:18" x14ac:dyDescent="0.25">
      <c r="P194" s="36"/>
      <c r="Q194" s="36"/>
      <c r="R194" s="36"/>
    </row>
    <row r="195" spans="16:18" x14ac:dyDescent="0.25">
      <c r="P195" s="36"/>
      <c r="Q195" s="36"/>
      <c r="R195" s="36"/>
    </row>
    <row r="196" spans="16:18" x14ac:dyDescent="0.25">
      <c r="P196" s="36"/>
      <c r="Q196" s="36"/>
      <c r="R196" s="36"/>
    </row>
    <row r="197" spans="16:18" x14ac:dyDescent="0.25">
      <c r="P197" s="36"/>
      <c r="Q197" s="36"/>
      <c r="R197" s="36"/>
    </row>
    <row r="198" spans="16:18" x14ac:dyDescent="0.25">
      <c r="P198" s="36"/>
      <c r="Q198" s="36"/>
      <c r="R198" s="36"/>
    </row>
    <row r="199" spans="16:18" x14ac:dyDescent="0.25">
      <c r="P199" s="36"/>
      <c r="Q199" s="36"/>
      <c r="R199" s="36"/>
    </row>
  </sheetData>
  <mergeCells count="15">
    <mergeCell ref="A3:A4"/>
    <mergeCell ref="B3:B4"/>
    <mergeCell ref="C3:C4"/>
    <mergeCell ref="A51:A67"/>
    <mergeCell ref="A5:A11"/>
    <mergeCell ref="A13:A29"/>
    <mergeCell ref="A31:A43"/>
    <mergeCell ref="A45:A49"/>
    <mergeCell ref="I1:L1"/>
    <mergeCell ref="M1:P1"/>
    <mergeCell ref="Q3:Q4"/>
    <mergeCell ref="D3:D4"/>
    <mergeCell ref="I3:L3"/>
    <mergeCell ref="M3:P3"/>
    <mergeCell ref="E3:H3"/>
  </mergeCells>
  <phoneticPr fontId="0" type="noConversion"/>
  <pageMargins left="0.75" right="0.75" top="1" bottom="1" header="0.5" footer="0.5"/>
  <pageSetup paperSize="5" scale="50" orientation="landscape" r:id="rId1"/>
  <headerFooter alignWithMargins="0">
    <oddFooter>&amp;L&amp;"Arial,Italic" 7/02/07&amp;C&amp;"Arial,Italic"&amp;A&amp;R&amp;"Arial,Italic"NJAES Report 2007-1 ©2007
New Jersey Agricultural Experiment Station</oddFooter>
  </headerFooter>
  <ignoredErrors>
    <ignoredError sqref="D67" formula="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S199"/>
  <sheetViews>
    <sheetView topLeftCell="A107" zoomScale="70" zoomScaleNormal="70" workbookViewId="0">
      <selection activeCell="C147" sqref="C147"/>
    </sheetView>
  </sheetViews>
  <sheetFormatPr defaultColWidth="9.109375" defaultRowHeight="13.2" x14ac:dyDescent="0.25"/>
  <cols>
    <col min="1" max="1" width="28.6640625" style="5" customWidth="1"/>
    <col min="2" max="2" width="42.6640625" style="5" customWidth="1"/>
    <col min="3" max="3" width="23.6640625" style="5" customWidth="1"/>
    <col min="4" max="4" width="18.6640625" style="5" customWidth="1"/>
    <col min="5" max="16" width="14.6640625" style="5" customWidth="1"/>
    <col min="17" max="17" width="45.6640625" style="5" customWidth="1"/>
    <col min="18" max="18" width="34.44140625" style="5" customWidth="1"/>
    <col min="19" max="19" width="19.33203125" style="5" customWidth="1"/>
    <col min="20" max="20" width="14" style="5" customWidth="1"/>
    <col min="21" max="16384" width="9.109375" style="5"/>
  </cols>
  <sheetData>
    <row r="1" spans="1:17" ht="15.6" x14ac:dyDescent="0.3">
      <c r="A1" s="407" t="s">
        <v>572</v>
      </c>
      <c r="C1" s="411"/>
      <c r="E1" s="412" t="s">
        <v>433</v>
      </c>
      <c r="I1" s="1195" t="str">
        <f>'Bioenergy Calculator'!B3</f>
        <v>None</v>
      </c>
      <c r="J1" s="1195"/>
      <c r="K1" s="1195"/>
      <c r="L1" s="1196"/>
      <c r="M1" s="1195" t="str">
        <f>'Bioenergy Calculator'!B4</f>
        <v>None</v>
      </c>
      <c r="N1" s="1195"/>
      <c r="O1" s="1195"/>
      <c r="P1" s="1196"/>
    </row>
    <row r="3" spans="1:17" s="6" customFormat="1" ht="24.75" customHeight="1" x14ac:dyDescent="0.25">
      <c r="A3" s="1062" t="s">
        <v>567</v>
      </c>
      <c r="B3" s="1062" t="s">
        <v>506</v>
      </c>
      <c r="C3" s="1062" t="s">
        <v>1035</v>
      </c>
      <c r="D3" s="1062" t="s">
        <v>1051</v>
      </c>
      <c r="E3" s="1083" t="s">
        <v>523</v>
      </c>
      <c r="F3" s="1209"/>
      <c r="G3" s="1209"/>
      <c r="H3" s="1198"/>
      <c r="I3" s="1072" t="s">
        <v>275</v>
      </c>
      <c r="J3" s="1073"/>
      <c r="K3" s="1074"/>
      <c r="L3" s="1075"/>
      <c r="M3" s="1083" t="s">
        <v>274</v>
      </c>
      <c r="N3" s="1084"/>
      <c r="O3" s="1197"/>
      <c r="P3" s="1198"/>
      <c r="Q3" s="1060" t="s">
        <v>570</v>
      </c>
    </row>
    <row r="4" spans="1:17" s="6" customFormat="1" x14ac:dyDescent="0.25">
      <c r="A4" s="1063"/>
      <c r="B4" s="1063"/>
      <c r="C4" s="1063"/>
      <c r="D4" s="1071"/>
      <c r="E4" s="22">
        <v>2012</v>
      </c>
      <c r="F4" s="22">
        <v>2015</v>
      </c>
      <c r="G4" s="22">
        <v>2020</v>
      </c>
      <c r="H4" s="22">
        <v>2025</v>
      </c>
      <c r="I4" s="22">
        <v>2012</v>
      </c>
      <c r="J4" s="22">
        <v>2015</v>
      </c>
      <c r="K4" s="22">
        <v>2020</v>
      </c>
      <c r="L4" s="22">
        <v>2025</v>
      </c>
      <c r="M4" s="22">
        <v>2012</v>
      </c>
      <c r="N4" s="22">
        <v>2015</v>
      </c>
      <c r="O4" s="22">
        <v>2020</v>
      </c>
      <c r="P4" s="22">
        <v>2025</v>
      </c>
      <c r="Q4" s="1061"/>
    </row>
    <row r="5" spans="1:17" x14ac:dyDescent="0.25">
      <c r="A5" s="1064" t="s">
        <v>513</v>
      </c>
      <c r="B5" s="1" t="s">
        <v>511</v>
      </c>
      <c r="C5" s="13"/>
      <c r="D5" s="13"/>
      <c r="E5" s="13"/>
      <c r="F5" s="13"/>
      <c r="G5" s="13"/>
      <c r="H5" s="13"/>
      <c r="I5" s="7"/>
      <c r="J5" s="7"/>
      <c r="K5" s="7"/>
      <c r="L5" s="7"/>
      <c r="M5" s="7"/>
      <c r="N5" s="7"/>
      <c r="O5" s="7"/>
      <c r="P5" s="7"/>
      <c r="Q5" s="7"/>
    </row>
    <row r="6" spans="1:17" x14ac:dyDescent="0.25">
      <c r="A6" s="1064"/>
      <c r="B6" s="11" t="str">
        <f>IF('Prac. Rec. Assumptions'!$B$56='Prac. Rec. Assumptions'!$V$3,A74,IF('Prac. Rec. Assumptions'!B57="No",A74,"Sorghum- Converted to Energy Crop"))</f>
        <v>Sorghum</v>
      </c>
      <c r="C6" s="294">
        <f>IF('Prac. Rec. Assumptions'!$B$56='Prac. Rec. Assumptions'!$V$3,D74,IF('Prac. Rec. Assumptions'!B57="No",D74,0))</f>
        <v>0</v>
      </c>
      <c r="D6" s="294" t="s">
        <v>431</v>
      </c>
      <c r="E6" s="294">
        <f>C6*'Prac. Rec. Assumptions'!B4</f>
        <v>0</v>
      </c>
      <c r="F6" s="294">
        <f>$E6</f>
        <v>0</v>
      </c>
      <c r="G6" s="294">
        <f>$E6</f>
        <v>0</v>
      </c>
      <c r="H6" s="294">
        <f>$E6</f>
        <v>0</v>
      </c>
      <c r="I6" s="16" t="str">
        <f>IF('Conversion Tables'!F7="NA","NA",$D6/'Conversion Tables'!F7)</f>
        <v>NA</v>
      </c>
      <c r="J6" s="16" t="str">
        <f>IF('Conversion Tables'!G7="NA","NA",$D6/'Conversion Tables'!G7)</f>
        <v>NA</v>
      </c>
      <c r="K6" s="16" t="str">
        <f>IF('Conversion Tables'!H7="NA","NA",$D6/'Conversion Tables'!H7)</f>
        <v>NA</v>
      </c>
      <c r="L6" s="16" t="str">
        <f>IF('Conversion Tables'!H7="NA","NA",$D6/'Conversion Tables'!H7)</f>
        <v>NA</v>
      </c>
      <c r="M6" s="16" t="str">
        <f>IF('Conversion Tables'!K7="NA","NA",$C74*'Conversion Tables'!K7)</f>
        <v>NA</v>
      </c>
      <c r="N6" s="16" t="str">
        <f>IF('Conversion Tables'!L7="NA","NA",$C74*'Conversion Tables'!L7)</f>
        <v>NA</v>
      </c>
      <c r="O6" s="16" t="str">
        <f>IF('Conversion Tables'!M7="NA","NA",$C74*'Conversion Tables'!M7)</f>
        <v>NA</v>
      </c>
      <c r="P6" s="16" t="str">
        <f>IF('Conversion Tables'!N7="NA","NA",$C74*'Conversion Tables'!N7)</f>
        <v>NA</v>
      </c>
      <c r="Q6" s="15"/>
    </row>
    <row r="7" spans="1:17" x14ac:dyDescent="0.25">
      <c r="A7" s="1064"/>
      <c r="B7" s="11" t="str">
        <f>IF('Prac. Rec. Assumptions'!$B$56='Prac. Rec. Assumptions'!$V$3,A75,IF('Prac. Rec. Assumptions'!B59="No",A75,"Rye- Converted to Energy Crop"))</f>
        <v>Rye</v>
      </c>
      <c r="C7" s="294">
        <f>IF('Prac. Rec. Assumptions'!$B$56='Prac. Rec. Assumptions'!$V$3,D75,IF('Prac. Rec. Assumptions'!B59="No",D75,0))</f>
        <v>0</v>
      </c>
      <c r="D7" s="294" t="s">
        <v>431</v>
      </c>
      <c r="E7" s="294">
        <f>C7*'Prac. Rec. Assumptions'!B5</f>
        <v>0</v>
      </c>
      <c r="F7" s="294">
        <f t="shared" ref="F7:H10" si="0">$E7</f>
        <v>0</v>
      </c>
      <c r="G7" s="294">
        <f t="shared" si="0"/>
        <v>0</v>
      </c>
      <c r="H7" s="294">
        <f t="shared" si="0"/>
        <v>0</v>
      </c>
      <c r="I7" s="16" t="str">
        <f>IF('Conversion Tables'!F8="NA","NA",$D7/'Conversion Tables'!F8)</f>
        <v>NA</v>
      </c>
      <c r="J7" s="16" t="str">
        <f>IF('Conversion Tables'!G8="NA","NA",$D7/'Conversion Tables'!G8)</f>
        <v>NA</v>
      </c>
      <c r="K7" s="16" t="str">
        <f>IF('Conversion Tables'!H8="NA","NA",$D7/'Conversion Tables'!H8)</f>
        <v>NA</v>
      </c>
      <c r="L7" s="16" t="str">
        <f>IF('Conversion Tables'!H8="NA","NA",$D7/'Conversion Tables'!H8)</f>
        <v>NA</v>
      </c>
      <c r="M7" s="16" t="str">
        <f>IF('Conversion Tables'!K8="NA","NA",$C75*'Conversion Tables'!K8)</f>
        <v>NA</v>
      </c>
      <c r="N7" s="16" t="str">
        <f>IF('Conversion Tables'!L8="NA","NA",$C75*'Conversion Tables'!L8)</f>
        <v>NA</v>
      </c>
      <c r="O7" s="16" t="str">
        <f>IF('Conversion Tables'!M8="NA","NA",$C75*'Conversion Tables'!M8)</f>
        <v>NA</v>
      </c>
      <c r="P7" s="16" t="str">
        <f>IF('Conversion Tables'!N8="NA","NA",$C75*'Conversion Tables'!N8)</f>
        <v>NA</v>
      </c>
      <c r="Q7" s="15"/>
    </row>
    <row r="8" spans="1:17" x14ac:dyDescent="0.25">
      <c r="A8" s="1064"/>
      <c r="B8" s="11" t="str">
        <f>IF('Prac. Rec. Assumptions'!$B$56='Prac. Rec. Assumptions'!$V$3,A76,IF('Prac. Rec. Assumptions'!B60="No",A76,"Corn for Grain- Converted to Energy Crop"))</f>
        <v>Corn for Grain</v>
      </c>
      <c r="C8" s="294">
        <f>IF('Prac. Rec. Assumptions'!$B$56='Prac. Rec. Assumptions'!$V$3,D76,IF('Prac. Rec. Assumptions'!B60="No",D76,0))</f>
        <v>0</v>
      </c>
      <c r="D8" s="294" t="s">
        <v>431</v>
      </c>
      <c r="E8" s="294">
        <f>C8*'Prac. Rec. Assumptions'!B6</f>
        <v>0</v>
      </c>
      <c r="F8" s="294">
        <f t="shared" si="0"/>
        <v>0</v>
      </c>
      <c r="G8" s="294">
        <f t="shared" si="0"/>
        <v>0</v>
      </c>
      <c r="H8" s="294">
        <f t="shared" si="0"/>
        <v>0</v>
      </c>
      <c r="I8" s="16" t="str">
        <f>IF('Conversion Tables'!F9="NA","NA",$D8/'Conversion Tables'!F9)</f>
        <v>NA</v>
      </c>
      <c r="J8" s="16" t="str">
        <f>IF('Conversion Tables'!G9="NA","NA",$D8/'Conversion Tables'!G9)</f>
        <v>NA</v>
      </c>
      <c r="K8" s="16" t="str">
        <f>IF('Conversion Tables'!H9="NA","NA",$D8/'Conversion Tables'!H9)</f>
        <v>NA</v>
      </c>
      <c r="L8" s="16" t="str">
        <f>IF('Conversion Tables'!H9="NA","NA",$D8/'Conversion Tables'!H9)</f>
        <v>NA</v>
      </c>
      <c r="M8" s="16" t="str">
        <f>IF('Conversion Tables'!K9="NA","NA",$C76*'Conversion Tables'!K9)</f>
        <v>NA</v>
      </c>
      <c r="N8" s="16" t="str">
        <f>IF('Conversion Tables'!L9="NA","NA",$C76*'Conversion Tables'!L9)</f>
        <v>NA</v>
      </c>
      <c r="O8" s="16" t="str">
        <f>IF('Conversion Tables'!M9="NA","NA",$C76*'Conversion Tables'!M9)</f>
        <v>NA</v>
      </c>
      <c r="P8" s="16" t="str">
        <f>IF('Conversion Tables'!N9="NA","NA",$C76*'Conversion Tables'!N9)</f>
        <v>NA</v>
      </c>
      <c r="Q8" s="15"/>
    </row>
    <row r="9" spans="1:17" x14ac:dyDescent="0.25">
      <c r="A9" s="1064"/>
      <c r="B9" s="11" t="str">
        <f>IF('Prac. Rec. Assumptions'!$B$56='Prac. Rec. Assumptions'!$V$3,A78,IF('Prac. Rec. Assumptions'!B64="No",A78,"Wheat- Converted to Energy Crop"))</f>
        <v>Wheat</v>
      </c>
      <c r="C9" s="294">
        <f>IF('Prac. Rec. Assumptions'!$B$56='Prac. Rec. Assumptions'!$V$3,D78,IF('Prac. Rec. Assumptions'!B64="No",D78,0))</f>
        <v>0</v>
      </c>
      <c r="D9" s="294" t="s">
        <v>431</v>
      </c>
      <c r="E9" s="294">
        <f>C9*'Prac. Rec. Assumptions'!B7</f>
        <v>0</v>
      </c>
      <c r="F9" s="294">
        <f t="shared" si="0"/>
        <v>0</v>
      </c>
      <c r="G9" s="294">
        <f t="shared" si="0"/>
        <v>0</v>
      </c>
      <c r="H9" s="294">
        <f t="shared" si="0"/>
        <v>0</v>
      </c>
      <c r="I9" s="16" t="str">
        <f>IF('Conversion Tables'!F10="NA","NA",$D9/'Conversion Tables'!F10)</f>
        <v>NA</v>
      </c>
      <c r="J9" s="16" t="str">
        <f>IF('Conversion Tables'!G10="NA","NA",$D9/'Conversion Tables'!G10)</f>
        <v>NA</v>
      </c>
      <c r="K9" s="16" t="str">
        <f>IF('Conversion Tables'!H10="NA","NA",$D9/'Conversion Tables'!H10)</f>
        <v>NA</v>
      </c>
      <c r="L9" s="16" t="str">
        <f>IF('Conversion Tables'!H10="NA","NA",$D9/'Conversion Tables'!H10)</f>
        <v>NA</v>
      </c>
      <c r="M9" s="16" t="str">
        <f>IF('Conversion Tables'!K10="NA","NA",$C78*'Conversion Tables'!K10)</f>
        <v>NA</v>
      </c>
      <c r="N9" s="16" t="str">
        <f>IF('Conversion Tables'!L10="NA","NA",$C78*'Conversion Tables'!L10)</f>
        <v>NA</v>
      </c>
      <c r="O9" s="16" t="str">
        <f>IF('Conversion Tables'!M10="NA","NA",$C78*'Conversion Tables'!M10)</f>
        <v>NA</v>
      </c>
      <c r="P9" s="16" t="str">
        <f>IF('Conversion Tables'!N10="NA","NA",$C78*'Conversion Tables'!N10)</f>
        <v>NA</v>
      </c>
      <c r="Q9" s="15"/>
    </row>
    <row r="10" spans="1:17" x14ac:dyDescent="0.25">
      <c r="A10" s="1064"/>
      <c r="B10" s="129" t="s">
        <v>301</v>
      </c>
      <c r="C10" s="294"/>
      <c r="D10" s="294" t="s">
        <v>431</v>
      </c>
      <c r="E10" s="294">
        <f>C10*'Prac. Rec. Assumptions'!B8</f>
        <v>0</v>
      </c>
      <c r="F10" s="294">
        <f t="shared" si="0"/>
        <v>0</v>
      </c>
      <c r="G10" s="294">
        <f t="shared" si="0"/>
        <v>0</v>
      </c>
      <c r="H10" s="294">
        <f t="shared" si="0"/>
        <v>0</v>
      </c>
      <c r="I10" s="16" t="str">
        <f>IF('Conversion Tables'!F11="NA","NA",$D10/'Conversion Tables'!F11)</f>
        <v>NA</v>
      </c>
      <c r="J10" s="16" t="str">
        <f>IF('Conversion Tables'!G11="NA","NA",$D10/'Conversion Tables'!G11)</f>
        <v>NA</v>
      </c>
      <c r="K10" s="16" t="str">
        <f>IF('Conversion Tables'!H11="NA","NA",$D10/'Conversion Tables'!H11)</f>
        <v>NA</v>
      </c>
      <c r="L10" s="16" t="str">
        <f>IF('Conversion Tables'!H11="NA","NA",$D10/'Conversion Tables'!H11)</f>
        <v>NA</v>
      </c>
      <c r="M10" s="16" t="str">
        <f>IF('Conversion Tables'!K11="NA","NA",E10*'Conversion Tables'!K11)</f>
        <v>NA</v>
      </c>
      <c r="N10" s="16" t="str">
        <f>IF('Conversion Tables'!L11="NA","NA",F10*'Conversion Tables'!L11)</f>
        <v>NA</v>
      </c>
      <c r="O10" s="16" t="str">
        <f>IF('Conversion Tables'!M11="NA","NA",G10*'Conversion Tables'!M11)</f>
        <v>NA</v>
      </c>
      <c r="P10" s="16" t="str">
        <f>IF('Conversion Tables'!N11="NA","NA",H10*'Conversion Tables'!N11)</f>
        <v>NA</v>
      </c>
      <c r="Q10" s="7"/>
    </row>
    <row r="11" spans="1:17" x14ac:dyDescent="0.25">
      <c r="A11" s="1065"/>
      <c r="B11" s="9" t="s">
        <v>524</v>
      </c>
      <c r="C11" s="295">
        <f t="shared" ref="C11:P11" si="1">SUM(C5:C10)</f>
        <v>0</v>
      </c>
      <c r="D11" s="295">
        <f t="shared" si="1"/>
        <v>0</v>
      </c>
      <c r="E11" s="295">
        <f t="shared" si="1"/>
        <v>0</v>
      </c>
      <c r="F11" s="295">
        <f t="shared" si="1"/>
        <v>0</v>
      </c>
      <c r="G11" s="295">
        <f t="shared" si="1"/>
        <v>0</v>
      </c>
      <c r="H11" s="295">
        <f t="shared" si="1"/>
        <v>0</v>
      </c>
      <c r="I11" s="19">
        <f t="shared" si="1"/>
        <v>0</v>
      </c>
      <c r="J11" s="19">
        <f t="shared" si="1"/>
        <v>0</v>
      </c>
      <c r="K11" s="19">
        <f t="shared" si="1"/>
        <v>0</v>
      </c>
      <c r="L11" s="19">
        <f t="shared" si="1"/>
        <v>0</v>
      </c>
      <c r="M11" s="19">
        <f t="shared" si="1"/>
        <v>0</v>
      </c>
      <c r="N11" s="19">
        <f t="shared" si="1"/>
        <v>0</v>
      </c>
      <c r="O11" s="19">
        <f t="shared" si="1"/>
        <v>0</v>
      </c>
      <c r="P11" s="19">
        <f t="shared" si="1"/>
        <v>0</v>
      </c>
      <c r="Q11" s="19"/>
    </row>
    <row r="12" spans="1:17" x14ac:dyDescent="0.25">
      <c r="A12" s="8"/>
      <c r="C12" s="296"/>
      <c r="D12" s="296"/>
      <c r="E12" s="296"/>
      <c r="F12" s="296"/>
      <c r="G12" s="296"/>
      <c r="H12" s="296"/>
      <c r="I12" s="28"/>
      <c r="J12" s="28"/>
      <c r="K12" s="28"/>
      <c r="L12" s="28"/>
      <c r="M12" s="28"/>
      <c r="N12" s="28"/>
      <c r="O12" s="28"/>
      <c r="P12" s="28"/>
    </row>
    <row r="13" spans="1:17" x14ac:dyDescent="0.25">
      <c r="A13" s="1206" t="s">
        <v>514</v>
      </c>
      <c r="B13" s="1" t="s">
        <v>507</v>
      </c>
      <c r="C13" s="294">
        <f>D90</f>
        <v>0</v>
      </c>
      <c r="D13" s="294">
        <f>E13*'Conversion Tables'!C12</f>
        <v>0</v>
      </c>
      <c r="E13" s="294">
        <f>C13*'Prac. Rec. Assumptions'!B9</f>
        <v>0</v>
      </c>
      <c r="F13" s="294">
        <f>$E13</f>
        <v>0</v>
      </c>
      <c r="G13" s="294">
        <f>$E13</f>
        <v>0</v>
      </c>
      <c r="H13" s="294">
        <f>$E13</f>
        <v>0</v>
      </c>
      <c r="I13" s="16" t="str">
        <f>IF('Conversion Tables'!F12="NA","NA",(E13*'Conversion Tables'!$C12)/'Conversion Tables'!F12)</f>
        <v>NA</v>
      </c>
      <c r="J13" s="16" t="str">
        <f>IF('Conversion Tables'!G12="NA","NA",(F13*'Conversion Tables'!$C12)/'Conversion Tables'!G12)</f>
        <v>NA</v>
      </c>
      <c r="K13" s="16" t="str">
        <f>IF('Conversion Tables'!H12="NA","NA",(G13*'Conversion Tables'!$C12)/'Conversion Tables'!H12)</f>
        <v>NA</v>
      </c>
      <c r="L13" s="16" t="str">
        <f>IF('Conversion Tables'!I12="NA","NA",(H13*'Conversion Tables'!$C12)/'Conversion Tables'!I12)</f>
        <v>NA</v>
      </c>
      <c r="M13" s="16" t="str">
        <f>IF('Conversion Tables'!K12="NA","NA",E13*'Conversion Tables'!K12)</f>
        <v>NA</v>
      </c>
      <c r="N13" s="16" t="str">
        <f>IF('Conversion Tables'!L12="NA","NA",F13*'Conversion Tables'!L12)</f>
        <v>NA</v>
      </c>
      <c r="O13" s="16" t="str">
        <f>IF('Conversion Tables'!M12="NA","NA",G13*'Conversion Tables'!M12)</f>
        <v>NA</v>
      </c>
      <c r="P13" s="16" t="str">
        <f>IF('Conversion Tables'!N12="NA","NA",H13*'Conversion Tables'!N12)</f>
        <v>NA</v>
      </c>
      <c r="Q13" s="7"/>
    </row>
    <row r="14" spans="1:17" x14ac:dyDescent="0.25">
      <c r="A14" s="1207"/>
      <c r="B14" s="1" t="s">
        <v>504</v>
      </c>
      <c r="C14" s="294"/>
      <c r="D14" s="294"/>
      <c r="E14" s="294"/>
      <c r="F14" s="294"/>
      <c r="G14" s="294"/>
      <c r="H14" s="294"/>
      <c r="I14" s="16"/>
      <c r="J14" s="16"/>
      <c r="K14" s="16"/>
      <c r="L14" s="16"/>
      <c r="M14" s="16"/>
      <c r="N14" s="16"/>
      <c r="O14" s="16"/>
      <c r="P14" s="16"/>
      <c r="Q14" s="7"/>
    </row>
    <row r="15" spans="1:17" x14ac:dyDescent="0.25">
      <c r="A15" s="1207"/>
      <c r="B15" s="11" t="str">
        <f>IF('Prac. Rec. Assumptions'!$B$56='Prac. Rec. Assumptions'!$V$3,A81,IF('Prac. Rec. Assumptions'!B57="No",A81,"Sweet Corn- Converted to Energy Crop"))</f>
        <v>Sweet Corn</v>
      </c>
      <c r="C15" s="294">
        <f>IF('Prac. Rec. Assumptions'!$B$56='Prac. Rec. Assumptions'!$V$3,D81,IF('Prac. Rec. Assumptions'!B58="No",D81,0))</f>
        <v>0.85</v>
      </c>
      <c r="D15" s="294">
        <f>E15*'Conversion Tables'!C14</f>
        <v>10.697760000000001</v>
      </c>
      <c r="E15" s="294">
        <f>C15*'Prac. Rec. Assumptions'!B11</f>
        <v>0.68</v>
      </c>
      <c r="F15" s="294">
        <f>$E15</f>
        <v>0.68</v>
      </c>
      <c r="G15" s="294">
        <f>$E15</f>
        <v>0.68</v>
      </c>
      <c r="H15" s="294">
        <f>$E15</f>
        <v>0.68</v>
      </c>
      <c r="I15" s="16" t="str">
        <f>IF('Conversion Tables'!F14="NA","NA",(E15*'Conversion Tables'!$C14)/'Conversion Tables'!F14)</f>
        <v>NA</v>
      </c>
      <c r="J15" s="16" t="str">
        <f>IF('Conversion Tables'!G14="NA","NA",(F15*'Conversion Tables'!$C14)/'Conversion Tables'!G14)</f>
        <v>NA</v>
      </c>
      <c r="K15" s="16" t="str">
        <f>IF('Conversion Tables'!H14="NA","NA",(G15*'Conversion Tables'!$C14)/'Conversion Tables'!H14)</f>
        <v>NA</v>
      </c>
      <c r="L15" s="16" t="str">
        <f>IF('Conversion Tables'!I14="NA","NA",(H15*'Conversion Tables'!$C14)/'Conversion Tables'!I14)</f>
        <v>NA</v>
      </c>
      <c r="M15" s="16" t="str">
        <f>IF('Conversion Tables'!K14="NA","NA",E15*'Conversion Tables'!K14)</f>
        <v>NA</v>
      </c>
      <c r="N15" s="16" t="str">
        <f>IF('Conversion Tables'!L14="NA","NA",F15*'Conversion Tables'!L14)</f>
        <v>NA</v>
      </c>
      <c r="O15" s="16" t="str">
        <f>IF('Conversion Tables'!M14="NA","NA",G15*'Conversion Tables'!M14)</f>
        <v>NA</v>
      </c>
      <c r="P15" s="16" t="str">
        <f>IF('Conversion Tables'!N14="NA","NA",H15*'Conversion Tables'!N14)</f>
        <v>NA</v>
      </c>
      <c r="Q15" s="15"/>
    </row>
    <row r="16" spans="1:17" x14ac:dyDescent="0.25">
      <c r="A16" s="1207"/>
      <c r="B16" s="11" t="str">
        <f>IF('Prac. Rec. Assumptions'!$B$56='Prac. Rec. Assumptions'!$V$3,A82,IF('Prac. Rec. Assumptions'!B58="No",A82,"Rye- Converted to Energy Crop"))</f>
        <v>Rye</v>
      </c>
      <c r="C16" s="294">
        <f>IF('Prac. Rec. Assumptions'!$B$56='Prac. Rec. Assumptions'!$V$3,D82,IF('Prac. Rec. Assumptions'!B59="No",D82,0))</f>
        <v>3.8249999999999997</v>
      </c>
      <c r="D16" s="294">
        <f>E16*'Conversion Tables'!C15</f>
        <v>0</v>
      </c>
      <c r="E16" s="294">
        <f>C16*'Prac. Rec. Assumptions'!B12</f>
        <v>0</v>
      </c>
      <c r="F16" s="294">
        <f t="shared" ref="F16:H23" si="2">$E16</f>
        <v>0</v>
      </c>
      <c r="G16" s="294">
        <f t="shared" si="2"/>
        <v>0</v>
      </c>
      <c r="H16" s="294">
        <f t="shared" si="2"/>
        <v>0</v>
      </c>
      <c r="I16" s="16" t="str">
        <f>IF('Conversion Tables'!F15="NA","NA",(E16*'Conversion Tables'!$C15)/'Conversion Tables'!F15)</f>
        <v>NA</v>
      </c>
      <c r="J16" s="16" t="str">
        <f>IF('Conversion Tables'!G15="NA","NA",(F16*'Conversion Tables'!$C15)/'Conversion Tables'!G15)</f>
        <v>NA</v>
      </c>
      <c r="K16" s="16" t="str">
        <f>IF('Conversion Tables'!H15="NA","NA",(G16*'Conversion Tables'!$C15)/'Conversion Tables'!H15)</f>
        <v>NA</v>
      </c>
      <c r="L16" s="16" t="str">
        <f>IF('Conversion Tables'!I15="NA","NA",(H16*'Conversion Tables'!$C15)/'Conversion Tables'!I15)</f>
        <v>NA</v>
      </c>
      <c r="M16" s="16" t="str">
        <f>IF('Conversion Tables'!K15="NA","NA",E16*'Conversion Tables'!K15)</f>
        <v>NA</v>
      </c>
      <c r="N16" s="16" t="str">
        <f>IF('Conversion Tables'!L15="NA","NA",F16*'Conversion Tables'!L15)</f>
        <v>NA</v>
      </c>
      <c r="O16" s="16" t="str">
        <f>IF('Conversion Tables'!M15="NA","NA",G16*'Conversion Tables'!M15)</f>
        <v>NA</v>
      </c>
      <c r="P16" s="16" t="str">
        <f>IF('Conversion Tables'!N15="NA","NA",H16*'Conversion Tables'!N15)</f>
        <v>NA</v>
      </c>
      <c r="Q16" s="15"/>
    </row>
    <row r="17" spans="1:17" x14ac:dyDescent="0.25">
      <c r="A17" s="1207"/>
      <c r="B17" s="11" t="str">
        <f>IF('Prac. Rec. Assumptions'!$B$56='Prac. Rec. Assumptions'!$V$3,A83,IF('Prac. Rec. Assumptions'!B59="No",A83,"Corn for Grain- Converted to Energy Crop"))</f>
        <v>Corn for Grain</v>
      </c>
      <c r="C17" s="294">
        <f>IF('Prac. Rec. Assumptions'!$B$56='Prac. Rec. Assumptions'!$V$3,D83,IF('Prac. Rec. Assumptions'!B60="No",D83,0))</f>
        <v>0</v>
      </c>
      <c r="D17" s="294">
        <f>E17*'Conversion Tables'!C16</f>
        <v>0</v>
      </c>
      <c r="E17" s="294">
        <f>C17*'Prac. Rec. Assumptions'!B13</f>
        <v>0</v>
      </c>
      <c r="F17" s="294">
        <f t="shared" si="2"/>
        <v>0</v>
      </c>
      <c r="G17" s="294">
        <f t="shared" si="2"/>
        <v>0</v>
      </c>
      <c r="H17" s="294">
        <f t="shared" si="2"/>
        <v>0</v>
      </c>
      <c r="I17" s="16" t="str">
        <f>IF('Conversion Tables'!F16="NA","NA",(E17*'Conversion Tables'!$C16)/'Conversion Tables'!F16)</f>
        <v>NA</v>
      </c>
      <c r="J17" s="16" t="str">
        <f>IF('Conversion Tables'!G16="NA","NA",(F17*'Conversion Tables'!$C16)/'Conversion Tables'!G16)</f>
        <v>NA</v>
      </c>
      <c r="K17" s="16" t="str">
        <f>IF('Conversion Tables'!H16="NA","NA",(G17*'Conversion Tables'!$C16)/'Conversion Tables'!H16)</f>
        <v>NA</v>
      </c>
      <c r="L17" s="16" t="str">
        <f>IF('Conversion Tables'!I16="NA","NA",(H17*'Conversion Tables'!$C16)/'Conversion Tables'!I16)</f>
        <v>NA</v>
      </c>
      <c r="M17" s="16" t="str">
        <f>IF('Conversion Tables'!K16="NA","NA",E17*'Conversion Tables'!K16)</f>
        <v>NA</v>
      </c>
      <c r="N17" s="16" t="str">
        <f>IF('Conversion Tables'!L16="NA","NA",F17*'Conversion Tables'!L16)</f>
        <v>NA</v>
      </c>
      <c r="O17" s="16" t="str">
        <f>IF('Conversion Tables'!M16="NA","NA",G17*'Conversion Tables'!M16)</f>
        <v>NA</v>
      </c>
      <c r="P17" s="16" t="str">
        <f>IF('Conversion Tables'!N16="NA","NA",H17*'Conversion Tables'!N16)</f>
        <v>NA</v>
      </c>
      <c r="Q17" s="15"/>
    </row>
    <row r="18" spans="1:17" x14ac:dyDescent="0.25">
      <c r="A18" s="1207"/>
      <c r="B18" s="11" t="str">
        <f>IF('Prac. Rec. Assumptions'!$B$56='Prac. Rec. Assumptions'!$V$3,A84,IF('Prac. Rec. Assumptions'!B60="No",A84,"Corn for Silage- Converted to Energy Crop"))</f>
        <v>Corn for Silage</v>
      </c>
      <c r="C18" s="294">
        <f>IF('Prac. Rec. Assumptions'!$B$56='Prac. Rec. Assumptions'!$V$3,D84,IF('Prac. Rec. Assumptions'!B61="No",D84,0))</f>
        <v>0</v>
      </c>
      <c r="D18" s="294">
        <f>E18*'Conversion Tables'!C17</f>
        <v>0</v>
      </c>
      <c r="E18" s="294">
        <f>C18*'Prac. Rec. Assumptions'!B14</f>
        <v>0</v>
      </c>
      <c r="F18" s="294">
        <f t="shared" si="2"/>
        <v>0</v>
      </c>
      <c r="G18" s="294">
        <f t="shared" si="2"/>
        <v>0</v>
      </c>
      <c r="H18" s="294">
        <f t="shared" si="2"/>
        <v>0</v>
      </c>
      <c r="I18" s="16" t="str">
        <f>IF('Conversion Tables'!F17="NA","NA",(E18*'Conversion Tables'!$C17)/'Conversion Tables'!F17)</f>
        <v>NA</v>
      </c>
      <c r="J18" s="16" t="str">
        <f>IF('Conversion Tables'!G17="NA","NA",(F18*'Conversion Tables'!$C17)/'Conversion Tables'!G17)</f>
        <v>NA</v>
      </c>
      <c r="K18" s="16" t="str">
        <f>IF('Conversion Tables'!H17="NA","NA",(G18*'Conversion Tables'!$C17)/'Conversion Tables'!H17)</f>
        <v>NA</v>
      </c>
      <c r="L18" s="16" t="str">
        <f>IF('Conversion Tables'!I17="NA","NA",(H18*'Conversion Tables'!$C17)/'Conversion Tables'!I17)</f>
        <v>NA</v>
      </c>
      <c r="M18" s="16" t="str">
        <f>IF('Conversion Tables'!K17="NA","NA",E18*'Conversion Tables'!K17)</f>
        <v>NA</v>
      </c>
      <c r="N18" s="16" t="str">
        <f>IF('Conversion Tables'!L17="NA","NA",F18*'Conversion Tables'!L17)</f>
        <v>NA</v>
      </c>
      <c r="O18" s="16" t="str">
        <f>IF('Conversion Tables'!M17="NA","NA",G18*'Conversion Tables'!M17)</f>
        <v>NA</v>
      </c>
      <c r="P18" s="16" t="str">
        <f>IF('Conversion Tables'!N17="NA","NA",H18*'Conversion Tables'!N17)</f>
        <v>NA</v>
      </c>
      <c r="Q18" s="15"/>
    </row>
    <row r="19" spans="1:17" x14ac:dyDescent="0.25">
      <c r="A19" s="1207"/>
      <c r="B19" s="11" t="str">
        <f>IF('Prac. Rec. Assumptions'!$B$56='Prac. Rec. Assumptions'!$V$3,A85,IF('Prac. Rec. Assumptions'!B61="No",A85,"Alfalfa Hay- Converted to Energy Crop"))</f>
        <v>Alfalfa Hay</v>
      </c>
      <c r="C19" s="294">
        <f>IF('Prac. Rec. Assumptions'!$B$56='Prac. Rec. Assumptions'!$V$3,D85,IF('Prac. Rec. Assumptions'!B62="No",D85,0))</f>
        <v>0</v>
      </c>
      <c r="D19" s="294">
        <f>E19*'Conversion Tables'!C18</f>
        <v>0</v>
      </c>
      <c r="E19" s="294">
        <f>C19*'Prac. Rec. Assumptions'!B15</f>
        <v>0</v>
      </c>
      <c r="F19" s="294">
        <f t="shared" si="2"/>
        <v>0</v>
      </c>
      <c r="G19" s="294">
        <f t="shared" si="2"/>
        <v>0</v>
      </c>
      <c r="H19" s="294">
        <f t="shared" si="2"/>
        <v>0</v>
      </c>
      <c r="I19" s="16" t="str">
        <f>IF('Conversion Tables'!F18="NA","NA",(E19*'Conversion Tables'!$C18)/'Conversion Tables'!F18)</f>
        <v>NA</v>
      </c>
      <c r="J19" s="16" t="str">
        <f>IF('Conversion Tables'!G18="NA","NA",(F19*'Conversion Tables'!$C18)/'Conversion Tables'!G18)</f>
        <v>NA</v>
      </c>
      <c r="K19" s="16" t="str">
        <f>IF('Conversion Tables'!H18="NA","NA",(G19*'Conversion Tables'!$C18)/'Conversion Tables'!H18)</f>
        <v>NA</v>
      </c>
      <c r="L19" s="16" t="str">
        <f>IF('Conversion Tables'!I18="NA","NA",(H19*'Conversion Tables'!$C18)/'Conversion Tables'!I18)</f>
        <v>NA</v>
      </c>
      <c r="M19" s="16" t="str">
        <f>IF('Conversion Tables'!K18="NA","NA",E19*'Conversion Tables'!K18)</f>
        <v>NA</v>
      </c>
      <c r="N19" s="16" t="str">
        <f>IF('Conversion Tables'!L18="NA","NA",F19*'Conversion Tables'!L18)</f>
        <v>NA</v>
      </c>
      <c r="O19" s="16" t="str">
        <f>IF('Conversion Tables'!M18="NA","NA",G19*'Conversion Tables'!M18)</f>
        <v>NA</v>
      </c>
      <c r="P19" s="16" t="str">
        <f>IF('Conversion Tables'!N18="NA","NA",H19*'Conversion Tables'!N18)</f>
        <v>NA</v>
      </c>
      <c r="Q19" s="15"/>
    </row>
    <row r="20" spans="1:17" x14ac:dyDescent="0.25">
      <c r="A20" s="1207"/>
      <c r="B20" s="11" t="str">
        <f>IF('Prac. Rec. Assumptions'!$B$56='Prac. Rec. Assumptions'!$V$3,A86,IF('Prac. Rec. Assumptions'!B62="No",A86,"Other Hay- Converted to Energy Crop"))</f>
        <v>Other Hay</v>
      </c>
      <c r="C20" s="294">
        <f>IF('Prac. Rec. Assumptions'!$B$56='Prac. Rec. Assumptions'!$V$3,D86,IF('Prac. Rec. Assumptions'!B63="No",D86,0))</f>
        <v>0</v>
      </c>
      <c r="D20" s="294">
        <f>E20*'Conversion Tables'!C19</f>
        <v>0</v>
      </c>
      <c r="E20" s="294">
        <f>C20*'Prac. Rec. Assumptions'!B16</f>
        <v>0</v>
      </c>
      <c r="F20" s="294">
        <f t="shared" si="2"/>
        <v>0</v>
      </c>
      <c r="G20" s="294">
        <f t="shared" si="2"/>
        <v>0</v>
      </c>
      <c r="H20" s="294">
        <f t="shared" si="2"/>
        <v>0</v>
      </c>
      <c r="I20" s="16" t="str">
        <f>IF('Conversion Tables'!F19="NA","NA",(E20*'Conversion Tables'!$C19)/'Conversion Tables'!F19)</f>
        <v>NA</v>
      </c>
      <c r="J20" s="16" t="str">
        <f>IF('Conversion Tables'!G19="NA","NA",(F20*'Conversion Tables'!$C19)/'Conversion Tables'!G19)</f>
        <v>NA</v>
      </c>
      <c r="K20" s="16" t="str">
        <f>IF('Conversion Tables'!H19="NA","NA",(G20*'Conversion Tables'!$C19)/'Conversion Tables'!H19)</f>
        <v>NA</v>
      </c>
      <c r="L20" s="16" t="str">
        <f>IF('Conversion Tables'!I19="NA","NA",(H20*'Conversion Tables'!$C19)/'Conversion Tables'!I19)</f>
        <v>NA</v>
      </c>
      <c r="M20" s="16" t="str">
        <f>IF('Conversion Tables'!K19="NA","NA",E20*'Conversion Tables'!K19)</f>
        <v>NA</v>
      </c>
      <c r="N20" s="16" t="str">
        <f>IF('Conversion Tables'!L19="NA","NA",F20*'Conversion Tables'!L19)</f>
        <v>NA</v>
      </c>
      <c r="O20" s="16" t="str">
        <f>IF('Conversion Tables'!M19="NA","NA",G20*'Conversion Tables'!M19)</f>
        <v>NA</v>
      </c>
      <c r="P20" s="16" t="str">
        <f>IF('Conversion Tables'!N19="NA","NA",H20*'Conversion Tables'!N19)</f>
        <v>NA</v>
      </c>
      <c r="Q20" s="15"/>
    </row>
    <row r="21" spans="1:17" x14ac:dyDescent="0.25">
      <c r="A21" s="1207"/>
      <c r="B21" s="11" t="str">
        <f>IF('Prac. Rec. Assumptions'!$B$56='Prac. Rec. Assumptions'!$V$3,A87,IF('Prac. Rec. Assumptions'!B63="No",A87,"Wheat- Converted to Energy Crop"))</f>
        <v>Wheat</v>
      </c>
      <c r="C21" s="294">
        <f>IF('Prac. Rec. Assumptions'!$B$56='Prac. Rec. Assumptions'!$V$3,D87,IF('Prac. Rec. Assumptions'!B64="No",D87,0))</f>
        <v>0</v>
      </c>
      <c r="D21" s="294">
        <f>E21*'Conversion Tables'!C20</f>
        <v>0</v>
      </c>
      <c r="E21" s="294">
        <f>C21*'Prac. Rec. Assumptions'!B17</f>
        <v>0</v>
      </c>
      <c r="F21" s="294">
        <f t="shared" si="2"/>
        <v>0</v>
      </c>
      <c r="G21" s="294">
        <f t="shared" si="2"/>
        <v>0</v>
      </c>
      <c r="H21" s="294">
        <f t="shared" si="2"/>
        <v>0</v>
      </c>
      <c r="I21" s="16" t="str">
        <f>IF('Conversion Tables'!F20="NA","NA",(E21*'Conversion Tables'!$C20)/'Conversion Tables'!F20)</f>
        <v>NA</v>
      </c>
      <c r="J21" s="16" t="str">
        <f>IF('Conversion Tables'!G20="NA","NA",(F21*'Conversion Tables'!$C20)/'Conversion Tables'!G20)</f>
        <v>NA</v>
      </c>
      <c r="K21" s="16" t="str">
        <f>IF('Conversion Tables'!H20="NA","NA",(G21*'Conversion Tables'!$C20)/'Conversion Tables'!H20)</f>
        <v>NA</v>
      </c>
      <c r="L21" s="16" t="str">
        <f>IF('Conversion Tables'!I20="NA","NA",(H21*'Conversion Tables'!$C20)/'Conversion Tables'!I20)</f>
        <v>NA</v>
      </c>
      <c r="M21" s="16" t="str">
        <f>IF('Conversion Tables'!K20="NA","NA",E21*'Conversion Tables'!K20)</f>
        <v>NA</v>
      </c>
      <c r="N21" s="16" t="str">
        <f>IF('Conversion Tables'!L20="NA","NA",F21*'Conversion Tables'!L20)</f>
        <v>NA</v>
      </c>
      <c r="O21" s="16" t="str">
        <f>IF('Conversion Tables'!M20="NA","NA",G21*'Conversion Tables'!M20)</f>
        <v>NA</v>
      </c>
      <c r="P21" s="16" t="str">
        <f>IF('Conversion Tables'!N20="NA","NA",H21*'Conversion Tables'!N20)</f>
        <v>NA</v>
      </c>
      <c r="Q21" s="15"/>
    </row>
    <row r="22" spans="1:17" x14ac:dyDescent="0.25">
      <c r="A22" s="1207"/>
      <c r="B22" s="148" t="s">
        <v>205</v>
      </c>
      <c r="C22" s="294">
        <f>'Biomass Data Assumptions'!P26*1000*'Energy Content Assumptions'!C18</f>
        <v>0</v>
      </c>
      <c r="D22" s="294">
        <f>E22*'Conversion Tables'!C21</f>
        <v>0</v>
      </c>
      <c r="E22" s="294">
        <f>C22*'Prac. Rec. Assumptions'!B18</f>
        <v>0</v>
      </c>
      <c r="F22" s="294">
        <f t="shared" si="2"/>
        <v>0</v>
      </c>
      <c r="G22" s="294">
        <f t="shared" si="2"/>
        <v>0</v>
      </c>
      <c r="H22" s="294">
        <f t="shared" si="2"/>
        <v>0</v>
      </c>
      <c r="I22" s="16" t="str">
        <f>IF('Conversion Tables'!F21="NA","NA",(E22*'Conversion Tables'!$C21)/'Conversion Tables'!F21)</f>
        <v>NA</v>
      </c>
      <c r="J22" s="16" t="str">
        <f>IF('Conversion Tables'!G21="NA","NA",(F22*'Conversion Tables'!$C21)/'Conversion Tables'!G21)</f>
        <v>NA</v>
      </c>
      <c r="K22" s="16" t="str">
        <f>IF('Conversion Tables'!H21="NA","NA",(G22*'Conversion Tables'!$C21)/'Conversion Tables'!H21)</f>
        <v>NA</v>
      </c>
      <c r="L22" s="16" t="str">
        <f>IF('Conversion Tables'!I21="NA","NA",(H22*'Conversion Tables'!$C21)/'Conversion Tables'!I21)</f>
        <v>NA</v>
      </c>
      <c r="M22" s="16" t="str">
        <f>IF('Conversion Tables'!K21="NA","NA",E22*'Conversion Tables'!K21)</f>
        <v>NA</v>
      </c>
      <c r="N22" s="16" t="str">
        <f>IF('Conversion Tables'!L21="NA","NA",F22*'Conversion Tables'!L21)</f>
        <v>NA</v>
      </c>
      <c r="O22" s="16" t="str">
        <f>IF('Conversion Tables'!M21="NA","NA",G22*'Conversion Tables'!M21)</f>
        <v>NA</v>
      </c>
      <c r="P22" s="16" t="str">
        <f>IF('Conversion Tables'!N21="NA","NA",H22*'Conversion Tables'!N21)</f>
        <v>NA</v>
      </c>
      <c r="Q22" s="15"/>
    </row>
    <row r="23" spans="1:17" x14ac:dyDescent="0.25">
      <c r="A23" s="1207"/>
      <c r="B23" s="2" t="s">
        <v>302</v>
      </c>
      <c r="C23" s="294">
        <f>B133</f>
        <v>6590.9</v>
      </c>
      <c r="D23" s="294">
        <f>E23*'Conversion Tables'!C22</f>
        <v>107668.94239999999</v>
      </c>
      <c r="E23" s="294">
        <f>C23*'Prac. Rec. Assumptions'!B19</f>
        <v>6590.9</v>
      </c>
      <c r="F23" s="297">
        <f t="shared" si="2"/>
        <v>6590.9</v>
      </c>
      <c r="G23" s="297">
        <f t="shared" si="2"/>
        <v>6590.9</v>
      </c>
      <c r="H23" s="297">
        <f t="shared" si="2"/>
        <v>6590.9</v>
      </c>
      <c r="I23" s="16" t="str">
        <f>IF('Conversion Tables'!F22="NA","NA",(E23*'Conversion Tables'!$C22)/'Conversion Tables'!F22)</f>
        <v>NA</v>
      </c>
      <c r="J23" s="16" t="str">
        <f>IF('Conversion Tables'!G22="NA","NA",(F23*'Conversion Tables'!$C22)/'Conversion Tables'!G22)</f>
        <v>NA</v>
      </c>
      <c r="K23" s="16" t="str">
        <f>IF('Conversion Tables'!H22="NA","NA",(G23*'Conversion Tables'!$C22)/'Conversion Tables'!H22)</f>
        <v>NA</v>
      </c>
      <c r="L23" s="16" t="str">
        <f>IF('Conversion Tables'!I22="NA","NA",(H23*'Conversion Tables'!$C22)/'Conversion Tables'!I22)</f>
        <v>NA</v>
      </c>
      <c r="M23" s="16" t="str">
        <f>IF('Conversion Tables'!K22="NA","NA",E23*'Conversion Tables'!K22)</f>
        <v>NA</v>
      </c>
      <c r="N23" s="16" t="str">
        <f>IF('Conversion Tables'!L22="NA","NA",F23*'Conversion Tables'!L22)</f>
        <v>NA</v>
      </c>
      <c r="O23" s="16" t="str">
        <f>IF('Conversion Tables'!M22="NA","NA",G23*'Conversion Tables'!M22)</f>
        <v>NA</v>
      </c>
      <c r="P23" s="16" t="str">
        <f>IF('Conversion Tables'!N22="NA","NA",H23*'Conversion Tables'!N22)</f>
        <v>NA</v>
      </c>
      <c r="Q23" s="7"/>
    </row>
    <row r="24" spans="1:17" x14ac:dyDescent="0.25">
      <c r="A24" s="1207"/>
      <c r="B24" s="1" t="s">
        <v>518</v>
      </c>
      <c r="C24" s="294"/>
      <c r="D24" s="294"/>
      <c r="E24" s="294"/>
      <c r="F24" s="294"/>
      <c r="G24" s="294"/>
      <c r="H24" s="294"/>
      <c r="I24" s="16"/>
      <c r="J24" s="16"/>
      <c r="K24" s="16"/>
      <c r="L24" s="16"/>
      <c r="M24" s="16"/>
      <c r="N24" s="16"/>
      <c r="O24" s="16"/>
      <c r="P24" s="16"/>
      <c r="Q24" s="7"/>
    </row>
    <row r="25" spans="1:17" x14ac:dyDescent="0.25">
      <c r="A25" s="1207"/>
      <c r="B25" s="11" t="s">
        <v>559</v>
      </c>
      <c r="C25" s="294">
        <f>C128</f>
        <v>11170.54</v>
      </c>
      <c r="D25" s="294">
        <f>E25*'Conversion Tables'!C24</f>
        <v>197718.55800000002</v>
      </c>
      <c r="E25" s="294">
        <f>C25*'Prac. Rec. Assumptions'!B21</f>
        <v>11170.54</v>
      </c>
      <c r="F25" s="294">
        <f>($C25*(1+'Biomass Data Assumptions'!G$111))*'Prac. Rec. Assumptions'!$B21</f>
        <v>11187.66616328095</v>
      </c>
      <c r="G25" s="294">
        <f>($C25*(1+'Biomass Data Assumptions'!H$111))*'Prac. Rec. Assumptions'!$B21</f>
        <v>11219.777719432732</v>
      </c>
      <c r="H25" s="294">
        <f>($C25*(1+'Biomass Data Assumptions'!I$111))*'Prac. Rec. Assumptions'!$B21</f>
        <v>11266.874668455348</v>
      </c>
      <c r="I25" s="16" t="str">
        <f>IF('Conversion Tables'!F24="NA","NA",(E25*'Conversion Tables'!$C24)/'Conversion Tables'!F24)</f>
        <v>NA</v>
      </c>
      <c r="J25" s="16" t="str">
        <f>IF('Conversion Tables'!G24="NA","NA",(F25*'Conversion Tables'!$C24)/'Conversion Tables'!G24)</f>
        <v>NA</v>
      </c>
      <c r="K25" s="16" t="str">
        <f>IF('Conversion Tables'!H24="NA","NA",(G25*'Conversion Tables'!$C24)/'Conversion Tables'!H24)</f>
        <v>NA</v>
      </c>
      <c r="L25" s="16" t="str">
        <f>IF('Conversion Tables'!I24="NA","NA",(H25*'Conversion Tables'!$C24)/'Conversion Tables'!I24)</f>
        <v>NA</v>
      </c>
      <c r="M25" s="16" t="str">
        <f>IF('Conversion Tables'!K24="NA","NA",E25*'Conversion Tables'!K24)</f>
        <v>NA</v>
      </c>
      <c r="N25" s="16" t="str">
        <f>IF('Conversion Tables'!L24="NA","NA",F25*'Conversion Tables'!L24)</f>
        <v>NA</v>
      </c>
      <c r="O25" s="16" t="str">
        <f>IF('Conversion Tables'!M24="NA","NA",G25*'Conversion Tables'!M24)</f>
        <v>NA</v>
      </c>
      <c r="P25" s="16" t="str">
        <f>IF('Conversion Tables'!N24="NA","NA",H25*'Conversion Tables'!N24)</f>
        <v>NA</v>
      </c>
      <c r="Q25" s="13"/>
    </row>
    <row r="26" spans="1:17" x14ac:dyDescent="0.25">
      <c r="A26" s="1207"/>
      <c r="B26" s="11" t="s">
        <v>560</v>
      </c>
      <c r="C26" s="294">
        <f>C129</f>
        <v>3863.7733333333331</v>
      </c>
      <c r="D26" s="294">
        <f>E26*'Conversion Tables'!C25</f>
        <v>60274.863999999994</v>
      </c>
      <c r="E26" s="294">
        <f>C26*'Prac. Rec. Assumptions'!B22</f>
        <v>3863.7733333333331</v>
      </c>
      <c r="F26" s="294">
        <f>($C26*(1+'Biomass Data Assumptions'!G$111))*'Prac. Rec. Assumptions'!$B22</f>
        <v>3869.6970946722877</v>
      </c>
      <c r="G26" s="294">
        <f>($C26*(1+'Biomass Data Assumptions'!H$111))*'Prac. Rec. Assumptions'!$B22</f>
        <v>3880.8041471828278</v>
      </c>
      <c r="H26" s="294">
        <f>($C26*(1+'Biomass Data Assumptions'!I$111))*'Prac. Rec. Assumptions'!$B22</f>
        <v>3897.0944908649549</v>
      </c>
      <c r="I26" s="16" t="str">
        <f>IF('Conversion Tables'!F25="NA","NA",(E26*'Conversion Tables'!$C25)/'Conversion Tables'!F25)</f>
        <v>NA</v>
      </c>
      <c r="J26" s="16" t="str">
        <f>IF('Conversion Tables'!G25="NA","NA",(F26*'Conversion Tables'!$C25)/'Conversion Tables'!G25)</f>
        <v>NA</v>
      </c>
      <c r="K26" s="16" t="str">
        <f>IF('Conversion Tables'!H25="NA","NA",(G26*'Conversion Tables'!$C25)/'Conversion Tables'!H25)</f>
        <v>NA</v>
      </c>
      <c r="L26" s="16" t="str">
        <f>IF('Conversion Tables'!I25="NA","NA",(H26*'Conversion Tables'!$C25)/'Conversion Tables'!I25)</f>
        <v>NA</v>
      </c>
      <c r="M26" s="16" t="str">
        <f>IF('Conversion Tables'!K25="NA","NA",E26*'Conversion Tables'!K25)</f>
        <v>NA</v>
      </c>
      <c r="N26" s="16" t="str">
        <f>IF('Conversion Tables'!L25="NA","NA",F26*'Conversion Tables'!L25)</f>
        <v>NA</v>
      </c>
      <c r="O26" s="16" t="str">
        <f>IF('Conversion Tables'!M25="NA","NA",G26*'Conversion Tables'!M25)</f>
        <v>NA</v>
      </c>
      <c r="P26" s="16" t="str">
        <f>IF('Conversion Tables'!N25="NA","NA",H26*'Conversion Tables'!N25)</f>
        <v>NA</v>
      </c>
      <c r="Q26" s="13"/>
    </row>
    <row r="27" spans="1:17" x14ac:dyDescent="0.25">
      <c r="A27" s="1207"/>
      <c r="B27" s="11" t="s">
        <v>561</v>
      </c>
      <c r="C27" s="294">
        <f>C130</f>
        <v>14198.346666666666</v>
      </c>
      <c r="D27" s="294">
        <f>E27*'Conversion Tables'!C26</f>
        <v>221494.20799999998</v>
      </c>
      <c r="E27" s="294">
        <f>C27*'Prac. Rec. Assumptions'!B23</f>
        <v>14198.346666666666</v>
      </c>
      <c r="F27" s="294">
        <f>($C27*(1+'Biomass Data Assumptions'!G$111))*'Prac. Rec. Assumptions'!$B23</f>
        <v>14220.114925258718</v>
      </c>
      <c r="G27" s="294">
        <f>($C27*(1+'Biomass Data Assumptions'!H$111))*'Prac. Rec. Assumptions'!$B23</f>
        <v>14260.930410118817</v>
      </c>
      <c r="H27" s="294">
        <f>($C27*(1+'Biomass Data Assumptions'!I$111))*'Prac. Rec. Assumptions'!$B23</f>
        <v>14320.793121246967</v>
      </c>
      <c r="I27" s="16" t="str">
        <f>IF('Conversion Tables'!F26="NA","NA",(E27*'Conversion Tables'!$C26)/'Conversion Tables'!F26)</f>
        <v>NA</v>
      </c>
      <c r="J27" s="16" t="str">
        <f>IF('Conversion Tables'!G26="NA","NA",(F27*'Conversion Tables'!$C26)/'Conversion Tables'!G26)</f>
        <v>NA</v>
      </c>
      <c r="K27" s="16" t="str">
        <f>IF('Conversion Tables'!H26="NA","NA",(G27*'Conversion Tables'!$C26)/'Conversion Tables'!H26)</f>
        <v>NA</v>
      </c>
      <c r="L27" s="16" t="str">
        <f>IF('Conversion Tables'!I26="NA","NA",(H27*'Conversion Tables'!$C26)/'Conversion Tables'!I26)</f>
        <v>NA</v>
      </c>
      <c r="M27" s="16" t="str">
        <f>IF('Conversion Tables'!K26="NA","NA",E27*'Conversion Tables'!K26)</f>
        <v>NA</v>
      </c>
      <c r="N27" s="16" t="str">
        <f>IF('Conversion Tables'!L26="NA","NA",F27*'Conversion Tables'!L26)</f>
        <v>NA</v>
      </c>
      <c r="O27" s="16" t="str">
        <f>IF('Conversion Tables'!M26="NA","NA",G27*'Conversion Tables'!M26)</f>
        <v>NA</v>
      </c>
      <c r="P27" s="16" t="str">
        <f>IF('Conversion Tables'!N26="NA","NA",H27*'Conversion Tables'!N26)</f>
        <v>NA</v>
      </c>
      <c r="Q27" s="13"/>
    </row>
    <row r="28" spans="1:17" x14ac:dyDescent="0.25">
      <c r="A28" s="1207"/>
      <c r="B28" s="11" t="s">
        <v>562</v>
      </c>
      <c r="C28" s="294">
        <f>C131</f>
        <v>194.27</v>
      </c>
      <c r="D28" s="294">
        <f>E28*'Conversion Tables'!C27</f>
        <v>3438.5790000000002</v>
      </c>
      <c r="E28" s="294">
        <f>C28*'Prac. Rec. Assumptions'!B24</f>
        <v>194.27</v>
      </c>
      <c r="F28" s="294">
        <f>($C28*(1+'Biomass Data Assumptions'!G$111))*'Prac. Rec. Assumptions'!$B24</f>
        <v>194.56784591797623</v>
      </c>
      <c r="G28" s="294">
        <f>($C28*(1+'Biomass Data Assumptions'!H$111))*'Prac. Rec. Assumptions'!$B24</f>
        <v>195.12630701418166</v>
      </c>
      <c r="H28" s="294">
        <f>($C28*(1+'Biomass Data Assumptions'!I$111))*'Prac. Rec. Assumptions'!$B24</f>
        <v>195.94538328861634</v>
      </c>
      <c r="I28" s="16" t="str">
        <f>IF('Conversion Tables'!F27="NA","NA",(E28*'Conversion Tables'!$C27)/'Conversion Tables'!F27)</f>
        <v>NA</v>
      </c>
      <c r="J28" s="16" t="str">
        <f>IF('Conversion Tables'!G27="NA","NA",(F28*'Conversion Tables'!$C27)/'Conversion Tables'!G27)</f>
        <v>NA</v>
      </c>
      <c r="K28" s="16" t="str">
        <f>IF('Conversion Tables'!H27="NA","NA",(G28*'Conversion Tables'!$C27)/'Conversion Tables'!H27)</f>
        <v>NA</v>
      </c>
      <c r="L28" s="16" t="str">
        <f>IF('Conversion Tables'!I27="NA","NA",(H28*'Conversion Tables'!$C27)/'Conversion Tables'!I27)</f>
        <v>NA</v>
      </c>
      <c r="M28" s="16" t="str">
        <f>IF('Conversion Tables'!K27="NA","NA",E28*'Conversion Tables'!K27)</f>
        <v>NA</v>
      </c>
      <c r="N28" s="16" t="str">
        <f>IF('Conversion Tables'!L27="NA","NA",F28*'Conversion Tables'!L27)</f>
        <v>NA</v>
      </c>
      <c r="O28" s="16" t="str">
        <f>IF('Conversion Tables'!M27="NA","NA",G28*'Conversion Tables'!M27)</f>
        <v>NA</v>
      </c>
      <c r="P28" s="16" t="str">
        <f>IF('Conversion Tables'!N27="NA","NA",H28*'Conversion Tables'!N27)</f>
        <v>NA</v>
      </c>
      <c r="Q28" s="13"/>
    </row>
    <row r="29" spans="1:17" x14ac:dyDescent="0.25">
      <c r="A29" s="1208"/>
      <c r="B29" s="9" t="s">
        <v>524</v>
      </c>
      <c r="C29" s="295">
        <f t="shared" ref="C29:P29" si="3">SUM(C13:C28)</f>
        <v>36022.504999999997</v>
      </c>
      <c r="D29" s="295">
        <f>SUM(D13:D28)</f>
        <v>590605.8491600001</v>
      </c>
      <c r="E29" s="295">
        <f t="shared" si="3"/>
        <v>36018.51</v>
      </c>
      <c r="F29" s="295">
        <f>SUM(F13:F28)</f>
        <v>36063.626029129933</v>
      </c>
      <c r="G29" s="295">
        <f>SUM(G13:G28)</f>
        <v>36148.218583748552</v>
      </c>
      <c r="H29" s="295">
        <f>SUM(H13:H28)</f>
        <v>36272.287663855888</v>
      </c>
      <c r="I29" s="19">
        <f t="shared" si="3"/>
        <v>0</v>
      </c>
      <c r="J29" s="19">
        <f t="shared" si="3"/>
        <v>0</v>
      </c>
      <c r="K29" s="19">
        <f t="shared" si="3"/>
        <v>0</v>
      </c>
      <c r="L29" s="19">
        <f t="shared" si="3"/>
        <v>0</v>
      </c>
      <c r="M29" s="19">
        <f t="shared" si="3"/>
        <v>0</v>
      </c>
      <c r="N29" s="19">
        <f t="shared" si="3"/>
        <v>0</v>
      </c>
      <c r="O29" s="19">
        <f t="shared" si="3"/>
        <v>0</v>
      </c>
      <c r="P29" s="19">
        <f t="shared" si="3"/>
        <v>0</v>
      </c>
      <c r="Q29" s="19"/>
    </row>
    <row r="30" spans="1:17" x14ac:dyDescent="0.25">
      <c r="A30" s="8"/>
      <c r="C30" s="296"/>
      <c r="D30" s="296"/>
      <c r="E30" s="296"/>
      <c r="F30" s="296"/>
      <c r="G30" s="296"/>
      <c r="H30" s="296"/>
      <c r="I30" s="28"/>
      <c r="J30" s="28"/>
      <c r="K30" s="28"/>
      <c r="L30" s="28"/>
      <c r="M30" s="28"/>
      <c r="N30" s="28"/>
      <c r="O30" s="28"/>
      <c r="P30" s="28"/>
    </row>
    <row r="31" spans="1:17" x14ac:dyDescent="0.25">
      <c r="A31" s="1064" t="s">
        <v>516</v>
      </c>
      <c r="B31" s="130" t="str">
        <f>'Bioenergy Calculator'!B34</f>
        <v>Solid wastes - Landfilled</v>
      </c>
      <c r="C31" s="294"/>
      <c r="D31" s="294"/>
      <c r="E31" s="294"/>
      <c r="F31" s="294"/>
      <c r="G31" s="294"/>
      <c r="H31" s="294"/>
      <c r="I31" s="16"/>
      <c r="J31" s="16"/>
      <c r="K31" s="16"/>
      <c r="L31" s="16"/>
      <c r="M31" s="16"/>
      <c r="N31" s="16"/>
      <c r="O31" s="16"/>
      <c r="P31" s="16"/>
      <c r="Q31" s="7"/>
    </row>
    <row r="32" spans="1:17" x14ac:dyDescent="0.25">
      <c r="A32" s="1064"/>
      <c r="B32" s="11" t="str">
        <f>'Bioenergy Calculator'!B35</f>
        <v>Food waste, Landfilled</v>
      </c>
      <c r="C32" s="294">
        <f>C141</f>
        <v>1355.6023529999993</v>
      </c>
      <c r="D32" s="294">
        <f>E32*'Conversion Tables'!C29</f>
        <v>13013.782588799995</v>
      </c>
      <c r="E32" s="294">
        <f>C32*'Prac. Rec. Assumptions'!B26</f>
        <v>813.3614117999997</v>
      </c>
      <c r="F32" s="294">
        <f>($C32*(1+'Biomass Data Assumptions'!G$111)*(1+'Biomass Data Assumptions'!C$82))*'Prac. Rec. Assumptions'!$B26</f>
        <v>814.05531805720875</v>
      </c>
      <c r="G32" s="294">
        <f>($C32*(1+'Biomass Data Assumptions'!H$111)*(1+'Biomass Data Assumptions'!D$82))*'Prac. Rec. Assumptions'!$B26</f>
        <v>815.83755843288577</v>
      </c>
      <c r="H32" s="294">
        <f>($C32*(1+'Biomass Data Assumptions'!I$111)*(1+'Biomass Data Assumptions'!E$82))*'Prac. Rec. Assumptions'!$B26</f>
        <v>818.70591484304657</v>
      </c>
      <c r="I32" s="16" t="str">
        <f>IF('Conversion Tables'!F29="NA","NA",(E32*'Conversion Tables'!$C29)/'Conversion Tables'!F29)</f>
        <v>NA</v>
      </c>
      <c r="J32" s="16" t="str">
        <f>IF('Conversion Tables'!G29="NA","NA",(F32*'Conversion Tables'!$C29)/'Conversion Tables'!G29)</f>
        <v>NA</v>
      </c>
      <c r="K32" s="16" t="str">
        <f>IF('Conversion Tables'!H29="NA","NA",(G32*'Conversion Tables'!$C29)/'Conversion Tables'!H29)</f>
        <v>NA</v>
      </c>
      <c r="L32" s="16" t="str">
        <f>IF('Conversion Tables'!I29="NA","NA",(H32*'Conversion Tables'!$C29)/'Conversion Tables'!I29)</f>
        <v>NA</v>
      </c>
      <c r="M32" s="16" t="str">
        <f>IF('Conversion Tables'!K29="NA","NA",E32*'Conversion Tables'!K29)</f>
        <v>NA</v>
      </c>
      <c r="N32" s="16" t="str">
        <f>IF('Conversion Tables'!L29="NA","NA",F32*'Conversion Tables'!L29)</f>
        <v>NA</v>
      </c>
      <c r="O32" s="16" t="str">
        <f>IF('Conversion Tables'!M29="NA","NA",G32*'Conversion Tables'!M29)</f>
        <v>NA</v>
      </c>
      <c r="P32" s="16" t="str">
        <f>IF('Conversion Tables'!N29="NA","NA",H32*'Conversion Tables'!N29)</f>
        <v>NA</v>
      </c>
      <c r="Q32" s="7"/>
    </row>
    <row r="33" spans="1:17" x14ac:dyDescent="0.25">
      <c r="A33" s="1064"/>
      <c r="B33" s="11" t="str">
        <f>'Bioenergy Calculator'!B36</f>
        <v>Waste paper, Landfilled</v>
      </c>
      <c r="C33" s="294">
        <f>C142</f>
        <v>4999.9619024999984</v>
      </c>
      <c r="D33" s="294">
        <f>E33*'Conversion Tables'!C30</f>
        <v>58087.557398483987</v>
      </c>
      <c r="E33" s="294">
        <f>C33*'Prac. Rec. Assumptions'!B27</f>
        <v>3999.969521999999</v>
      </c>
      <c r="F33" s="294">
        <f>($C33*(1+'Biomass Data Assumptions'!G$111)*(1+'Biomass Data Assumptions'!C$82))*'Prac. Rec. Assumptions'!$B27</f>
        <v>4003.3820319121901</v>
      </c>
      <c r="G33" s="294">
        <f>($C33*(1+'Biomass Data Assumptions'!H$111)*(1+'Biomass Data Assumptions'!D$82))*'Prac. Rec. Assumptions'!$B27</f>
        <v>4012.146779145291</v>
      </c>
      <c r="H33" s="294">
        <f>($C33*(1+'Biomass Data Assumptions'!I$111)*(1+'Biomass Data Assumptions'!E$82))*'Prac. Rec. Assumptions'!$B27</f>
        <v>4026.2528555492427</v>
      </c>
      <c r="I33" s="16" t="str">
        <f>IF('Conversion Tables'!F30="NA","NA",(E33*'Conversion Tables'!$C30)/'Conversion Tables'!F30)</f>
        <v>NA</v>
      </c>
      <c r="J33" s="16" t="str">
        <f>IF('Conversion Tables'!G30="NA","NA",(F33*'Conversion Tables'!$C30)/'Conversion Tables'!G30)</f>
        <v>NA</v>
      </c>
      <c r="K33" s="16" t="str">
        <f>IF('Conversion Tables'!H30="NA","NA",(G33*'Conversion Tables'!$C30)/'Conversion Tables'!H30)</f>
        <v>NA</v>
      </c>
      <c r="L33" s="16" t="str">
        <f>IF('Conversion Tables'!I30="NA","NA",(H33*'Conversion Tables'!$C30)/'Conversion Tables'!I30)</f>
        <v>NA</v>
      </c>
      <c r="M33" s="16" t="str">
        <f>IF('Conversion Tables'!K30="NA","NA",E33*'Conversion Tables'!K30)</f>
        <v>NA</v>
      </c>
      <c r="N33" s="16" t="str">
        <f>IF('Conversion Tables'!L30="NA","NA",F33*'Conversion Tables'!L30)</f>
        <v>NA</v>
      </c>
      <c r="O33" s="16" t="str">
        <f>IF('Conversion Tables'!M30="NA","NA",G33*'Conversion Tables'!M30)</f>
        <v>NA</v>
      </c>
      <c r="P33" s="16" t="str">
        <f>IF('Conversion Tables'!N30="NA","NA",H33*'Conversion Tables'!N30)</f>
        <v>NA</v>
      </c>
      <c r="Q33" s="7"/>
    </row>
    <row r="34" spans="1:17" x14ac:dyDescent="0.25">
      <c r="A34" s="1064"/>
      <c r="B34" s="11" t="str">
        <f>'Bioenergy Calculator'!B37</f>
        <v>Other Biomass, Landfilled</v>
      </c>
      <c r="C34" s="294">
        <f>C143</f>
        <v>3846.0146824999983</v>
      </c>
      <c r="D34" s="294">
        <f>E34*'Conversion Tables'!C31</f>
        <v>40213.314157870787</v>
      </c>
      <c r="E34" s="294">
        <f>C34*'Prac. Rec. Assumptions'!B28</f>
        <v>2769.1305713999991</v>
      </c>
      <c r="F34" s="294">
        <f>($C34*(1+'Biomass Data Assumptions'!G$111)*(1+'Biomass Data Assumptions'!C$82))*'Prac. Rec. Assumptions'!$B28</f>
        <v>2771.4930107813693</v>
      </c>
      <c r="G34" s="294">
        <f>($C34*(1+'Biomass Data Assumptions'!H$111)*(1+'Biomass Data Assumptions'!D$82))*'Prac. Rec. Assumptions'!$B28</f>
        <v>2777.5607393928717</v>
      </c>
      <c r="H34" s="294">
        <f>($C34*(1+'Biomass Data Assumptions'!I$111)*(1+'Biomass Data Assumptions'!E$82))*'Prac. Rec. Assumptions'!$B28</f>
        <v>2787.3262056540134</v>
      </c>
      <c r="I34" s="16" t="str">
        <f>IF('Conversion Tables'!F31="NA","NA",(E34*'Conversion Tables'!$C31)/'Conversion Tables'!F31)</f>
        <v>NA</v>
      </c>
      <c r="J34" s="16" t="str">
        <f>IF('Conversion Tables'!G31="NA","NA",(F34*'Conversion Tables'!$C31)/'Conversion Tables'!G31)</f>
        <v>NA</v>
      </c>
      <c r="K34" s="16" t="str">
        <f>IF('Conversion Tables'!H31="NA","NA",(G34*'Conversion Tables'!$C31)/'Conversion Tables'!H31)</f>
        <v>NA</v>
      </c>
      <c r="L34" s="16" t="str">
        <f>IF('Conversion Tables'!I31="NA","NA",(H34*'Conversion Tables'!$C31)/'Conversion Tables'!I31)</f>
        <v>NA</v>
      </c>
      <c r="M34" s="16" t="str">
        <f>IF('Conversion Tables'!K31="NA","NA",E34*'Conversion Tables'!K31)</f>
        <v>NA</v>
      </c>
      <c r="N34" s="16" t="str">
        <f>IF('Conversion Tables'!L31="NA","NA",F34*'Conversion Tables'!L31)</f>
        <v>NA</v>
      </c>
      <c r="O34" s="16" t="str">
        <f>IF('Conversion Tables'!M31="NA","NA",G34*'Conversion Tables'!M31)</f>
        <v>NA</v>
      </c>
      <c r="P34" s="16" t="str">
        <f>IF('Conversion Tables'!N31="NA","NA",H34*'Conversion Tables'!N31)</f>
        <v>NA</v>
      </c>
      <c r="Q34" s="7"/>
    </row>
    <row r="35" spans="1:17" x14ac:dyDescent="0.25">
      <c r="A35" s="1065"/>
      <c r="B35" s="11" t="str">
        <f>'Bioenergy Calculator'!B38</f>
        <v>C&amp;D (Non-recycled wood)</v>
      </c>
      <c r="C35" s="294">
        <f>C145</f>
        <v>22937.728000000003</v>
      </c>
      <c r="D35" s="294">
        <f>E35*'Conversion Tables'!C32</f>
        <v>259838.58278400006</v>
      </c>
      <c r="E35" s="294">
        <f>C35*'Prac. Rec. Assumptions'!B29</f>
        <v>14680.145920000004</v>
      </c>
      <c r="F35" s="294">
        <f>($C35*(1+'Biomass Data Assumptions'!G$111)*(1+'Biomass Data Assumptions'!C$83))*'Prac. Rec. Assumptions'!$B29</f>
        <v>15440.889123913836</v>
      </c>
      <c r="G35" s="294">
        <f>($C35*(1+'Biomass Data Assumptions'!H$111)*(1+'Biomass Data Assumptions'!D$83))*'Prac. Rec. Assumptions'!$B29</f>
        <v>16262.737803012564</v>
      </c>
      <c r="H35" s="294">
        <f>($C35*(1+'Biomass Data Assumptions'!I$111)*(1+'Biomass Data Assumptions'!E$83))*'Prac. Rec. Assumptions'!$B29</f>
        <v>17151.000981476809</v>
      </c>
      <c r="I35" s="16" t="str">
        <f>IF('Conversion Tables'!F32="NA","NA",(E35*'Conversion Tables'!$C32)/'Conversion Tables'!F32)</f>
        <v>NA</v>
      </c>
      <c r="J35" s="16" t="str">
        <f>IF('Conversion Tables'!G32="NA","NA",(F35*'Conversion Tables'!$C32)/'Conversion Tables'!G32)</f>
        <v>NA</v>
      </c>
      <c r="K35" s="16" t="str">
        <f>IF('Conversion Tables'!H32="NA","NA",(G35*'Conversion Tables'!$C32)/'Conversion Tables'!H32)</f>
        <v>NA</v>
      </c>
      <c r="L35" s="16" t="str">
        <f>IF('Conversion Tables'!I32="NA","NA",(H35*'Conversion Tables'!$C32)/'Conversion Tables'!I32)</f>
        <v>NA</v>
      </c>
      <c r="M35" s="16" t="str">
        <f>IF('Conversion Tables'!K32="NA","NA",E35*'Conversion Tables'!K32)</f>
        <v>NA</v>
      </c>
      <c r="N35" s="16" t="str">
        <f>IF('Conversion Tables'!L32="NA","NA",F35*'Conversion Tables'!L32)</f>
        <v>NA</v>
      </c>
      <c r="O35" s="16" t="str">
        <f>IF('Conversion Tables'!M32="NA","NA",G35*'Conversion Tables'!M32)</f>
        <v>NA</v>
      </c>
      <c r="P35" s="16" t="str">
        <f>IF('Conversion Tables'!N32="NA","NA",H35*'Conversion Tables'!N32)</f>
        <v>NA</v>
      </c>
      <c r="Q35" s="7"/>
    </row>
    <row r="36" spans="1:17" x14ac:dyDescent="0.25">
      <c r="A36" s="1065"/>
      <c r="B36" s="4" t="s">
        <v>280</v>
      </c>
      <c r="C36" s="294"/>
      <c r="D36" s="294"/>
      <c r="E36" s="294"/>
      <c r="F36" s="294"/>
      <c r="G36" s="294"/>
      <c r="H36" s="294"/>
      <c r="I36" s="16"/>
      <c r="J36" s="16"/>
      <c r="K36" s="16"/>
      <c r="L36" s="16"/>
      <c r="M36" s="16"/>
      <c r="N36" s="16"/>
      <c r="O36" s="16"/>
      <c r="P36" s="16"/>
      <c r="Q36" s="7"/>
    </row>
    <row r="37" spans="1:17" x14ac:dyDescent="0.25">
      <c r="A37" s="1065"/>
      <c r="B37" s="677" t="s">
        <v>563</v>
      </c>
      <c r="C37" s="299">
        <f>C132</f>
        <v>1239.29</v>
      </c>
      <c r="D37" s="294">
        <f>E37*'Conversion Tables'!C34</f>
        <v>19828.64</v>
      </c>
      <c r="E37" s="294">
        <f>C37*'Prac. Rec. Assumptions'!B31</f>
        <v>1239.29</v>
      </c>
      <c r="F37" s="294">
        <f>($C37*(1+'Biomass Data Assumptions'!G$111)*(1+'Biomass Data Assumptions'!C$84))*'Prac. Rec. Assumptions'!$B31</f>
        <v>1357.2117314382788</v>
      </c>
      <c r="G37" s="294">
        <f>($C37*(1+'Biomass Data Assumptions'!H$111)*(1+'Biomass Data Assumptions'!D$84))*'Prac. Rec. Assumptions'!$B31</f>
        <v>1488.3384043631766</v>
      </c>
      <c r="H37" s="294">
        <f>($C37*(1+'Biomass Data Assumptions'!I$111)*(1+'Biomass Data Assumptions'!E$84))*'Prac. Rec. Assumptions'!$B31</f>
        <v>1634.2941551844701</v>
      </c>
      <c r="I37" s="16" t="str">
        <f>IF('Conversion Tables'!F34="NA","NA",(E37*'Conversion Tables'!$C34)/'Conversion Tables'!F34)</f>
        <v>NA</v>
      </c>
      <c r="J37" s="16" t="str">
        <f>IF('Conversion Tables'!G34="NA","NA",(F37*'Conversion Tables'!$C34)/'Conversion Tables'!G34)</f>
        <v>NA</v>
      </c>
      <c r="K37" s="16" t="str">
        <f>IF('Conversion Tables'!H34="NA","NA",(G37*'Conversion Tables'!$C34)/'Conversion Tables'!H34)</f>
        <v>NA</v>
      </c>
      <c r="L37" s="16" t="str">
        <f>IF('Conversion Tables'!I34="NA","NA",(H37*'Conversion Tables'!$C34)/'Conversion Tables'!I34)</f>
        <v>NA</v>
      </c>
      <c r="M37" s="16" t="str">
        <f>IF('Conversion Tables'!K34="NA","NA",E37*'Conversion Tables'!K34)</f>
        <v>NA</v>
      </c>
      <c r="N37" s="16" t="str">
        <f>IF('Conversion Tables'!L34="NA","NA",F37*'Conversion Tables'!L34)</f>
        <v>NA</v>
      </c>
      <c r="O37" s="16" t="str">
        <f>IF('Conversion Tables'!M34="NA","NA",G37*'Conversion Tables'!M34)</f>
        <v>NA</v>
      </c>
      <c r="P37" s="16" t="str">
        <f>IF('Conversion Tables'!N34="NA","NA",H37*'Conversion Tables'!N34)</f>
        <v>NA</v>
      </c>
      <c r="Q37" s="18"/>
    </row>
    <row r="38" spans="1:17" x14ac:dyDescent="0.25">
      <c r="A38" s="1065"/>
      <c r="B38" s="11" t="s">
        <v>565</v>
      </c>
      <c r="C38" s="294">
        <f>C134</f>
        <v>2479.1680000000001</v>
      </c>
      <c r="D38" s="294">
        <f>E38*'Conversion Tables'!C35</f>
        <v>21940.6368</v>
      </c>
      <c r="E38" s="294">
        <f>C38*'Prac. Rec. Assumptions'!B32</f>
        <v>1239.5840000000001</v>
      </c>
      <c r="F38" s="294">
        <f>($C38*(1+'Biomass Data Assumptions'!G$111)*(1+'Biomass Data Assumptions'!C$84))*'Prac. Rec. Assumptions'!$B32</f>
        <v>1357.5337063182851</v>
      </c>
      <c r="G38" s="294">
        <f>($C38*(1+'Biomass Data Assumptions'!H$111)*(1+'Biomass Data Assumptions'!D$84))*'Prac. Rec. Assumptions'!$B32</f>
        <v>1488.6914867659093</v>
      </c>
      <c r="H38" s="294">
        <f>($C38*(1+'Biomass Data Assumptions'!I$111)*(1+'Biomass Data Assumptions'!E$84))*'Prac. Rec. Assumptions'!$B32</f>
        <v>1634.681863050768</v>
      </c>
      <c r="I38" s="16" t="str">
        <f>IF('Conversion Tables'!F35="NA","NA",(E38*'Conversion Tables'!$C35)/'Conversion Tables'!F35)</f>
        <v>NA</v>
      </c>
      <c r="J38" s="16" t="str">
        <f>IF('Conversion Tables'!G35="NA","NA",(F38*'Conversion Tables'!$C35)/'Conversion Tables'!G35)</f>
        <v>NA</v>
      </c>
      <c r="K38" s="16" t="str">
        <f>IF('Conversion Tables'!H35="NA","NA",(G38*'Conversion Tables'!$C35)/'Conversion Tables'!H35)</f>
        <v>NA</v>
      </c>
      <c r="L38" s="16" t="str">
        <f>IF('Conversion Tables'!I35="NA","NA",(H38*'Conversion Tables'!$C35)/'Conversion Tables'!I35)</f>
        <v>NA</v>
      </c>
      <c r="M38" s="16" t="str">
        <f>IF('Conversion Tables'!K35="NA","NA",E38*'Conversion Tables'!K35)</f>
        <v>NA</v>
      </c>
      <c r="N38" s="16" t="str">
        <f>IF('Conversion Tables'!L35="NA","NA",F38*'Conversion Tables'!L35)</f>
        <v>NA</v>
      </c>
      <c r="O38" s="16" t="str">
        <f>IF('Conversion Tables'!M35="NA","NA",G38*'Conversion Tables'!M35)</f>
        <v>NA</v>
      </c>
      <c r="P38" s="16" t="str">
        <f>IF('Conversion Tables'!N35="NA","NA",H38*'Conversion Tables'!N35)</f>
        <v>NA</v>
      </c>
      <c r="Q38" s="13"/>
    </row>
    <row r="39" spans="1:17" x14ac:dyDescent="0.25">
      <c r="A39" s="1065"/>
      <c r="B39" s="17" t="s">
        <v>555</v>
      </c>
      <c r="C39" s="294">
        <f>C124</f>
        <v>21050.207999999999</v>
      </c>
      <c r="D39" s="299">
        <f>E39*'Conversion Tables'!C36</f>
        <v>0</v>
      </c>
      <c r="E39" s="299">
        <f>C39*'Prac. Rec. Assumptions'!B33</f>
        <v>0</v>
      </c>
      <c r="F39" s="294">
        <f>($C39*(1+'Biomass Data Assumptions'!G$111)*(1+'Biomass Data Assumptions'!C$84))*'Prac. Rec. Assumptions'!$B33</f>
        <v>0</v>
      </c>
      <c r="G39" s="294">
        <f>($C39*(1+'Biomass Data Assumptions'!H$111)*(1+'Biomass Data Assumptions'!D$84))*'Prac. Rec. Assumptions'!$B33</f>
        <v>0</v>
      </c>
      <c r="H39" s="294">
        <f>($C39*(1+'Biomass Data Assumptions'!I$111)*(1+'Biomass Data Assumptions'!E$84))*'Prac. Rec. Assumptions'!$B33</f>
        <v>0</v>
      </c>
      <c r="I39" s="16" t="str">
        <f>IF('Conversion Tables'!F36="NA","NA",(E39*'Conversion Tables'!$C36)/'Conversion Tables'!F36)</f>
        <v>NA</v>
      </c>
      <c r="J39" s="16" t="str">
        <f>IF('Conversion Tables'!G36="NA","NA",(F39*'Conversion Tables'!$C36)/'Conversion Tables'!G36)</f>
        <v>NA</v>
      </c>
      <c r="K39" s="16" t="str">
        <f>IF('Conversion Tables'!H36="NA","NA",(G39*'Conversion Tables'!$C36)/'Conversion Tables'!H36)</f>
        <v>NA</v>
      </c>
      <c r="L39" s="16" t="str">
        <f>IF('Conversion Tables'!I36="NA","NA",(H39*'Conversion Tables'!$C36)/'Conversion Tables'!I36)</f>
        <v>NA</v>
      </c>
      <c r="M39" s="16" t="str">
        <f>IF('Conversion Tables'!K36="NA","NA",E39*'Conversion Tables'!K36)</f>
        <v>NA</v>
      </c>
      <c r="N39" s="16" t="str">
        <f>IF('Conversion Tables'!L36="NA","NA",F39*'Conversion Tables'!L36)</f>
        <v>NA</v>
      </c>
      <c r="O39" s="16" t="str">
        <f>IF('Conversion Tables'!M36="NA","NA",G39*'Conversion Tables'!M36)</f>
        <v>NA</v>
      </c>
      <c r="P39" s="16" t="str">
        <f>IF('Conversion Tables'!N36="NA","NA",H39*'Conversion Tables'!N36)</f>
        <v>NA</v>
      </c>
      <c r="Q39" s="27"/>
    </row>
    <row r="40" spans="1:17" x14ac:dyDescent="0.25">
      <c r="A40" s="1065"/>
      <c r="B40" s="17" t="s">
        <v>556</v>
      </c>
      <c r="C40" s="294">
        <f>C125</f>
        <v>5024.5650000000005</v>
      </c>
      <c r="D40" s="299">
        <f>E40*'Conversion Tables'!C37</f>
        <v>0</v>
      </c>
      <c r="E40" s="299">
        <f>C40*'Prac. Rec. Assumptions'!B34</f>
        <v>0</v>
      </c>
      <c r="F40" s="294">
        <f>($C40*(1+'Biomass Data Assumptions'!G$111)*(1+'Biomass Data Assumptions'!C$84))*'Prac. Rec. Assumptions'!$B34</f>
        <v>0</v>
      </c>
      <c r="G40" s="294">
        <f>($C40*(1+'Biomass Data Assumptions'!H$111)*(1+'Biomass Data Assumptions'!D$84))*'Prac. Rec. Assumptions'!$B34</f>
        <v>0</v>
      </c>
      <c r="H40" s="294">
        <f>($C40*(1+'Biomass Data Assumptions'!I$111)*(1+'Biomass Data Assumptions'!E$84))*'Prac. Rec. Assumptions'!$B34</f>
        <v>0</v>
      </c>
      <c r="I40" s="16" t="str">
        <f>IF('Conversion Tables'!F37="NA","NA",(E40*'Conversion Tables'!$C37)/'Conversion Tables'!F37)</f>
        <v>NA</v>
      </c>
      <c r="J40" s="16" t="str">
        <f>IF('Conversion Tables'!G37="NA","NA",(F40*'Conversion Tables'!$C37)/'Conversion Tables'!G37)</f>
        <v>NA</v>
      </c>
      <c r="K40" s="16" t="str">
        <f>IF('Conversion Tables'!H37="NA","NA",(G40*'Conversion Tables'!$C37)/'Conversion Tables'!H37)</f>
        <v>NA</v>
      </c>
      <c r="L40" s="16" t="str">
        <f>IF('Conversion Tables'!I37="NA","NA",(H40*'Conversion Tables'!$C37)/'Conversion Tables'!I37)</f>
        <v>NA</v>
      </c>
      <c r="M40" s="16" t="str">
        <f>IF('Conversion Tables'!K37="NA","NA",E40*'Conversion Tables'!K37)</f>
        <v>NA</v>
      </c>
      <c r="N40" s="16" t="str">
        <f>IF('Conversion Tables'!L37="NA","NA",F40*'Conversion Tables'!L37)</f>
        <v>NA</v>
      </c>
      <c r="O40" s="16" t="str">
        <f>IF('Conversion Tables'!M37="NA","NA",G40*'Conversion Tables'!M37)</f>
        <v>NA</v>
      </c>
      <c r="P40" s="16" t="str">
        <f>IF('Conversion Tables'!N37="NA","NA",H40*'Conversion Tables'!N37)</f>
        <v>NA</v>
      </c>
      <c r="Q40" s="27"/>
    </row>
    <row r="41" spans="1:17" x14ac:dyDescent="0.25">
      <c r="A41" s="1065"/>
      <c r="B41" s="17" t="s">
        <v>557</v>
      </c>
      <c r="C41" s="294">
        <f>C126</f>
        <v>10996.325999999999</v>
      </c>
      <c r="D41" s="299">
        <f>E41*'Conversion Tables'!C38</f>
        <v>0</v>
      </c>
      <c r="E41" s="299">
        <f>C41*'Prac. Rec. Assumptions'!B35</f>
        <v>0</v>
      </c>
      <c r="F41" s="294">
        <f>($C41*(1+'Biomass Data Assumptions'!G$111)*(1+'Biomass Data Assumptions'!C$84))*'Prac. Rec. Assumptions'!$B35</f>
        <v>0</v>
      </c>
      <c r="G41" s="294">
        <f>($C41*(1+'Biomass Data Assumptions'!H$111)*(1+'Biomass Data Assumptions'!D$84))*'Prac. Rec. Assumptions'!$B35</f>
        <v>0</v>
      </c>
      <c r="H41" s="294">
        <f>($C41*(1+'Biomass Data Assumptions'!I$111)*(1+'Biomass Data Assumptions'!E$84))*'Prac. Rec. Assumptions'!$B35</f>
        <v>0</v>
      </c>
      <c r="I41" s="16" t="str">
        <f>IF('Conversion Tables'!F38="NA","NA",(E41*'Conversion Tables'!$C38)/'Conversion Tables'!F38)</f>
        <v>NA</v>
      </c>
      <c r="J41" s="16" t="str">
        <f>IF('Conversion Tables'!G38="NA","NA",(F41*'Conversion Tables'!$C38)/'Conversion Tables'!G38)</f>
        <v>NA</v>
      </c>
      <c r="K41" s="16" t="str">
        <f>IF('Conversion Tables'!H38="NA","NA",(G41*'Conversion Tables'!$C38)/'Conversion Tables'!H38)</f>
        <v>NA</v>
      </c>
      <c r="L41" s="16" t="str">
        <f>IF('Conversion Tables'!I38="NA","NA",(H41*'Conversion Tables'!$C38)/'Conversion Tables'!I38)</f>
        <v>NA</v>
      </c>
      <c r="M41" s="16" t="str">
        <f>IF('Conversion Tables'!K38="NA","NA",E41*'Conversion Tables'!K38)</f>
        <v>NA</v>
      </c>
      <c r="N41" s="16" t="str">
        <f>IF('Conversion Tables'!L38="NA","NA",F41*'Conversion Tables'!L38)</f>
        <v>NA</v>
      </c>
      <c r="O41" s="16" t="str">
        <f>IF('Conversion Tables'!M38="NA","NA",G41*'Conversion Tables'!M38)</f>
        <v>NA</v>
      </c>
      <c r="P41" s="16" t="str">
        <f>IF('Conversion Tables'!N38="NA","NA",H41*'Conversion Tables'!N38)</f>
        <v>NA</v>
      </c>
      <c r="Q41" s="27"/>
    </row>
    <row r="42" spans="1:17" x14ac:dyDescent="0.25">
      <c r="A42" s="1065"/>
      <c r="B42" s="17" t="s">
        <v>558</v>
      </c>
      <c r="C42" s="294">
        <f>C127</f>
        <v>2810.1509999999998</v>
      </c>
      <c r="D42" s="299">
        <f>E42*'Conversion Tables'!C39</f>
        <v>40809.012821999997</v>
      </c>
      <c r="E42" s="299">
        <f>C42*'Prac. Rec. Assumptions'!B36</f>
        <v>2810.1509999999998</v>
      </c>
      <c r="F42" s="294">
        <f>($C42*(1+'Biomass Data Assumptions'!G$111)*(1+'Biomass Data Assumptions'!C$84))*'Prac. Rec. Assumptions'!$B36</f>
        <v>3077.5443232116859</v>
      </c>
      <c r="G42" s="294">
        <f>($C42*(1+'Biomass Data Assumptions'!H$111)*(1+'Biomass Data Assumptions'!D$84))*'Prac. Rec. Assumptions'!$B36</f>
        <v>3374.8805004152255</v>
      </c>
      <c r="H42" s="294">
        <f>($C42*(1+'Biomass Data Assumptions'!I$111)*(1+'Biomass Data Assumptions'!E$84))*'Prac. Rec. Assumptions'!$B36</f>
        <v>3705.8423407643031</v>
      </c>
      <c r="I42" s="16" t="str">
        <f>IF('Conversion Tables'!F39="NA","NA",(E42*'Conversion Tables'!$C39)/'Conversion Tables'!F39)</f>
        <v>NA</v>
      </c>
      <c r="J42" s="16" t="str">
        <f>IF('Conversion Tables'!G39="NA","NA",(F42*'Conversion Tables'!$C39)/'Conversion Tables'!G39)</f>
        <v>NA</v>
      </c>
      <c r="K42" s="16" t="str">
        <f>IF('Conversion Tables'!H39="NA","NA",(G42*'Conversion Tables'!$C39)/'Conversion Tables'!H39)</f>
        <v>NA</v>
      </c>
      <c r="L42" s="16" t="str">
        <f>IF('Conversion Tables'!I39="NA","NA",(H42*'Conversion Tables'!$C39)/'Conversion Tables'!I39)</f>
        <v>NA</v>
      </c>
      <c r="M42" s="16" t="str">
        <f>IF('Conversion Tables'!K39="NA","NA",E42*'Conversion Tables'!K39)</f>
        <v>NA</v>
      </c>
      <c r="N42" s="16" t="str">
        <f>IF('Conversion Tables'!L39="NA","NA",F42*'Conversion Tables'!L39)</f>
        <v>NA</v>
      </c>
      <c r="O42" s="16" t="str">
        <f>IF('Conversion Tables'!M39="NA","NA",G42*'Conversion Tables'!M39)</f>
        <v>NA</v>
      </c>
      <c r="P42" s="16" t="str">
        <f>IF('Conversion Tables'!N39="NA","NA",H42*'Conversion Tables'!N39)</f>
        <v>NA</v>
      </c>
      <c r="Q42" s="27"/>
    </row>
    <row r="43" spans="1:17" x14ac:dyDescent="0.25">
      <c r="A43" s="1065"/>
      <c r="B43" s="9" t="s">
        <v>524</v>
      </c>
      <c r="C43" s="295">
        <f t="shared" ref="C43:P43" si="4">SUM(C31:C42)</f>
        <v>76739.014937999993</v>
      </c>
      <c r="D43" s="295">
        <f t="shared" si="4"/>
        <v>453731.52655115485</v>
      </c>
      <c r="E43" s="295">
        <f t="shared" si="4"/>
        <v>27551.632425200005</v>
      </c>
      <c r="F43" s="295">
        <f t="shared" si="4"/>
        <v>28822.109245632852</v>
      </c>
      <c r="G43" s="295">
        <f t="shared" si="4"/>
        <v>30220.193271527925</v>
      </c>
      <c r="H43" s="295">
        <f t="shared" si="4"/>
        <v>31758.104316522655</v>
      </c>
      <c r="I43" s="19">
        <f t="shared" si="4"/>
        <v>0</v>
      </c>
      <c r="J43" s="19">
        <f t="shared" si="4"/>
        <v>0</v>
      </c>
      <c r="K43" s="19">
        <f t="shared" si="4"/>
        <v>0</v>
      </c>
      <c r="L43" s="19">
        <f t="shared" si="4"/>
        <v>0</v>
      </c>
      <c r="M43" s="19">
        <f t="shared" si="4"/>
        <v>0</v>
      </c>
      <c r="N43" s="19">
        <f t="shared" si="4"/>
        <v>0</v>
      </c>
      <c r="O43" s="19">
        <f t="shared" si="4"/>
        <v>0</v>
      </c>
      <c r="P43" s="19">
        <f t="shared" si="4"/>
        <v>0</v>
      </c>
      <c r="Q43" s="19"/>
    </row>
    <row r="44" spans="1:17" x14ac:dyDescent="0.25">
      <c r="A44" s="8"/>
      <c r="C44" s="296"/>
      <c r="D44" s="296"/>
      <c r="E44" s="296"/>
      <c r="F44" s="296"/>
      <c r="G44" s="296"/>
      <c r="H44" s="296"/>
      <c r="I44" s="28"/>
      <c r="J44" s="28"/>
      <c r="K44" s="28"/>
      <c r="L44" s="28"/>
      <c r="M44" s="28"/>
      <c r="N44" s="28"/>
      <c r="O44" s="28"/>
      <c r="P44" s="28"/>
    </row>
    <row r="45" spans="1:17" x14ac:dyDescent="0.25">
      <c r="A45" s="1064" t="s">
        <v>515</v>
      </c>
      <c r="B45" s="2" t="s">
        <v>510</v>
      </c>
      <c r="C45" s="294"/>
      <c r="D45" s="294"/>
      <c r="E45" s="294"/>
      <c r="F45" s="294"/>
      <c r="G45" s="294"/>
      <c r="H45" s="294"/>
      <c r="I45" s="16"/>
      <c r="J45" s="16"/>
      <c r="K45" s="16"/>
      <c r="L45" s="16"/>
      <c r="M45" s="16"/>
      <c r="N45" s="16"/>
      <c r="O45" s="16"/>
      <c r="P45" s="16"/>
      <c r="Q45" s="7"/>
    </row>
    <row r="46" spans="1:17" x14ac:dyDescent="0.25">
      <c r="A46" s="1064"/>
      <c r="B46" s="12" t="s">
        <v>525</v>
      </c>
      <c r="C46" s="294">
        <f>D77</f>
        <v>0</v>
      </c>
      <c r="D46" s="294">
        <f>E46*'Conversion Tables'!C41</f>
        <v>0</v>
      </c>
      <c r="E46" s="294">
        <f>C46*'Prac. Rec. Assumptions'!B38</f>
        <v>0</v>
      </c>
      <c r="F46" s="294">
        <f>$E46</f>
        <v>0</v>
      </c>
      <c r="G46" s="294">
        <f>$E46</f>
        <v>0</v>
      </c>
      <c r="H46" s="294">
        <f>$E46</f>
        <v>0</v>
      </c>
      <c r="I46" s="16" t="str">
        <f>IF('Conversion Tables'!F41="NA","NA",(E46*'Conversion Tables'!$C41)/'Conversion Tables'!F41)</f>
        <v>NA</v>
      </c>
      <c r="J46" s="16" t="str">
        <f>IF('Conversion Tables'!G41="NA","NA",(F46*'Conversion Tables'!$C41)/'Conversion Tables'!G41)</f>
        <v>NA</v>
      </c>
      <c r="K46" s="16" t="str">
        <f>IF('Conversion Tables'!H41="NA","NA",(G46*'Conversion Tables'!$C41)/'Conversion Tables'!H41)</f>
        <v>NA</v>
      </c>
      <c r="L46" s="16" t="str">
        <f>IF('Conversion Tables'!I41="NA","NA",(H46*'Conversion Tables'!$C41)/'Conversion Tables'!I41)</f>
        <v>NA</v>
      </c>
      <c r="M46" s="16" t="str">
        <f>IF('Conversion Tables'!K41="NA","NA",E46*'Conversion Tables'!K41)</f>
        <v>NA</v>
      </c>
      <c r="N46" s="16" t="str">
        <f>IF('Conversion Tables'!L41="NA","NA",F46*'Conversion Tables'!L41)</f>
        <v>NA</v>
      </c>
      <c r="O46" s="16" t="str">
        <f>IF('Conversion Tables'!M41="NA","NA",G46*'Conversion Tables'!M41)</f>
        <v>NA</v>
      </c>
      <c r="P46" s="16" t="str">
        <f>IF('Conversion Tables'!N41="NA","NA",H46*'Conversion Tables'!N41)</f>
        <v>NA</v>
      </c>
      <c r="Q46" s="15"/>
    </row>
    <row r="47" spans="1:17" x14ac:dyDescent="0.25">
      <c r="A47" s="1065"/>
      <c r="B47" s="2" t="s">
        <v>508</v>
      </c>
      <c r="C47" s="294">
        <f t="shared" ref="C47:C48" si="5">C148</f>
        <v>2006.5062600000001</v>
      </c>
      <c r="D47" s="294"/>
      <c r="E47" s="294">
        <f>C47*'Prac. Rec. Assumptions'!B39</f>
        <v>1003.2531300000001</v>
      </c>
      <c r="F47" s="294">
        <f>($C47*(1+'Biomass Data Assumptions'!G$111))*'Prac. Rec. Assumptions'!$B39</f>
        <v>1004.7912720160981</v>
      </c>
      <c r="G47" s="294">
        <f>($C47*(1+'Biomass Data Assumptions'!H$111))*'Prac. Rec. Assumptions'!$B39</f>
        <v>1007.675288296282</v>
      </c>
      <c r="H47" s="294">
        <f>($C47*(1+'Biomass Data Assumptions'!I$111))*'Prac. Rec. Assumptions'!$B39</f>
        <v>1011.905178840552</v>
      </c>
      <c r="I47" s="16" t="str">
        <f>IF('Conversion Tables'!F42="NA","NA",(E47*'Conversion Tables'!$C42)/'Conversion Tables'!F42)</f>
        <v>NA</v>
      </c>
      <c r="J47" s="16" t="str">
        <f>IF('Conversion Tables'!G42="NA","NA",(F47*'Conversion Tables'!$C42)/'Conversion Tables'!G42)</f>
        <v>NA</v>
      </c>
      <c r="K47" s="16" t="str">
        <f>IF('Conversion Tables'!H42="NA","NA",(G47*'Conversion Tables'!$C42)/'Conversion Tables'!H42)</f>
        <v>NA</v>
      </c>
      <c r="L47" s="16" t="str">
        <f>IF('Conversion Tables'!I42="NA","NA",(H47*'Conversion Tables'!$C42)/'Conversion Tables'!I42)</f>
        <v>NA</v>
      </c>
      <c r="M47" s="16" t="str">
        <f>IF('Conversion Tables'!K42="NA","NA",E47*'Conversion Tables'!K42)</f>
        <v>NA</v>
      </c>
      <c r="N47" s="16" t="str">
        <f>IF('Conversion Tables'!L42="NA","NA",F47*'Conversion Tables'!L42)</f>
        <v>NA</v>
      </c>
      <c r="O47" s="16" t="str">
        <f>IF('Conversion Tables'!M42="NA","NA",G47*'Conversion Tables'!M42)</f>
        <v>NA</v>
      </c>
      <c r="P47" s="16" t="str">
        <f>IF('Conversion Tables'!N42="NA","NA",H47*'Conversion Tables'!N42)</f>
        <v>NA</v>
      </c>
      <c r="Q47" s="7"/>
    </row>
    <row r="48" spans="1:17" x14ac:dyDescent="0.25">
      <c r="A48" s="1065"/>
      <c r="B48" s="1" t="s">
        <v>509</v>
      </c>
      <c r="C48" s="294">
        <f t="shared" si="5"/>
        <v>179.32479075000001</v>
      </c>
      <c r="D48" s="294"/>
      <c r="E48" s="294">
        <f>C48*'Prac. Rec. Assumptions'!B40</f>
        <v>179.32479075000001</v>
      </c>
      <c r="F48" s="294">
        <f>($C48*(1+'Biomass Data Assumptions'!G$111))*'Prac. Rec. Assumptions'!$B40</f>
        <v>179.59972335367956</v>
      </c>
      <c r="G48" s="294">
        <f>($C48*(1+'Biomass Data Assumptions'!H$111))*'Prac. Rec. Assumptions'!$B40</f>
        <v>180.11522198557876</v>
      </c>
      <c r="H48" s="294">
        <f>($C48*(1+'Biomass Data Assumptions'!I$111))*'Prac. Rec. Assumptions'!$B40</f>
        <v>180.87128664569761</v>
      </c>
      <c r="I48" s="16" t="str">
        <f>IF('Conversion Tables'!F43="NA","NA",(E48*'Conversion Tables'!$C43)/'Conversion Tables'!F43)</f>
        <v>NA</v>
      </c>
      <c r="J48" s="16" t="str">
        <f>IF('Conversion Tables'!G43="NA","NA",(F48*'Conversion Tables'!$C43)/'Conversion Tables'!G43)</f>
        <v>NA</v>
      </c>
      <c r="K48" s="16" t="str">
        <f>IF('Conversion Tables'!H43="NA","NA",(G48*'Conversion Tables'!$C43)/'Conversion Tables'!H43)</f>
        <v>NA</v>
      </c>
      <c r="L48" s="16" t="str">
        <f>IF('Conversion Tables'!I43="NA","NA",(H48*'Conversion Tables'!$C43)/'Conversion Tables'!I43)</f>
        <v>NA</v>
      </c>
      <c r="M48" s="16" t="str">
        <f>IF('Conversion Tables'!K43="NA","NA",E48*'Conversion Tables'!K43)</f>
        <v>NA</v>
      </c>
      <c r="N48" s="16" t="str">
        <f>IF('Conversion Tables'!L43="NA","NA",F48*'Conversion Tables'!L43)</f>
        <v>NA</v>
      </c>
      <c r="O48" s="16" t="str">
        <f>IF('Conversion Tables'!M43="NA","NA",G48*'Conversion Tables'!M43)</f>
        <v>NA</v>
      </c>
      <c r="P48" s="16" t="str">
        <f>IF('Conversion Tables'!N43="NA","NA",H48*'Conversion Tables'!N43)</f>
        <v>NA</v>
      </c>
      <c r="Q48" s="7"/>
    </row>
    <row r="49" spans="1:17" x14ac:dyDescent="0.25">
      <c r="A49" s="1065"/>
      <c r="B49" s="9" t="s">
        <v>524</v>
      </c>
      <c r="C49" s="295">
        <f t="shared" ref="C49:P49" si="6">SUM(C45:C48)</f>
        <v>2185.83105075</v>
      </c>
      <c r="D49" s="295">
        <f>SUM(D45:D48)</f>
        <v>0</v>
      </c>
      <c r="E49" s="295">
        <f t="shared" si="6"/>
        <v>1182.57792075</v>
      </c>
      <c r="F49" s="295">
        <f>SUM(F45:F48)</f>
        <v>1184.3909953697776</v>
      </c>
      <c r="G49" s="295">
        <f>SUM(G45:G48)</f>
        <v>1187.7905102818609</v>
      </c>
      <c r="H49" s="295">
        <f>SUM(H45:H48)</f>
        <v>1192.7764654862497</v>
      </c>
      <c r="I49" s="19">
        <f t="shared" si="6"/>
        <v>0</v>
      </c>
      <c r="J49" s="19">
        <f t="shared" si="6"/>
        <v>0</v>
      </c>
      <c r="K49" s="19">
        <f t="shared" si="6"/>
        <v>0</v>
      </c>
      <c r="L49" s="19">
        <f t="shared" si="6"/>
        <v>0</v>
      </c>
      <c r="M49" s="19">
        <f t="shared" si="6"/>
        <v>0</v>
      </c>
      <c r="N49" s="19">
        <f t="shared" si="6"/>
        <v>0</v>
      </c>
      <c r="O49" s="19">
        <f t="shared" si="6"/>
        <v>0</v>
      </c>
      <c r="P49" s="19">
        <f t="shared" si="6"/>
        <v>0</v>
      </c>
      <c r="Q49" s="19"/>
    </row>
    <row r="50" spans="1:17" x14ac:dyDescent="0.25">
      <c r="A50" s="8"/>
      <c r="C50" s="296"/>
      <c r="D50" s="296"/>
      <c r="E50" s="296"/>
      <c r="F50" s="296"/>
      <c r="G50" s="296"/>
      <c r="H50" s="296"/>
      <c r="I50" s="28"/>
      <c r="J50" s="28"/>
      <c r="K50" s="28"/>
      <c r="L50" s="28"/>
      <c r="M50" s="28"/>
      <c r="N50" s="28"/>
      <c r="O50" s="28"/>
      <c r="P50" s="28"/>
    </row>
    <row r="51" spans="1:17" x14ac:dyDescent="0.25">
      <c r="A51" s="1200" t="s">
        <v>517</v>
      </c>
      <c r="B51" s="2" t="s">
        <v>505</v>
      </c>
      <c r="C51" s="294"/>
      <c r="D51" s="294"/>
      <c r="E51" s="294"/>
      <c r="F51" s="294"/>
      <c r="G51" s="294"/>
      <c r="H51" s="294"/>
      <c r="I51" s="16"/>
      <c r="J51" s="16"/>
      <c r="K51" s="16"/>
      <c r="L51" s="16"/>
      <c r="M51" s="16"/>
      <c r="N51" s="16"/>
      <c r="O51" s="16"/>
      <c r="P51" s="16"/>
      <c r="Q51" s="7"/>
    </row>
    <row r="52" spans="1:17" x14ac:dyDescent="0.25">
      <c r="A52" s="1201"/>
      <c r="B52" s="12" t="s">
        <v>535</v>
      </c>
      <c r="C52" s="294">
        <f>G97</f>
        <v>0</v>
      </c>
      <c r="D52" s="299">
        <f>E52*'Conversion Tables'!C45</f>
        <v>0</v>
      </c>
      <c r="E52" s="299">
        <f>C52*'Prac. Rec. Assumptions'!B42</f>
        <v>0</v>
      </c>
      <c r="F52" s="294">
        <f t="shared" ref="F52:H59" si="7">$E52</f>
        <v>0</v>
      </c>
      <c r="G52" s="294">
        <f t="shared" si="7"/>
        <v>0</v>
      </c>
      <c r="H52" s="294">
        <f t="shared" si="7"/>
        <v>0</v>
      </c>
      <c r="I52" s="16" t="str">
        <f>IF('Conversion Tables'!F45="NA","NA",(E52*'Conversion Tables'!$C45)/'Conversion Tables'!F45)</f>
        <v>NA</v>
      </c>
      <c r="J52" s="16" t="str">
        <f>IF('Conversion Tables'!G45="NA","NA",(F52*'Conversion Tables'!$C45)/'Conversion Tables'!G45)</f>
        <v>NA</v>
      </c>
      <c r="K52" s="16" t="str">
        <f>IF('Conversion Tables'!H45="NA","NA",(G52*'Conversion Tables'!$C45)/'Conversion Tables'!H45)</f>
        <v>NA</v>
      </c>
      <c r="L52" s="16" t="str">
        <f>IF('Conversion Tables'!I45="NA","NA",(H52*'Conversion Tables'!$C45)/'Conversion Tables'!I45)</f>
        <v>NA</v>
      </c>
      <c r="M52" s="16" t="str">
        <f>IF('Conversion Tables'!K45="NA","NA",E52*'Conversion Tables'!K45)</f>
        <v>NA</v>
      </c>
      <c r="N52" s="16" t="str">
        <f>IF('Conversion Tables'!L45="NA","NA",F52*'Conversion Tables'!L45)</f>
        <v>NA</v>
      </c>
      <c r="O52" s="16" t="str">
        <f>IF('Conversion Tables'!M45="NA","NA",G52*'Conversion Tables'!M45)</f>
        <v>NA</v>
      </c>
      <c r="P52" s="16" t="str">
        <f>IF('Conversion Tables'!N45="NA","NA",H52*'Conversion Tables'!N45)</f>
        <v>NA</v>
      </c>
      <c r="Q52" s="27"/>
    </row>
    <row r="53" spans="1:17" x14ac:dyDescent="0.25">
      <c r="A53" s="1201"/>
      <c r="B53" s="12" t="s">
        <v>539</v>
      </c>
      <c r="C53" s="294">
        <f>G104</f>
        <v>0</v>
      </c>
      <c r="D53" s="299">
        <f>E53*'Conversion Tables'!C46</f>
        <v>0</v>
      </c>
      <c r="E53" s="299">
        <f>C53*'Prac. Rec. Assumptions'!B43</f>
        <v>0</v>
      </c>
      <c r="F53" s="294">
        <f t="shared" si="7"/>
        <v>0</v>
      </c>
      <c r="G53" s="294">
        <f t="shared" si="7"/>
        <v>0</v>
      </c>
      <c r="H53" s="294">
        <f t="shared" si="7"/>
        <v>0</v>
      </c>
      <c r="I53" s="16" t="str">
        <f>IF('Conversion Tables'!F46="NA","NA",(E53*'Conversion Tables'!$C46)/'Conversion Tables'!F46)</f>
        <v>NA</v>
      </c>
      <c r="J53" s="16" t="str">
        <f>IF('Conversion Tables'!G46="NA","NA",(F53*'Conversion Tables'!$C46)/'Conversion Tables'!G46)</f>
        <v>NA</v>
      </c>
      <c r="K53" s="16" t="str">
        <f>IF('Conversion Tables'!H46="NA","NA",(G53*'Conversion Tables'!$C46)/'Conversion Tables'!H46)</f>
        <v>NA</v>
      </c>
      <c r="L53" s="16" t="str">
        <f>IF('Conversion Tables'!I46="NA","NA",(H53*'Conversion Tables'!$C46)/'Conversion Tables'!I46)</f>
        <v>NA</v>
      </c>
      <c r="M53" s="16" t="str">
        <f>IF('Conversion Tables'!K46="NA","NA",E53*'Conversion Tables'!K46)</f>
        <v>NA</v>
      </c>
      <c r="N53" s="16" t="str">
        <f>IF('Conversion Tables'!L46="NA","NA",F53*'Conversion Tables'!L46)</f>
        <v>NA</v>
      </c>
      <c r="O53" s="16" t="str">
        <f>IF('Conversion Tables'!M46="NA","NA",G53*'Conversion Tables'!M46)</f>
        <v>NA</v>
      </c>
      <c r="P53" s="16" t="str">
        <f>IF('Conversion Tables'!N46="NA","NA",H53*'Conversion Tables'!N46)</f>
        <v>NA</v>
      </c>
      <c r="Q53" s="27"/>
    </row>
    <row r="54" spans="1:17" x14ac:dyDescent="0.25">
      <c r="A54" s="1201"/>
      <c r="B54" s="12" t="s">
        <v>545</v>
      </c>
      <c r="C54" s="294">
        <f>G106</f>
        <v>6.8930249999999997</v>
      </c>
      <c r="D54" s="299">
        <f>E54*'Conversion Tables'!C47</f>
        <v>61.061172659999997</v>
      </c>
      <c r="E54" s="299">
        <f>C54*'Prac. Rec. Assumptions'!B44</f>
        <v>4.135815</v>
      </c>
      <c r="F54" s="294">
        <f t="shared" si="7"/>
        <v>4.135815</v>
      </c>
      <c r="G54" s="294">
        <f t="shared" si="7"/>
        <v>4.135815</v>
      </c>
      <c r="H54" s="294">
        <f t="shared" si="7"/>
        <v>4.135815</v>
      </c>
      <c r="I54" s="16" t="str">
        <f>IF('Conversion Tables'!F47="NA","NA",(E54*'Conversion Tables'!$C47)/'Conversion Tables'!F47)</f>
        <v>NA</v>
      </c>
      <c r="J54" s="16" t="str">
        <f>IF('Conversion Tables'!G47="NA","NA",(F54*'Conversion Tables'!$C47)/'Conversion Tables'!G47)</f>
        <v>NA</v>
      </c>
      <c r="K54" s="16" t="str">
        <f>IF('Conversion Tables'!H47="NA","NA",(G54*'Conversion Tables'!$C47)/'Conversion Tables'!H47)</f>
        <v>NA</v>
      </c>
      <c r="L54" s="16" t="str">
        <f>IF('Conversion Tables'!I47="NA","NA",(H54*'Conversion Tables'!$C47)/'Conversion Tables'!I47)</f>
        <v>NA</v>
      </c>
      <c r="M54" s="16" t="str">
        <f>IF('Conversion Tables'!K47="NA","NA",E54*'Conversion Tables'!K47)</f>
        <v>NA</v>
      </c>
      <c r="N54" s="16" t="str">
        <f>IF('Conversion Tables'!L47="NA","NA",F54*'Conversion Tables'!L47)</f>
        <v>NA</v>
      </c>
      <c r="O54" s="16" t="str">
        <f>IF('Conversion Tables'!M47="NA","NA",G54*'Conversion Tables'!M47)</f>
        <v>NA</v>
      </c>
      <c r="P54" s="16" t="str">
        <f>IF('Conversion Tables'!N47="NA","NA",H54*'Conversion Tables'!N47)</f>
        <v>NA</v>
      </c>
      <c r="Q54" s="27"/>
    </row>
    <row r="55" spans="1:17" x14ac:dyDescent="0.25">
      <c r="A55" s="1201"/>
      <c r="B55" s="12" t="s">
        <v>546</v>
      </c>
      <c r="C55" s="294">
        <f>G108</f>
        <v>0</v>
      </c>
      <c r="D55" s="299">
        <f>E55*'Conversion Tables'!C48</f>
        <v>0</v>
      </c>
      <c r="E55" s="299">
        <f>C55*'Prac. Rec. Assumptions'!B45</f>
        <v>0</v>
      </c>
      <c r="F55" s="294">
        <f t="shared" si="7"/>
        <v>0</v>
      </c>
      <c r="G55" s="294">
        <f t="shared" si="7"/>
        <v>0</v>
      </c>
      <c r="H55" s="294">
        <f t="shared" si="7"/>
        <v>0</v>
      </c>
      <c r="I55" s="16" t="str">
        <f>IF('Conversion Tables'!F48="NA","NA",(E55*'Conversion Tables'!$C48)/'Conversion Tables'!F48)</f>
        <v>NA</v>
      </c>
      <c r="J55" s="16" t="str">
        <f>IF('Conversion Tables'!G48="NA","NA",(F55*'Conversion Tables'!$C48)/'Conversion Tables'!G48)</f>
        <v>NA</v>
      </c>
      <c r="K55" s="16" t="str">
        <f>IF('Conversion Tables'!H48="NA","NA",(G55*'Conversion Tables'!$C48)/'Conversion Tables'!H48)</f>
        <v>NA</v>
      </c>
      <c r="L55" s="16" t="str">
        <f>IF('Conversion Tables'!I48="NA","NA",(H55*'Conversion Tables'!$C48)/'Conversion Tables'!I48)</f>
        <v>NA</v>
      </c>
      <c r="M55" s="16" t="str">
        <f>IF('Conversion Tables'!K48="NA","NA",E55*'Conversion Tables'!K48)</f>
        <v>NA</v>
      </c>
      <c r="N55" s="16" t="str">
        <f>IF('Conversion Tables'!L48="NA","NA",F55*'Conversion Tables'!L48)</f>
        <v>NA</v>
      </c>
      <c r="O55" s="16" t="str">
        <f>IF('Conversion Tables'!M48="NA","NA",G55*'Conversion Tables'!M48)</f>
        <v>NA</v>
      </c>
      <c r="P55" s="16" t="str">
        <f>IF('Conversion Tables'!N48="NA","NA",H55*'Conversion Tables'!N48)</f>
        <v>NA</v>
      </c>
      <c r="Q55" s="27"/>
    </row>
    <row r="56" spans="1:17" x14ac:dyDescent="0.25">
      <c r="A56" s="1201"/>
      <c r="B56" s="12" t="s">
        <v>547</v>
      </c>
      <c r="C56" s="294">
        <f>G110</f>
        <v>0</v>
      </c>
      <c r="D56" s="299">
        <f>E56*'Conversion Tables'!C49</f>
        <v>0</v>
      </c>
      <c r="E56" s="299">
        <f>C56*'Prac. Rec. Assumptions'!B46</f>
        <v>0</v>
      </c>
      <c r="F56" s="294">
        <f t="shared" si="7"/>
        <v>0</v>
      </c>
      <c r="G56" s="294">
        <f t="shared" si="7"/>
        <v>0</v>
      </c>
      <c r="H56" s="294">
        <f t="shared" si="7"/>
        <v>0</v>
      </c>
      <c r="I56" s="16" t="str">
        <f>IF('Conversion Tables'!F49="NA","NA",(E56*'Conversion Tables'!$C49)/'Conversion Tables'!F49)</f>
        <v>NA</v>
      </c>
      <c r="J56" s="16" t="str">
        <f>IF('Conversion Tables'!G49="NA","NA",(F56*'Conversion Tables'!$C49)/'Conversion Tables'!G49)</f>
        <v>NA</v>
      </c>
      <c r="K56" s="16" t="str">
        <f>IF('Conversion Tables'!H49="NA","NA",(G56*'Conversion Tables'!$C49)/'Conversion Tables'!H49)</f>
        <v>NA</v>
      </c>
      <c r="L56" s="16" t="str">
        <f>IF('Conversion Tables'!I49="NA","NA",(H56*'Conversion Tables'!$C49)/'Conversion Tables'!I49)</f>
        <v>NA</v>
      </c>
      <c r="M56" s="16" t="str">
        <f>IF('Conversion Tables'!K49="NA","NA",E56*'Conversion Tables'!K49)</f>
        <v>NA</v>
      </c>
      <c r="N56" s="16" t="str">
        <f>IF('Conversion Tables'!L49="NA","NA",F56*'Conversion Tables'!L49)</f>
        <v>NA</v>
      </c>
      <c r="O56" s="16" t="str">
        <f>IF('Conversion Tables'!M49="NA","NA",G56*'Conversion Tables'!M49)</f>
        <v>NA</v>
      </c>
      <c r="P56" s="16" t="str">
        <f>IF('Conversion Tables'!N49="NA","NA",H56*'Conversion Tables'!N49)</f>
        <v>NA</v>
      </c>
      <c r="Q56" s="27"/>
    </row>
    <row r="57" spans="1:17" x14ac:dyDescent="0.25">
      <c r="A57" s="1201"/>
      <c r="B57" s="133" t="s">
        <v>605</v>
      </c>
      <c r="C57" s="294">
        <f>G115</f>
        <v>0</v>
      </c>
      <c r="D57" s="299">
        <f>E57*'Conversion Tables'!C50</f>
        <v>0</v>
      </c>
      <c r="E57" s="299">
        <f>C57*'Prac. Rec. Assumptions'!B47</f>
        <v>0</v>
      </c>
      <c r="F57" s="294">
        <f t="shared" si="7"/>
        <v>0</v>
      </c>
      <c r="G57" s="294">
        <f t="shared" si="7"/>
        <v>0</v>
      </c>
      <c r="H57" s="294">
        <f t="shared" si="7"/>
        <v>0</v>
      </c>
      <c r="I57" s="16" t="str">
        <f>IF('Conversion Tables'!F50="NA","NA",(E57*'Conversion Tables'!$C50)/'Conversion Tables'!F50)</f>
        <v>NA</v>
      </c>
      <c r="J57" s="16" t="str">
        <f>IF('Conversion Tables'!G50="NA","NA",(F57*'Conversion Tables'!$C50)/'Conversion Tables'!G50)</f>
        <v>NA</v>
      </c>
      <c r="K57" s="16" t="str">
        <f>IF('Conversion Tables'!H50="NA","NA",(G57*'Conversion Tables'!$C50)/'Conversion Tables'!H50)</f>
        <v>NA</v>
      </c>
      <c r="L57" s="16" t="str">
        <f>IF('Conversion Tables'!I50="NA","NA",(H57*'Conversion Tables'!$C50)/'Conversion Tables'!I50)</f>
        <v>NA</v>
      </c>
      <c r="M57" s="16" t="str">
        <f>IF('Conversion Tables'!K50="NA","NA",E57*'Conversion Tables'!K50)</f>
        <v>NA</v>
      </c>
      <c r="N57" s="16" t="str">
        <f>IF('Conversion Tables'!L50="NA","NA",F57*'Conversion Tables'!L50)</f>
        <v>NA</v>
      </c>
      <c r="O57" s="16" t="str">
        <f>IF('Conversion Tables'!M50="NA","NA",G57*'Conversion Tables'!M50)</f>
        <v>NA</v>
      </c>
      <c r="P57" s="16" t="str">
        <f>IF('Conversion Tables'!N50="NA","NA",H57*'Conversion Tables'!N50)</f>
        <v>NA</v>
      </c>
      <c r="Q57" s="27"/>
    </row>
    <row r="58" spans="1:17" x14ac:dyDescent="0.25">
      <c r="A58" s="1201"/>
      <c r="B58" s="12" t="s">
        <v>551</v>
      </c>
      <c r="C58" s="294">
        <f>G117</f>
        <v>0</v>
      </c>
      <c r="D58" s="299">
        <f>E58*'Conversion Tables'!C51</f>
        <v>0</v>
      </c>
      <c r="E58" s="299">
        <f>C58*'Prac. Rec. Assumptions'!B48</f>
        <v>0</v>
      </c>
      <c r="F58" s="294">
        <f t="shared" si="7"/>
        <v>0</v>
      </c>
      <c r="G58" s="294">
        <f t="shared" si="7"/>
        <v>0</v>
      </c>
      <c r="H58" s="294">
        <f t="shared" si="7"/>
        <v>0</v>
      </c>
      <c r="I58" s="16" t="str">
        <f>IF('Conversion Tables'!F51="NA","NA",(E58*'Conversion Tables'!$C51)/'Conversion Tables'!F51)</f>
        <v>NA</v>
      </c>
      <c r="J58" s="16" t="str">
        <f>IF('Conversion Tables'!G51="NA","NA",(F58*'Conversion Tables'!$C51)/'Conversion Tables'!G51)</f>
        <v>NA</v>
      </c>
      <c r="K58" s="16" t="str">
        <f>IF('Conversion Tables'!H51="NA","NA",(G58*'Conversion Tables'!$C51)/'Conversion Tables'!H51)</f>
        <v>NA</v>
      </c>
      <c r="L58" s="16" t="str">
        <f>IF('Conversion Tables'!I51="NA","NA",(H58*'Conversion Tables'!$C51)/'Conversion Tables'!I51)</f>
        <v>NA</v>
      </c>
      <c r="M58" s="16" t="str">
        <f>IF('Conversion Tables'!K51="NA","NA",E58*'Conversion Tables'!K51)</f>
        <v>NA</v>
      </c>
      <c r="N58" s="16" t="str">
        <f>IF('Conversion Tables'!L51="NA","NA",F58*'Conversion Tables'!L51)</f>
        <v>NA</v>
      </c>
      <c r="O58" s="16" t="str">
        <f>IF('Conversion Tables'!M51="NA","NA",G58*'Conversion Tables'!M51)</f>
        <v>NA</v>
      </c>
      <c r="P58" s="16" t="str">
        <f>IF('Conversion Tables'!N51="NA","NA",H58*'Conversion Tables'!N51)</f>
        <v>NA</v>
      </c>
      <c r="Q58" s="27"/>
    </row>
    <row r="59" spans="1:17" x14ac:dyDescent="0.25">
      <c r="A59" s="1201"/>
      <c r="B59" s="12" t="s">
        <v>552</v>
      </c>
      <c r="C59" s="294">
        <f>G119</f>
        <v>0</v>
      </c>
      <c r="D59" s="299">
        <f>E59*'Conversion Tables'!C52</f>
        <v>0</v>
      </c>
      <c r="E59" s="299">
        <f>C59*'Prac. Rec. Assumptions'!B49</f>
        <v>0</v>
      </c>
      <c r="F59" s="294">
        <f t="shared" si="7"/>
        <v>0</v>
      </c>
      <c r="G59" s="294">
        <f t="shared" si="7"/>
        <v>0</v>
      </c>
      <c r="H59" s="294">
        <f t="shared" si="7"/>
        <v>0</v>
      </c>
      <c r="I59" s="16" t="str">
        <f>IF('Conversion Tables'!F52="NA","NA",(E59*'Conversion Tables'!$C52)/'Conversion Tables'!F52)</f>
        <v>NA</v>
      </c>
      <c r="J59" s="16" t="str">
        <f>IF('Conversion Tables'!G52="NA","NA",(F59*'Conversion Tables'!$C52)/'Conversion Tables'!G52)</f>
        <v>NA</v>
      </c>
      <c r="K59" s="16" t="str">
        <f>IF('Conversion Tables'!H52="NA","NA",(G59*'Conversion Tables'!$C52)/'Conversion Tables'!H52)</f>
        <v>NA</v>
      </c>
      <c r="L59" s="16" t="str">
        <f>IF('Conversion Tables'!I52="NA","NA",(H59*'Conversion Tables'!$C52)/'Conversion Tables'!I52)</f>
        <v>NA</v>
      </c>
      <c r="M59" s="16" t="str">
        <f>IF('Conversion Tables'!K52="NA","NA",E59*'Conversion Tables'!K52)</f>
        <v>NA</v>
      </c>
      <c r="N59" s="16" t="str">
        <f>IF('Conversion Tables'!L52="NA","NA",F59*'Conversion Tables'!L52)</f>
        <v>NA</v>
      </c>
      <c r="O59" s="16" t="str">
        <f>IF('Conversion Tables'!M52="NA","NA",G59*'Conversion Tables'!M52)</f>
        <v>NA</v>
      </c>
      <c r="P59" s="16" t="str">
        <f>IF('Conversion Tables'!N52="NA","NA",H59*'Conversion Tables'!N52)</f>
        <v>NA</v>
      </c>
      <c r="Q59" s="27"/>
    </row>
    <row r="60" spans="1:17" x14ac:dyDescent="0.25">
      <c r="A60" s="1202"/>
      <c r="B60" s="129" t="s">
        <v>305</v>
      </c>
      <c r="C60" s="294">
        <f>'Biomass Data Assumptions'!AE26</f>
        <v>1084.7832709999984</v>
      </c>
      <c r="D60" s="299">
        <f>E60*'Conversion Tables'!C53</f>
        <v>13017.399251999981</v>
      </c>
      <c r="E60" s="299">
        <f>C60*'Prac. Rec. Assumptions'!B50</f>
        <v>1084.7832709999984</v>
      </c>
      <c r="F60" s="294">
        <f>($C60*(1+'Biomass Data Assumptions'!G$111*(4/5)))*'Prac. Rec. Assumptions'!$B50</f>
        <v>1086.1137832526624</v>
      </c>
      <c r="G60" s="294">
        <f>($C60*(1+'Biomass Data Assumptions'!H$111*(9/10)))*'Prac. Rec. Assumptions'!$B50</f>
        <v>1089.0866465672079</v>
      </c>
      <c r="H60" s="294">
        <f>($C60*(1+'Biomass Data Assumptions'!I$111*(14/15)))*'Prac. Rec. Assumptions'!$B50</f>
        <v>1093.5147576581051</v>
      </c>
      <c r="I60" s="16" t="str">
        <f>IF('Conversion Tables'!F53="NA","NA",(E60*'Conversion Tables'!$C53)/'Conversion Tables'!F53)</f>
        <v>NA</v>
      </c>
      <c r="J60" s="16" t="str">
        <f>IF('Conversion Tables'!G53="NA","NA",(F60*'Conversion Tables'!$C53)/'Conversion Tables'!G53)</f>
        <v>NA</v>
      </c>
      <c r="K60" s="16" t="str">
        <f>IF('Conversion Tables'!H53="NA","NA",(G60*'Conversion Tables'!$C53)/'Conversion Tables'!H53)</f>
        <v>NA</v>
      </c>
      <c r="L60" s="16" t="str">
        <f>IF('Conversion Tables'!I53="NA","NA",(H60*'Conversion Tables'!$C53)/'Conversion Tables'!I53)</f>
        <v>NA</v>
      </c>
      <c r="M60" s="16" t="str">
        <f>IF('Conversion Tables'!K53="NA","NA",E60*'Conversion Tables'!K53)</f>
        <v>NA</v>
      </c>
      <c r="N60" s="16" t="str">
        <f>IF('Conversion Tables'!L53="NA","NA",F60*'Conversion Tables'!L53)</f>
        <v>NA</v>
      </c>
      <c r="O60" s="16" t="str">
        <f>IF('Conversion Tables'!M53="NA","NA",G60*'Conversion Tables'!M53)</f>
        <v>NA</v>
      </c>
      <c r="P60" s="16" t="str">
        <f>IF('Conversion Tables'!N53="NA","NA",H60*'Conversion Tables'!N53)</f>
        <v>NA</v>
      </c>
      <c r="Q60" s="7"/>
    </row>
    <row r="61" spans="1:17" x14ac:dyDescent="0.25">
      <c r="A61" s="1202"/>
      <c r="B61" s="9" t="s">
        <v>257</v>
      </c>
      <c r="C61" s="295">
        <f>SUM(C52:C60)</f>
        <v>1091.6762959999985</v>
      </c>
      <c r="D61" s="295">
        <f>SUM(D52:D60)</f>
        <v>13078.460424659981</v>
      </c>
      <c r="E61" s="295">
        <f t="shared" ref="E61:P61" si="8">SUM(E52:E60)</f>
        <v>1088.9190859999985</v>
      </c>
      <c r="F61" s="295">
        <f>SUM(F52:F60)</f>
        <v>1090.2495982526625</v>
      </c>
      <c r="G61" s="295">
        <f>SUM(G52:G60)</f>
        <v>1093.222461567208</v>
      </c>
      <c r="H61" s="295">
        <f>SUM(H52:H60)</f>
        <v>1097.6505726581051</v>
      </c>
      <c r="I61" s="19">
        <f t="shared" si="8"/>
        <v>0</v>
      </c>
      <c r="J61" s="19">
        <f t="shared" si="8"/>
        <v>0</v>
      </c>
      <c r="K61" s="19">
        <f t="shared" si="8"/>
        <v>0</v>
      </c>
      <c r="L61" s="19">
        <f t="shared" si="8"/>
        <v>0</v>
      </c>
      <c r="M61" s="19">
        <f t="shared" si="8"/>
        <v>0</v>
      </c>
      <c r="N61" s="19">
        <f t="shared" si="8"/>
        <v>0</v>
      </c>
      <c r="O61" s="19">
        <f t="shared" si="8"/>
        <v>0</v>
      </c>
      <c r="P61" s="19">
        <f t="shared" si="8"/>
        <v>0</v>
      </c>
      <c r="Q61" s="7"/>
    </row>
    <row r="62" spans="1:17" x14ac:dyDescent="0.25">
      <c r="A62" s="1202"/>
      <c r="B62" s="7" t="s">
        <v>256</v>
      </c>
      <c r="C62" s="298" t="s">
        <v>251</v>
      </c>
      <c r="D62" s="13"/>
      <c r="E62" s="298" t="s">
        <v>251</v>
      </c>
      <c r="F62" s="298"/>
      <c r="G62" s="298"/>
      <c r="H62" s="298"/>
      <c r="I62" s="7"/>
      <c r="J62" s="7"/>
      <c r="K62" s="7"/>
      <c r="L62" s="7"/>
      <c r="M62" s="7"/>
      <c r="N62" s="7"/>
      <c r="O62" s="7"/>
      <c r="P62" s="7"/>
      <c r="Q62" s="7"/>
    </row>
    <row r="63" spans="1:17" x14ac:dyDescent="0.25">
      <c r="A63" s="1203"/>
      <c r="B63" s="133" t="s">
        <v>304</v>
      </c>
      <c r="C63" s="294">
        <f>'Biomass Data Assumptions'!AB26</f>
        <v>364.86976800000002</v>
      </c>
      <c r="D63" s="300">
        <f>E63*'Conversion Tables'!C55</f>
        <v>225854.38639200001</v>
      </c>
      <c r="E63" s="299">
        <f>C63*'Prac. Rec. Assumptions'!B51</f>
        <v>364.86976800000002</v>
      </c>
      <c r="F63" s="294">
        <f>($C63*(1+'Biomass Data Assumptions'!G$111*(4/5)))*'Prac. Rec. Assumptions'!$B51</f>
        <v>365.31728937125337</v>
      </c>
      <c r="G63" s="294">
        <f>($C63*(1+'Biomass Data Assumptions'!H$111*(9/10)))*'Prac. Rec. Assumptions'!$B51</f>
        <v>366.31721993514753</v>
      </c>
      <c r="H63" s="294">
        <f>($C63*(1+'Biomass Data Assumptions'!I$111*(14/15)))*'Prac. Rec. Assumptions'!$B51</f>
        <v>367.80662699885016</v>
      </c>
      <c r="I63" s="16" t="str">
        <f>IF('Conversion Tables'!F55="NA","NA",(E63*'Conversion Tables'!$C55)/'Conversion Tables'!F55)</f>
        <v>NA</v>
      </c>
      <c r="J63" s="16" t="str">
        <f>IF('Conversion Tables'!G55="NA","NA",(F63*'Conversion Tables'!$C55)/'Conversion Tables'!G55)</f>
        <v>NA</v>
      </c>
      <c r="K63" s="16" t="str">
        <f>IF('Conversion Tables'!H55="NA","NA",(G63*'Conversion Tables'!$C55)/'Conversion Tables'!H55)</f>
        <v>NA</v>
      </c>
      <c r="L63" s="16" t="str">
        <f>IF('Conversion Tables'!I55="NA","NA",(H63*'Conversion Tables'!$C55)/'Conversion Tables'!I55)</f>
        <v>NA</v>
      </c>
      <c r="M63" s="16" t="str">
        <f>IF('Conversion Tables'!K55="NA","NA",E63*'Conversion Tables'!K55)</f>
        <v>NA</v>
      </c>
      <c r="N63" s="16" t="str">
        <f>IF('Conversion Tables'!L55="NA","NA",F63*'Conversion Tables'!L55)</f>
        <v>NA</v>
      </c>
      <c r="O63" s="16" t="str">
        <f>IF('Conversion Tables'!M55="NA","NA",G63*'Conversion Tables'!M55)</f>
        <v>NA</v>
      </c>
      <c r="P63" s="16" t="str">
        <f>IF('Conversion Tables'!N55="NA","NA",H63*'Conversion Tables'!N55)</f>
        <v>NA</v>
      </c>
      <c r="Q63" s="7"/>
    </row>
    <row r="64" spans="1:17" x14ac:dyDescent="0.25">
      <c r="A64" s="1204"/>
      <c r="B64" s="17" t="s">
        <v>512</v>
      </c>
      <c r="C64" s="294">
        <f>'Biomass Data Assumptions'!X26</f>
        <v>0</v>
      </c>
      <c r="D64" s="300">
        <f>E64*'Conversion Tables'!C56</f>
        <v>0</v>
      </c>
      <c r="E64" s="299">
        <f>C64*'Prac. Rec. Assumptions'!B52</f>
        <v>0</v>
      </c>
      <c r="F64" s="545">
        <f>($C64*(1+'Biomass Data Assumptions'!G$111*(3/5))*(1+('Biomass Data Assumptions'!C$82-((1+'Biomass Data Assumptions'!$B$82)^2 - 1))))*'Prac. Rec. Assumptions'!$B52</f>
        <v>0</v>
      </c>
      <c r="G64" s="545">
        <f>($C64*(1+'Biomass Data Assumptions'!H$111*(4/5))*(1+('Biomass Data Assumptions'!D$82-((1+'Biomass Data Assumptions'!$B$82)^2 - 1))))*'Prac. Rec. Assumptions'!$B52</f>
        <v>0</v>
      </c>
      <c r="H64" s="545">
        <f>($C64*(1+'Biomass Data Assumptions'!I$111*(13/15))*(1+('Biomass Data Assumptions'!E$82-((1+'Biomass Data Assumptions'!$B$82)^2 - 1))))*'Prac. Rec. Assumptions'!$B52</f>
        <v>0</v>
      </c>
      <c r="I64" s="16" t="str">
        <f>IF('Conversion Tables'!F56="NA","NA",(E64*'Conversion Tables'!$C56)/'Conversion Tables'!F56)</f>
        <v>NA</v>
      </c>
      <c r="J64" s="16" t="str">
        <f>IF('Conversion Tables'!G56="NA","NA",(F64*'Conversion Tables'!$C56)/'Conversion Tables'!G56)</f>
        <v>NA</v>
      </c>
      <c r="K64" s="16" t="str">
        <f>IF('Conversion Tables'!H56="NA","NA",(G64*'Conversion Tables'!$C56)/'Conversion Tables'!H56)</f>
        <v>NA</v>
      </c>
      <c r="L64" s="16" t="str">
        <f>IF('Conversion Tables'!I56="NA","NA",(H64*'Conversion Tables'!$C56)/'Conversion Tables'!I56)</f>
        <v>NA</v>
      </c>
      <c r="M64" s="16" t="str">
        <f>IF('Conversion Tables'!K56="NA","NA",E64*'Conversion Tables'!K56)</f>
        <v>NA</v>
      </c>
      <c r="N64" s="16" t="str">
        <f>IF('Conversion Tables'!L56="NA","NA",F64*'Conversion Tables'!L56)</f>
        <v>NA</v>
      </c>
      <c r="O64" s="16" t="str">
        <f>IF('Conversion Tables'!M56="NA","NA",G64*'Conversion Tables'!M56)</f>
        <v>NA</v>
      </c>
      <c r="P64" s="16" t="str">
        <f>IF('Conversion Tables'!N56="NA","NA",H64*'Conversion Tables'!N56)</f>
        <v>NA</v>
      </c>
      <c r="Q64" s="7"/>
    </row>
    <row r="65" spans="1:19" x14ac:dyDescent="0.25">
      <c r="A65" s="1204"/>
      <c r="B65" s="9" t="s">
        <v>248</v>
      </c>
      <c r="C65" s="295">
        <f>SUM(C63:C64)</f>
        <v>364.86976800000002</v>
      </c>
      <c r="D65" s="295">
        <f>SUM(D63:D64)</f>
        <v>225854.38639200001</v>
      </c>
      <c r="E65" s="295">
        <f t="shared" ref="E65:P65" si="9">SUM(E63:E64)</f>
        <v>364.86976800000002</v>
      </c>
      <c r="F65" s="295">
        <f>SUM(F63:F64)</f>
        <v>365.31728937125337</v>
      </c>
      <c r="G65" s="295">
        <f>SUM(G63:G64)</f>
        <v>366.31721993514753</v>
      </c>
      <c r="H65" s="295">
        <f>SUM(H63:H64)</f>
        <v>367.80662699885016</v>
      </c>
      <c r="I65" s="19">
        <f t="shared" si="9"/>
        <v>0</v>
      </c>
      <c r="J65" s="19">
        <f t="shared" si="9"/>
        <v>0</v>
      </c>
      <c r="K65" s="19">
        <f t="shared" si="9"/>
        <v>0</v>
      </c>
      <c r="L65" s="19">
        <f t="shared" si="9"/>
        <v>0</v>
      </c>
      <c r="M65" s="19">
        <f t="shared" si="9"/>
        <v>0</v>
      </c>
      <c r="N65" s="19">
        <f t="shared" si="9"/>
        <v>0</v>
      </c>
      <c r="O65" s="19">
        <f t="shared" si="9"/>
        <v>0</v>
      </c>
      <c r="P65" s="19">
        <f t="shared" si="9"/>
        <v>0</v>
      </c>
      <c r="Q65" s="19">
        <f>SUM(Q51:Q64)</f>
        <v>0</v>
      </c>
    </row>
    <row r="66" spans="1:19" x14ac:dyDescent="0.25">
      <c r="A66" s="1204"/>
      <c r="B66" s="9"/>
      <c r="C66" s="295"/>
      <c r="D66" s="295"/>
      <c r="E66" s="295"/>
      <c r="F66" s="295"/>
      <c r="G66" s="295"/>
      <c r="H66" s="295"/>
      <c r="I66" s="19"/>
      <c r="J66" s="19"/>
      <c r="K66" s="19"/>
      <c r="L66" s="19"/>
      <c r="M66" s="19"/>
      <c r="N66" s="19"/>
      <c r="O66" s="19"/>
      <c r="P66" s="19"/>
      <c r="Q66" s="19"/>
    </row>
    <row r="67" spans="1:19" x14ac:dyDescent="0.25">
      <c r="A67" s="1205"/>
      <c r="B67" s="9" t="s">
        <v>258</v>
      </c>
      <c r="C67" s="295">
        <f>C61+(C63*1000000/29487.1582406855)+(C64*1000000/25364.5039539246)</f>
        <v>13465.529517859932</v>
      </c>
      <c r="D67" s="295">
        <f t="shared" ref="D67" si="10">D61+D65</f>
        <v>238932.84681665999</v>
      </c>
      <c r="E67" s="295">
        <f>E61+(E63*1000000/29487.1582406855)+(E64*1000000/25364.5039539246)</f>
        <v>13462.772307859932</v>
      </c>
      <c r="F67" s="295">
        <f t="shared" ref="F67:H67" si="11">F61+(F63*1000000/29487.1582406855)+(F64*1000000/25364.5039539246)</f>
        <v>13479.279642768768</v>
      </c>
      <c r="G67" s="295">
        <f t="shared" si="11"/>
        <v>13516.163219205695</v>
      </c>
      <c r="H67" s="295">
        <f t="shared" si="11"/>
        <v>13571.101693199167</v>
      </c>
      <c r="I67" s="19">
        <f t="shared" ref="I67:P67" si="12">I61+I65</f>
        <v>0</v>
      </c>
      <c r="J67" s="19">
        <f t="shared" si="12"/>
        <v>0</v>
      </c>
      <c r="K67" s="19">
        <f t="shared" si="12"/>
        <v>0</v>
      </c>
      <c r="L67" s="19">
        <f t="shared" si="12"/>
        <v>0</v>
      </c>
      <c r="M67" s="19">
        <f t="shared" si="12"/>
        <v>0</v>
      </c>
      <c r="N67" s="19">
        <f t="shared" si="12"/>
        <v>0</v>
      </c>
      <c r="O67" s="19">
        <f t="shared" si="12"/>
        <v>0</v>
      </c>
      <c r="P67" s="19">
        <f t="shared" si="12"/>
        <v>0</v>
      </c>
      <c r="Q67" s="19"/>
    </row>
    <row r="68" spans="1:19" customFormat="1" x14ac:dyDescent="0.25">
      <c r="B68" s="270" t="s">
        <v>162</v>
      </c>
      <c r="C68" s="132">
        <f>C11+C29+C43+C49+C67</f>
        <v>128412.88050660992</v>
      </c>
      <c r="D68" s="132"/>
      <c r="E68" s="132">
        <f>E11+E29+E43+E49+E67</f>
        <v>78215.492653809939</v>
      </c>
      <c r="F68" s="132">
        <f>F11+F29+F43+F49+F67</f>
        <v>79549.405912901333</v>
      </c>
      <c r="G68" s="132">
        <f>G11+G29+G43+G49+G67</f>
        <v>81072.365584764033</v>
      </c>
      <c r="H68" s="132">
        <f>H11+H29+H43+H49+H67</f>
        <v>82794.270139063956</v>
      </c>
      <c r="I68" s="264"/>
    </row>
    <row r="69" spans="1:19" ht="13.8" thickBot="1" x14ac:dyDescent="0.3">
      <c r="A69" s="10"/>
      <c r="B69" s="10"/>
      <c r="C69" s="10"/>
      <c r="D69" s="10"/>
      <c r="E69" s="10"/>
      <c r="F69" s="10"/>
      <c r="G69" s="10"/>
      <c r="H69" s="10"/>
      <c r="I69" s="1003">
        <f>SUM(I8:I66)/2</f>
        <v>0</v>
      </c>
      <c r="J69" s="1003">
        <f>SUM(J8:J66)/2</f>
        <v>0</v>
      </c>
      <c r="K69" s="1003">
        <f>SUM(K8:K66)/2</f>
        <v>0</v>
      </c>
      <c r="L69" s="1003">
        <f>SUM(L8:L66)/2</f>
        <v>0</v>
      </c>
      <c r="M69" s="1003">
        <f>SUM(M8:M66)/2</f>
        <v>0</v>
      </c>
      <c r="N69" s="1003">
        <f t="shared" ref="N69:P69" si="13">SUM(N8:N66)/2</f>
        <v>0</v>
      </c>
      <c r="O69" s="1003">
        <f t="shared" si="13"/>
        <v>0</v>
      </c>
      <c r="P69" s="1003">
        <f t="shared" si="13"/>
        <v>0</v>
      </c>
      <c r="Q69" s="10"/>
      <c r="R69" s="10"/>
      <c r="S69" s="10"/>
    </row>
    <row r="70" spans="1:19" x14ac:dyDescent="0.25">
      <c r="A70" s="35" t="s">
        <v>23</v>
      </c>
      <c r="B70" s="36"/>
      <c r="C70" s="36"/>
      <c r="D70" s="36"/>
      <c r="E70" s="36"/>
      <c r="F70" s="36"/>
      <c r="G70" s="36"/>
      <c r="H70" s="36"/>
      <c r="I70" s="36"/>
      <c r="J70" s="36"/>
      <c r="K70" s="36"/>
      <c r="L70" s="36"/>
      <c r="M70" s="36"/>
      <c r="N70" s="36"/>
      <c r="O70" s="36"/>
      <c r="P70" s="36"/>
      <c r="Q70" s="36"/>
      <c r="R70" s="36"/>
    </row>
    <row r="71" spans="1:19" x14ac:dyDescent="0.25">
      <c r="A71" s="36"/>
      <c r="B71" s="36"/>
      <c r="C71" s="36"/>
      <c r="D71" s="36"/>
      <c r="E71" s="36"/>
      <c r="F71" s="36"/>
      <c r="G71" s="36"/>
      <c r="H71" s="36"/>
      <c r="I71" s="36"/>
      <c r="J71" s="36"/>
      <c r="K71" s="36"/>
      <c r="L71" s="36"/>
      <c r="M71" s="36"/>
      <c r="N71" s="36"/>
      <c r="O71" s="36"/>
      <c r="P71" s="36"/>
      <c r="Q71" s="36"/>
      <c r="R71" s="36"/>
    </row>
    <row r="72" spans="1:19" x14ac:dyDescent="0.25">
      <c r="A72" s="36"/>
      <c r="B72" s="36"/>
      <c r="C72" s="36"/>
      <c r="D72" s="36"/>
      <c r="E72" s="36"/>
      <c r="F72" s="36"/>
      <c r="G72" s="36"/>
      <c r="H72" s="36"/>
      <c r="I72" s="36"/>
      <c r="J72" s="36"/>
      <c r="K72" s="36"/>
      <c r="L72" s="36"/>
      <c r="M72" s="36"/>
      <c r="N72" s="36"/>
      <c r="O72" s="36"/>
      <c r="P72" s="36"/>
      <c r="Q72" s="36"/>
      <c r="R72" s="36"/>
    </row>
    <row r="73" spans="1:19" ht="26.4" x14ac:dyDescent="0.25">
      <c r="A73" s="37" t="s">
        <v>1037</v>
      </c>
      <c r="B73" s="454" t="s">
        <v>297</v>
      </c>
      <c r="C73" s="37" t="s">
        <v>1042</v>
      </c>
      <c r="D73" s="37" t="s">
        <v>1041</v>
      </c>
      <c r="E73" s="36" t="s">
        <v>598</v>
      </c>
      <c r="F73" s="38"/>
      <c r="G73" s="38"/>
      <c r="H73" s="36"/>
      <c r="I73" s="36"/>
      <c r="J73" s="36"/>
      <c r="K73" s="36"/>
      <c r="L73" s="36"/>
      <c r="M73" s="36"/>
      <c r="N73" s="36"/>
      <c r="O73" s="36"/>
      <c r="P73" s="36"/>
      <c r="Q73" s="36"/>
      <c r="R73" s="36"/>
    </row>
    <row r="74" spans="1:19" x14ac:dyDescent="0.25">
      <c r="A74" s="39" t="s">
        <v>519</v>
      </c>
      <c r="B74" s="21">
        <v>0</v>
      </c>
      <c r="C74" s="40">
        <f>'Biomass Data Assumptions'!B38*B74</f>
        <v>0</v>
      </c>
      <c r="D74" s="40">
        <f>(C74*'Biomass Data Assumptions'!C38)/2000</f>
        <v>0</v>
      </c>
      <c r="E74" s="41"/>
      <c r="F74" s="41"/>
      <c r="G74" s="41"/>
      <c r="H74" s="36"/>
      <c r="I74" s="36"/>
      <c r="J74" s="36"/>
      <c r="K74" s="36"/>
      <c r="L74" s="36"/>
      <c r="M74" s="36"/>
      <c r="N74" s="36"/>
      <c r="O74" s="36"/>
      <c r="P74" s="36"/>
      <c r="Q74" s="36"/>
      <c r="R74" s="36"/>
    </row>
    <row r="75" spans="1:19" x14ac:dyDescent="0.25">
      <c r="A75" s="39" t="s">
        <v>520</v>
      </c>
      <c r="B75" s="21">
        <v>0</v>
      </c>
      <c r="C75" s="40">
        <f>'Biomass Data Assumptions'!B39*B75</f>
        <v>0</v>
      </c>
      <c r="D75" s="40">
        <f>(C75*'Biomass Data Assumptions'!C39)/2000</f>
        <v>0</v>
      </c>
      <c r="E75" s="41"/>
      <c r="F75" s="41"/>
      <c r="G75" s="41"/>
      <c r="H75" s="36"/>
      <c r="I75" s="36"/>
      <c r="J75" s="36"/>
      <c r="K75" s="36"/>
      <c r="L75" s="36"/>
      <c r="M75" s="36"/>
      <c r="N75" s="36"/>
      <c r="O75" s="36"/>
      <c r="P75" s="36"/>
      <c r="Q75" s="36"/>
      <c r="R75" s="36"/>
    </row>
    <row r="76" spans="1:19" x14ac:dyDescent="0.25">
      <c r="A76" s="39" t="s">
        <v>521</v>
      </c>
      <c r="B76" s="21">
        <v>0</v>
      </c>
      <c r="C76" s="40">
        <f>'Biomass Data Assumptions'!B40*B76</f>
        <v>0</v>
      </c>
      <c r="D76" s="40">
        <f>(C76*'Biomass Data Assumptions'!C40)/2000</f>
        <v>0</v>
      </c>
      <c r="E76" s="41"/>
      <c r="F76" s="41"/>
      <c r="G76" s="41"/>
      <c r="H76" s="36"/>
      <c r="I76" s="36"/>
      <c r="J76" s="36"/>
      <c r="K76" s="36"/>
      <c r="L76" s="36"/>
      <c r="M76" s="36"/>
      <c r="N76" s="36"/>
      <c r="O76" s="36"/>
      <c r="P76" s="36"/>
      <c r="Q76" s="36"/>
      <c r="R76" s="36"/>
    </row>
    <row r="77" spans="1:19" x14ac:dyDescent="0.25">
      <c r="A77" s="39" t="s">
        <v>525</v>
      </c>
      <c r="B77" s="21">
        <v>0</v>
      </c>
      <c r="C77" s="40">
        <f>'Biomass Data Assumptions'!B41*B77</f>
        <v>0</v>
      </c>
      <c r="D77" s="40">
        <f>(C77*'Biomass Data Assumptions'!C41)/2000</f>
        <v>0</v>
      </c>
      <c r="E77" s="41"/>
      <c r="F77" s="41"/>
      <c r="G77" s="41"/>
      <c r="H77" s="36"/>
      <c r="I77" s="36"/>
      <c r="J77" s="36"/>
      <c r="K77" s="36"/>
      <c r="L77" s="36"/>
      <c r="M77" s="36"/>
      <c r="N77" s="36"/>
      <c r="O77" s="36"/>
      <c r="P77" s="36"/>
      <c r="Q77" s="36"/>
      <c r="R77" s="36"/>
    </row>
    <row r="78" spans="1:19" x14ac:dyDescent="0.25">
      <c r="A78" s="39" t="s">
        <v>522</v>
      </c>
      <c r="B78" s="21">
        <v>0</v>
      </c>
      <c r="C78" s="40">
        <f>'Biomass Data Assumptions'!B42*B78</f>
        <v>0</v>
      </c>
      <c r="D78" s="40">
        <f>(C78*'Biomass Data Assumptions'!C42)/2000</f>
        <v>0</v>
      </c>
      <c r="E78" s="41"/>
      <c r="F78" s="41"/>
      <c r="G78" s="41"/>
      <c r="H78" s="36"/>
      <c r="I78" s="36"/>
      <c r="J78" s="36"/>
      <c r="K78" s="36"/>
      <c r="L78" s="36"/>
      <c r="M78" s="36"/>
      <c r="N78" s="36"/>
      <c r="O78" s="36"/>
      <c r="P78" s="36"/>
      <c r="Q78" s="36"/>
      <c r="R78" s="36"/>
    </row>
    <row r="79" spans="1:19" x14ac:dyDescent="0.25">
      <c r="A79" s="36"/>
      <c r="B79" s="36"/>
      <c r="C79" s="36"/>
      <c r="D79" s="36"/>
      <c r="E79" s="36"/>
      <c r="F79" s="36"/>
      <c r="G79" s="36"/>
      <c r="H79" s="36"/>
      <c r="I79" s="36"/>
      <c r="J79" s="36"/>
      <c r="K79" s="36"/>
      <c r="L79" s="36"/>
      <c r="M79" s="36"/>
      <c r="N79" s="36"/>
      <c r="O79" s="36"/>
      <c r="P79" s="36"/>
      <c r="Q79" s="36"/>
      <c r="R79" s="36"/>
    </row>
    <row r="80" spans="1:19" ht="39.6" x14ac:dyDescent="0.25">
      <c r="A80" s="37" t="s">
        <v>1038</v>
      </c>
      <c r="B80" s="454" t="s">
        <v>297</v>
      </c>
      <c r="C80" s="37" t="s">
        <v>1041</v>
      </c>
      <c r="D80" s="37" t="s">
        <v>1036</v>
      </c>
      <c r="E80" s="36" t="s">
        <v>598</v>
      </c>
      <c r="F80" s="38"/>
      <c r="G80" s="38"/>
      <c r="H80" s="36"/>
      <c r="I80" s="36"/>
      <c r="J80" s="36"/>
      <c r="K80" s="36"/>
      <c r="L80" s="36"/>
      <c r="M80" s="36"/>
      <c r="N80" s="36"/>
      <c r="O80" s="36"/>
      <c r="P80" s="36"/>
      <c r="Q80" s="36"/>
      <c r="R80" s="36"/>
    </row>
    <row r="81" spans="1:18" x14ac:dyDescent="0.25">
      <c r="A81" s="39" t="s">
        <v>527</v>
      </c>
      <c r="B81" s="21">
        <v>1</v>
      </c>
      <c r="C81" s="40">
        <f>'Biomass Data Assumptions'!B49*B81</f>
        <v>1</v>
      </c>
      <c r="D81" s="40">
        <f>C81*'Energy Content Assumptions'!C11</f>
        <v>0.85</v>
      </c>
      <c r="E81" s="41"/>
      <c r="F81" s="41"/>
      <c r="G81" s="41"/>
      <c r="H81" s="36"/>
      <c r="I81" s="36"/>
      <c r="J81" s="36"/>
      <c r="K81" s="36"/>
      <c r="L81" s="36"/>
      <c r="M81" s="36"/>
      <c r="N81" s="36"/>
      <c r="O81" s="36"/>
      <c r="P81" s="36"/>
      <c r="Q81" s="36"/>
      <c r="R81" s="36"/>
    </row>
    <row r="82" spans="1:18" x14ac:dyDescent="0.25">
      <c r="A82" s="39" t="s">
        <v>520</v>
      </c>
      <c r="B82" s="21">
        <v>2</v>
      </c>
      <c r="C82" s="40">
        <f>'Biomass Data Assumptions'!B50*B82</f>
        <v>4.5</v>
      </c>
      <c r="D82" s="40">
        <f>C82*'Energy Content Assumptions'!C12</f>
        <v>3.8249999999999997</v>
      </c>
      <c r="E82" s="41"/>
      <c r="F82" s="41"/>
      <c r="G82" s="41"/>
      <c r="H82" s="36"/>
      <c r="I82" s="36"/>
      <c r="J82" s="36"/>
      <c r="K82" s="36"/>
      <c r="L82" s="36"/>
      <c r="M82" s="36"/>
      <c r="N82" s="36"/>
      <c r="O82" s="36"/>
      <c r="P82" s="36"/>
      <c r="Q82" s="36"/>
      <c r="R82" s="36"/>
    </row>
    <row r="83" spans="1:18" x14ac:dyDescent="0.25">
      <c r="A83" s="39" t="s">
        <v>521</v>
      </c>
      <c r="B83" s="21">
        <v>0</v>
      </c>
      <c r="C83" s="40">
        <f>'Biomass Data Assumptions'!B51*B83</f>
        <v>0</v>
      </c>
      <c r="D83" s="40">
        <f>C83*'Energy Content Assumptions'!C13</f>
        <v>0</v>
      </c>
      <c r="E83" s="41"/>
      <c r="F83" s="41"/>
      <c r="G83" s="41"/>
      <c r="H83" s="36"/>
      <c r="I83" s="36"/>
      <c r="J83" s="36"/>
      <c r="K83" s="36"/>
      <c r="L83" s="36"/>
      <c r="M83" s="36"/>
      <c r="N83" s="36"/>
      <c r="O83" s="36"/>
      <c r="P83" s="36"/>
      <c r="Q83" s="36"/>
      <c r="R83" s="36"/>
    </row>
    <row r="84" spans="1:18" x14ac:dyDescent="0.25">
      <c r="A84" s="39" t="s">
        <v>528</v>
      </c>
      <c r="B84" s="21">
        <v>0</v>
      </c>
      <c r="C84" s="40">
        <f>'Biomass Data Assumptions'!B52*B84</f>
        <v>0</v>
      </c>
      <c r="D84" s="40">
        <f>C84*'Energy Content Assumptions'!C14</f>
        <v>0</v>
      </c>
      <c r="E84" s="41"/>
      <c r="F84" s="41"/>
      <c r="G84" s="41"/>
      <c r="H84" s="36"/>
      <c r="I84" s="36"/>
      <c r="J84" s="36"/>
      <c r="K84" s="36"/>
      <c r="L84" s="36"/>
      <c r="M84" s="36"/>
      <c r="N84" s="36"/>
      <c r="O84" s="36"/>
      <c r="P84" s="36"/>
      <c r="Q84" s="36"/>
      <c r="R84" s="36"/>
    </row>
    <row r="85" spans="1:18" x14ac:dyDescent="0.25">
      <c r="A85" s="39" t="s">
        <v>529</v>
      </c>
      <c r="B85" s="21">
        <v>0</v>
      </c>
      <c r="C85" s="40">
        <f>'Biomass Data Assumptions'!B53*B85</f>
        <v>0</v>
      </c>
      <c r="D85" s="40">
        <f>C85*'Energy Content Assumptions'!C15</f>
        <v>0</v>
      </c>
      <c r="E85" s="41"/>
      <c r="F85" s="41"/>
      <c r="G85" s="41"/>
      <c r="H85" s="36"/>
      <c r="I85" s="36"/>
      <c r="J85" s="36"/>
      <c r="K85" s="36"/>
      <c r="L85" s="36"/>
      <c r="M85" s="36"/>
      <c r="N85" s="36"/>
      <c r="O85" s="36"/>
      <c r="P85" s="36"/>
      <c r="Q85" s="36"/>
      <c r="R85" s="36"/>
    </row>
    <row r="86" spans="1:18" x14ac:dyDescent="0.25">
      <c r="A86" s="39" t="s">
        <v>530</v>
      </c>
      <c r="B86" s="21">
        <v>0</v>
      </c>
      <c r="C86" s="40">
        <f>'Biomass Data Assumptions'!B54*B86</f>
        <v>0</v>
      </c>
      <c r="D86" s="40">
        <f>C86*'Energy Content Assumptions'!C16</f>
        <v>0</v>
      </c>
      <c r="E86" s="41"/>
      <c r="F86" s="41"/>
      <c r="G86" s="41"/>
      <c r="H86" s="36"/>
      <c r="I86" s="36"/>
      <c r="J86" s="36"/>
      <c r="K86" s="36"/>
      <c r="L86" s="36"/>
      <c r="M86" s="36"/>
      <c r="N86" s="36"/>
      <c r="O86" s="36"/>
      <c r="P86" s="36"/>
      <c r="Q86" s="36"/>
      <c r="R86" s="36"/>
    </row>
    <row r="87" spans="1:18" x14ac:dyDescent="0.25">
      <c r="A87" s="39" t="s">
        <v>522</v>
      </c>
      <c r="B87" s="21">
        <v>0</v>
      </c>
      <c r="C87" s="40">
        <f>'Biomass Data Assumptions'!B55*B87</f>
        <v>0</v>
      </c>
      <c r="D87" s="40">
        <f>C87*'Energy Content Assumptions'!C17</f>
        <v>0</v>
      </c>
      <c r="E87" s="41"/>
      <c r="F87" s="41"/>
      <c r="G87" s="41"/>
      <c r="H87" s="36"/>
      <c r="I87" s="36"/>
      <c r="J87" s="36"/>
      <c r="K87" s="36"/>
      <c r="L87" s="36"/>
      <c r="M87" s="36"/>
      <c r="N87" s="36"/>
      <c r="O87" s="36"/>
      <c r="P87" s="36"/>
      <c r="Q87" s="36"/>
      <c r="R87" s="36"/>
    </row>
    <row r="88" spans="1:18" x14ac:dyDescent="0.25">
      <c r="A88" s="43"/>
      <c r="B88" s="41"/>
      <c r="C88" s="41"/>
      <c r="D88" s="41"/>
      <c r="E88" s="41"/>
      <c r="F88" s="41"/>
      <c r="G88" s="41"/>
      <c r="H88" s="36"/>
      <c r="I88" s="36"/>
      <c r="J88" s="36"/>
      <c r="K88" s="36"/>
      <c r="L88" s="36"/>
      <c r="M88" s="36"/>
      <c r="N88" s="36"/>
      <c r="O88" s="36"/>
      <c r="P88" s="36"/>
      <c r="Q88" s="36"/>
      <c r="R88" s="36"/>
    </row>
    <row r="89" spans="1:18" x14ac:dyDescent="0.25">
      <c r="A89" s="43"/>
      <c r="B89" s="640" t="s">
        <v>297</v>
      </c>
      <c r="C89" s="122" t="s">
        <v>299</v>
      </c>
      <c r="D89" s="122" t="s">
        <v>300</v>
      </c>
      <c r="E89" s="41"/>
      <c r="F89" s="41"/>
      <c r="G89" s="41"/>
      <c r="H89" s="36"/>
      <c r="I89" s="36"/>
      <c r="J89" s="36"/>
      <c r="K89" s="36"/>
      <c r="L89" s="36"/>
      <c r="M89" s="36"/>
      <c r="N89" s="36"/>
      <c r="O89" s="36"/>
      <c r="P89" s="36"/>
      <c r="Q89" s="36"/>
      <c r="R89" s="36"/>
    </row>
    <row r="90" spans="1:18" x14ac:dyDescent="0.25">
      <c r="A90" s="43" t="s">
        <v>296</v>
      </c>
      <c r="B90" s="85">
        <f>IF('Prac. Rec. Assumptions'!B56='Prac. Rec. Assumptions'!V3,0,SUM(IF('Prac. Rec. Assumptions'!B57="Yes",B74,0),IF('Prac. Rec. Assumptions'!B58="Yes",B81,0),IF('Prac. Rec. Assumptions'!B59="Yes",B82,0),IF('Prac. Rec. Assumptions'!B60="Yes",B83,0),IF('Prac. Rec. Assumptions'!B61="Yes",B84,0),IF('Prac. Rec. Assumptions'!B62="Yes",B85,0),IF('Prac. Rec. Assumptions'!B63="Yes",B86,0),IF('Prac. Rec. Assumptions'!B64="Yes",B87,0)))</f>
        <v>0</v>
      </c>
      <c r="C90" s="41">
        <f>IF('Prac. Rec. Assumptions'!B56='Prac. Rec. Assumptions'!V1,'Biomass Data Assumptions'!C46,IF('Prac. Rec. Assumptions'!B56='Prac. Rec. Assumptions'!V2,'Biomass Data Assumptions'!C45,0))</f>
        <v>0</v>
      </c>
      <c r="D90" s="41">
        <f>(C90*'Energy Content Assumptions'!C9)*B90</f>
        <v>0</v>
      </c>
      <c r="E90" s="41"/>
      <c r="F90" s="41"/>
      <c r="G90" s="41"/>
      <c r="H90" s="36"/>
      <c r="I90" s="36"/>
      <c r="J90" s="36"/>
      <c r="K90" s="36"/>
      <c r="L90" s="36"/>
      <c r="M90" s="36"/>
      <c r="N90" s="36"/>
      <c r="O90" s="36"/>
      <c r="P90" s="36"/>
      <c r="Q90" s="36"/>
      <c r="R90" s="36"/>
    </row>
    <row r="91" spans="1:18" x14ac:dyDescent="0.25">
      <c r="A91" s="36"/>
      <c r="B91" s="36"/>
      <c r="C91" s="36"/>
      <c r="D91" s="36"/>
      <c r="E91" s="36"/>
      <c r="F91" s="36"/>
      <c r="G91" s="36"/>
      <c r="H91" s="36"/>
      <c r="I91" s="36"/>
      <c r="J91" s="36"/>
      <c r="K91" s="36"/>
      <c r="L91" s="36"/>
      <c r="M91" s="36"/>
      <c r="N91" s="36"/>
      <c r="O91" s="36"/>
      <c r="P91" s="36"/>
      <c r="Q91" s="36"/>
      <c r="R91" s="36"/>
    </row>
    <row r="92" spans="1:18" ht="39.6" x14ac:dyDescent="0.25">
      <c r="A92" s="42" t="s">
        <v>531</v>
      </c>
      <c r="B92" s="455" t="s">
        <v>298</v>
      </c>
      <c r="C92" s="38" t="s">
        <v>1050</v>
      </c>
      <c r="D92" s="38" t="s">
        <v>1045</v>
      </c>
      <c r="E92" s="38" t="s">
        <v>1048</v>
      </c>
      <c r="F92" s="38" t="s">
        <v>1047</v>
      </c>
      <c r="G92" s="38" t="s">
        <v>1046</v>
      </c>
      <c r="H92" s="36" t="s">
        <v>599</v>
      </c>
      <c r="I92" s="36"/>
      <c r="J92" s="38"/>
      <c r="K92" s="38"/>
      <c r="L92" s="38"/>
      <c r="M92" s="38"/>
      <c r="N92" s="36"/>
      <c r="O92" s="36"/>
      <c r="P92" s="36"/>
      <c r="Q92" s="36"/>
      <c r="R92" s="36"/>
    </row>
    <row r="93" spans="1:18" x14ac:dyDescent="0.25">
      <c r="A93" s="42"/>
      <c r="B93" s="38"/>
      <c r="C93" s="38"/>
      <c r="D93" s="38"/>
      <c r="E93" s="38"/>
      <c r="F93" s="36"/>
      <c r="G93" s="36"/>
      <c r="H93" s="36"/>
      <c r="I93" s="36"/>
      <c r="J93" s="38"/>
      <c r="K93" s="38"/>
      <c r="L93" s="38"/>
      <c r="M93" s="38"/>
      <c r="N93" s="36"/>
      <c r="O93" s="36"/>
      <c r="P93" s="36"/>
      <c r="Q93" s="36"/>
      <c r="R93" s="36"/>
    </row>
    <row r="94" spans="1:18" hidden="1" x14ac:dyDescent="0.25">
      <c r="A94" s="43"/>
      <c r="B94" s="36"/>
      <c r="C94" s="41"/>
      <c r="D94" s="41"/>
      <c r="E94" s="44"/>
      <c r="F94" s="36"/>
      <c r="G94" s="36"/>
      <c r="H94" s="36"/>
      <c r="I94" s="36"/>
      <c r="J94" s="44"/>
      <c r="K94" s="44"/>
      <c r="L94" s="44"/>
      <c r="M94" s="44"/>
      <c r="N94" s="36"/>
      <c r="O94" s="36"/>
      <c r="P94" s="36"/>
      <c r="Q94" s="36"/>
      <c r="R94" s="36"/>
    </row>
    <row r="95" spans="1:18" hidden="1" x14ac:dyDescent="0.25">
      <c r="A95" s="45"/>
      <c r="B95" s="85"/>
      <c r="C95" s="41"/>
      <c r="D95" s="41"/>
      <c r="E95" s="41"/>
      <c r="F95" s="41"/>
      <c r="G95" s="41"/>
      <c r="H95" s="36"/>
      <c r="I95" s="36"/>
      <c r="J95" s="41"/>
      <c r="K95" s="41"/>
      <c r="L95" s="41"/>
      <c r="M95" s="41"/>
      <c r="N95" s="36"/>
      <c r="O95" s="36"/>
      <c r="P95" s="36"/>
      <c r="Q95" s="36"/>
      <c r="R95" s="36"/>
    </row>
    <row r="96" spans="1:18" hidden="1" x14ac:dyDescent="0.25">
      <c r="A96" s="45"/>
      <c r="B96" s="85"/>
      <c r="C96" s="41"/>
      <c r="D96" s="41"/>
      <c r="E96" s="41"/>
      <c r="F96" s="41"/>
      <c r="G96" s="41"/>
      <c r="H96" s="457"/>
      <c r="I96" s="36"/>
      <c r="J96" s="41"/>
      <c r="K96" s="41"/>
      <c r="L96" s="41"/>
      <c r="M96" s="41"/>
      <c r="N96" s="36"/>
      <c r="O96" s="36"/>
      <c r="P96" s="36"/>
      <c r="Q96" s="36"/>
      <c r="R96" s="36"/>
    </row>
    <row r="97" spans="1:18" x14ac:dyDescent="0.25">
      <c r="A97" s="467" t="s">
        <v>535</v>
      </c>
      <c r="B97" s="85">
        <v>0</v>
      </c>
      <c r="C97" s="41">
        <f>ROUND('Biomass Data Assumptions'!$B$60/1000*B97,0)</f>
        <v>0</v>
      </c>
      <c r="D97" s="41">
        <f>'Biomass Data Assumptions'!$C$60*C97</f>
        <v>0</v>
      </c>
      <c r="E97" s="41">
        <f>('Biomass Data Assumptions'!$D$60*'Energy Content Assumptions'!$C$44*D97)/2000</f>
        <v>0</v>
      </c>
      <c r="F97" s="41">
        <f>('Biomass Data Assumptions'!$E$60*B97*365)/2000</f>
        <v>0</v>
      </c>
      <c r="G97" s="41">
        <f>F97+E97</f>
        <v>0</v>
      </c>
      <c r="H97" s="457"/>
      <c r="I97" s="36"/>
      <c r="J97" s="41"/>
      <c r="K97" s="41"/>
      <c r="L97" s="41"/>
      <c r="M97" s="41"/>
      <c r="N97" s="36"/>
      <c r="O97" s="36"/>
      <c r="P97" s="36"/>
      <c r="Q97" s="36"/>
      <c r="R97" s="36"/>
    </row>
    <row r="98" spans="1:18" x14ac:dyDescent="0.25">
      <c r="A98" s="46"/>
      <c r="B98" s="41"/>
      <c r="C98" s="41"/>
      <c r="D98" s="41"/>
      <c r="E98" s="41"/>
      <c r="F98" s="41"/>
      <c r="G98" s="41"/>
      <c r="H98" s="36"/>
      <c r="I98" s="36"/>
      <c r="J98" s="41"/>
      <c r="K98" s="41"/>
      <c r="L98" s="41"/>
      <c r="M98" s="41"/>
      <c r="N98" s="36"/>
      <c r="O98" s="36"/>
      <c r="P98" s="36"/>
      <c r="Q98" s="36"/>
      <c r="R98" s="36"/>
    </row>
    <row r="99" spans="1:18" x14ac:dyDescent="0.25">
      <c r="A99" s="43" t="s">
        <v>539</v>
      </c>
      <c r="B99" s="47"/>
      <c r="C99" s="41"/>
      <c r="D99" s="41"/>
      <c r="E99" s="41"/>
      <c r="F99" s="41"/>
      <c r="G99" s="41"/>
      <c r="H99" s="36"/>
      <c r="I99" s="36"/>
      <c r="J99" s="41"/>
      <c r="K99" s="41"/>
      <c r="L99" s="41"/>
      <c r="M99" s="41"/>
      <c r="N99" s="36"/>
      <c r="O99" s="36"/>
      <c r="P99" s="36"/>
      <c r="Q99" s="36"/>
      <c r="R99" s="36"/>
    </row>
    <row r="100" spans="1:18" ht="10.5" customHeight="1" x14ac:dyDescent="0.25">
      <c r="A100" s="460" t="s">
        <v>603</v>
      </c>
      <c r="B100" s="85">
        <v>0</v>
      </c>
      <c r="C100" s="41">
        <f>ROUND('Biomass Data Assumptions'!B62/1000*B100,0)</f>
        <v>0</v>
      </c>
      <c r="D100" s="41">
        <f>'Biomass Data Assumptions'!C62*C100</f>
        <v>0</v>
      </c>
      <c r="E100" s="41">
        <f>('Biomass Data Assumptions'!D62*'Energy Content Assumptions'!C46*D100)/2000</f>
        <v>0</v>
      </c>
      <c r="F100" s="41">
        <f>('Biomass Data Assumptions'!E62*B100*365)/2000</f>
        <v>0</v>
      </c>
      <c r="G100" s="41">
        <f>F100+E100</f>
        <v>0</v>
      </c>
      <c r="H100" s="36"/>
      <c r="I100" s="36"/>
      <c r="J100" s="41"/>
      <c r="K100" s="41"/>
      <c r="L100" s="41"/>
      <c r="M100" s="41"/>
      <c r="N100" s="36"/>
      <c r="O100" s="36"/>
      <c r="P100" s="36"/>
      <c r="Q100" s="36"/>
      <c r="R100" s="36"/>
    </row>
    <row r="101" spans="1:18" hidden="1" x14ac:dyDescent="0.25">
      <c r="A101" s="45"/>
      <c r="B101" s="85"/>
      <c r="C101" s="41"/>
      <c r="D101" s="41"/>
      <c r="E101" s="41"/>
      <c r="F101" s="41"/>
      <c r="G101" s="41"/>
      <c r="H101" s="36"/>
      <c r="I101" s="36"/>
      <c r="J101" s="41"/>
      <c r="K101" s="41"/>
      <c r="L101" s="41"/>
      <c r="M101" s="41"/>
      <c r="N101" s="36"/>
      <c r="O101" s="36"/>
      <c r="P101" s="36"/>
      <c r="Q101" s="36"/>
      <c r="R101" s="36"/>
    </row>
    <row r="102" spans="1:18" ht="11.25" customHeight="1" x14ac:dyDescent="0.25">
      <c r="A102" s="460" t="s">
        <v>604</v>
      </c>
      <c r="B102" s="85">
        <v>0</v>
      </c>
      <c r="C102" s="41">
        <f>ROUND('Biomass Data Assumptions'!B64/1000*B102,0)</f>
        <v>0</v>
      </c>
      <c r="D102" s="41">
        <f>'Biomass Data Assumptions'!C64*C102</f>
        <v>0</v>
      </c>
      <c r="E102" s="41">
        <f>('Biomass Data Assumptions'!D64*'Energy Content Assumptions'!C48*D102)/2000</f>
        <v>0</v>
      </c>
      <c r="F102" s="41">
        <f>'Biomass Data Assumptions'!E64*B102*365/2000</f>
        <v>0</v>
      </c>
      <c r="G102" s="41">
        <f>F102+E102</f>
        <v>0</v>
      </c>
      <c r="H102" s="36"/>
      <c r="I102" s="36"/>
      <c r="J102" s="41"/>
      <c r="K102" s="41"/>
      <c r="L102" s="41"/>
      <c r="M102" s="41"/>
      <c r="N102" s="36"/>
      <c r="O102" s="36"/>
      <c r="P102" s="36"/>
      <c r="Q102" s="36"/>
      <c r="R102" s="36"/>
    </row>
    <row r="103" spans="1:18" hidden="1" x14ac:dyDescent="0.25">
      <c r="A103" s="45"/>
      <c r="B103" s="85"/>
      <c r="C103" s="41"/>
      <c r="D103" s="41"/>
      <c r="E103" s="41"/>
      <c r="F103" s="41"/>
      <c r="G103" s="41"/>
      <c r="H103" s="36"/>
      <c r="I103" s="36"/>
      <c r="J103" s="41"/>
      <c r="K103" s="41"/>
      <c r="L103" s="41"/>
      <c r="M103" s="41"/>
      <c r="N103" s="36"/>
      <c r="O103" s="36"/>
      <c r="P103" s="36"/>
      <c r="Q103" s="36"/>
      <c r="R103" s="36"/>
    </row>
    <row r="104" spans="1:18" x14ac:dyDescent="0.25">
      <c r="A104" s="467" t="s">
        <v>544</v>
      </c>
      <c r="B104" s="85">
        <f t="shared" ref="B104:G104" si="14">SUM(B100:B103)</f>
        <v>0</v>
      </c>
      <c r="C104" s="41">
        <f t="shared" si="14"/>
        <v>0</v>
      </c>
      <c r="D104" s="41">
        <f t="shared" si="14"/>
        <v>0</v>
      </c>
      <c r="E104" s="41">
        <f t="shared" si="14"/>
        <v>0</v>
      </c>
      <c r="F104" s="41">
        <f t="shared" si="14"/>
        <v>0</v>
      </c>
      <c r="G104" s="41">
        <f t="shared" si="14"/>
        <v>0</v>
      </c>
      <c r="H104" s="36"/>
      <c r="I104" s="36"/>
      <c r="J104" s="41"/>
      <c r="K104" s="41"/>
      <c r="L104" s="41"/>
      <c r="M104" s="41"/>
      <c r="N104" s="36"/>
      <c r="O104" s="36"/>
      <c r="P104" s="36"/>
      <c r="Q104" s="36"/>
      <c r="R104" s="36"/>
    </row>
    <row r="105" spans="1:18" x14ac:dyDescent="0.25">
      <c r="A105" s="46"/>
      <c r="B105" s="41"/>
      <c r="C105" s="41"/>
      <c r="D105" s="41"/>
      <c r="E105" s="41"/>
      <c r="F105" s="41"/>
      <c r="G105" s="41"/>
      <c r="H105" s="36"/>
      <c r="I105" s="36"/>
      <c r="J105" s="41"/>
      <c r="K105" s="41"/>
      <c r="L105" s="41"/>
      <c r="M105" s="41"/>
      <c r="N105" s="36"/>
      <c r="O105" s="36"/>
      <c r="P105" s="36"/>
      <c r="Q105" s="36"/>
      <c r="R105" s="36"/>
    </row>
    <row r="106" spans="1:18" x14ac:dyDescent="0.25">
      <c r="A106" s="43" t="s">
        <v>545</v>
      </c>
      <c r="B106" s="85">
        <v>2</v>
      </c>
      <c r="C106" s="41">
        <f>ROUND('Biomass Data Assumptions'!B66/1000*B106,0)</f>
        <v>2</v>
      </c>
      <c r="D106" s="41">
        <f>'Biomass Data Assumptions'!C66*C106</f>
        <v>40515</v>
      </c>
      <c r="E106" s="41">
        <f>('Biomass Data Assumptions'!D66*'Energy Content Assumptions'!C50*D106)/2000</f>
        <v>1.4180250000000001</v>
      </c>
      <c r="F106" s="41">
        <f>'Biomass Data Assumptions'!E66*B106*365/2000</f>
        <v>5.4749999999999996</v>
      </c>
      <c r="G106" s="41">
        <f>F106+E106</f>
        <v>6.8930249999999997</v>
      </c>
      <c r="H106" s="36"/>
      <c r="I106" s="36"/>
      <c r="J106" s="41"/>
      <c r="K106" s="41"/>
      <c r="L106" s="41"/>
      <c r="M106" s="41"/>
      <c r="N106" s="36"/>
      <c r="O106" s="36"/>
      <c r="P106" s="36"/>
      <c r="Q106" s="36"/>
      <c r="R106" s="36"/>
    </row>
    <row r="107" spans="1:18" x14ac:dyDescent="0.25">
      <c r="A107" s="43"/>
      <c r="B107" s="41"/>
      <c r="C107" s="41"/>
      <c r="D107" s="41"/>
      <c r="E107" s="41"/>
      <c r="F107" s="41"/>
      <c r="G107" s="41"/>
      <c r="H107" s="36"/>
      <c r="I107" s="36"/>
      <c r="J107" s="41"/>
      <c r="K107" s="41"/>
      <c r="L107" s="41"/>
      <c r="M107" s="41"/>
      <c r="N107" s="36"/>
      <c r="O107" s="36"/>
      <c r="P107" s="36"/>
      <c r="Q107" s="36"/>
      <c r="R107" s="36"/>
    </row>
    <row r="108" spans="1:18" x14ac:dyDescent="0.25">
      <c r="A108" s="43" t="s">
        <v>546</v>
      </c>
      <c r="B108" s="85">
        <v>0</v>
      </c>
      <c r="C108" s="41">
        <f>ROUND('Biomass Data Assumptions'!B67/1000*B108,0)</f>
        <v>0</v>
      </c>
      <c r="D108" s="41">
        <f>'Biomass Data Assumptions'!C67*C108</f>
        <v>0</v>
      </c>
      <c r="E108" s="41">
        <f>('Biomass Data Assumptions'!D67*'Energy Content Assumptions'!C51*D108)/2000</f>
        <v>0</v>
      </c>
      <c r="F108" s="41">
        <f>'Biomass Data Assumptions'!E67*B108*365/2000</f>
        <v>0</v>
      </c>
      <c r="G108" s="41">
        <f>F108+E108</f>
        <v>0</v>
      </c>
      <c r="H108" s="36"/>
      <c r="I108" s="36"/>
      <c r="J108" s="41"/>
      <c r="K108" s="41"/>
      <c r="L108" s="41"/>
      <c r="M108" s="41"/>
      <c r="N108" s="36"/>
      <c r="O108" s="36"/>
      <c r="P108" s="36"/>
      <c r="Q108" s="36"/>
      <c r="R108" s="36"/>
    </row>
    <row r="109" spans="1:18" x14ac:dyDescent="0.25">
      <c r="A109" s="43"/>
      <c r="B109" s="41"/>
      <c r="C109" s="41"/>
      <c r="D109" s="41"/>
      <c r="E109" s="41"/>
      <c r="F109" s="41"/>
      <c r="G109" s="41"/>
      <c r="H109" s="36"/>
      <c r="I109" s="36"/>
      <c r="J109" s="41"/>
      <c r="K109" s="41"/>
      <c r="L109" s="41"/>
      <c r="M109" s="41"/>
      <c r="N109" s="36"/>
      <c r="O109" s="36"/>
      <c r="P109" s="36"/>
      <c r="Q109" s="36"/>
      <c r="R109" s="36"/>
    </row>
    <row r="110" spans="1:18" x14ac:dyDescent="0.25">
      <c r="A110" s="43" t="s">
        <v>547</v>
      </c>
      <c r="B110" s="85">
        <v>0</v>
      </c>
      <c r="C110" s="41">
        <f>ROUND('Biomass Data Assumptions'!B68/1000*B110,0)</f>
        <v>0</v>
      </c>
      <c r="D110" s="41">
        <f>'Biomass Data Assumptions'!C68*C110</f>
        <v>0</v>
      </c>
      <c r="E110" s="41">
        <f>('Biomass Data Assumptions'!D68*'Energy Content Assumptions'!C52*D110)/2000</f>
        <v>0</v>
      </c>
      <c r="F110" s="41">
        <f>'Biomass Data Assumptions'!E68*B110*365/2000</f>
        <v>0</v>
      </c>
      <c r="G110" s="41">
        <f>F110+E110</f>
        <v>0</v>
      </c>
      <c r="H110" s="36"/>
      <c r="I110" s="36"/>
      <c r="J110" s="41"/>
      <c r="K110" s="41"/>
      <c r="L110" s="41"/>
      <c r="M110" s="41"/>
      <c r="N110" s="36"/>
      <c r="O110" s="36"/>
      <c r="P110" s="36"/>
      <c r="Q110" s="36"/>
      <c r="R110" s="36"/>
    </row>
    <row r="111" spans="1:18" ht="12" customHeight="1" x14ac:dyDescent="0.25">
      <c r="A111" s="43"/>
      <c r="B111" s="41"/>
      <c r="C111" s="41"/>
      <c r="D111" s="41"/>
      <c r="E111" s="41"/>
      <c r="F111" s="41"/>
      <c r="G111" s="41"/>
      <c r="H111" s="36"/>
      <c r="I111" s="36"/>
      <c r="J111" s="41"/>
      <c r="K111" s="41"/>
      <c r="L111" s="41"/>
      <c r="M111" s="41"/>
      <c r="N111" s="36"/>
      <c r="O111" s="36"/>
      <c r="P111" s="36"/>
      <c r="Q111" s="36"/>
      <c r="R111" s="36"/>
    </row>
    <row r="112" spans="1:18" hidden="1" x14ac:dyDescent="0.25">
      <c r="A112" s="43"/>
      <c r="B112" s="36"/>
      <c r="C112" s="41"/>
      <c r="D112" s="41"/>
      <c r="E112" s="41"/>
      <c r="F112" s="41"/>
      <c r="G112" s="41"/>
      <c r="H112" s="36"/>
      <c r="I112" s="36"/>
      <c r="J112" s="41"/>
      <c r="K112" s="41"/>
      <c r="L112" s="41"/>
      <c r="M112" s="41"/>
      <c r="N112" s="36"/>
      <c r="O112" s="36"/>
      <c r="P112" s="36"/>
      <c r="Q112" s="36"/>
      <c r="R112" s="36"/>
    </row>
    <row r="113" spans="1:18" hidden="1" x14ac:dyDescent="0.25">
      <c r="A113" s="45"/>
      <c r="B113" s="85"/>
      <c r="C113" s="41"/>
      <c r="D113" s="41"/>
      <c r="E113" s="41"/>
      <c r="F113" s="41"/>
      <c r="G113" s="41"/>
      <c r="H113" s="36"/>
      <c r="I113" s="36"/>
      <c r="J113" s="41"/>
      <c r="K113" s="41"/>
      <c r="L113" s="41"/>
      <c r="M113" s="41"/>
      <c r="N113" s="36"/>
      <c r="O113" s="36"/>
      <c r="P113" s="36"/>
      <c r="Q113" s="36"/>
      <c r="R113" s="36"/>
    </row>
    <row r="114" spans="1:18" hidden="1" x14ac:dyDescent="0.25">
      <c r="A114" s="45"/>
      <c r="B114" s="85"/>
      <c r="C114" s="41"/>
      <c r="D114" s="41"/>
      <c r="E114" s="41"/>
      <c r="F114" s="41"/>
      <c r="G114" s="41"/>
      <c r="H114" s="36"/>
      <c r="I114" s="36"/>
      <c r="J114" s="41"/>
      <c r="K114" s="41"/>
      <c r="L114" s="41"/>
      <c r="M114" s="41"/>
      <c r="N114" s="36"/>
      <c r="O114" s="36"/>
      <c r="P114" s="36"/>
      <c r="Q114" s="36"/>
      <c r="R114" s="36"/>
    </row>
    <row r="115" spans="1:18" x14ac:dyDescent="0.25">
      <c r="A115" s="467" t="s">
        <v>605</v>
      </c>
      <c r="B115" s="85">
        <v>0</v>
      </c>
      <c r="C115" s="41">
        <f>ROUND('Biomass Data Assumptions'!$B$71/1000*B115,0)</f>
        <v>0</v>
      </c>
      <c r="D115" s="41">
        <f>'Biomass Data Assumptions'!$C$71*C115</f>
        <v>0</v>
      </c>
      <c r="E115" s="41">
        <f>('Biomass Data Assumptions'!$D$71*'Energy Content Assumptions'!$C$55*D115)/2000</f>
        <v>0</v>
      </c>
      <c r="F115" s="41">
        <f>'Biomass Data Assumptions'!$E$71*B115*365/2000</f>
        <v>0</v>
      </c>
      <c r="G115" s="41">
        <f>F115+E115</f>
        <v>0</v>
      </c>
      <c r="H115" s="36"/>
      <c r="I115" s="36"/>
      <c r="J115" s="41"/>
      <c r="K115" s="41"/>
      <c r="L115" s="41"/>
      <c r="M115" s="41"/>
      <c r="N115" s="36"/>
      <c r="O115" s="36"/>
      <c r="P115" s="36"/>
      <c r="Q115" s="36"/>
      <c r="R115" s="36"/>
    </row>
    <row r="116" spans="1:18" x14ac:dyDescent="0.25">
      <c r="A116" s="46"/>
      <c r="B116" s="41"/>
      <c r="C116" s="41"/>
      <c r="D116" s="41"/>
      <c r="E116" s="41"/>
      <c r="F116" s="41"/>
      <c r="G116" s="41"/>
      <c r="H116" s="36"/>
      <c r="I116" s="36"/>
      <c r="J116" s="41"/>
      <c r="K116" s="41"/>
      <c r="L116" s="41"/>
      <c r="M116" s="41"/>
      <c r="N116" s="36"/>
      <c r="O116" s="36"/>
      <c r="P116" s="36"/>
      <c r="Q116" s="36"/>
      <c r="R116" s="36"/>
    </row>
    <row r="117" spans="1:18" x14ac:dyDescent="0.25">
      <c r="A117" s="43" t="s">
        <v>551</v>
      </c>
      <c r="B117" s="85">
        <v>0</v>
      </c>
      <c r="C117" s="41">
        <f>ROUND('Biomass Data Assumptions'!B72/1000*B117,0)</f>
        <v>0</v>
      </c>
      <c r="D117" s="41">
        <f>'Biomass Data Assumptions'!C72*C117</f>
        <v>0</v>
      </c>
      <c r="E117" s="41">
        <f>('Biomass Data Assumptions'!D72*'Energy Content Assumptions'!C56*D117)/2000</f>
        <v>0</v>
      </c>
      <c r="F117" s="41">
        <f>'Biomass Data Assumptions'!E72*B117*365/2000</f>
        <v>0</v>
      </c>
      <c r="G117" s="41">
        <f>F117+E117</f>
        <v>0</v>
      </c>
      <c r="H117" s="36"/>
      <c r="I117" s="36"/>
      <c r="J117" s="41"/>
      <c r="K117" s="41"/>
      <c r="L117" s="41"/>
      <c r="M117" s="41"/>
      <c r="N117" s="36"/>
      <c r="O117" s="36"/>
      <c r="P117" s="36"/>
      <c r="Q117" s="36"/>
      <c r="R117" s="36"/>
    </row>
    <row r="118" spans="1:18" x14ac:dyDescent="0.25">
      <c r="A118" s="43"/>
      <c r="B118" s="41"/>
      <c r="C118" s="41"/>
      <c r="D118" s="41"/>
      <c r="E118" s="41"/>
      <c r="F118" s="41"/>
      <c r="G118" s="41"/>
      <c r="H118" s="36"/>
      <c r="I118" s="36"/>
      <c r="J118" s="41"/>
      <c r="K118" s="41"/>
      <c r="L118" s="41"/>
      <c r="M118" s="41"/>
      <c r="N118" s="36"/>
      <c r="O118" s="36"/>
      <c r="P118" s="36"/>
      <c r="Q118" s="36"/>
      <c r="R118" s="36"/>
    </row>
    <row r="119" spans="1:18" x14ac:dyDescent="0.25">
      <c r="A119" s="43" t="s">
        <v>552</v>
      </c>
      <c r="B119" s="85">
        <v>0</v>
      </c>
      <c r="C119" s="41">
        <f>ROUND('Biomass Data Assumptions'!B73/1000*B119,0)</f>
        <v>0</v>
      </c>
      <c r="D119" s="41">
        <f>'Biomass Data Assumptions'!C73*C119</f>
        <v>0</v>
      </c>
      <c r="E119" s="41">
        <f>('Biomass Data Assumptions'!D73*'Energy Content Assumptions'!C57*D119)/2000</f>
        <v>0</v>
      </c>
      <c r="F119" s="41">
        <f>'Biomass Data Assumptions'!E73*B119*365/2000</f>
        <v>0</v>
      </c>
      <c r="G119" s="41">
        <f>F119+E119</f>
        <v>0</v>
      </c>
      <c r="H119" s="36"/>
      <c r="I119" s="36"/>
      <c r="J119" s="41"/>
      <c r="K119" s="41"/>
      <c r="L119" s="41"/>
      <c r="M119" s="41"/>
      <c r="N119" s="36"/>
      <c r="O119" s="36"/>
      <c r="P119" s="36"/>
      <c r="Q119" s="36"/>
      <c r="R119" s="36"/>
    </row>
    <row r="120" spans="1:18" x14ac:dyDescent="0.25">
      <c r="A120" s="43"/>
      <c r="B120" s="41"/>
      <c r="C120" s="41"/>
      <c r="D120" s="41"/>
      <c r="E120" s="41"/>
      <c r="F120" s="41"/>
      <c r="G120" s="41"/>
      <c r="H120" s="36"/>
      <c r="I120" s="36"/>
      <c r="J120" s="41"/>
      <c r="K120" s="41"/>
      <c r="L120" s="41"/>
      <c r="M120" s="41"/>
      <c r="N120" s="36"/>
      <c r="O120" s="36"/>
      <c r="P120" s="36"/>
      <c r="Q120" s="36"/>
      <c r="R120" s="36"/>
    </row>
    <row r="121" spans="1:18" x14ac:dyDescent="0.25">
      <c r="A121" s="43" t="s">
        <v>553</v>
      </c>
      <c r="B121" s="86">
        <f t="shared" ref="B121:G121" si="15">B97+B104+B106+B108+B110+B115+B117+B119</f>
        <v>2</v>
      </c>
      <c r="C121" s="48">
        <f t="shared" si="15"/>
        <v>2</v>
      </c>
      <c r="D121" s="48">
        <f t="shared" si="15"/>
        <v>40515</v>
      </c>
      <c r="E121" s="48">
        <f t="shared" si="15"/>
        <v>1.4180250000000001</v>
      </c>
      <c r="F121" s="48">
        <f t="shared" si="15"/>
        <v>5.4749999999999996</v>
      </c>
      <c r="G121" s="48">
        <f t="shared" si="15"/>
        <v>6.8930249999999997</v>
      </c>
      <c r="H121" s="36"/>
      <c r="I121" s="36"/>
      <c r="J121" s="48"/>
      <c r="K121" s="48"/>
      <c r="L121" s="48"/>
      <c r="M121" s="48"/>
      <c r="N121" s="36"/>
      <c r="O121" s="36"/>
      <c r="P121" s="36"/>
      <c r="Q121" s="36"/>
      <c r="R121" s="36"/>
    </row>
    <row r="122" spans="1:18" x14ac:dyDescent="0.25">
      <c r="A122" s="36"/>
      <c r="B122" s="36"/>
      <c r="C122" s="36"/>
      <c r="D122" s="36"/>
      <c r="E122" s="36"/>
      <c r="F122" s="36"/>
      <c r="G122" s="36"/>
      <c r="H122" s="36"/>
      <c r="I122" s="36"/>
      <c r="J122" s="36"/>
      <c r="K122" s="36"/>
      <c r="L122" s="36"/>
      <c r="M122" s="36"/>
      <c r="N122" s="36"/>
      <c r="O122" s="36"/>
      <c r="P122" s="36"/>
      <c r="Q122" s="36"/>
      <c r="R122" s="36"/>
    </row>
    <row r="123" spans="1:18" x14ac:dyDescent="0.25">
      <c r="A123" s="49" t="s">
        <v>1014</v>
      </c>
      <c r="B123" s="49" t="s">
        <v>1043</v>
      </c>
      <c r="C123" s="49" t="s">
        <v>1044</v>
      </c>
      <c r="D123" s="547" t="s">
        <v>1013</v>
      </c>
      <c r="E123" s="36"/>
      <c r="F123" s="36"/>
      <c r="G123" s="36"/>
      <c r="H123" s="36"/>
      <c r="I123" s="36"/>
      <c r="J123" s="36"/>
      <c r="K123" s="36"/>
      <c r="L123" s="36"/>
      <c r="M123" s="36"/>
      <c r="N123" s="36"/>
      <c r="O123" s="36"/>
      <c r="P123" s="36"/>
      <c r="Q123" s="36"/>
      <c r="R123" s="36"/>
    </row>
    <row r="124" spans="1:18" x14ac:dyDescent="0.25">
      <c r="A124" s="50" t="s">
        <v>555</v>
      </c>
      <c r="B124" s="87">
        <v>23389.119999999999</v>
      </c>
      <c r="C124" s="543">
        <f>B124*'Energy Content Assumptions'!C33</f>
        <v>21050.207999999999</v>
      </c>
      <c r="D124" s="36"/>
      <c r="E124" s="36"/>
      <c r="F124" s="36"/>
      <c r="G124" s="36"/>
      <c r="H124" s="36"/>
      <c r="I124" s="36"/>
      <c r="J124" s="36"/>
      <c r="K124" s="36"/>
      <c r="L124" s="36"/>
      <c r="M124" s="36"/>
      <c r="N124" s="36"/>
      <c r="O124" s="36"/>
      <c r="P124" s="36"/>
      <c r="Q124" s="36"/>
      <c r="R124" s="36"/>
    </row>
    <row r="125" spans="1:18" x14ac:dyDescent="0.25">
      <c r="A125" s="50" t="s">
        <v>556</v>
      </c>
      <c r="B125" s="87">
        <v>5582.85</v>
      </c>
      <c r="C125" s="543">
        <f>B125*'Energy Content Assumptions'!C34</f>
        <v>5024.5650000000005</v>
      </c>
      <c r="D125" s="36"/>
      <c r="E125" s="36"/>
      <c r="F125" s="36"/>
      <c r="G125" s="36"/>
      <c r="H125" s="36"/>
      <c r="I125" s="36"/>
      <c r="J125" s="36"/>
      <c r="K125" s="36"/>
      <c r="L125" s="36"/>
      <c r="M125" s="36"/>
      <c r="N125" s="36"/>
      <c r="O125" s="36"/>
      <c r="P125" s="36"/>
      <c r="Q125" s="36"/>
      <c r="R125" s="36"/>
    </row>
    <row r="126" spans="1:18" x14ac:dyDescent="0.25">
      <c r="A126" s="50" t="s">
        <v>557</v>
      </c>
      <c r="B126" s="87">
        <v>12218.14</v>
      </c>
      <c r="C126" s="543">
        <f>B126*'Energy Content Assumptions'!C35</f>
        <v>10996.325999999999</v>
      </c>
      <c r="D126" s="36"/>
      <c r="E126" s="36"/>
      <c r="F126" s="36"/>
      <c r="G126" s="36"/>
      <c r="H126" s="36"/>
      <c r="I126" s="36"/>
      <c r="J126" s="36"/>
      <c r="K126" s="36"/>
      <c r="L126" s="36"/>
      <c r="M126" s="36"/>
      <c r="N126" s="36"/>
      <c r="O126" s="36"/>
      <c r="P126" s="36"/>
      <c r="Q126" s="36"/>
      <c r="R126" s="36"/>
    </row>
    <row r="127" spans="1:18" x14ac:dyDescent="0.25">
      <c r="A127" s="50" t="s">
        <v>558</v>
      </c>
      <c r="B127" s="87">
        <v>3122.39</v>
      </c>
      <c r="C127" s="543">
        <f>B127*'Energy Content Assumptions'!C36</f>
        <v>2810.1509999999998</v>
      </c>
      <c r="D127" s="36"/>
      <c r="E127" s="36"/>
      <c r="F127" s="36"/>
      <c r="G127" s="36"/>
      <c r="H127" s="36"/>
      <c r="I127" s="36"/>
      <c r="J127" s="36"/>
      <c r="K127" s="36"/>
      <c r="L127" s="36"/>
      <c r="M127" s="36"/>
      <c r="N127" s="36"/>
      <c r="O127" s="36"/>
      <c r="P127" s="36"/>
      <c r="Q127" s="36"/>
      <c r="R127" s="36"/>
    </row>
    <row r="128" spans="1:18" x14ac:dyDescent="0.25">
      <c r="A128" s="50" t="s">
        <v>559</v>
      </c>
      <c r="B128" s="87">
        <v>22341.08</v>
      </c>
      <c r="C128" s="543">
        <f>B128*'Energy Content Assumptions'!C21</f>
        <v>11170.54</v>
      </c>
      <c r="D128" s="36"/>
      <c r="E128" s="36"/>
      <c r="F128" s="36"/>
      <c r="G128" s="36"/>
      <c r="H128" s="36"/>
      <c r="I128" s="36"/>
      <c r="J128" s="36"/>
      <c r="K128" s="36"/>
      <c r="L128" s="36"/>
      <c r="M128" s="36"/>
      <c r="N128" s="36"/>
      <c r="O128" s="36"/>
      <c r="P128" s="36"/>
      <c r="Q128" s="36"/>
      <c r="R128" s="36"/>
    </row>
    <row r="129" spans="1:18" x14ac:dyDescent="0.25">
      <c r="A129" s="50" t="s">
        <v>560</v>
      </c>
      <c r="B129" s="87">
        <v>11591.32</v>
      </c>
      <c r="C129" s="543">
        <f>B129*'Energy Content Assumptions'!C22</f>
        <v>3863.7733333333331</v>
      </c>
      <c r="D129" s="36"/>
      <c r="E129" s="36"/>
      <c r="F129" s="36"/>
      <c r="G129" s="36"/>
      <c r="H129" s="36"/>
      <c r="I129" s="36"/>
      <c r="J129" s="36"/>
      <c r="K129" s="36"/>
      <c r="L129" s="36"/>
      <c r="M129" s="36"/>
      <c r="N129" s="36"/>
      <c r="O129" s="36"/>
      <c r="P129" s="36"/>
      <c r="Q129" s="36"/>
      <c r="R129" s="36"/>
    </row>
    <row r="130" spans="1:18" x14ac:dyDescent="0.25">
      <c r="A130" s="50" t="s">
        <v>561</v>
      </c>
      <c r="B130" s="87">
        <v>42595.040000000001</v>
      </c>
      <c r="C130" s="543">
        <f>B130*'Energy Content Assumptions'!C23</f>
        <v>14198.346666666666</v>
      </c>
      <c r="D130" s="36"/>
      <c r="E130" s="36"/>
      <c r="F130" s="36"/>
      <c r="G130" s="36"/>
      <c r="H130" s="36"/>
      <c r="I130" s="36"/>
      <c r="J130" s="36"/>
      <c r="K130" s="36"/>
      <c r="L130" s="36"/>
      <c r="M130" s="36"/>
      <c r="N130" s="36"/>
      <c r="O130" s="36"/>
      <c r="P130" s="36"/>
      <c r="Q130" s="36"/>
      <c r="R130" s="36"/>
    </row>
    <row r="131" spans="1:18" x14ac:dyDescent="0.25">
      <c r="A131" s="50" t="s">
        <v>562</v>
      </c>
      <c r="B131" s="87">
        <v>388.54</v>
      </c>
      <c r="C131" s="543">
        <f>B131*'Energy Content Assumptions'!C24</f>
        <v>194.27</v>
      </c>
      <c r="D131" s="36"/>
      <c r="E131" s="36"/>
      <c r="F131" s="36"/>
      <c r="G131" s="36"/>
      <c r="H131" s="36"/>
      <c r="I131" s="36"/>
      <c r="J131" s="36"/>
      <c r="K131" s="36"/>
      <c r="L131" s="36"/>
      <c r="M131" s="36"/>
      <c r="N131" s="36"/>
      <c r="O131" s="36"/>
      <c r="P131" s="36"/>
      <c r="Q131" s="36"/>
      <c r="R131" s="36"/>
    </row>
    <row r="132" spans="1:18" x14ac:dyDescent="0.25">
      <c r="A132" s="50" t="s">
        <v>563</v>
      </c>
      <c r="B132" s="87">
        <v>4957.16</v>
      </c>
      <c r="C132" s="543">
        <f>B132*'Energy Content Assumptions'!C31</f>
        <v>1239.29</v>
      </c>
      <c r="D132" s="36"/>
      <c r="E132" s="36"/>
      <c r="F132" s="36"/>
      <c r="G132" s="36"/>
      <c r="H132" s="36"/>
      <c r="I132" s="36"/>
      <c r="J132" s="36"/>
      <c r="K132" s="36"/>
      <c r="L132" s="36"/>
      <c r="M132" s="36"/>
      <c r="N132" s="36"/>
      <c r="O132" s="36"/>
      <c r="P132" s="36"/>
      <c r="Q132" s="36"/>
      <c r="R132" s="36"/>
    </row>
    <row r="133" spans="1:18" x14ac:dyDescent="0.25">
      <c r="A133" s="50" t="s">
        <v>564</v>
      </c>
      <c r="B133" s="87">
        <v>6590.9</v>
      </c>
      <c r="C133" s="543">
        <f>B133*'Energy Content Assumptions'!C19</f>
        <v>5931.8099999999995</v>
      </c>
      <c r="D133" s="36"/>
      <c r="E133" s="36"/>
      <c r="F133" s="36"/>
      <c r="G133" s="36"/>
      <c r="H133" s="36"/>
      <c r="I133" s="36"/>
      <c r="J133" s="36"/>
      <c r="K133" s="36"/>
      <c r="L133" s="36"/>
      <c r="M133" s="36"/>
      <c r="N133" s="36"/>
      <c r="O133" s="36"/>
      <c r="P133" s="36"/>
      <c r="Q133" s="36"/>
      <c r="R133" s="36"/>
    </row>
    <row r="134" spans="1:18" x14ac:dyDescent="0.25">
      <c r="A134" s="50" t="s">
        <v>565</v>
      </c>
      <c r="B134" s="87">
        <v>3098.96</v>
      </c>
      <c r="C134" s="543">
        <f>B134*'Energy Content Assumptions'!C32</f>
        <v>2479.1680000000001</v>
      </c>
      <c r="D134" s="36"/>
      <c r="E134" s="36"/>
      <c r="F134" s="36"/>
      <c r="G134" s="36"/>
      <c r="H134" s="36"/>
      <c r="I134" s="36"/>
      <c r="J134" s="36"/>
      <c r="K134" s="36"/>
      <c r="L134" s="36"/>
      <c r="M134" s="36"/>
      <c r="N134" s="36"/>
      <c r="O134" s="36"/>
      <c r="P134" s="36"/>
      <c r="Q134" s="36"/>
      <c r="R134" s="36"/>
    </row>
    <row r="135" spans="1:18" x14ac:dyDescent="0.25">
      <c r="A135" s="36"/>
      <c r="B135" s="36"/>
      <c r="C135" s="36"/>
      <c r="D135" s="36"/>
      <c r="E135" s="36"/>
      <c r="F135" s="36"/>
      <c r="G135" s="36"/>
      <c r="H135" s="36"/>
      <c r="I135" s="36"/>
      <c r="J135" s="36"/>
      <c r="K135" s="36"/>
      <c r="L135" s="36"/>
      <c r="M135" s="36"/>
      <c r="N135" s="36"/>
      <c r="O135" s="36"/>
      <c r="P135" s="36"/>
      <c r="Q135" s="36"/>
      <c r="R135" s="36"/>
    </row>
    <row r="136" spans="1:18" x14ac:dyDescent="0.25">
      <c r="A136" s="49" t="s">
        <v>462</v>
      </c>
      <c r="B136" s="49" t="s">
        <v>1039</v>
      </c>
      <c r="C136" s="49" t="s">
        <v>1040</v>
      </c>
      <c r="D136" s="36"/>
      <c r="E136" s="36"/>
      <c r="F136" s="36"/>
      <c r="G136" s="36"/>
      <c r="H136" s="36"/>
      <c r="I136" s="36"/>
      <c r="J136" s="36"/>
      <c r="K136" s="36"/>
      <c r="L136" s="36"/>
      <c r="M136" s="36"/>
      <c r="N136" s="36"/>
      <c r="O136" s="36"/>
      <c r="P136" s="36"/>
      <c r="Q136" s="36"/>
      <c r="R136" s="36"/>
    </row>
    <row r="137" spans="1:18" x14ac:dyDescent="0.25">
      <c r="A137" s="50" t="s">
        <v>211</v>
      </c>
      <c r="B137" s="87">
        <f>'Biomass Data Assumptions'!$M$26</f>
        <v>512500.13</v>
      </c>
      <c r="C137" s="544"/>
      <c r="D137" s="546" t="s">
        <v>1016</v>
      </c>
      <c r="E137" s="36"/>
      <c r="F137" s="36"/>
      <c r="G137" s="36"/>
      <c r="H137" s="36"/>
      <c r="I137" s="36"/>
      <c r="J137" s="36"/>
      <c r="K137" s="36"/>
      <c r="L137" s="36"/>
      <c r="M137" s="36"/>
      <c r="N137" s="36"/>
      <c r="O137" s="36"/>
      <c r="P137" s="36"/>
      <c r="Q137" s="36"/>
      <c r="R137" s="36"/>
    </row>
    <row r="138" spans="1:18" x14ac:dyDescent="0.25">
      <c r="A138" s="50" t="s">
        <v>208</v>
      </c>
      <c r="B138" s="87">
        <f>'Biomass Data Assumptions'!$F$26</f>
        <v>348418.05</v>
      </c>
      <c r="C138" s="543">
        <f>B138*'Energy Content Assumptions'!$C$28</f>
        <v>174209.02499999999</v>
      </c>
      <c r="D138" s="546" t="s">
        <v>1016</v>
      </c>
      <c r="E138" s="36"/>
      <c r="F138" s="36"/>
      <c r="G138" s="36"/>
      <c r="H138" s="36"/>
      <c r="I138" s="36"/>
      <c r="J138" s="36"/>
      <c r="K138" s="36"/>
      <c r="L138" s="36"/>
      <c r="M138" s="36"/>
      <c r="N138" s="36"/>
      <c r="O138" s="36"/>
      <c r="P138" s="36"/>
      <c r="Q138" s="36"/>
      <c r="R138" s="36"/>
    </row>
    <row r="139" spans="1:18" x14ac:dyDescent="0.25">
      <c r="A139" s="50" t="s">
        <v>209</v>
      </c>
      <c r="B139" s="87">
        <f>'Biomass Data Assumptions'!$H$26</f>
        <v>319855</v>
      </c>
      <c r="C139" s="543"/>
      <c r="D139" s="36" t="s">
        <v>1020</v>
      </c>
      <c r="E139" s="36"/>
      <c r="F139" s="36"/>
      <c r="G139" s="36"/>
      <c r="H139" s="36"/>
      <c r="I139" s="36"/>
      <c r="J139" s="36"/>
      <c r="K139" s="36"/>
      <c r="L139" s="36"/>
      <c r="M139" s="36"/>
      <c r="N139" s="36"/>
      <c r="O139" s="36"/>
      <c r="P139" s="36"/>
      <c r="Q139" s="36"/>
      <c r="R139" s="36"/>
    </row>
    <row r="140" spans="1:18" x14ac:dyDescent="0.25">
      <c r="A140" s="50" t="s">
        <v>210</v>
      </c>
      <c r="B140" s="87">
        <f>'Biomass Data Assumptions'!$I$26</f>
        <v>28563.049999999988</v>
      </c>
      <c r="C140" s="543">
        <f>B140*'Energy Content Assumptions'!$C$28</f>
        <v>14281.524999999994</v>
      </c>
      <c r="D140" s="36" t="s">
        <v>1021</v>
      </c>
      <c r="E140" s="36"/>
      <c r="F140" s="36"/>
      <c r="G140" s="36"/>
      <c r="H140" s="36"/>
      <c r="I140" s="36"/>
      <c r="J140" s="36"/>
      <c r="K140" s="36"/>
      <c r="L140" s="36"/>
      <c r="M140" s="36"/>
      <c r="N140" s="36"/>
      <c r="O140" s="36"/>
      <c r="P140" s="36"/>
      <c r="Q140" s="36"/>
      <c r="R140" s="36"/>
    </row>
    <row r="141" spans="1:18" x14ac:dyDescent="0.25">
      <c r="A141" s="50" t="str">
        <f>'Bioenergy Calculator'!B35</f>
        <v>Food waste, Landfilled</v>
      </c>
      <c r="B141" s="87">
        <f>IF('Bioenergy Calculator'!H75="No",'Biomass Data Assumptions'!J26,'Biomass Data Assumptions'!F26*'Biomass Data Assumptions'!I41)</f>
        <v>4518.674509999998</v>
      </c>
      <c r="C141" s="543">
        <f>B141*'Energy Content Assumptions'!C26</f>
        <v>1355.6023529999993</v>
      </c>
      <c r="D141" s="36" t="s">
        <v>1063</v>
      </c>
      <c r="E141" s="36"/>
      <c r="F141" s="36"/>
      <c r="G141" s="36"/>
      <c r="H141" s="36"/>
      <c r="I141" s="36"/>
      <c r="J141" s="36"/>
      <c r="K141" s="36"/>
      <c r="L141" s="36"/>
      <c r="M141" s="36"/>
      <c r="N141" s="36"/>
      <c r="O141" s="36"/>
      <c r="P141" s="36"/>
      <c r="Q141" s="36"/>
      <c r="R141" s="36"/>
    </row>
    <row r="142" spans="1:18" x14ac:dyDescent="0.25">
      <c r="A142" s="50" t="str">
        <f>'Bioenergy Calculator'!B36</f>
        <v>Waste paper, Landfilled</v>
      </c>
      <c r="B142" s="87">
        <f>IF('Bioenergy Calculator'!H75="No",'Biomass Data Assumptions'!K26,'Biomass Data Assumptions'!F26*'Biomass Data Assumptions'!I42)</f>
        <v>5555.5132249999979</v>
      </c>
      <c r="C142" s="543">
        <f>B142*'Energy Content Assumptions'!C27</f>
        <v>4999.9619024999984</v>
      </c>
      <c r="D142" s="36" t="s">
        <v>1063</v>
      </c>
      <c r="E142" s="36"/>
      <c r="F142" s="36"/>
      <c r="G142" s="36"/>
      <c r="H142" s="36"/>
      <c r="I142" s="36"/>
      <c r="J142" s="36"/>
      <c r="K142" s="36"/>
      <c r="L142" s="36"/>
      <c r="M142" s="36"/>
      <c r="N142" s="36"/>
      <c r="O142" s="36"/>
      <c r="P142" s="36"/>
      <c r="Q142" s="36"/>
      <c r="R142" s="36"/>
    </row>
    <row r="143" spans="1:18" x14ac:dyDescent="0.25">
      <c r="A143" s="50" t="str">
        <f>'Bioenergy Calculator'!B37</f>
        <v>Other Biomass, Landfilled</v>
      </c>
      <c r="B143" s="87">
        <f>IF('Bioenergy Calculator'!H75="No",'Biomass Data Assumptions'!L26,'Biomass Data Assumptions'!F26*'Biomass Data Assumptions'!I43)</f>
        <v>7692.0293649999967</v>
      </c>
      <c r="C143" s="543">
        <f>B143*'Energy Content Assumptions'!$C$28</f>
        <v>3846.0146824999983</v>
      </c>
      <c r="D143" s="546" t="s">
        <v>1064</v>
      </c>
      <c r="E143" s="36"/>
      <c r="F143" s="36"/>
      <c r="G143" s="36"/>
      <c r="H143" s="36"/>
      <c r="I143" s="36"/>
      <c r="J143" s="36"/>
      <c r="K143" s="36"/>
      <c r="L143" s="36"/>
      <c r="M143" s="36"/>
      <c r="N143" s="36"/>
      <c r="O143" s="36"/>
      <c r="P143" s="36"/>
      <c r="Q143" s="36"/>
      <c r="R143" s="36"/>
    </row>
    <row r="144" spans="1:18" x14ac:dyDescent="0.25">
      <c r="A144" s="50" t="s">
        <v>463</v>
      </c>
      <c r="B144" s="87">
        <v>71680.399999999994</v>
      </c>
      <c r="C144" s="543">
        <f>B144*'Energy Content Assumptions'!C29</f>
        <v>57344.32</v>
      </c>
      <c r="D144" s="151" t="s">
        <v>206</v>
      </c>
      <c r="E144" s="36"/>
      <c r="F144" s="36"/>
      <c r="G144" s="36"/>
      <c r="H144" s="36"/>
      <c r="I144" s="36"/>
      <c r="J144" s="36"/>
      <c r="K144" s="36"/>
      <c r="L144" s="36"/>
      <c r="M144" s="36"/>
      <c r="N144" s="36"/>
      <c r="O144" s="36"/>
      <c r="P144" s="36"/>
      <c r="Q144" s="36"/>
      <c r="R144" s="36"/>
    </row>
    <row r="145" spans="1:18" x14ac:dyDescent="0.25">
      <c r="A145" s="709" t="s">
        <v>179</v>
      </c>
      <c r="B145" s="710">
        <v>0.4</v>
      </c>
      <c r="C145" s="543">
        <f>C144*B145</f>
        <v>22937.728000000003</v>
      </c>
      <c r="D145" s="36" t="s">
        <v>1202</v>
      </c>
      <c r="E145" s="36"/>
      <c r="F145" s="36"/>
      <c r="G145" s="36"/>
      <c r="H145" s="36"/>
      <c r="I145" s="36"/>
      <c r="J145" s="36"/>
      <c r="K145" s="36"/>
      <c r="L145" s="36"/>
      <c r="M145" s="36"/>
      <c r="N145" s="36"/>
      <c r="O145" s="36"/>
      <c r="P145" s="36"/>
      <c r="Q145" s="36"/>
      <c r="R145" s="36"/>
    </row>
    <row r="146" spans="1:18" x14ac:dyDescent="0.25">
      <c r="A146" s="712"/>
      <c r="B146" s="713"/>
      <c r="C146" s="714"/>
      <c r="D146" s="150" t="s">
        <v>1553</v>
      </c>
      <c r="E146" s="36"/>
      <c r="F146" s="36"/>
      <c r="G146" s="36"/>
      <c r="H146" s="36"/>
      <c r="I146" s="36"/>
      <c r="J146" s="36"/>
      <c r="K146" s="36"/>
      <c r="L146" s="36"/>
      <c r="M146" s="36"/>
      <c r="N146" s="36"/>
      <c r="O146" s="36"/>
      <c r="P146" s="36"/>
      <c r="Q146" s="36"/>
      <c r="R146" s="36"/>
    </row>
    <row r="147" spans="1:18" x14ac:dyDescent="0.25">
      <c r="A147" s="1238" t="s">
        <v>1568</v>
      </c>
      <c r="B147" s="49" t="s">
        <v>1039</v>
      </c>
      <c r="C147" s="49" t="s">
        <v>1571</v>
      </c>
      <c r="D147" s="150"/>
      <c r="E147" s="36"/>
      <c r="F147" s="36"/>
      <c r="G147" s="36"/>
      <c r="H147" s="36"/>
      <c r="I147" s="36"/>
      <c r="J147" s="36"/>
      <c r="K147" s="36"/>
      <c r="L147" s="36"/>
      <c r="M147" s="36"/>
      <c r="N147" s="36"/>
      <c r="O147" s="36"/>
      <c r="P147" s="36"/>
      <c r="Q147" s="36"/>
      <c r="R147" s="36"/>
    </row>
    <row r="148" spans="1:18" x14ac:dyDescent="0.25">
      <c r="A148" s="1236" t="s">
        <v>508</v>
      </c>
      <c r="B148" s="549">
        <f>'Biomass Data Assumptions'!R26/2000</f>
        <v>2360.5956000000001</v>
      </c>
      <c r="C148" s="1239">
        <f>B148*'Energy Content Assumptions'!C39</f>
        <v>2006.5062600000001</v>
      </c>
      <c r="D148" s="150" t="s">
        <v>1569</v>
      </c>
      <c r="E148" s="36"/>
      <c r="F148" s="36"/>
      <c r="G148" s="36"/>
      <c r="H148" s="36"/>
      <c r="I148" s="36"/>
      <c r="J148" s="36"/>
      <c r="K148" s="36"/>
      <c r="L148" s="36"/>
      <c r="M148" s="36"/>
      <c r="N148" s="36"/>
      <c r="O148" s="36"/>
      <c r="P148" s="36"/>
      <c r="Q148" s="36"/>
      <c r="R148" s="36"/>
    </row>
    <row r="149" spans="1:18" x14ac:dyDescent="0.25">
      <c r="A149" s="1236" t="s">
        <v>509</v>
      </c>
      <c r="B149" s="549">
        <f>'Biomass Data Assumptions'!S26/2000</f>
        <v>3586.4958149999998</v>
      </c>
      <c r="C149" s="1239">
        <f>B149*'Energy Content Assumptions'!C40</f>
        <v>179.32479075000001</v>
      </c>
      <c r="D149" s="150" t="s">
        <v>1570</v>
      </c>
      <c r="E149" s="36"/>
      <c r="F149" s="36"/>
      <c r="G149" s="36"/>
      <c r="H149" s="36"/>
      <c r="I149" s="36"/>
      <c r="J149" s="36"/>
      <c r="K149" s="36"/>
      <c r="L149" s="36"/>
      <c r="M149" s="36"/>
      <c r="N149" s="36"/>
      <c r="O149" s="36"/>
      <c r="P149" s="36"/>
      <c r="Q149" s="36"/>
      <c r="R149" s="36"/>
    </row>
    <row r="150" spans="1:18" x14ac:dyDescent="0.25">
      <c r="A150" s="36"/>
      <c r="B150" s="36"/>
      <c r="C150" s="36"/>
      <c r="D150" s="36"/>
      <c r="E150" s="36"/>
      <c r="F150" s="36"/>
      <c r="G150" s="36"/>
      <c r="H150" s="36"/>
      <c r="I150" s="36"/>
      <c r="J150" s="36"/>
      <c r="K150" s="36"/>
      <c r="L150" s="36"/>
      <c r="M150" s="36"/>
      <c r="N150" s="36"/>
      <c r="O150" s="36"/>
      <c r="P150" s="36"/>
      <c r="Q150" s="36"/>
      <c r="R150" s="36"/>
    </row>
    <row r="151" spans="1:18" x14ac:dyDescent="0.25">
      <c r="A151" s="36"/>
      <c r="B151" s="36"/>
      <c r="C151" s="36"/>
      <c r="D151" s="36"/>
      <c r="E151" s="36"/>
      <c r="F151" s="36"/>
      <c r="G151" s="36"/>
      <c r="H151" s="36"/>
      <c r="I151" s="36"/>
      <c r="J151" s="36"/>
      <c r="K151" s="36"/>
      <c r="L151" s="36"/>
      <c r="M151" s="36"/>
      <c r="N151" s="36"/>
      <c r="O151" s="36"/>
      <c r="P151" s="36"/>
      <c r="Q151" s="36"/>
      <c r="R151" s="36"/>
    </row>
    <row r="152" spans="1:18" x14ac:dyDescent="0.25">
      <c r="A152" s="36"/>
      <c r="B152" s="36"/>
      <c r="C152" s="36"/>
      <c r="D152" s="36"/>
      <c r="E152" s="36"/>
      <c r="F152" s="36"/>
      <c r="G152" s="36"/>
      <c r="H152" s="36"/>
      <c r="I152" s="36"/>
      <c r="J152" s="36"/>
      <c r="K152" s="36"/>
      <c r="L152" s="36"/>
      <c r="M152" s="36"/>
      <c r="N152" s="36"/>
      <c r="O152" s="36"/>
      <c r="P152" s="36"/>
      <c r="Q152" s="36"/>
      <c r="R152" s="36"/>
    </row>
    <row r="153" spans="1:18" x14ac:dyDescent="0.25">
      <c r="A153" s="36"/>
      <c r="B153" s="36"/>
      <c r="C153" s="36"/>
      <c r="D153" s="36"/>
      <c r="E153" s="36"/>
      <c r="F153" s="36"/>
      <c r="G153" s="36"/>
      <c r="H153" s="36"/>
      <c r="I153" s="36"/>
      <c r="J153" s="36"/>
      <c r="K153" s="36"/>
      <c r="L153" s="36"/>
      <c r="M153" s="36"/>
      <c r="N153" s="36"/>
      <c r="O153" s="36"/>
      <c r="P153" s="36"/>
      <c r="Q153" s="36"/>
      <c r="R153" s="36"/>
    </row>
    <row r="154" spans="1:18" x14ac:dyDescent="0.25">
      <c r="A154" s="36"/>
      <c r="B154" s="36"/>
      <c r="C154" s="36"/>
      <c r="D154" s="36"/>
      <c r="E154" s="36"/>
      <c r="F154" s="36"/>
      <c r="G154" s="36"/>
      <c r="H154" s="36"/>
      <c r="I154" s="36"/>
      <c r="J154" s="36"/>
      <c r="K154" s="36"/>
      <c r="L154" s="36"/>
      <c r="M154" s="36"/>
      <c r="N154" s="36"/>
      <c r="O154" s="36"/>
      <c r="P154" s="36"/>
      <c r="Q154" s="36"/>
      <c r="R154" s="36"/>
    </row>
    <row r="155" spans="1:18" x14ac:dyDescent="0.25">
      <c r="A155" s="36"/>
      <c r="B155" s="36"/>
      <c r="C155" s="36"/>
      <c r="D155" s="36"/>
      <c r="E155" s="36"/>
      <c r="F155" s="36"/>
      <c r="G155" s="36"/>
      <c r="H155" s="36"/>
      <c r="I155" s="36"/>
      <c r="J155" s="36"/>
      <c r="K155" s="36"/>
      <c r="L155" s="36"/>
      <c r="M155" s="36"/>
      <c r="N155" s="36"/>
      <c r="O155" s="36"/>
      <c r="P155" s="36"/>
      <c r="Q155" s="36"/>
      <c r="R155" s="36"/>
    </row>
    <row r="156" spans="1:18" x14ac:dyDescent="0.25">
      <c r="A156" s="36"/>
      <c r="B156" s="36"/>
      <c r="C156" s="36"/>
      <c r="D156" s="36"/>
      <c r="E156" s="36"/>
      <c r="F156" s="36"/>
      <c r="G156" s="36"/>
      <c r="H156" s="36"/>
      <c r="I156" s="36"/>
      <c r="J156" s="36"/>
      <c r="K156" s="36"/>
      <c r="L156" s="36"/>
      <c r="M156" s="36"/>
      <c r="N156" s="36"/>
      <c r="O156" s="36"/>
      <c r="P156" s="36"/>
      <c r="Q156" s="36"/>
      <c r="R156" s="36"/>
    </row>
    <row r="157" spans="1:18" x14ac:dyDescent="0.25">
      <c r="A157" s="36"/>
      <c r="B157" s="36"/>
      <c r="C157" s="36"/>
      <c r="D157" s="36"/>
      <c r="E157" s="36"/>
      <c r="F157" s="36"/>
      <c r="G157" s="36"/>
      <c r="H157" s="36"/>
      <c r="I157" s="36"/>
      <c r="J157" s="36"/>
      <c r="K157" s="36"/>
      <c r="L157" s="36"/>
      <c r="M157" s="36"/>
      <c r="N157" s="36"/>
      <c r="O157" s="36"/>
      <c r="P157" s="36"/>
      <c r="Q157" s="36"/>
      <c r="R157" s="36"/>
    </row>
    <row r="158" spans="1:18" x14ac:dyDescent="0.25">
      <c r="A158" s="36"/>
      <c r="B158" s="36"/>
      <c r="C158" s="36"/>
      <c r="D158" s="36"/>
      <c r="E158" s="36"/>
      <c r="F158" s="36"/>
      <c r="G158" s="36"/>
      <c r="H158" s="36"/>
      <c r="I158" s="36"/>
      <c r="J158" s="36"/>
      <c r="K158" s="36"/>
      <c r="L158" s="36"/>
      <c r="M158" s="36"/>
      <c r="N158" s="36"/>
      <c r="O158" s="36"/>
      <c r="P158" s="36"/>
      <c r="Q158" s="36"/>
      <c r="R158" s="36"/>
    </row>
    <row r="159" spans="1:18" x14ac:dyDescent="0.25">
      <c r="A159" s="36"/>
      <c r="B159" s="36"/>
      <c r="C159" s="36"/>
      <c r="D159" s="36"/>
      <c r="E159" s="36"/>
      <c r="F159" s="36"/>
      <c r="G159" s="36"/>
      <c r="H159" s="36"/>
      <c r="I159" s="36"/>
      <c r="J159" s="36"/>
      <c r="K159" s="36"/>
      <c r="L159" s="36"/>
      <c r="M159" s="36"/>
      <c r="N159" s="36"/>
      <c r="O159" s="36"/>
      <c r="P159" s="36"/>
      <c r="Q159" s="36"/>
      <c r="R159" s="36"/>
    </row>
    <row r="160" spans="1:18" x14ac:dyDescent="0.25">
      <c r="A160" s="36"/>
      <c r="B160" s="36"/>
      <c r="C160" s="36"/>
      <c r="D160" s="36"/>
      <c r="E160" s="36"/>
      <c r="F160" s="36"/>
      <c r="G160" s="36"/>
      <c r="H160" s="36"/>
      <c r="I160" s="36"/>
      <c r="J160" s="36"/>
      <c r="K160" s="36"/>
      <c r="L160" s="36"/>
      <c r="M160" s="36"/>
      <c r="N160" s="36"/>
      <c r="O160" s="36"/>
      <c r="P160" s="36"/>
      <c r="Q160" s="36"/>
      <c r="R160" s="36"/>
    </row>
    <row r="161" spans="1:18" x14ac:dyDescent="0.25">
      <c r="A161" s="36"/>
      <c r="B161" s="36"/>
      <c r="C161" s="36"/>
      <c r="D161" s="36"/>
      <c r="E161" s="36"/>
      <c r="F161" s="36"/>
      <c r="G161" s="36"/>
      <c r="H161" s="36"/>
      <c r="I161" s="36"/>
      <c r="J161" s="36"/>
      <c r="K161" s="36"/>
      <c r="L161" s="36"/>
      <c r="M161" s="36"/>
      <c r="N161" s="36"/>
      <c r="O161" s="36"/>
      <c r="P161" s="36"/>
      <c r="Q161" s="36"/>
      <c r="R161" s="36"/>
    </row>
    <row r="162" spans="1:18" x14ac:dyDescent="0.25">
      <c r="A162" s="36"/>
      <c r="B162" s="36"/>
      <c r="C162" s="36"/>
      <c r="D162" s="36"/>
      <c r="E162" s="36"/>
      <c r="F162" s="36"/>
      <c r="G162" s="36"/>
      <c r="H162" s="36"/>
      <c r="I162" s="36"/>
      <c r="J162" s="36"/>
      <c r="K162" s="36"/>
      <c r="L162" s="36"/>
      <c r="M162" s="36"/>
      <c r="N162" s="36"/>
      <c r="O162" s="36"/>
      <c r="P162" s="36"/>
      <c r="Q162" s="36"/>
      <c r="R162" s="36"/>
    </row>
    <row r="163" spans="1:18" x14ac:dyDescent="0.25">
      <c r="A163" s="36"/>
      <c r="B163" s="36"/>
      <c r="C163" s="36"/>
      <c r="D163" s="36"/>
      <c r="E163" s="36"/>
      <c r="F163" s="36"/>
      <c r="G163" s="36"/>
      <c r="H163" s="36"/>
      <c r="I163" s="36"/>
      <c r="J163" s="36"/>
      <c r="K163" s="36"/>
      <c r="L163" s="36"/>
      <c r="M163" s="36"/>
      <c r="N163" s="36"/>
      <c r="O163" s="36"/>
      <c r="P163" s="36"/>
      <c r="Q163" s="36"/>
      <c r="R163" s="36"/>
    </row>
    <row r="164" spans="1:18" x14ac:dyDescent="0.25">
      <c r="A164" s="36"/>
      <c r="B164" s="36"/>
      <c r="C164" s="36"/>
      <c r="D164" s="36"/>
      <c r="E164" s="36"/>
      <c r="F164" s="36"/>
      <c r="G164" s="36"/>
      <c r="H164" s="36"/>
      <c r="I164" s="36"/>
      <c r="J164" s="36"/>
      <c r="K164" s="36"/>
      <c r="L164" s="36"/>
      <c r="M164" s="36"/>
      <c r="N164" s="36"/>
      <c r="O164" s="36"/>
      <c r="P164" s="36"/>
      <c r="Q164" s="36"/>
      <c r="R164" s="36"/>
    </row>
    <row r="165" spans="1:18" x14ac:dyDescent="0.25">
      <c r="A165" s="36"/>
      <c r="B165" s="36"/>
      <c r="C165" s="36"/>
      <c r="D165" s="36"/>
      <c r="E165" s="36"/>
      <c r="F165" s="36"/>
      <c r="G165" s="36"/>
      <c r="H165" s="36"/>
      <c r="I165" s="36"/>
      <c r="J165" s="36"/>
      <c r="K165" s="36"/>
      <c r="L165" s="36"/>
      <c r="M165" s="36"/>
      <c r="N165" s="36"/>
      <c r="O165" s="36"/>
      <c r="P165" s="36"/>
      <c r="Q165" s="36"/>
      <c r="R165" s="36"/>
    </row>
    <row r="166" spans="1:18" x14ac:dyDescent="0.25">
      <c r="A166" s="36"/>
      <c r="B166" s="36"/>
      <c r="C166" s="36"/>
      <c r="D166" s="36"/>
      <c r="E166" s="36"/>
      <c r="F166" s="36"/>
      <c r="G166" s="36"/>
      <c r="H166" s="36"/>
      <c r="I166" s="36"/>
      <c r="J166" s="36"/>
      <c r="K166" s="36"/>
      <c r="L166" s="36"/>
      <c r="M166" s="36"/>
      <c r="N166" s="36"/>
      <c r="O166" s="36"/>
      <c r="P166" s="36"/>
      <c r="Q166" s="36"/>
      <c r="R166" s="36"/>
    </row>
    <row r="167" spans="1:18" x14ac:dyDescent="0.25">
      <c r="A167" s="36"/>
      <c r="B167" s="36"/>
      <c r="C167" s="36"/>
      <c r="D167" s="36"/>
      <c r="E167" s="36"/>
      <c r="F167" s="36"/>
      <c r="G167" s="36"/>
      <c r="H167" s="36"/>
      <c r="I167" s="36"/>
      <c r="J167" s="36"/>
      <c r="K167" s="36"/>
      <c r="L167" s="36"/>
      <c r="M167" s="36"/>
      <c r="N167" s="36"/>
      <c r="O167" s="36"/>
      <c r="P167" s="36"/>
      <c r="Q167" s="36"/>
      <c r="R167" s="36"/>
    </row>
    <row r="168" spans="1:18" x14ac:dyDescent="0.25">
      <c r="A168" s="36"/>
      <c r="B168" s="36"/>
      <c r="C168" s="36"/>
      <c r="D168" s="36"/>
      <c r="E168" s="36"/>
      <c r="F168" s="36"/>
      <c r="G168" s="36"/>
      <c r="H168" s="36"/>
      <c r="I168" s="36"/>
      <c r="J168" s="36"/>
      <c r="K168" s="36"/>
      <c r="L168" s="36"/>
      <c r="M168" s="36"/>
      <c r="N168" s="36"/>
      <c r="O168" s="36"/>
      <c r="P168" s="36"/>
      <c r="Q168" s="36"/>
      <c r="R168" s="36"/>
    </row>
    <row r="169" spans="1:18" x14ac:dyDescent="0.25">
      <c r="A169" s="36"/>
      <c r="B169" s="36"/>
      <c r="C169" s="36"/>
      <c r="D169" s="36"/>
      <c r="E169" s="36"/>
      <c r="F169" s="36"/>
      <c r="G169" s="36"/>
      <c r="H169" s="36"/>
      <c r="I169" s="36"/>
      <c r="J169" s="36"/>
      <c r="K169" s="36"/>
      <c r="L169" s="36"/>
      <c r="M169" s="36"/>
      <c r="N169" s="36"/>
      <c r="O169" s="36"/>
      <c r="P169" s="36"/>
      <c r="Q169" s="36"/>
      <c r="R169" s="36"/>
    </row>
    <row r="170" spans="1:18" x14ac:dyDescent="0.25">
      <c r="A170" s="36"/>
      <c r="B170" s="36"/>
      <c r="C170" s="36"/>
      <c r="D170" s="36"/>
      <c r="E170" s="36"/>
      <c r="F170" s="36"/>
      <c r="G170" s="36"/>
      <c r="H170" s="36"/>
      <c r="I170" s="36"/>
      <c r="J170" s="36"/>
      <c r="K170" s="36"/>
      <c r="L170" s="36"/>
      <c r="M170" s="36"/>
      <c r="N170" s="36"/>
      <c r="O170" s="36"/>
      <c r="P170" s="36"/>
      <c r="Q170" s="36"/>
      <c r="R170" s="36"/>
    </row>
    <row r="171" spans="1:18" x14ac:dyDescent="0.25">
      <c r="P171" s="36"/>
      <c r="Q171" s="36"/>
      <c r="R171" s="36"/>
    </row>
    <row r="172" spans="1:18" x14ac:dyDescent="0.25">
      <c r="P172" s="36"/>
      <c r="Q172" s="36"/>
      <c r="R172" s="36"/>
    </row>
    <row r="173" spans="1:18" x14ac:dyDescent="0.25">
      <c r="P173" s="36"/>
      <c r="Q173" s="36"/>
      <c r="R173" s="36"/>
    </row>
    <row r="174" spans="1:18" x14ac:dyDescent="0.25">
      <c r="P174" s="36"/>
      <c r="Q174" s="36"/>
      <c r="R174" s="36"/>
    </row>
    <row r="175" spans="1:18" x14ac:dyDescent="0.25">
      <c r="P175" s="36"/>
      <c r="Q175" s="36"/>
      <c r="R175" s="36"/>
    </row>
    <row r="176" spans="1:18" x14ac:dyDescent="0.25">
      <c r="P176" s="36"/>
      <c r="Q176" s="36"/>
      <c r="R176" s="36"/>
    </row>
    <row r="177" spans="16:18" x14ac:dyDescent="0.25">
      <c r="P177" s="36"/>
      <c r="Q177" s="36"/>
      <c r="R177" s="36"/>
    </row>
    <row r="178" spans="16:18" x14ac:dyDescent="0.25">
      <c r="P178" s="36"/>
      <c r="Q178" s="36"/>
      <c r="R178" s="36"/>
    </row>
    <row r="179" spans="16:18" x14ac:dyDescent="0.25">
      <c r="P179" s="36"/>
      <c r="Q179" s="36"/>
      <c r="R179" s="36"/>
    </row>
    <row r="180" spans="16:18" x14ac:dyDescent="0.25">
      <c r="P180" s="36"/>
      <c r="Q180" s="36"/>
      <c r="R180" s="36"/>
    </row>
    <row r="181" spans="16:18" x14ac:dyDescent="0.25">
      <c r="P181" s="36"/>
      <c r="Q181" s="36"/>
      <c r="R181" s="36"/>
    </row>
    <row r="182" spans="16:18" x14ac:dyDescent="0.25">
      <c r="P182" s="36"/>
      <c r="Q182" s="36"/>
      <c r="R182" s="36"/>
    </row>
    <row r="183" spans="16:18" x14ac:dyDescent="0.25">
      <c r="P183" s="36"/>
      <c r="Q183" s="36"/>
      <c r="R183" s="36"/>
    </row>
    <row r="184" spans="16:18" x14ac:dyDescent="0.25">
      <c r="P184" s="36"/>
      <c r="Q184" s="36"/>
      <c r="R184" s="36"/>
    </row>
    <row r="185" spans="16:18" x14ac:dyDescent="0.25">
      <c r="P185" s="36"/>
      <c r="Q185" s="36"/>
      <c r="R185" s="36"/>
    </row>
    <row r="186" spans="16:18" x14ac:dyDescent="0.25">
      <c r="P186" s="36"/>
      <c r="Q186" s="36"/>
      <c r="R186" s="36"/>
    </row>
    <row r="187" spans="16:18" x14ac:dyDescent="0.25">
      <c r="P187" s="36"/>
      <c r="Q187" s="36"/>
      <c r="R187" s="36"/>
    </row>
    <row r="188" spans="16:18" x14ac:dyDescent="0.25">
      <c r="P188" s="36"/>
      <c r="Q188" s="36"/>
      <c r="R188" s="36"/>
    </row>
    <row r="189" spans="16:18" x14ac:dyDescent="0.25">
      <c r="P189" s="36"/>
      <c r="Q189" s="36"/>
      <c r="R189" s="36"/>
    </row>
    <row r="190" spans="16:18" x14ac:dyDescent="0.25">
      <c r="P190" s="36"/>
      <c r="Q190" s="36"/>
      <c r="R190" s="36"/>
    </row>
    <row r="191" spans="16:18" x14ac:dyDescent="0.25">
      <c r="P191" s="36"/>
      <c r="Q191" s="36"/>
      <c r="R191" s="36"/>
    </row>
    <row r="192" spans="16:18" x14ac:dyDescent="0.25">
      <c r="P192" s="36"/>
      <c r="Q192" s="36"/>
      <c r="R192" s="36"/>
    </row>
    <row r="193" spans="16:18" x14ac:dyDescent="0.25">
      <c r="P193" s="36"/>
      <c r="Q193" s="36"/>
      <c r="R193" s="36"/>
    </row>
    <row r="194" spans="16:18" x14ac:dyDescent="0.25">
      <c r="P194" s="36"/>
      <c r="Q194" s="36"/>
      <c r="R194" s="36"/>
    </row>
    <row r="195" spans="16:18" x14ac:dyDescent="0.25">
      <c r="P195" s="36"/>
      <c r="Q195" s="36"/>
      <c r="R195" s="36"/>
    </row>
    <row r="196" spans="16:18" x14ac:dyDescent="0.25">
      <c r="P196" s="36"/>
      <c r="Q196" s="36"/>
      <c r="R196" s="36"/>
    </row>
    <row r="197" spans="16:18" x14ac:dyDescent="0.25">
      <c r="P197" s="36"/>
      <c r="Q197" s="36"/>
      <c r="R197" s="36"/>
    </row>
    <row r="198" spans="16:18" x14ac:dyDescent="0.25">
      <c r="P198" s="36"/>
      <c r="Q198" s="36"/>
      <c r="R198" s="36"/>
    </row>
    <row r="199" spans="16:18" x14ac:dyDescent="0.25">
      <c r="P199" s="36"/>
      <c r="Q199" s="36"/>
      <c r="R199" s="36"/>
    </row>
  </sheetData>
  <mergeCells count="15">
    <mergeCell ref="A3:A4"/>
    <mergeCell ref="B3:B4"/>
    <mergeCell ref="C3:C4"/>
    <mergeCell ref="A51:A67"/>
    <mergeCell ref="A5:A11"/>
    <mergeCell ref="A13:A29"/>
    <mergeCell ref="A31:A43"/>
    <mergeCell ref="A45:A49"/>
    <mergeCell ref="I1:L1"/>
    <mergeCell ref="M1:P1"/>
    <mergeCell ref="Q3:Q4"/>
    <mergeCell ref="D3:D4"/>
    <mergeCell ref="I3:L3"/>
    <mergeCell ref="M3:P3"/>
    <mergeCell ref="E3:H3"/>
  </mergeCells>
  <phoneticPr fontId="0" type="noConversion"/>
  <pageMargins left="0.75" right="0.75" top="1" bottom="1" header="0.5" footer="0.5"/>
  <pageSetup paperSize="5" scale="50" orientation="landscape" r:id="rId1"/>
  <headerFooter alignWithMargins="0">
    <oddFooter>&amp;L&amp;"Arial,Italic" 7/02/07&amp;C&amp;"Arial,Italic"&amp;A&amp;R&amp;"Arial,Italic"NJAES Report 2007-1 ©2007
New Jersey Agricultural Experiment Station</oddFooter>
  </headerFooter>
  <ignoredErrors>
    <ignoredError sqref="D67" formula="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S199"/>
  <sheetViews>
    <sheetView topLeftCell="A100" zoomScale="70" zoomScaleNormal="70" workbookViewId="0">
      <selection activeCell="C147" sqref="C147"/>
    </sheetView>
  </sheetViews>
  <sheetFormatPr defaultColWidth="9.109375" defaultRowHeight="13.2" x14ac:dyDescent="0.25"/>
  <cols>
    <col min="1" max="1" width="28.6640625" style="5" customWidth="1"/>
    <col min="2" max="2" width="42.6640625" style="5" customWidth="1"/>
    <col min="3" max="3" width="23.6640625" style="5" customWidth="1"/>
    <col min="4" max="4" width="18.6640625" style="5" customWidth="1"/>
    <col min="5" max="16" width="14.6640625" style="5" customWidth="1"/>
    <col min="17" max="17" width="45.6640625" style="5" customWidth="1"/>
    <col min="18" max="18" width="34.44140625" style="5" customWidth="1"/>
    <col min="19" max="19" width="19.33203125" style="5" customWidth="1"/>
    <col min="20" max="20" width="14" style="5" customWidth="1"/>
    <col min="21" max="16384" width="9.109375" style="5"/>
  </cols>
  <sheetData>
    <row r="1" spans="1:17" s="411" customFormat="1" ht="15.6" x14ac:dyDescent="0.3">
      <c r="A1" s="407" t="s">
        <v>571</v>
      </c>
      <c r="E1" s="412" t="s">
        <v>433</v>
      </c>
      <c r="I1" s="1195" t="str">
        <f>'Bioenergy Calculator'!B3</f>
        <v>None</v>
      </c>
      <c r="J1" s="1195"/>
      <c r="K1" s="1195"/>
      <c r="L1" s="1196"/>
      <c r="M1" s="1195" t="str">
        <f>'Bioenergy Calculator'!B4</f>
        <v>None</v>
      </c>
      <c r="N1" s="1195"/>
      <c r="O1" s="1195"/>
      <c r="P1" s="1196"/>
    </row>
    <row r="3" spans="1:17" s="6" customFormat="1" ht="24.75" customHeight="1" x14ac:dyDescent="0.25">
      <c r="A3" s="1062" t="s">
        <v>567</v>
      </c>
      <c r="B3" s="1062" t="s">
        <v>506</v>
      </c>
      <c r="C3" s="1062" t="s">
        <v>1035</v>
      </c>
      <c r="D3" s="1062" t="s">
        <v>1051</v>
      </c>
      <c r="E3" s="1083" t="s">
        <v>523</v>
      </c>
      <c r="F3" s="1209"/>
      <c r="G3" s="1209"/>
      <c r="H3" s="1198"/>
      <c r="I3" s="1072" t="s">
        <v>275</v>
      </c>
      <c r="J3" s="1073"/>
      <c r="K3" s="1074"/>
      <c r="L3" s="1075"/>
      <c r="M3" s="1083" t="s">
        <v>274</v>
      </c>
      <c r="N3" s="1084"/>
      <c r="O3" s="1197"/>
      <c r="P3" s="1198"/>
      <c r="Q3" s="1060" t="s">
        <v>570</v>
      </c>
    </row>
    <row r="4" spans="1:17" s="6" customFormat="1" x14ac:dyDescent="0.25">
      <c r="A4" s="1063"/>
      <c r="B4" s="1063"/>
      <c r="C4" s="1063"/>
      <c r="D4" s="1071"/>
      <c r="E4" s="22">
        <v>2012</v>
      </c>
      <c r="F4" s="22">
        <v>2015</v>
      </c>
      <c r="G4" s="22">
        <v>2020</v>
      </c>
      <c r="H4" s="22">
        <v>2025</v>
      </c>
      <c r="I4" s="22">
        <v>2012</v>
      </c>
      <c r="J4" s="22">
        <v>2015</v>
      </c>
      <c r="K4" s="22">
        <v>2020</v>
      </c>
      <c r="L4" s="22">
        <v>2025</v>
      </c>
      <c r="M4" s="22">
        <v>2012</v>
      </c>
      <c r="N4" s="22">
        <v>2015</v>
      </c>
      <c r="O4" s="22">
        <v>2020</v>
      </c>
      <c r="P4" s="22">
        <v>2025</v>
      </c>
      <c r="Q4" s="1061"/>
    </row>
    <row r="5" spans="1:17" x14ac:dyDescent="0.25">
      <c r="A5" s="1064" t="s">
        <v>513</v>
      </c>
      <c r="B5" s="1" t="s">
        <v>511</v>
      </c>
      <c r="C5" s="13"/>
      <c r="D5" s="13"/>
      <c r="E5" s="13"/>
      <c r="F5" s="13"/>
      <c r="G5" s="13"/>
      <c r="H5" s="13"/>
      <c r="I5" s="7"/>
      <c r="J5" s="7"/>
      <c r="K5" s="7"/>
      <c r="L5" s="7"/>
      <c r="M5" s="7"/>
      <c r="N5" s="7"/>
      <c r="O5" s="7"/>
      <c r="P5" s="7"/>
      <c r="Q5" s="7"/>
    </row>
    <row r="6" spans="1:17" x14ac:dyDescent="0.25">
      <c r="A6" s="1064"/>
      <c r="B6" s="11" t="str">
        <f>IF('Prac. Rec. Assumptions'!$B$56='Prac. Rec. Assumptions'!$V$3,A74,IF('Prac. Rec. Assumptions'!B57="No",A74,"Sorghum- Converted to Energy Crop"))</f>
        <v>Sorghum</v>
      </c>
      <c r="C6" s="294">
        <f>IF('Prac. Rec. Assumptions'!$B$56='Prac. Rec. Assumptions'!$V$3,D74,IF('Prac. Rec. Assumptions'!B57="No",D74,0))</f>
        <v>585.08799999999997</v>
      </c>
      <c r="D6" s="294" t="s">
        <v>431</v>
      </c>
      <c r="E6" s="294">
        <f>C6*'Prac. Rec. Assumptions'!B4</f>
        <v>0</v>
      </c>
      <c r="F6" s="294">
        <f>$E6</f>
        <v>0</v>
      </c>
      <c r="G6" s="294">
        <f>$E6</f>
        <v>0</v>
      </c>
      <c r="H6" s="294">
        <f>$E6</f>
        <v>0</v>
      </c>
      <c r="I6" s="16" t="str">
        <f>IF('Conversion Tables'!F7="NA","NA",$D6/'Conversion Tables'!F7)</f>
        <v>NA</v>
      </c>
      <c r="J6" s="16" t="str">
        <f>IF('Conversion Tables'!G7="NA","NA",$D6/'Conversion Tables'!G7)</f>
        <v>NA</v>
      </c>
      <c r="K6" s="16" t="str">
        <f>IF('Conversion Tables'!H7="NA","NA",$D6/'Conversion Tables'!H7)</f>
        <v>NA</v>
      </c>
      <c r="L6" s="16" t="str">
        <f>IF('Conversion Tables'!H7="NA","NA",$D6/'Conversion Tables'!H7)</f>
        <v>NA</v>
      </c>
      <c r="M6" s="16" t="str">
        <f>IF('Conversion Tables'!K7="NA","NA",$C74*'Conversion Tables'!K7)</f>
        <v>NA</v>
      </c>
      <c r="N6" s="16" t="str">
        <f>IF('Conversion Tables'!L7="NA","NA",$C74*'Conversion Tables'!L7)</f>
        <v>NA</v>
      </c>
      <c r="O6" s="16" t="str">
        <f>IF('Conversion Tables'!M7="NA","NA",$C74*'Conversion Tables'!M7)</f>
        <v>NA</v>
      </c>
      <c r="P6" s="16" t="str">
        <f>IF('Conversion Tables'!N7="NA","NA",$C74*'Conversion Tables'!N7)</f>
        <v>NA</v>
      </c>
      <c r="Q6" s="15"/>
    </row>
    <row r="7" spans="1:17" x14ac:dyDescent="0.25">
      <c r="A7" s="1064"/>
      <c r="B7" s="11" t="str">
        <f>IF('Prac. Rec. Assumptions'!$B$56='Prac. Rec. Assumptions'!$V$3,A75,IF('Prac. Rec. Assumptions'!B59="No",A75,"Rye- Converted to Energy Crop"))</f>
        <v>Rye</v>
      </c>
      <c r="C7" s="294">
        <f>IF('Prac. Rec. Assumptions'!$B$56='Prac. Rec. Assumptions'!$V$3,D75,IF('Prac. Rec. Assumptions'!B59="No",D75,0))</f>
        <v>100.13640000000001</v>
      </c>
      <c r="D7" s="294" t="s">
        <v>431</v>
      </c>
      <c r="E7" s="294">
        <f>C7*'Prac. Rec. Assumptions'!B5</f>
        <v>0</v>
      </c>
      <c r="F7" s="294">
        <f t="shared" ref="F7:H10" si="0">$E7</f>
        <v>0</v>
      </c>
      <c r="G7" s="294">
        <f t="shared" si="0"/>
        <v>0</v>
      </c>
      <c r="H7" s="294">
        <f t="shared" si="0"/>
        <v>0</v>
      </c>
      <c r="I7" s="16" t="str">
        <f>IF('Conversion Tables'!F8="NA","NA",$D7/'Conversion Tables'!F8)</f>
        <v>NA</v>
      </c>
      <c r="J7" s="16" t="str">
        <f>IF('Conversion Tables'!G8="NA","NA",$D7/'Conversion Tables'!G8)</f>
        <v>NA</v>
      </c>
      <c r="K7" s="16" t="str">
        <f>IF('Conversion Tables'!H8="NA","NA",$D7/'Conversion Tables'!H8)</f>
        <v>NA</v>
      </c>
      <c r="L7" s="16" t="str">
        <f>IF('Conversion Tables'!H8="NA","NA",$D7/'Conversion Tables'!H8)</f>
        <v>NA</v>
      </c>
      <c r="M7" s="16" t="str">
        <f>IF('Conversion Tables'!K8="NA","NA",$C75*'Conversion Tables'!K8)</f>
        <v>NA</v>
      </c>
      <c r="N7" s="16" t="str">
        <f>IF('Conversion Tables'!L8="NA","NA",$C75*'Conversion Tables'!L8)</f>
        <v>NA</v>
      </c>
      <c r="O7" s="16" t="str">
        <f>IF('Conversion Tables'!M8="NA","NA",$C75*'Conversion Tables'!M8)</f>
        <v>NA</v>
      </c>
      <c r="P7" s="16" t="str">
        <f>IF('Conversion Tables'!N8="NA","NA",$C75*'Conversion Tables'!N8)</f>
        <v>NA</v>
      </c>
      <c r="Q7" s="15"/>
    </row>
    <row r="8" spans="1:17" x14ac:dyDescent="0.25">
      <c r="A8" s="1064"/>
      <c r="B8" s="11" t="str">
        <f>IF('Prac. Rec. Assumptions'!$B$56='Prac. Rec. Assumptions'!$V$3,A76,IF('Prac. Rec. Assumptions'!B60="No",A76,"Corn for Grain- Converted to Energy Crop"))</f>
        <v>Corn for Grain</v>
      </c>
      <c r="C8" s="294">
        <f>IF('Prac. Rec. Assumptions'!$B$56='Prac. Rec. Assumptions'!$V$3,D76,IF('Prac. Rec. Assumptions'!B60="No",D76,0))</f>
        <v>48888</v>
      </c>
      <c r="D8" s="294" t="s">
        <v>431</v>
      </c>
      <c r="E8" s="294">
        <f>C8*'Prac. Rec. Assumptions'!B6</f>
        <v>0</v>
      </c>
      <c r="F8" s="294">
        <f t="shared" si="0"/>
        <v>0</v>
      </c>
      <c r="G8" s="294">
        <f t="shared" si="0"/>
        <v>0</v>
      </c>
      <c r="H8" s="294">
        <f t="shared" si="0"/>
        <v>0</v>
      </c>
      <c r="I8" s="16" t="str">
        <f>IF('Conversion Tables'!F9="NA","NA",$D8/'Conversion Tables'!F9)</f>
        <v>NA</v>
      </c>
      <c r="J8" s="16" t="str">
        <f>IF('Conversion Tables'!G9="NA","NA",$D8/'Conversion Tables'!G9)</f>
        <v>NA</v>
      </c>
      <c r="K8" s="16" t="str">
        <f>IF('Conversion Tables'!H9="NA","NA",$D8/'Conversion Tables'!H9)</f>
        <v>NA</v>
      </c>
      <c r="L8" s="16" t="str">
        <f>IF('Conversion Tables'!H9="NA","NA",$D8/'Conversion Tables'!H9)</f>
        <v>NA</v>
      </c>
      <c r="M8" s="16" t="str">
        <f>IF('Conversion Tables'!K9="NA","NA",$C76*'Conversion Tables'!K9)</f>
        <v>NA</v>
      </c>
      <c r="N8" s="16" t="str">
        <f>IF('Conversion Tables'!L9="NA","NA",$C76*'Conversion Tables'!L9)</f>
        <v>NA</v>
      </c>
      <c r="O8" s="16" t="str">
        <f>IF('Conversion Tables'!M9="NA","NA",$C76*'Conversion Tables'!M9)</f>
        <v>NA</v>
      </c>
      <c r="P8" s="16" t="str">
        <f>IF('Conversion Tables'!N9="NA","NA",$C76*'Conversion Tables'!N9)</f>
        <v>NA</v>
      </c>
      <c r="Q8" s="15"/>
    </row>
    <row r="9" spans="1:17" x14ac:dyDescent="0.25">
      <c r="A9" s="1064"/>
      <c r="B9" s="11" t="str">
        <f>IF('Prac. Rec. Assumptions'!$B$56='Prac. Rec. Assumptions'!$V$3,A78,IF('Prac. Rec. Assumptions'!B64="No",A78,"Wheat- Converted to Energy Crop"))</f>
        <v>Wheat</v>
      </c>
      <c r="C9" s="294">
        <f>IF('Prac. Rec. Assumptions'!$B$56='Prac. Rec. Assumptions'!$V$3,D78,IF('Prac. Rec. Assumptions'!B64="No",D78,0))</f>
        <v>1806.3</v>
      </c>
      <c r="D9" s="294" t="s">
        <v>431</v>
      </c>
      <c r="E9" s="294">
        <f>C9*'Prac. Rec. Assumptions'!B7</f>
        <v>0</v>
      </c>
      <c r="F9" s="294">
        <f t="shared" si="0"/>
        <v>0</v>
      </c>
      <c r="G9" s="294">
        <f t="shared" si="0"/>
        <v>0</v>
      </c>
      <c r="H9" s="294">
        <f t="shared" si="0"/>
        <v>0</v>
      </c>
      <c r="I9" s="16" t="str">
        <f>IF('Conversion Tables'!F10="NA","NA",$D9/'Conversion Tables'!F10)</f>
        <v>NA</v>
      </c>
      <c r="J9" s="16" t="str">
        <f>IF('Conversion Tables'!G10="NA","NA",$D9/'Conversion Tables'!G10)</f>
        <v>NA</v>
      </c>
      <c r="K9" s="16" t="str">
        <f>IF('Conversion Tables'!H10="NA","NA",$D9/'Conversion Tables'!H10)</f>
        <v>NA</v>
      </c>
      <c r="L9" s="16" t="str">
        <f>IF('Conversion Tables'!H10="NA","NA",$D9/'Conversion Tables'!H10)</f>
        <v>NA</v>
      </c>
      <c r="M9" s="16" t="str">
        <f>IF('Conversion Tables'!K10="NA","NA",$C78*'Conversion Tables'!K10)</f>
        <v>NA</v>
      </c>
      <c r="N9" s="16" t="str">
        <f>IF('Conversion Tables'!L10="NA","NA",$C78*'Conversion Tables'!L10)</f>
        <v>NA</v>
      </c>
      <c r="O9" s="16" t="str">
        <f>IF('Conversion Tables'!M10="NA","NA",$C78*'Conversion Tables'!M10)</f>
        <v>NA</v>
      </c>
      <c r="P9" s="16" t="str">
        <f>IF('Conversion Tables'!N10="NA","NA",$C78*'Conversion Tables'!N10)</f>
        <v>NA</v>
      </c>
      <c r="Q9" s="15"/>
    </row>
    <row r="10" spans="1:17" x14ac:dyDescent="0.25">
      <c r="A10" s="1064"/>
      <c r="B10" s="129" t="s">
        <v>301</v>
      </c>
      <c r="C10" s="294"/>
      <c r="D10" s="294" t="s">
        <v>431</v>
      </c>
      <c r="E10" s="294">
        <f>C10*'Prac. Rec. Assumptions'!B8</f>
        <v>0</v>
      </c>
      <c r="F10" s="294">
        <f t="shared" si="0"/>
        <v>0</v>
      </c>
      <c r="G10" s="294">
        <f t="shared" si="0"/>
        <v>0</v>
      </c>
      <c r="H10" s="294">
        <f t="shared" si="0"/>
        <v>0</v>
      </c>
      <c r="I10" s="16" t="str">
        <f>IF('Conversion Tables'!F11="NA","NA",$D10/'Conversion Tables'!F11)</f>
        <v>NA</v>
      </c>
      <c r="J10" s="16" t="str">
        <f>IF('Conversion Tables'!G11="NA","NA",$D10/'Conversion Tables'!G11)</f>
        <v>NA</v>
      </c>
      <c r="K10" s="16" t="str">
        <f>IF('Conversion Tables'!H11="NA","NA",$D10/'Conversion Tables'!H11)</f>
        <v>NA</v>
      </c>
      <c r="L10" s="16" t="str">
        <f>IF('Conversion Tables'!H11="NA","NA",$D10/'Conversion Tables'!H11)</f>
        <v>NA</v>
      </c>
      <c r="M10" s="16" t="str">
        <f>IF('Conversion Tables'!K11="NA","NA",E10*'Conversion Tables'!K11)</f>
        <v>NA</v>
      </c>
      <c r="N10" s="16" t="str">
        <f>IF('Conversion Tables'!L11="NA","NA",F10*'Conversion Tables'!L11)</f>
        <v>NA</v>
      </c>
      <c r="O10" s="16" t="str">
        <f>IF('Conversion Tables'!M11="NA","NA",G10*'Conversion Tables'!M11)</f>
        <v>NA</v>
      </c>
      <c r="P10" s="16" t="str">
        <f>IF('Conversion Tables'!N11="NA","NA",H10*'Conversion Tables'!N11)</f>
        <v>NA</v>
      </c>
      <c r="Q10" s="7"/>
    </row>
    <row r="11" spans="1:17" x14ac:dyDescent="0.25">
      <c r="A11" s="1065"/>
      <c r="B11" s="9" t="s">
        <v>524</v>
      </c>
      <c r="C11" s="295">
        <f>SUM(C6:C10)</f>
        <v>51379.524400000002</v>
      </c>
      <c r="D11" s="295">
        <f t="shared" ref="D11:P11" si="1">SUM(D5:D10)</f>
        <v>0</v>
      </c>
      <c r="E11" s="295">
        <f t="shared" si="1"/>
        <v>0</v>
      </c>
      <c r="F11" s="295">
        <f t="shared" si="1"/>
        <v>0</v>
      </c>
      <c r="G11" s="295">
        <f t="shared" si="1"/>
        <v>0</v>
      </c>
      <c r="H11" s="295">
        <f t="shared" si="1"/>
        <v>0</v>
      </c>
      <c r="I11" s="19">
        <f t="shared" si="1"/>
        <v>0</v>
      </c>
      <c r="J11" s="19">
        <f t="shared" si="1"/>
        <v>0</v>
      </c>
      <c r="K11" s="19">
        <f t="shared" si="1"/>
        <v>0</v>
      </c>
      <c r="L11" s="19">
        <f t="shared" si="1"/>
        <v>0</v>
      </c>
      <c r="M11" s="19">
        <f t="shared" si="1"/>
        <v>0</v>
      </c>
      <c r="N11" s="19">
        <f t="shared" si="1"/>
        <v>0</v>
      </c>
      <c r="O11" s="19">
        <f t="shared" si="1"/>
        <v>0</v>
      </c>
      <c r="P11" s="19">
        <f t="shared" si="1"/>
        <v>0</v>
      </c>
      <c r="Q11" s="19"/>
    </row>
    <row r="12" spans="1:17" x14ac:dyDescent="0.25">
      <c r="A12" s="8"/>
      <c r="C12" s="296"/>
      <c r="D12" s="296"/>
      <c r="E12" s="296"/>
      <c r="F12" s="296"/>
      <c r="G12" s="296"/>
      <c r="H12" s="296"/>
      <c r="I12" s="28"/>
      <c r="J12" s="28"/>
      <c r="K12" s="28"/>
      <c r="L12" s="28"/>
      <c r="M12" s="28"/>
      <c r="N12" s="28"/>
      <c r="O12" s="28"/>
      <c r="P12" s="28"/>
    </row>
    <row r="13" spans="1:17" x14ac:dyDescent="0.25">
      <c r="A13" s="1206" t="s">
        <v>514</v>
      </c>
      <c r="B13" s="1" t="s">
        <v>507</v>
      </c>
      <c r="C13" s="294">
        <f>D90</f>
        <v>0</v>
      </c>
      <c r="D13" s="294">
        <f>E13*'Conversion Tables'!C12</f>
        <v>0</v>
      </c>
      <c r="E13" s="294">
        <f>C13*'Prac. Rec. Assumptions'!B9</f>
        <v>0</v>
      </c>
      <c r="F13" s="294">
        <f>$E13</f>
        <v>0</v>
      </c>
      <c r="G13" s="294">
        <f>$E13</f>
        <v>0</v>
      </c>
      <c r="H13" s="294">
        <f>$E13</f>
        <v>0</v>
      </c>
      <c r="I13" s="16" t="str">
        <f>IF('Conversion Tables'!F12="NA","NA",(E13*'Conversion Tables'!$C12)/'Conversion Tables'!F12)</f>
        <v>NA</v>
      </c>
      <c r="J13" s="16" t="str">
        <f>IF('Conversion Tables'!G12="NA","NA",(F13*'Conversion Tables'!$C12)/'Conversion Tables'!G12)</f>
        <v>NA</v>
      </c>
      <c r="K13" s="16" t="str">
        <f>IF('Conversion Tables'!H12="NA","NA",(G13*'Conversion Tables'!$C12)/'Conversion Tables'!H12)</f>
        <v>NA</v>
      </c>
      <c r="L13" s="16" t="str">
        <f>IF('Conversion Tables'!I12="NA","NA",(H13*'Conversion Tables'!$C12)/'Conversion Tables'!I12)</f>
        <v>NA</v>
      </c>
      <c r="M13" s="16" t="str">
        <f>IF('Conversion Tables'!K12="NA","NA",E13*'Conversion Tables'!K12)</f>
        <v>NA</v>
      </c>
      <c r="N13" s="16" t="str">
        <f>IF('Conversion Tables'!L12="NA","NA",F13*'Conversion Tables'!L12)</f>
        <v>NA</v>
      </c>
      <c r="O13" s="16" t="str">
        <f>IF('Conversion Tables'!M12="NA","NA",G13*'Conversion Tables'!M12)</f>
        <v>NA</v>
      </c>
      <c r="P13" s="16" t="str">
        <f>IF('Conversion Tables'!N12="NA","NA",H13*'Conversion Tables'!N12)</f>
        <v>NA</v>
      </c>
      <c r="Q13" s="7"/>
    </row>
    <row r="14" spans="1:17" x14ac:dyDescent="0.25">
      <c r="A14" s="1207"/>
      <c r="B14" s="1" t="s">
        <v>504</v>
      </c>
      <c r="C14" s="294"/>
      <c r="D14" s="294"/>
      <c r="E14" s="294"/>
      <c r="F14" s="294"/>
      <c r="G14" s="294"/>
      <c r="H14" s="294"/>
      <c r="I14" s="16"/>
      <c r="J14" s="16"/>
      <c r="K14" s="16"/>
      <c r="L14" s="16"/>
      <c r="M14" s="16"/>
      <c r="N14" s="16"/>
      <c r="O14" s="16"/>
      <c r="P14" s="16"/>
      <c r="Q14" s="7"/>
    </row>
    <row r="15" spans="1:17" x14ac:dyDescent="0.25">
      <c r="A15" s="1207"/>
      <c r="B15" s="11" t="str">
        <f>IF('Prac. Rec. Assumptions'!$B$56='Prac. Rec. Assumptions'!$V$3,A81,IF('Prac. Rec. Assumptions'!B57="No",A81,"Sweet Corn- Converted to Energy Crop"))</f>
        <v>Sweet Corn</v>
      </c>
      <c r="C15" s="294">
        <f>IF('Prac. Rec. Assumptions'!$B$56='Prac. Rec. Assumptions'!$V$3,D81,IF('Prac. Rec. Assumptions'!B58="No",D81,0))</f>
        <v>283.05</v>
      </c>
      <c r="D15" s="294">
        <f>E15*'Conversion Tables'!C14</f>
        <v>3562.3540800000001</v>
      </c>
      <c r="E15" s="294">
        <f>C15*'Prac. Rec. Assumptions'!B11</f>
        <v>226.44000000000003</v>
      </c>
      <c r="F15" s="294">
        <f>$E15</f>
        <v>226.44000000000003</v>
      </c>
      <c r="G15" s="294">
        <f>$E15</f>
        <v>226.44000000000003</v>
      </c>
      <c r="H15" s="294">
        <f>$E15</f>
        <v>226.44000000000003</v>
      </c>
      <c r="I15" s="16" t="str">
        <f>IF('Conversion Tables'!F14="NA","NA",(E15*'Conversion Tables'!$C14)/'Conversion Tables'!F14)</f>
        <v>NA</v>
      </c>
      <c r="J15" s="16" t="str">
        <f>IF('Conversion Tables'!G14="NA","NA",(F15*'Conversion Tables'!$C14)/'Conversion Tables'!G14)</f>
        <v>NA</v>
      </c>
      <c r="K15" s="16" t="str">
        <f>IF('Conversion Tables'!H14="NA","NA",(G15*'Conversion Tables'!$C14)/'Conversion Tables'!H14)</f>
        <v>NA</v>
      </c>
      <c r="L15" s="16" t="str">
        <f>IF('Conversion Tables'!I14="NA","NA",(H15*'Conversion Tables'!$C14)/'Conversion Tables'!I14)</f>
        <v>NA</v>
      </c>
      <c r="M15" s="16" t="str">
        <f>IF('Conversion Tables'!K14="NA","NA",E15*'Conversion Tables'!K14)</f>
        <v>NA</v>
      </c>
      <c r="N15" s="16" t="str">
        <f>IF('Conversion Tables'!L14="NA","NA",F15*'Conversion Tables'!L14)</f>
        <v>NA</v>
      </c>
      <c r="O15" s="16" t="str">
        <f>IF('Conversion Tables'!M14="NA","NA",G15*'Conversion Tables'!M14)</f>
        <v>NA</v>
      </c>
      <c r="P15" s="16" t="str">
        <f>IF('Conversion Tables'!N14="NA","NA",H15*'Conversion Tables'!N14)</f>
        <v>NA</v>
      </c>
      <c r="Q15" s="15"/>
    </row>
    <row r="16" spans="1:17" x14ac:dyDescent="0.25">
      <c r="A16" s="1207"/>
      <c r="B16" s="11" t="str">
        <f>IF('Prac. Rec. Assumptions'!$B$56='Prac. Rec. Assumptions'!$V$3,A82,IF('Prac. Rec. Assumptions'!B58="No",A82,"Rye- Converted to Energy Crop"))</f>
        <v>Rye</v>
      </c>
      <c r="C16" s="294">
        <f>IF('Prac. Rec. Assumptions'!$B$56='Prac. Rec. Assumptions'!$V$3,D82,IF('Prac. Rec. Assumptions'!B59="No",D82,0))</f>
        <v>554.625</v>
      </c>
      <c r="D16" s="294">
        <f>E16*'Conversion Tables'!C15</f>
        <v>0</v>
      </c>
      <c r="E16" s="294">
        <f>C16*'Prac. Rec. Assumptions'!B12</f>
        <v>0</v>
      </c>
      <c r="F16" s="294">
        <f t="shared" ref="F16:H23" si="2">$E16</f>
        <v>0</v>
      </c>
      <c r="G16" s="294">
        <f t="shared" si="2"/>
        <v>0</v>
      </c>
      <c r="H16" s="294">
        <f t="shared" si="2"/>
        <v>0</v>
      </c>
      <c r="I16" s="16" t="str">
        <f>IF('Conversion Tables'!F15="NA","NA",(E16*'Conversion Tables'!$C15)/'Conversion Tables'!F15)</f>
        <v>NA</v>
      </c>
      <c r="J16" s="16" t="str">
        <f>IF('Conversion Tables'!G15="NA","NA",(F16*'Conversion Tables'!$C15)/'Conversion Tables'!G15)</f>
        <v>NA</v>
      </c>
      <c r="K16" s="16" t="str">
        <f>IF('Conversion Tables'!H15="NA","NA",(G16*'Conversion Tables'!$C15)/'Conversion Tables'!H15)</f>
        <v>NA</v>
      </c>
      <c r="L16" s="16" t="str">
        <f>IF('Conversion Tables'!I15="NA","NA",(H16*'Conversion Tables'!$C15)/'Conversion Tables'!I15)</f>
        <v>NA</v>
      </c>
      <c r="M16" s="16" t="str">
        <f>IF('Conversion Tables'!K15="NA","NA",E16*'Conversion Tables'!K15)</f>
        <v>NA</v>
      </c>
      <c r="N16" s="16" t="str">
        <f>IF('Conversion Tables'!L15="NA","NA",F16*'Conversion Tables'!L15)</f>
        <v>NA</v>
      </c>
      <c r="O16" s="16" t="str">
        <f>IF('Conversion Tables'!M15="NA","NA",G16*'Conversion Tables'!M15)</f>
        <v>NA</v>
      </c>
      <c r="P16" s="16" t="str">
        <f>IF('Conversion Tables'!N15="NA","NA",H16*'Conversion Tables'!N15)</f>
        <v>NA</v>
      </c>
      <c r="Q16" s="15"/>
    </row>
    <row r="17" spans="1:17" x14ac:dyDescent="0.25">
      <c r="A17" s="1207"/>
      <c r="B17" s="11" t="str">
        <f>IF('Prac. Rec. Assumptions'!$B$56='Prac. Rec. Assumptions'!$V$3,A83,IF('Prac. Rec. Assumptions'!B59="No",A83,"Corn for Grain- Converted to Energy Crop"))</f>
        <v>Corn for Grain</v>
      </c>
      <c r="C17" s="294">
        <f>IF('Prac. Rec. Assumptions'!$B$56='Prac. Rec. Assumptions'!$V$3,D83,IF('Prac. Rec. Assumptions'!B60="No",D83,0))</f>
        <v>29682</v>
      </c>
      <c r="D17" s="294">
        <f>E17*'Conversion Tables'!C16</f>
        <v>396913.64039999997</v>
      </c>
      <c r="E17" s="294">
        <f>C17*'Prac. Rec. Assumptions'!B13</f>
        <v>25229.7</v>
      </c>
      <c r="F17" s="294">
        <f t="shared" si="2"/>
        <v>25229.7</v>
      </c>
      <c r="G17" s="294">
        <f t="shared" si="2"/>
        <v>25229.7</v>
      </c>
      <c r="H17" s="294">
        <f t="shared" si="2"/>
        <v>25229.7</v>
      </c>
      <c r="I17" s="16" t="str">
        <f>IF('Conversion Tables'!F16="NA","NA",(E17*'Conversion Tables'!$C16)/'Conversion Tables'!F16)</f>
        <v>NA</v>
      </c>
      <c r="J17" s="16" t="str">
        <f>IF('Conversion Tables'!G16="NA","NA",(F17*'Conversion Tables'!$C16)/'Conversion Tables'!G16)</f>
        <v>NA</v>
      </c>
      <c r="K17" s="16" t="str">
        <f>IF('Conversion Tables'!H16="NA","NA",(G17*'Conversion Tables'!$C16)/'Conversion Tables'!H16)</f>
        <v>NA</v>
      </c>
      <c r="L17" s="16" t="str">
        <f>IF('Conversion Tables'!I16="NA","NA",(H17*'Conversion Tables'!$C16)/'Conversion Tables'!I16)</f>
        <v>NA</v>
      </c>
      <c r="M17" s="16" t="str">
        <f>IF('Conversion Tables'!K16="NA","NA",E17*'Conversion Tables'!K16)</f>
        <v>NA</v>
      </c>
      <c r="N17" s="16" t="str">
        <f>IF('Conversion Tables'!L16="NA","NA",F17*'Conversion Tables'!L16)</f>
        <v>NA</v>
      </c>
      <c r="O17" s="16" t="str">
        <f>IF('Conversion Tables'!M16="NA","NA",G17*'Conversion Tables'!M16)</f>
        <v>NA</v>
      </c>
      <c r="P17" s="16" t="str">
        <f>IF('Conversion Tables'!N16="NA","NA",H17*'Conversion Tables'!N16)</f>
        <v>NA</v>
      </c>
      <c r="Q17" s="15"/>
    </row>
    <row r="18" spans="1:17" x14ac:dyDescent="0.25">
      <c r="A18" s="1207"/>
      <c r="B18" s="11" t="str">
        <f>IF('Prac. Rec. Assumptions'!$B$56='Prac. Rec. Assumptions'!$V$3,A84,IF('Prac. Rec. Assumptions'!B60="No",A84,"Corn for Silage- Converted to Energy Crop"))</f>
        <v>Corn for Silage</v>
      </c>
      <c r="C18" s="294">
        <f>IF('Prac. Rec. Assumptions'!$B$56='Prac. Rec. Assumptions'!$V$3,D84,IF('Prac. Rec. Assumptions'!B61="No",D84,0))</f>
        <v>13018.319999999998</v>
      </c>
      <c r="D18" s="294">
        <f>E18*'Conversion Tables'!C17</f>
        <v>153603.15767999997</v>
      </c>
      <c r="E18" s="294">
        <f>C18*'Prac. Rec. Assumptions'!B14</f>
        <v>9763.739999999998</v>
      </c>
      <c r="F18" s="294">
        <f t="shared" si="2"/>
        <v>9763.739999999998</v>
      </c>
      <c r="G18" s="294">
        <f t="shared" si="2"/>
        <v>9763.739999999998</v>
      </c>
      <c r="H18" s="294">
        <f t="shared" si="2"/>
        <v>9763.739999999998</v>
      </c>
      <c r="I18" s="16" t="str">
        <f>IF('Conversion Tables'!F17="NA","NA",(E18*'Conversion Tables'!$C17)/'Conversion Tables'!F17)</f>
        <v>NA</v>
      </c>
      <c r="J18" s="16" t="str">
        <f>IF('Conversion Tables'!G17="NA","NA",(F18*'Conversion Tables'!$C17)/'Conversion Tables'!G17)</f>
        <v>NA</v>
      </c>
      <c r="K18" s="16" t="str">
        <f>IF('Conversion Tables'!H17="NA","NA",(G18*'Conversion Tables'!$C17)/'Conversion Tables'!H17)</f>
        <v>NA</v>
      </c>
      <c r="L18" s="16" t="str">
        <f>IF('Conversion Tables'!I17="NA","NA",(H18*'Conversion Tables'!$C17)/'Conversion Tables'!I17)</f>
        <v>NA</v>
      </c>
      <c r="M18" s="16" t="str">
        <f>IF('Conversion Tables'!K17="NA","NA",E18*'Conversion Tables'!K17)</f>
        <v>NA</v>
      </c>
      <c r="N18" s="16" t="str">
        <f>IF('Conversion Tables'!L17="NA","NA",F18*'Conversion Tables'!L17)</f>
        <v>NA</v>
      </c>
      <c r="O18" s="16" t="str">
        <f>IF('Conversion Tables'!M17="NA","NA",G18*'Conversion Tables'!M17)</f>
        <v>NA</v>
      </c>
      <c r="P18" s="16" t="str">
        <f>IF('Conversion Tables'!N17="NA","NA",H18*'Conversion Tables'!N17)</f>
        <v>NA</v>
      </c>
      <c r="Q18" s="15"/>
    </row>
    <row r="19" spans="1:17" x14ac:dyDescent="0.25">
      <c r="A19" s="1207"/>
      <c r="B19" s="11" t="str">
        <f>IF('Prac. Rec. Assumptions'!$B$56='Prac. Rec. Assumptions'!$V$3,A85,IF('Prac. Rec. Assumptions'!B61="No",A85,"Alfalfa Hay- Converted to Energy Crop"))</f>
        <v>Alfalfa Hay</v>
      </c>
      <c r="C19" s="294">
        <f>IF('Prac. Rec. Assumptions'!$B$56='Prac. Rec. Assumptions'!$V$3,D85,IF('Prac. Rec. Assumptions'!B62="No",D85,0))</f>
        <v>11230.880000000001</v>
      </c>
      <c r="D19" s="294">
        <f>E19*'Conversion Tables'!C18</f>
        <v>0</v>
      </c>
      <c r="E19" s="294">
        <f>C19*'Prac. Rec. Assumptions'!B15</f>
        <v>0</v>
      </c>
      <c r="F19" s="294">
        <f t="shared" si="2"/>
        <v>0</v>
      </c>
      <c r="G19" s="294">
        <f t="shared" si="2"/>
        <v>0</v>
      </c>
      <c r="H19" s="294">
        <f t="shared" si="2"/>
        <v>0</v>
      </c>
      <c r="I19" s="16" t="str">
        <f>IF('Conversion Tables'!F18="NA","NA",(E19*'Conversion Tables'!$C18)/'Conversion Tables'!F18)</f>
        <v>NA</v>
      </c>
      <c r="J19" s="16" t="str">
        <f>IF('Conversion Tables'!G18="NA","NA",(F19*'Conversion Tables'!$C18)/'Conversion Tables'!G18)</f>
        <v>NA</v>
      </c>
      <c r="K19" s="16" t="str">
        <f>IF('Conversion Tables'!H18="NA","NA",(G19*'Conversion Tables'!$C18)/'Conversion Tables'!H18)</f>
        <v>NA</v>
      </c>
      <c r="L19" s="16" t="str">
        <f>IF('Conversion Tables'!I18="NA","NA",(H19*'Conversion Tables'!$C18)/'Conversion Tables'!I18)</f>
        <v>NA</v>
      </c>
      <c r="M19" s="16" t="str">
        <f>IF('Conversion Tables'!K18="NA","NA",E19*'Conversion Tables'!K18)</f>
        <v>NA</v>
      </c>
      <c r="N19" s="16" t="str">
        <f>IF('Conversion Tables'!L18="NA","NA",F19*'Conversion Tables'!L18)</f>
        <v>NA</v>
      </c>
      <c r="O19" s="16" t="str">
        <f>IF('Conversion Tables'!M18="NA","NA",G19*'Conversion Tables'!M18)</f>
        <v>NA</v>
      </c>
      <c r="P19" s="16" t="str">
        <f>IF('Conversion Tables'!N18="NA","NA",H19*'Conversion Tables'!N18)</f>
        <v>NA</v>
      </c>
      <c r="Q19" s="15"/>
    </row>
    <row r="20" spans="1:17" x14ac:dyDescent="0.25">
      <c r="A20" s="1207"/>
      <c r="B20" s="11" t="str">
        <f>IF('Prac. Rec. Assumptions'!$B$56='Prac. Rec. Assumptions'!$V$3,A86,IF('Prac. Rec. Assumptions'!B62="No",A86,"Other Hay- Converted to Energy Crop"))</f>
        <v>Other Hay</v>
      </c>
      <c r="C20" s="294">
        <f>IF('Prac. Rec. Assumptions'!$B$56='Prac. Rec. Assumptions'!$V$3,D86,IF('Prac. Rec. Assumptions'!B63="No",D86,0))</f>
        <v>17014.875</v>
      </c>
      <c r="D20" s="294">
        <f>E20*'Conversion Tables'!C19</f>
        <v>132716.02499999999</v>
      </c>
      <c r="E20" s="294">
        <f>C20*'Prac. Rec. Assumptions'!B16</f>
        <v>8507.4375</v>
      </c>
      <c r="F20" s="294">
        <f t="shared" si="2"/>
        <v>8507.4375</v>
      </c>
      <c r="G20" s="294">
        <f t="shared" si="2"/>
        <v>8507.4375</v>
      </c>
      <c r="H20" s="294">
        <f t="shared" si="2"/>
        <v>8507.4375</v>
      </c>
      <c r="I20" s="16" t="str">
        <f>IF('Conversion Tables'!F19="NA","NA",(E20*'Conversion Tables'!$C19)/'Conversion Tables'!F19)</f>
        <v>NA</v>
      </c>
      <c r="J20" s="16" t="str">
        <f>IF('Conversion Tables'!G19="NA","NA",(F20*'Conversion Tables'!$C19)/'Conversion Tables'!G19)</f>
        <v>NA</v>
      </c>
      <c r="K20" s="16" t="str">
        <f>IF('Conversion Tables'!H19="NA","NA",(G20*'Conversion Tables'!$C19)/'Conversion Tables'!H19)</f>
        <v>NA</v>
      </c>
      <c r="L20" s="16" t="str">
        <f>IF('Conversion Tables'!I19="NA","NA",(H20*'Conversion Tables'!$C19)/'Conversion Tables'!I19)</f>
        <v>NA</v>
      </c>
      <c r="M20" s="16" t="str">
        <f>IF('Conversion Tables'!K19="NA","NA",E20*'Conversion Tables'!K19)</f>
        <v>NA</v>
      </c>
      <c r="N20" s="16" t="str">
        <f>IF('Conversion Tables'!L19="NA","NA",F20*'Conversion Tables'!L19)</f>
        <v>NA</v>
      </c>
      <c r="O20" s="16" t="str">
        <f>IF('Conversion Tables'!M19="NA","NA",G20*'Conversion Tables'!M19)</f>
        <v>NA</v>
      </c>
      <c r="P20" s="16" t="str">
        <f>IF('Conversion Tables'!N19="NA","NA",H20*'Conversion Tables'!N19)</f>
        <v>NA</v>
      </c>
      <c r="Q20" s="15"/>
    </row>
    <row r="21" spans="1:17" x14ac:dyDescent="0.25">
      <c r="A21" s="1207"/>
      <c r="B21" s="11" t="str">
        <f>IF('Prac. Rec. Assumptions'!$B$56='Prac. Rec. Assumptions'!$V$3,A87,IF('Prac. Rec. Assumptions'!B63="No",A87,"Wheat- Converted to Energy Crop"))</f>
        <v>Wheat</v>
      </c>
      <c r="C21" s="294">
        <f>IF('Prac. Rec. Assumptions'!$B$56='Prac. Rec. Assumptions'!$V$3,D87,IF('Prac. Rec. Assumptions'!B64="No",D87,0))</f>
        <v>1658.5625</v>
      </c>
      <c r="D21" s="294">
        <f>E21*'Conversion Tables'!C20</f>
        <v>0</v>
      </c>
      <c r="E21" s="294">
        <f>C21*'Prac. Rec. Assumptions'!B17</f>
        <v>0</v>
      </c>
      <c r="F21" s="294">
        <f t="shared" si="2"/>
        <v>0</v>
      </c>
      <c r="G21" s="294">
        <f t="shared" si="2"/>
        <v>0</v>
      </c>
      <c r="H21" s="294">
        <f t="shared" si="2"/>
        <v>0</v>
      </c>
      <c r="I21" s="16" t="str">
        <f>IF('Conversion Tables'!F20="NA","NA",(E21*'Conversion Tables'!$C20)/'Conversion Tables'!F20)</f>
        <v>NA</v>
      </c>
      <c r="J21" s="16" t="str">
        <f>IF('Conversion Tables'!G20="NA","NA",(F21*'Conversion Tables'!$C20)/'Conversion Tables'!G20)</f>
        <v>NA</v>
      </c>
      <c r="K21" s="16" t="str">
        <f>IF('Conversion Tables'!H20="NA","NA",(G21*'Conversion Tables'!$C20)/'Conversion Tables'!H20)</f>
        <v>NA</v>
      </c>
      <c r="L21" s="16" t="str">
        <f>IF('Conversion Tables'!I20="NA","NA",(H21*'Conversion Tables'!$C20)/'Conversion Tables'!I20)</f>
        <v>NA</v>
      </c>
      <c r="M21" s="16" t="str">
        <f>IF('Conversion Tables'!K20="NA","NA",E21*'Conversion Tables'!K20)</f>
        <v>NA</v>
      </c>
      <c r="N21" s="16" t="str">
        <f>IF('Conversion Tables'!L20="NA","NA",F21*'Conversion Tables'!L20)</f>
        <v>NA</v>
      </c>
      <c r="O21" s="16" t="str">
        <f>IF('Conversion Tables'!M20="NA","NA",G21*'Conversion Tables'!M20)</f>
        <v>NA</v>
      </c>
      <c r="P21" s="16" t="str">
        <f>IF('Conversion Tables'!N20="NA","NA",H21*'Conversion Tables'!N20)</f>
        <v>NA</v>
      </c>
      <c r="Q21" s="15"/>
    </row>
    <row r="22" spans="1:17" x14ac:dyDescent="0.25">
      <c r="A22" s="1207"/>
      <c r="B22" s="148" t="s">
        <v>205</v>
      </c>
      <c r="C22" s="294">
        <f>'Biomass Data Assumptions'!P27*1000*'Energy Content Assumptions'!C18</f>
        <v>53839.5</v>
      </c>
      <c r="D22" s="294">
        <f>E22*'Conversion Tables'!C21</f>
        <v>419948.1</v>
      </c>
      <c r="E22" s="294">
        <f>C22*'Prac. Rec. Assumptions'!B18</f>
        <v>26919.75</v>
      </c>
      <c r="F22" s="294">
        <f t="shared" si="2"/>
        <v>26919.75</v>
      </c>
      <c r="G22" s="294">
        <f t="shared" si="2"/>
        <v>26919.75</v>
      </c>
      <c r="H22" s="294">
        <f t="shared" si="2"/>
        <v>26919.75</v>
      </c>
      <c r="I22" s="16" t="str">
        <f>IF('Conversion Tables'!F21="NA","NA",(E22*'Conversion Tables'!$C21)/'Conversion Tables'!F21)</f>
        <v>NA</v>
      </c>
      <c r="J22" s="16" t="str">
        <f>IF('Conversion Tables'!G21="NA","NA",(F22*'Conversion Tables'!$C21)/'Conversion Tables'!G21)</f>
        <v>NA</v>
      </c>
      <c r="K22" s="16" t="str">
        <f>IF('Conversion Tables'!H21="NA","NA",(G22*'Conversion Tables'!$C21)/'Conversion Tables'!H21)</f>
        <v>NA</v>
      </c>
      <c r="L22" s="16" t="str">
        <f>IF('Conversion Tables'!I21="NA","NA",(H22*'Conversion Tables'!$C21)/'Conversion Tables'!I21)</f>
        <v>NA</v>
      </c>
      <c r="M22" s="16" t="str">
        <f>IF('Conversion Tables'!K21="NA","NA",E22*'Conversion Tables'!K21)</f>
        <v>NA</v>
      </c>
      <c r="N22" s="16" t="str">
        <f>IF('Conversion Tables'!L21="NA","NA",F22*'Conversion Tables'!L21)</f>
        <v>NA</v>
      </c>
      <c r="O22" s="16" t="str">
        <f>IF('Conversion Tables'!M21="NA","NA",G22*'Conversion Tables'!M21)</f>
        <v>NA</v>
      </c>
      <c r="P22" s="16" t="str">
        <f>IF('Conversion Tables'!N21="NA","NA",H22*'Conversion Tables'!N21)</f>
        <v>NA</v>
      </c>
      <c r="Q22" s="15"/>
    </row>
    <row r="23" spans="1:17" x14ac:dyDescent="0.25">
      <c r="A23" s="1207"/>
      <c r="B23" s="2" t="s">
        <v>302</v>
      </c>
      <c r="C23" s="294">
        <f>B133</f>
        <v>7930.77</v>
      </c>
      <c r="D23" s="294">
        <f>E23*'Conversion Tables'!C22</f>
        <v>129557.05872</v>
      </c>
      <c r="E23" s="294">
        <f>C23*'Prac. Rec. Assumptions'!B19</f>
        <v>7930.77</v>
      </c>
      <c r="F23" s="297">
        <f t="shared" si="2"/>
        <v>7930.77</v>
      </c>
      <c r="G23" s="297">
        <f t="shared" si="2"/>
        <v>7930.77</v>
      </c>
      <c r="H23" s="297">
        <f t="shared" si="2"/>
        <v>7930.77</v>
      </c>
      <c r="I23" s="16" t="str">
        <f>IF('Conversion Tables'!F22="NA","NA",(E23*'Conversion Tables'!$C22)/'Conversion Tables'!F22)</f>
        <v>NA</v>
      </c>
      <c r="J23" s="16" t="str">
        <f>IF('Conversion Tables'!G22="NA","NA",(F23*'Conversion Tables'!$C22)/'Conversion Tables'!G22)</f>
        <v>NA</v>
      </c>
      <c r="K23" s="16" t="str">
        <f>IF('Conversion Tables'!H22="NA","NA",(G23*'Conversion Tables'!$C22)/'Conversion Tables'!H22)</f>
        <v>NA</v>
      </c>
      <c r="L23" s="16" t="str">
        <f>IF('Conversion Tables'!I22="NA","NA",(H23*'Conversion Tables'!$C22)/'Conversion Tables'!I22)</f>
        <v>NA</v>
      </c>
      <c r="M23" s="16" t="str">
        <f>IF('Conversion Tables'!K22="NA","NA",E23*'Conversion Tables'!K22)</f>
        <v>NA</v>
      </c>
      <c r="N23" s="16" t="str">
        <f>IF('Conversion Tables'!L22="NA","NA",F23*'Conversion Tables'!L22)</f>
        <v>NA</v>
      </c>
      <c r="O23" s="16" t="str">
        <f>IF('Conversion Tables'!M22="NA","NA",G23*'Conversion Tables'!M22)</f>
        <v>NA</v>
      </c>
      <c r="P23" s="16" t="str">
        <f>IF('Conversion Tables'!N22="NA","NA",H23*'Conversion Tables'!N22)</f>
        <v>NA</v>
      </c>
      <c r="Q23" s="7"/>
    </row>
    <row r="24" spans="1:17" x14ac:dyDescent="0.25">
      <c r="A24" s="1207"/>
      <c r="B24" s="1" t="s">
        <v>518</v>
      </c>
      <c r="C24" s="294"/>
      <c r="D24" s="294"/>
      <c r="E24" s="294"/>
      <c r="F24" s="294"/>
      <c r="G24" s="294"/>
      <c r="H24" s="294"/>
      <c r="I24" s="16"/>
      <c r="J24" s="16"/>
      <c r="K24" s="16"/>
      <c r="L24" s="16"/>
      <c r="M24" s="16"/>
      <c r="N24" s="16"/>
      <c r="O24" s="16"/>
      <c r="P24" s="16"/>
      <c r="Q24" s="7"/>
    </row>
    <row r="25" spans="1:17" x14ac:dyDescent="0.25">
      <c r="A25" s="1207"/>
      <c r="B25" s="11" t="s">
        <v>559</v>
      </c>
      <c r="C25" s="294">
        <f>C128</f>
        <v>3456.4650000000001</v>
      </c>
      <c r="D25" s="294">
        <f>E25*'Conversion Tables'!C24</f>
        <v>61179.430500000002</v>
      </c>
      <c r="E25" s="294">
        <f>C25*'Prac. Rec. Assumptions'!B21</f>
        <v>3456.4650000000001</v>
      </c>
      <c r="F25" s="294">
        <f>($C25*(1+'Biomass Data Assumptions'!G$112))*'Prac. Rec. Assumptions'!$B21</f>
        <v>3597.9945040946313</v>
      </c>
      <c r="G25" s="294">
        <f>($C25*(1+'Biomass Data Assumptions'!H$112))*'Prac. Rec. Assumptions'!$B21</f>
        <v>3752.1044085532303</v>
      </c>
      <c r="H25" s="294">
        <f>($C25*(1+'Biomass Data Assumptions'!I$112))*'Prac. Rec. Assumptions'!$B21</f>
        <v>3865.3280118289354</v>
      </c>
      <c r="I25" s="16" t="str">
        <f>IF('Conversion Tables'!F24="NA","NA",(E25*'Conversion Tables'!$C24)/'Conversion Tables'!F24)</f>
        <v>NA</v>
      </c>
      <c r="J25" s="16" t="str">
        <f>IF('Conversion Tables'!G24="NA","NA",(F25*'Conversion Tables'!$C24)/'Conversion Tables'!G24)</f>
        <v>NA</v>
      </c>
      <c r="K25" s="16" t="str">
        <f>IF('Conversion Tables'!H24="NA","NA",(G25*'Conversion Tables'!$C24)/'Conversion Tables'!H24)</f>
        <v>NA</v>
      </c>
      <c r="L25" s="16" t="str">
        <f>IF('Conversion Tables'!I24="NA","NA",(H25*'Conversion Tables'!$C24)/'Conversion Tables'!I24)</f>
        <v>NA</v>
      </c>
      <c r="M25" s="16" t="str">
        <f>IF('Conversion Tables'!K24="NA","NA",E25*'Conversion Tables'!K24)</f>
        <v>NA</v>
      </c>
      <c r="N25" s="16" t="str">
        <f>IF('Conversion Tables'!L24="NA","NA",F25*'Conversion Tables'!L24)</f>
        <v>NA</v>
      </c>
      <c r="O25" s="16" t="str">
        <f>IF('Conversion Tables'!M24="NA","NA",G25*'Conversion Tables'!M24)</f>
        <v>NA</v>
      </c>
      <c r="P25" s="16" t="str">
        <f>IF('Conversion Tables'!N24="NA","NA",H25*'Conversion Tables'!N24)</f>
        <v>NA</v>
      </c>
      <c r="Q25" s="13"/>
    </row>
    <row r="26" spans="1:17" x14ac:dyDescent="0.25">
      <c r="A26" s="1207"/>
      <c r="B26" s="11" t="s">
        <v>560</v>
      </c>
      <c r="C26" s="294">
        <f>C129</f>
        <v>274.72666666666663</v>
      </c>
      <c r="D26" s="294">
        <f>E26*'Conversion Tables'!C25</f>
        <v>4285.735999999999</v>
      </c>
      <c r="E26" s="294">
        <f>C26*'Prac. Rec. Assumptions'!B22</f>
        <v>274.72666666666663</v>
      </c>
      <c r="F26" s="294">
        <f>($C26*(1+'Biomass Data Assumptions'!G$112))*'Prac. Rec. Assumptions'!$B22</f>
        <v>285.97571125265387</v>
      </c>
      <c r="G26" s="294">
        <f>($C26*(1+'Biomass Data Assumptions'!H$112))*'Prac. Rec. Assumptions'!$B22</f>
        <v>298.22467091295113</v>
      </c>
      <c r="H26" s="294">
        <f>($C26*(1+'Biomass Data Assumptions'!I$112))*'Prac. Rec. Assumptions'!$B22</f>
        <v>307.22390658174095</v>
      </c>
      <c r="I26" s="16" t="str">
        <f>IF('Conversion Tables'!F25="NA","NA",(E26*'Conversion Tables'!$C25)/'Conversion Tables'!F25)</f>
        <v>NA</v>
      </c>
      <c r="J26" s="16" t="str">
        <f>IF('Conversion Tables'!G25="NA","NA",(F26*'Conversion Tables'!$C25)/'Conversion Tables'!G25)</f>
        <v>NA</v>
      </c>
      <c r="K26" s="16" t="str">
        <f>IF('Conversion Tables'!H25="NA","NA",(G26*'Conversion Tables'!$C25)/'Conversion Tables'!H25)</f>
        <v>NA</v>
      </c>
      <c r="L26" s="16" t="str">
        <f>IF('Conversion Tables'!I25="NA","NA",(H26*'Conversion Tables'!$C25)/'Conversion Tables'!I25)</f>
        <v>NA</v>
      </c>
      <c r="M26" s="16" t="str">
        <f>IF('Conversion Tables'!K25="NA","NA",E26*'Conversion Tables'!K25)</f>
        <v>NA</v>
      </c>
      <c r="N26" s="16" t="str">
        <f>IF('Conversion Tables'!L25="NA","NA",F26*'Conversion Tables'!L25)</f>
        <v>NA</v>
      </c>
      <c r="O26" s="16" t="str">
        <f>IF('Conversion Tables'!M25="NA","NA",G26*'Conversion Tables'!M25)</f>
        <v>NA</v>
      </c>
      <c r="P26" s="16" t="str">
        <f>IF('Conversion Tables'!N25="NA","NA",H26*'Conversion Tables'!N25)</f>
        <v>NA</v>
      </c>
      <c r="Q26" s="13"/>
    </row>
    <row r="27" spans="1:17" x14ac:dyDescent="0.25">
      <c r="A27" s="1207"/>
      <c r="B27" s="11" t="s">
        <v>561</v>
      </c>
      <c r="C27" s="294">
        <f>C130</f>
        <v>753.8599999999999</v>
      </c>
      <c r="D27" s="294">
        <f>E27*'Conversion Tables'!C26</f>
        <v>11760.215999999999</v>
      </c>
      <c r="E27" s="294">
        <f>C27*'Prac. Rec. Assumptions'!B23</f>
        <v>753.8599999999999</v>
      </c>
      <c r="F27" s="294">
        <f>($C27*(1+'Biomass Data Assumptions'!G$112))*'Prac. Rec. Assumptions'!$B23</f>
        <v>784.72778889899894</v>
      </c>
      <c r="G27" s="294">
        <f>($C27*(1+'Biomass Data Assumptions'!H$112))*'Prac. Rec. Assumptions'!$B23</f>
        <v>818.33938125568682</v>
      </c>
      <c r="H27" s="294">
        <f>($C27*(1+'Biomass Data Assumptions'!I$112))*'Prac. Rec. Assumptions'!$B23</f>
        <v>843.03361237488616</v>
      </c>
      <c r="I27" s="16" t="str">
        <f>IF('Conversion Tables'!F26="NA","NA",(E27*'Conversion Tables'!$C26)/'Conversion Tables'!F26)</f>
        <v>NA</v>
      </c>
      <c r="J27" s="16" t="str">
        <f>IF('Conversion Tables'!G26="NA","NA",(F27*'Conversion Tables'!$C26)/'Conversion Tables'!G26)</f>
        <v>NA</v>
      </c>
      <c r="K27" s="16" t="str">
        <f>IF('Conversion Tables'!H26="NA","NA",(G27*'Conversion Tables'!$C26)/'Conversion Tables'!H26)</f>
        <v>NA</v>
      </c>
      <c r="L27" s="16" t="str">
        <f>IF('Conversion Tables'!I26="NA","NA",(H27*'Conversion Tables'!$C26)/'Conversion Tables'!I26)</f>
        <v>NA</v>
      </c>
      <c r="M27" s="16" t="str">
        <f>IF('Conversion Tables'!K26="NA","NA",E27*'Conversion Tables'!K26)</f>
        <v>NA</v>
      </c>
      <c r="N27" s="16" t="str">
        <f>IF('Conversion Tables'!L26="NA","NA",F27*'Conversion Tables'!L26)</f>
        <v>NA</v>
      </c>
      <c r="O27" s="16" t="str">
        <f>IF('Conversion Tables'!M26="NA","NA",G27*'Conversion Tables'!M26)</f>
        <v>NA</v>
      </c>
      <c r="P27" s="16" t="str">
        <f>IF('Conversion Tables'!N26="NA","NA",H27*'Conversion Tables'!N26)</f>
        <v>NA</v>
      </c>
      <c r="Q27" s="13"/>
    </row>
    <row r="28" spans="1:17" x14ac:dyDescent="0.25">
      <c r="A28" s="1207"/>
      <c r="B28" s="11" t="s">
        <v>562</v>
      </c>
      <c r="C28" s="294">
        <f>C131</f>
        <v>59.534999999999997</v>
      </c>
      <c r="D28" s="294">
        <f>E28*'Conversion Tables'!C27</f>
        <v>1053.7694999999999</v>
      </c>
      <c r="E28" s="294">
        <f>C28*'Prac. Rec. Assumptions'!B24</f>
        <v>59.534999999999997</v>
      </c>
      <c r="F28" s="294">
        <f>($C28*(1+'Biomass Data Assumptions'!G$112))*'Prac. Rec. Assumptions'!$B24</f>
        <v>61.972738853503181</v>
      </c>
      <c r="G28" s="294">
        <f>($C28*(1+'Biomass Data Assumptions'!H$112))*'Prac. Rec. Assumptions'!$B24</f>
        <v>64.627165605095541</v>
      </c>
      <c r="H28" s="294">
        <f>($C28*(1+'Biomass Data Assumptions'!I$112))*'Prac. Rec. Assumptions'!$B24</f>
        <v>66.577356687898089</v>
      </c>
      <c r="I28" s="16" t="str">
        <f>IF('Conversion Tables'!F27="NA","NA",(E28*'Conversion Tables'!$C27)/'Conversion Tables'!F27)</f>
        <v>NA</v>
      </c>
      <c r="J28" s="16" t="str">
        <f>IF('Conversion Tables'!G27="NA","NA",(F28*'Conversion Tables'!$C27)/'Conversion Tables'!G27)</f>
        <v>NA</v>
      </c>
      <c r="K28" s="16" t="str">
        <f>IF('Conversion Tables'!H27="NA","NA",(G28*'Conversion Tables'!$C27)/'Conversion Tables'!H27)</f>
        <v>NA</v>
      </c>
      <c r="L28" s="16" t="str">
        <f>IF('Conversion Tables'!I27="NA","NA",(H28*'Conversion Tables'!$C27)/'Conversion Tables'!I27)</f>
        <v>NA</v>
      </c>
      <c r="M28" s="16" t="str">
        <f>IF('Conversion Tables'!K27="NA","NA",E28*'Conversion Tables'!K27)</f>
        <v>NA</v>
      </c>
      <c r="N28" s="16" t="str">
        <f>IF('Conversion Tables'!L27="NA","NA",F28*'Conversion Tables'!L27)</f>
        <v>NA</v>
      </c>
      <c r="O28" s="16" t="str">
        <f>IF('Conversion Tables'!M27="NA","NA",G28*'Conversion Tables'!M27)</f>
        <v>NA</v>
      </c>
      <c r="P28" s="16" t="str">
        <f>IF('Conversion Tables'!N27="NA","NA",H28*'Conversion Tables'!N27)</f>
        <v>NA</v>
      </c>
      <c r="Q28" s="13"/>
    </row>
    <row r="29" spans="1:17" x14ac:dyDescent="0.25">
      <c r="A29" s="1208"/>
      <c r="B29" s="9" t="s">
        <v>524</v>
      </c>
      <c r="C29" s="295">
        <f t="shared" ref="C29:P29" si="3">SUM(C13:C28)</f>
        <v>139757.16916666663</v>
      </c>
      <c r="D29" s="295">
        <f>SUM(D13:D28)</f>
        <v>1314579.4878800001</v>
      </c>
      <c r="E29" s="295">
        <f t="shared" si="3"/>
        <v>83122.424166666679</v>
      </c>
      <c r="F29" s="295">
        <f>SUM(F13:F28)</f>
        <v>83308.508243099801</v>
      </c>
      <c r="G29" s="295">
        <f>SUM(G13:G28)</f>
        <v>83511.133126326982</v>
      </c>
      <c r="H29" s="295">
        <f>SUM(H13:H28)</f>
        <v>83660.000387473468</v>
      </c>
      <c r="I29" s="19">
        <f t="shared" si="3"/>
        <v>0</v>
      </c>
      <c r="J29" s="19">
        <f t="shared" si="3"/>
        <v>0</v>
      </c>
      <c r="K29" s="19">
        <f t="shared" si="3"/>
        <v>0</v>
      </c>
      <c r="L29" s="19">
        <f t="shared" si="3"/>
        <v>0</v>
      </c>
      <c r="M29" s="19">
        <f t="shared" si="3"/>
        <v>0</v>
      </c>
      <c r="N29" s="19">
        <f t="shared" si="3"/>
        <v>0</v>
      </c>
      <c r="O29" s="19">
        <f t="shared" si="3"/>
        <v>0</v>
      </c>
      <c r="P29" s="19">
        <f t="shared" si="3"/>
        <v>0</v>
      </c>
      <c r="Q29" s="19"/>
    </row>
    <row r="30" spans="1:17" x14ac:dyDescent="0.25">
      <c r="A30" s="8"/>
      <c r="C30" s="296"/>
      <c r="D30" s="296"/>
      <c r="E30" s="296"/>
      <c r="F30" s="296"/>
      <c r="G30" s="296"/>
      <c r="H30" s="296"/>
      <c r="I30" s="28"/>
      <c r="J30" s="28"/>
      <c r="K30" s="28"/>
      <c r="L30" s="28"/>
      <c r="M30" s="28"/>
      <c r="N30" s="28"/>
      <c r="O30" s="28"/>
      <c r="P30" s="28"/>
    </row>
    <row r="31" spans="1:17" x14ac:dyDescent="0.25">
      <c r="A31" s="1064" t="s">
        <v>516</v>
      </c>
      <c r="B31" s="130" t="str">
        <f>'Bioenergy Calculator'!B34</f>
        <v>Solid wastes - Landfilled</v>
      </c>
      <c r="C31" s="294"/>
      <c r="D31" s="294"/>
      <c r="E31" s="294"/>
      <c r="F31" s="294"/>
      <c r="G31" s="294"/>
      <c r="H31" s="294"/>
      <c r="I31" s="16"/>
      <c r="J31" s="16"/>
      <c r="K31" s="16"/>
      <c r="L31" s="16"/>
      <c r="M31" s="16"/>
      <c r="N31" s="16"/>
      <c r="O31" s="16"/>
      <c r="P31" s="16"/>
      <c r="Q31" s="7"/>
    </row>
    <row r="32" spans="1:17" x14ac:dyDescent="0.25">
      <c r="A32" s="1064"/>
      <c r="B32" s="11" t="str">
        <f>'Bioenergy Calculator'!B35</f>
        <v>Food waste, Landfilled</v>
      </c>
      <c r="C32" s="294">
        <f>C141</f>
        <v>708.91713899999979</v>
      </c>
      <c r="D32" s="294">
        <f>E32*'Conversion Tables'!C29</f>
        <v>6805.6045343999995</v>
      </c>
      <c r="E32" s="294">
        <f>C32*'Prac. Rec. Assumptions'!B26</f>
        <v>425.35028339999997</v>
      </c>
      <c r="F32" s="294">
        <f>($C32*(1+'Biomass Data Assumptions'!G$112)*(1+'Biomass Data Assumptions'!C$82))*'Prac. Rec. Assumptions'!$B26</f>
        <v>442.46618042774105</v>
      </c>
      <c r="G32" s="294">
        <f>($C32*(1+'Biomass Data Assumptions'!H$112)*(1+'Biomass Data Assumptions'!D$82))*'Prac. Rec. Assumptions'!$B26</f>
        <v>461.10467278501852</v>
      </c>
      <c r="H32" s="294">
        <f>($C32*(1+'Biomass Data Assumptions'!I$112)*(1+'Biomass Data Assumptions'!E$82))*'Prac. Rec. Assumptions'!$B26</f>
        <v>474.69645160686923</v>
      </c>
      <c r="I32" s="16" t="str">
        <f>IF('Conversion Tables'!F29="NA","NA",(E32*'Conversion Tables'!$C29)/'Conversion Tables'!F29)</f>
        <v>NA</v>
      </c>
      <c r="J32" s="16" t="str">
        <f>IF('Conversion Tables'!G29="NA","NA",(F32*'Conversion Tables'!$C29)/'Conversion Tables'!G29)</f>
        <v>NA</v>
      </c>
      <c r="K32" s="16" t="str">
        <f>IF('Conversion Tables'!H29="NA","NA",(G32*'Conversion Tables'!$C29)/'Conversion Tables'!H29)</f>
        <v>NA</v>
      </c>
      <c r="L32" s="16" t="str">
        <f>IF('Conversion Tables'!I29="NA","NA",(H32*'Conversion Tables'!$C29)/'Conversion Tables'!I29)</f>
        <v>NA</v>
      </c>
      <c r="M32" s="16" t="str">
        <f>IF('Conversion Tables'!K29="NA","NA",E32*'Conversion Tables'!K29)</f>
        <v>NA</v>
      </c>
      <c r="N32" s="16" t="str">
        <f>IF('Conversion Tables'!L29="NA","NA",F32*'Conversion Tables'!L29)</f>
        <v>NA</v>
      </c>
      <c r="O32" s="16" t="str">
        <f>IF('Conversion Tables'!M29="NA","NA",G32*'Conversion Tables'!M29)</f>
        <v>NA</v>
      </c>
      <c r="P32" s="16" t="str">
        <f>IF('Conversion Tables'!N29="NA","NA",H32*'Conversion Tables'!N29)</f>
        <v>NA</v>
      </c>
      <c r="Q32" s="7"/>
    </row>
    <row r="33" spans="1:17" x14ac:dyDescent="0.25">
      <c r="A33" s="1064"/>
      <c r="B33" s="11" t="str">
        <f>'Bioenergy Calculator'!B36</f>
        <v>Waste paper, Landfilled</v>
      </c>
      <c r="C33" s="294">
        <f>C142</f>
        <v>2614.7481074999992</v>
      </c>
      <c r="D33" s="294">
        <f>E33*'Conversion Tables'!C30</f>
        <v>30377.097613691989</v>
      </c>
      <c r="E33" s="294">
        <f>C33*'Prac. Rec. Assumptions'!B27</f>
        <v>2091.7984859999992</v>
      </c>
      <c r="F33" s="294">
        <f>($C33*(1+'Biomass Data Assumptions'!G$112)*(1+'Biomass Data Assumptions'!C$82))*'Prac. Rec. Assumptions'!$B27</f>
        <v>2175.9714814967288</v>
      </c>
      <c r="G33" s="294">
        <f>($C33*(1+'Biomass Data Assumptions'!H$112)*(1+'Biomass Data Assumptions'!D$82))*'Prac. Rec. Assumptions'!$B27</f>
        <v>2267.6323351880178</v>
      </c>
      <c r="H33" s="294">
        <f>($C33*(1+'Biomass Data Assumptions'!I$112)*(1+'Biomass Data Assumptions'!E$82))*'Prac. Rec. Assumptions'!$B27</f>
        <v>2334.4743321753745</v>
      </c>
      <c r="I33" s="16" t="str">
        <f>IF('Conversion Tables'!F30="NA","NA",(E33*'Conversion Tables'!$C30)/'Conversion Tables'!F30)</f>
        <v>NA</v>
      </c>
      <c r="J33" s="16" t="str">
        <f>IF('Conversion Tables'!G30="NA","NA",(F33*'Conversion Tables'!$C30)/'Conversion Tables'!G30)</f>
        <v>NA</v>
      </c>
      <c r="K33" s="16" t="str">
        <f>IF('Conversion Tables'!H30="NA","NA",(G33*'Conversion Tables'!$C30)/'Conversion Tables'!H30)</f>
        <v>NA</v>
      </c>
      <c r="L33" s="16" t="str">
        <f>IF('Conversion Tables'!I30="NA","NA",(H33*'Conversion Tables'!$C30)/'Conversion Tables'!I30)</f>
        <v>NA</v>
      </c>
      <c r="M33" s="16" t="str">
        <f>IF('Conversion Tables'!K30="NA","NA",E33*'Conversion Tables'!K30)</f>
        <v>NA</v>
      </c>
      <c r="N33" s="16" t="str">
        <f>IF('Conversion Tables'!L30="NA","NA",F33*'Conversion Tables'!L30)</f>
        <v>NA</v>
      </c>
      <c r="O33" s="16" t="str">
        <f>IF('Conversion Tables'!M30="NA","NA",G33*'Conversion Tables'!M30)</f>
        <v>NA</v>
      </c>
      <c r="P33" s="16" t="str">
        <f>IF('Conversion Tables'!N30="NA","NA",H33*'Conversion Tables'!N30)</f>
        <v>NA</v>
      </c>
      <c r="Q33" s="7"/>
    </row>
    <row r="34" spans="1:17" x14ac:dyDescent="0.25">
      <c r="A34" s="1064"/>
      <c r="B34" s="11" t="str">
        <f>'Bioenergy Calculator'!B37</f>
        <v>Other Biomass, Landfilled</v>
      </c>
      <c r="C34" s="294">
        <f>C143</f>
        <v>2011.287247499999</v>
      </c>
      <c r="D34" s="294">
        <f>E34*'Conversion Tables'!C31</f>
        <v>21029.697653900392</v>
      </c>
      <c r="E34" s="294">
        <f>C34*'Prac. Rec. Assumptions'!B28</f>
        <v>1448.1268181999994</v>
      </c>
      <c r="F34" s="294">
        <f>($C34*(1+'Biomass Data Assumptions'!G$112)*(1+'Biomass Data Assumptions'!C$82))*'Prac. Rec. Assumptions'!$B28</f>
        <v>1506.3987659821823</v>
      </c>
      <c r="G34" s="294">
        <f>($C34*(1+'Biomass Data Assumptions'!H$112)*(1+'Biomass Data Assumptions'!D$82))*'Prac. Rec. Assumptions'!$B28</f>
        <v>1569.8544675221929</v>
      </c>
      <c r="H34" s="294">
        <f>($C34*(1+'Biomass Data Assumptions'!I$112)*(1+'Biomass Data Assumptions'!E$82))*'Prac. Rec. Assumptions'!$B28</f>
        <v>1616.128374434006</v>
      </c>
      <c r="I34" s="16" t="str">
        <f>IF('Conversion Tables'!F31="NA","NA",(E34*'Conversion Tables'!$C31)/'Conversion Tables'!F31)</f>
        <v>NA</v>
      </c>
      <c r="J34" s="16" t="str">
        <f>IF('Conversion Tables'!G31="NA","NA",(F34*'Conversion Tables'!$C31)/'Conversion Tables'!G31)</f>
        <v>NA</v>
      </c>
      <c r="K34" s="16" t="str">
        <f>IF('Conversion Tables'!H31="NA","NA",(G34*'Conversion Tables'!$C31)/'Conversion Tables'!H31)</f>
        <v>NA</v>
      </c>
      <c r="L34" s="16" t="str">
        <f>IF('Conversion Tables'!I31="NA","NA",(H34*'Conversion Tables'!$C31)/'Conversion Tables'!I31)</f>
        <v>NA</v>
      </c>
      <c r="M34" s="16" t="str">
        <f>IF('Conversion Tables'!K31="NA","NA",E34*'Conversion Tables'!K31)</f>
        <v>NA</v>
      </c>
      <c r="N34" s="16" t="str">
        <f>IF('Conversion Tables'!L31="NA","NA",F34*'Conversion Tables'!L31)</f>
        <v>NA</v>
      </c>
      <c r="O34" s="16" t="str">
        <f>IF('Conversion Tables'!M31="NA","NA",G34*'Conversion Tables'!M31)</f>
        <v>NA</v>
      </c>
      <c r="P34" s="16" t="str">
        <f>IF('Conversion Tables'!N31="NA","NA",H34*'Conversion Tables'!N31)</f>
        <v>NA</v>
      </c>
      <c r="Q34" s="7"/>
    </row>
    <row r="35" spans="1:17" x14ac:dyDescent="0.25">
      <c r="A35" s="1065"/>
      <c r="B35" s="11" t="str">
        <f>'Bioenergy Calculator'!B38</f>
        <v>C&amp;D (Non-recycled wood)</v>
      </c>
      <c r="C35" s="294">
        <f>C145</f>
        <v>873.83360000000016</v>
      </c>
      <c r="D35" s="294">
        <f>E35*'Conversion Tables'!C32</f>
        <v>9898.787020800004</v>
      </c>
      <c r="E35" s="294">
        <f>C35*'Prac. Rec. Assumptions'!B29</f>
        <v>559.25350400000025</v>
      </c>
      <c r="F35" s="294">
        <f>($C35*(1+'Biomass Data Assumptions'!G$112)*(1+'Biomass Data Assumptions'!C$83))*'Prac. Rec. Assumptions'!$B29</f>
        <v>611.38340626253887</v>
      </c>
      <c r="G35" s="294">
        <f>($C35*(1+'Biomass Data Assumptions'!H$112)*(1+'Biomass Data Assumptions'!D$83))*'Prac. Rec. Assumptions'!$B29</f>
        <v>669.58338382895397</v>
      </c>
      <c r="H35" s="294">
        <f>($C35*(1+'Biomass Data Assumptions'!I$112)*(1+'Biomass Data Assumptions'!E$83))*'Prac. Rec. Assumptions'!$B29</f>
        <v>724.42379719525456</v>
      </c>
      <c r="I35" s="16" t="str">
        <f>IF('Conversion Tables'!F32="NA","NA",(E35*'Conversion Tables'!$C32)/'Conversion Tables'!F32)</f>
        <v>NA</v>
      </c>
      <c r="J35" s="16" t="str">
        <f>IF('Conversion Tables'!G32="NA","NA",(F35*'Conversion Tables'!$C32)/'Conversion Tables'!G32)</f>
        <v>NA</v>
      </c>
      <c r="K35" s="16" t="str">
        <f>IF('Conversion Tables'!H32="NA","NA",(G35*'Conversion Tables'!$C32)/'Conversion Tables'!H32)</f>
        <v>NA</v>
      </c>
      <c r="L35" s="16" t="str">
        <f>IF('Conversion Tables'!I32="NA","NA",(H35*'Conversion Tables'!$C32)/'Conversion Tables'!I32)</f>
        <v>NA</v>
      </c>
      <c r="M35" s="16" t="str">
        <f>IF('Conversion Tables'!K32="NA","NA",E35*'Conversion Tables'!K32)</f>
        <v>NA</v>
      </c>
      <c r="N35" s="16" t="str">
        <f>IF('Conversion Tables'!L32="NA","NA",F35*'Conversion Tables'!L32)</f>
        <v>NA</v>
      </c>
      <c r="O35" s="16" t="str">
        <f>IF('Conversion Tables'!M32="NA","NA",G35*'Conversion Tables'!M32)</f>
        <v>NA</v>
      </c>
      <c r="P35" s="16" t="str">
        <f>IF('Conversion Tables'!N32="NA","NA",H35*'Conversion Tables'!N32)</f>
        <v>NA</v>
      </c>
      <c r="Q35" s="7"/>
    </row>
    <row r="36" spans="1:17" x14ac:dyDescent="0.25">
      <c r="A36" s="1065"/>
      <c r="B36" s="4" t="s">
        <v>280</v>
      </c>
      <c r="C36" s="294"/>
      <c r="D36" s="294"/>
      <c r="E36" s="294"/>
      <c r="F36" s="294"/>
      <c r="G36" s="294"/>
      <c r="H36" s="294"/>
      <c r="I36" s="16"/>
      <c r="J36" s="16"/>
      <c r="K36" s="16"/>
      <c r="L36" s="16"/>
      <c r="M36" s="16"/>
      <c r="N36" s="16"/>
      <c r="O36" s="16"/>
      <c r="P36" s="16"/>
      <c r="Q36" s="7"/>
    </row>
    <row r="37" spans="1:17" x14ac:dyDescent="0.25">
      <c r="A37" s="1065"/>
      <c r="B37" s="677" t="s">
        <v>563</v>
      </c>
      <c r="C37" s="299">
        <f>C132</f>
        <v>554.59</v>
      </c>
      <c r="D37" s="294">
        <f>E37*'Conversion Tables'!C34</f>
        <v>8873.44</v>
      </c>
      <c r="E37" s="294">
        <f>C37*'Prac. Rec. Assumptions'!B31</f>
        <v>554.59</v>
      </c>
      <c r="F37" s="294">
        <f>($C37*(1+'Biomass Data Assumptions'!G$112)*(1+'Biomass Data Assumptions'!C$84))*'Prac. Rec. Assumptions'!$B31</f>
        <v>631.26207045361491</v>
      </c>
      <c r="G37" s="294">
        <f>($C37*(1+'Biomass Data Assumptions'!H$112)*(1+'Biomass Data Assumptions'!D$84))*'Prac. Rec. Assumptions'!$B31</f>
        <v>719.83580288310088</v>
      </c>
      <c r="H37" s="294">
        <f>($C37*(1+'Biomass Data Assumptions'!I$112)*(1+'Biomass Data Assumptions'!E$84))*'Prac. Rec. Assumptions'!$B31</f>
        <v>810.87556174324004</v>
      </c>
      <c r="I37" s="16" t="str">
        <f>IF('Conversion Tables'!F34="NA","NA",(E37*'Conversion Tables'!$C34)/'Conversion Tables'!F34)</f>
        <v>NA</v>
      </c>
      <c r="J37" s="16" t="str">
        <f>IF('Conversion Tables'!G34="NA","NA",(F37*'Conversion Tables'!$C34)/'Conversion Tables'!G34)</f>
        <v>NA</v>
      </c>
      <c r="K37" s="16" t="str">
        <f>IF('Conversion Tables'!H34="NA","NA",(G37*'Conversion Tables'!$C34)/'Conversion Tables'!H34)</f>
        <v>NA</v>
      </c>
      <c r="L37" s="16" t="str">
        <f>IF('Conversion Tables'!I34="NA","NA",(H37*'Conversion Tables'!$C34)/'Conversion Tables'!I34)</f>
        <v>NA</v>
      </c>
      <c r="M37" s="16" t="str">
        <f>IF('Conversion Tables'!K34="NA","NA",E37*'Conversion Tables'!K34)</f>
        <v>NA</v>
      </c>
      <c r="N37" s="16" t="str">
        <f>IF('Conversion Tables'!L34="NA","NA",F37*'Conversion Tables'!L34)</f>
        <v>NA</v>
      </c>
      <c r="O37" s="16" t="str">
        <f>IF('Conversion Tables'!M34="NA","NA",G37*'Conversion Tables'!M34)</f>
        <v>NA</v>
      </c>
      <c r="P37" s="16" t="str">
        <f>IF('Conversion Tables'!N34="NA","NA",H37*'Conversion Tables'!N34)</f>
        <v>NA</v>
      </c>
      <c r="Q37" s="18"/>
    </row>
    <row r="38" spans="1:17" x14ac:dyDescent="0.25">
      <c r="A38" s="1065"/>
      <c r="B38" s="11" t="s">
        <v>565</v>
      </c>
      <c r="C38" s="294">
        <f>C134</f>
        <v>703.48</v>
      </c>
      <c r="D38" s="294">
        <f>E38*'Conversion Tables'!C35</f>
        <v>6225.7979999999998</v>
      </c>
      <c r="E38" s="294">
        <f>C38*'Prac. Rec. Assumptions'!B32</f>
        <v>351.74</v>
      </c>
      <c r="F38" s="294">
        <f>($C38*(1+'Biomass Data Assumptions'!G$112)*(1+'Biomass Data Assumptions'!C$84))*'Prac. Rec. Assumptions'!$B32</f>
        <v>400.36805687328388</v>
      </c>
      <c r="G38" s="294">
        <f>($C38*(1+'Biomass Data Assumptions'!H$112)*(1+'Biomass Data Assumptions'!D$84))*'Prac. Rec. Assumptions'!$B32</f>
        <v>456.54455598929275</v>
      </c>
      <c r="H38" s="294">
        <f>($C38*(1+'Biomass Data Assumptions'!I$112)*(1+'Biomass Data Assumptions'!E$84))*'Prac. Rec. Assumptions'!$B32</f>
        <v>514.28509365038542</v>
      </c>
      <c r="I38" s="16" t="str">
        <f>IF('Conversion Tables'!F35="NA","NA",(E38*'Conversion Tables'!$C35)/'Conversion Tables'!F35)</f>
        <v>NA</v>
      </c>
      <c r="J38" s="16" t="str">
        <f>IF('Conversion Tables'!G35="NA","NA",(F38*'Conversion Tables'!$C35)/'Conversion Tables'!G35)</f>
        <v>NA</v>
      </c>
      <c r="K38" s="16" t="str">
        <f>IF('Conversion Tables'!H35="NA","NA",(G38*'Conversion Tables'!$C35)/'Conversion Tables'!H35)</f>
        <v>NA</v>
      </c>
      <c r="L38" s="16" t="str">
        <f>IF('Conversion Tables'!I35="NA","NA",(H38*'Conversion Tables'!$C35)/'Conversion Tables'!I35)</f>
        <v>NA</v>
      </c>
      <c r="M38" s="16" t="str">
        <f>IF('Conversion Tables'!K35="NA","NA",E38*'Conversion Tables'!K35)</f>
        <v>NA</v>
      </c>
      <c r="N38" s="16" t="str">
        <f>IF('Conversion Tables'!L35="NA","NA",F38*'Conversion Tables'!L35)</f>
        <v>NA</v>
      </c>
      <c r="O38" s="16" t="str">
        <f>IF('Conversion Tables'!M35="NA","NA",G38*'Conversion Tables'!M35)</f>
        <v>NA</v>
      </c>
      <c r="P38" s="16" t="str">
        <f>IF('Conversion Tables'!N35="NA","NA",H38*'Conversion Tables'!N35)</f>
        <v>NA</v>
      </c>
      <c r="Q38" s="13"/>
    </row>
    <row r="39" spans="1:17" x14ac:dyDescent="0.25">
      <c r="A39" s="1065"/>
      <c r="B39" s="17" t="s">
        <v>555</v>
      </c>
      <c r="C39" s="294">
        <f>C124</f>
        <v>5835.7980000000007</v>
      </c>
      <c r="D39" s="299">
        <f>E39*'Conversion Tables'!C36</f>
        <v>0</v>
      </c>
      <c r="E39" s="299">
        <f>C39*'Prac. Rec. Assumptions'!B33</f>
        <v>0</v>
      </c>
      <c r="F39" s="294">
        <f>($C39*(1+'Biomass Data Assumptions'!G$112)*(1+'Biomass Data Assumptions'!C$84))*'Prac. Rec. Assumptions'!$B33</f>
        <v>0</v>
      </c>
      <c r="G39" s="294">
        <f>($C39*(1+'Biomass Data Assumptions'!H$112)*(1+'Biomass Data Assumptions'!D$84))*'Prac. Rec. Assumptions'!$B33</f>
        <v>0</v>
      </c>
      <c r="H39" s="294">
        <f>($C39*(1+'Biomass Data Assumptions'!I$112)*(1+'Biomass Data Assumptions'!E$84))*'Prac. Rec. Assumptions'!$B33</f>
        <v>0</v>
      </c>
      <c r="I39" s="16" t="str">
        <f>IF('Conversion Tables'!F36="NA","NA",(E39*'Conversion Tables'!$C36)/'Conversion Tables'!F36)</f>
        <v>NA</v>
      </c>
      <c r="J39" s="16" t="str">
        <f>IF('Conversion Tables'!G36="NA","NA",(F39*'Conversion Tables'!$C36)/'Conversion Tables'!G36)</f>
        <v>NA</v>
      </c>
      <c r="K39" s="16" t="str">
        <f>IF('Conversion Tables'!H36="NA","NA",(G39*'Conversion Tables'!$C36)/'Conversion Tables'!H36)</f>
        <v>NA</v>
      </c>
      <c r="L39" s="16" t="str">
        <f>IF('Conversion Tables'!I36="NA","NA",(H39*'Conversion Tables'!$C36)/'Conversion Tables'!I36)</f>
        <v>NA</v>
      </c>
      <c r="M39" s="16" t="str">
        <f>IF('Conversion Tables'!K36="NA","NA",E39*'Conversion Tables'!K36)</f>
        <v>NA</v>
      </c>
      <c r="N39" s="16" t="str">
        <f>IF('Conversion Tables'!L36="NA","NA",F39*'Conversion Tables'!L36)</f>
        <v>NA</v>
      </c>
      <c r="O39" s="16" t="str">
        <f>IF('Conversion Tables'!M36="NA","NA",G39*'Conversion Tables'!M36)</f>
        <v>NA</v>
      </c>
      <c r="P39" s="16" t="str">
        <f>IF('Conversion Tables'!N36="NA","NA",H39*'Conversion Tables'!N36)</f>
        <v>NA</v>
      </c>
      <c r="Q39" s="27"/>
    </row>
    <row r="40" spans="1:17" x14ac:dyDescent="0.25">
      <c r="A40" s="1065"/>
      <c r="B40" s="17" t="s">
        <v>556</v>
      </c>
      <c r="C40" s="294">
        <f>C125</f>
        <v>679.923</v>
      </c>
      <c r="D40" s="299">
        <f>E40*'Conversion Tables'!C37</f>
        <v>0</v>
      </c>
      <c r="E40" s="299">
        <f>C40*'Prac. Rec. Assumptions'!B34</f>
        <v>0</v>
      </c>
      <c r="F40" s="294">
        <f>($C40*(1+'Biomass Data Assumptions'!G$112)*(1+'Biomass Data Assumptions'!C$84))*'Prac. Rec. Assumptions'!$B34</f>
        <v>0</v>
      </c>
      <c r="G40" s="294">
        <f>($C40*(1+'Biomass Data Assumptions'!H$112)*(1+'Biomass Data Assumptions'!D$84))*'Prac. Rec. Assumptions'!$B34</f>
        <v>0</v>
      </c>
      <c r="H40" s="294">
        <f>($C40*(1+'Biomass Data Assumptions'!I$112)*(1+'Biomass Data Assumptions'!E$84))*'Prac. Rec. Assumptions'!$B34</f>
        <v>0</v>
      </c>
      <c r="I40" s="16" t="str">
        <f>IF('Conversion Tables'!F37="NA","NA",(E40*'Conversion Tables'!$C37)/'Conversion Tables'!F37)</f>
        <v>NA</v>
      </c>
      <c r="J40" s="16" t="str">
        <f>IF('Conversion Tables'!G37="NA","NA",(F40*'Conversion Tables'!$C37)/'Conversion Tables'!G37)</f>
        <v>NA</v>
      </c>
      <c r="K40" s="16" t="str">
        <f>IF('Conversion Tables'!H37="NA","NA",(G40*'Conversion Tables'!$C37)/'Conversion Tables'!H37)</f>
        <v>NA</v>
      </c>
      <c r="L40" s="16" t="str">
        <f>IF('Conversion Tables'!I37="NA","NA",(H40*'Conversion Tables'!$C37)/'Conversion Tables'!I37)</f>
        <v>NA</v>
      </c>
      <c r="M40" s="16" t="str">
        <f>IF('Conversion Tables'!K37="NA","NA",E40*'Conversion Tables'!K37)</f>
        <v>NA</v>
      </c>
      <c r="N40" s="16" t="str">
        <f>IF('Conversion Tables'!L37="NA","NA",F40*'Conversion Tables'!L37)</f>
        <v>NA</v>
      </c>
      <c r="O40" s="16" t="str">
        <f>IF('Conversion Tables'!M37="NA","NA",G40*'Conversion Tables'!M37)</f>
        <v>NA</v>
      </c>
      <c r="P40" s="16" t="str">
        <f>IF('Conversion Tables'!N37="NA","NA",H40*'Conversion Tables'!N37)</f>
        <v>NA</v>
      </c>
      <c r="Q40" s="27"/>
    </row>
    <row r="41" spans="1:17" x14ac:dyDescent="0.25">
      <c r="A41" s="1065"/>
      <c r="B41" s="17" t="s">
        <v>557</v>
      </c>
      <c r="C41" s="294">
        <f>C126</f>
        <v>1733.0039999999999</v>
      </c>
      <c r="D41" s="299">
        <f>E41*'Conversion Tables'!C38</f>
        <v>0</v>
      </c>
      <c r="E41" s="299">
        <f>C41*'Prac. Rec. Assumptions'!B35</f>
        <v>0</v>
      </c>
      <c r="F41" s="294">
        <f>($C41*(1+'Biomass Data Assumptions'!G$112)*(1+'Biomass Data Assumptions'!C$84))*'Prac. Rec. Assumptions'!$B35</f>
        <v>0</v>
      </c>
      <c r="G41" s="294">
        <f>($C41*(1+'Biomass Data Assumptions'!H$112)*(1+'Biomass Data Assumptions'!D$84))*'Prac. Rec. Assumptions'!$B35</f>
        <v>0</v>
      </c>
      <c r="H41" s="294">
        <f>($C41*(1+'Biomass Data Assumptions'!I$112)*(1+'Biomass Data Assumptions'!E$84))*'Prac. Rec. Assumptions'!$B35</f>
        <v>0</v>
      </c>
      <c r="I41" s="16" t="str">
        <f>IF('Conversion Tables'!F38="NA","NA",(E41*'Conversion Tables'!$C38)/'Conversion Tables'!F38)</f>
        <v>NA</v>
      </c>
      <c r="J41" s="16" t="str">
        <f>IF('Conversion Tables'!G38="NA","NA",(F41*'Conversion Tables'!$C38)/'Conversion Tables'!G38)</f>
        <v>NA</v>
      </c>
      <c r="K41" s="16" t="str">
        <f>IF('Conversion Tables'!H38="NA","NA",(G41*'Conversion Tables'!$C38)/'Conversion Tables'!H38)</f>
        <v>NA</v>
      </c>
      <c r="L41" s="16" t="str">
        <f>IF('Conversion Tables'!I38="NA","NA",(H41*'Conversion Tables'!$C38)/'Conversion Tables'!I38)</f>
        <v>NA</v>
      </c>
      <c r="M41" s="16" t="str">
        <f>IF('Conversion Tables'!K38="NA","NA",E41*'Conversion Tables'!K38)</f>
        <v>NA</v>
      </c>
      <c r="N41" s="16" t="str">
        <f>IF('Conversion Tables'!L38="NA","NA",F41*'Conversion Tables'!L38)</f>
        <v>NA</v>
      </c>
      <c r="O41" s="16" t="str">
        <f>IF('Conversion Tables'!M38="NA","NA",G41*'Conversion Tables'!M38)</f>
        <v>NA</v>
      </c>
      <c r="P41" s="16" t="str">
        <f>IF('Conversion Tables'!N38="NA","NA",H41*'Conversion Tables'!N38)</f>
        <v>NA</v>
      </c>
      <c r="Q41" s="27"/>
    </row>
    <row r="42" spans="1:17" x14ac:dyDescent="0.25">
      <c r="A42" s="1065"/>
      <c r="B42" s="17" t="s">
        <v>558</v>
      </c>
      <c r="C42" s="294">
        <f>C127</f>
        <v>1786.1130000000001</v>
      </c>
      <c r="D42" s="299">
        <f>E42*'Conversion Tables'!C39</f>
        <v>25937.932986</v>
      </c>
      <c r="E42" s="299">
        <f>C42*'Prac. Rec. Assumptions'!B36</f>
        <v>1786.1130000000001</v>
      </c>
      <c r="F42" s="294">
        <f>($C42*(1+'Biomass Data Assumptions'!G$112)*(1+'Biomass Data Assumptions'!C$84))*'Prac. Rec. Assumptions'!$B36</f>
        <v>2033.0431317624148</v>
      </c>
      <c r="G42" s="294">
        <f>($C42*(1+'Biomass Data Assumptions'!H$112)*(1+'Biomass Data Assumptions'!D$84))*'Prac. Rec. Assumptions'!$B36</f>
        <v>2318.303765655608</v>
      </c>
      <c r="H42" s="294">
        <f>($C42*(1+'Biomass Data Assumptions'!I$112)*(1+'Biomass Data Assumptions'!E$84))*'Prac. Rec. Assumptions'!$B36</f>
        <v>2611.5064862545369</v>
      </c>
      <c r="I42" s="16" t="str">
        <f>IF('Conversion Tables'!F39="NA","NA",(E42*'Conversion Tables'!$C39)/'Conversion Tables'!F39)</f>
        <v>NA</v>
      </c>
      <c r="J42" s="16" t="str">
        <f>IF('Conversion Tables'!G39="NA","NA",(F42*'Conversion Tables'!$C39)/'Conversion Tables'!G39)</f>
        <v>NA</v>
      </c>
      <c r="K42" s="16" t="str">
        <f>IF('Conversion Tables'!H39="NA","NA",(G42*'Conversion Tables'!$C39)/'Conversion Tables'!H39)</f>
        <v>NA</v>
      </c>
      <c r="L42" s="16" t="str">
        <f>IF('Conversion Tables'!I39="NA","NA",(H42*'Conversion Tables'!$C39)/'Conversion Tables'!I39)</f>
        <v>NA</v>
      </c>
      <c r="M42" s="16" t="str">
        <f>IF('Conversion Tables'!K39="NA","NA",E42*'Conversion Tables'!K39)</f>
        <v>NA</v>
      </c>
      <c r="N42" s="16" t="str">
        <f>IF('Conversion Tables'!L39="NA","NA",F42*'Conversion Tables'!L39)</f>
        <v>NA</v>
      </c>
      <c r="O42" s="16" t="str">
        <f>IF('Conversion Tables'!M39="NA","NA",G42*'Conversion Tables'!M39)</f>
        <v>NA</v>
      </c>
      <c r="P42" s="16" t="str">
        <f>IF('Conversion Tables'!N39="NA","NA",H42*'Conversion Tables'!N39)</f>
        <v>NA</v>
      </c>
      <c r="Q42" s="27"/>
    </row>
    <row r="43" spans="1:17" x14ac:dyDescent="0.25">
      <c r="A43" s="1065"/>
      <c r="B43" s="9" t="s">
        <v>524</v>
      </c>
      <c r="C43" s="295">
        <f>SUM(C32:C42)</f>
        <v>17501.694093999999</v>
      </c>
      <c r="D43" s="295">
        <f t="shared" ref="D43:P43" si="4">SUM(D31:D42)</f>
        <v>109148.35780879238</v>
      </c>
      <c r="E43" s="295">
        <f t="shared" si="4"/>
        <v>7216.9720915999997</v>
      </c>
      <c r="F43" s="295">
        <f t="shared" si="4"/>
        <v>7800.8930932585045</v>
      </c>
      <c r="G43" s="295">
        <f t="shared" si="4"/>
        <v>8462.8589838521839</v>
      </c>
      <c r="H43" s="295">
        <f t="shared" si="4"/>
        <v>9086.390097059666</v>
      </c>
      <c r="I43" s="19">
        <f t="shared" si="4"/>
        <v>0</v>
      </c>
      <c r="J43" s="19">
        <f t="shared" si="4"/>
        <v>0</v>
      </c>
      <c r="K43" s="19">
        <f t="shared" si="4"/>
        <v>0</v>
      </c>
      <c r="L43" s="19">
        <f t="shared" si="4"/>
        <v>0</v>
      </c>
      <c r="M43" s="19">
        <f t="shared" si="4"/>
        <v>0</v>
      </c>
      <c r="N43" s="19">
        <f t="shared" si="4"/>
        <v>0</v>
      </c>
      <c r="O43" s="19">
        <f t="shared" si="4"/>
        <v>0</v>
      </c>
      <c r="P43" s="19">
        <f t="shared" si="4"/>
        <v>0</v>
      </c>
      <c r="Q43" s="19"/>
    </row>
    <row r="44" spans="1:17" x14ac:dyDescent="0.25">
      <c r="A44" s="8"/>
      <c r="C44" s="296"/>
      <c r="D44" s="296"/>
      <c r="E44" s="296"/>
      <c r="F44" s="296"/>
      <c r="G44" s="296"/>
      <c r="H44" s="296"/>
      <c r="I44" s="28"/>
      <c r="J44" s="28"/>
      <c r="K44" s="28"/>
      <c r="L44" s="28"/>
      <c r="M44" s="28"/>
      <c r="N44" s="28"/>
      <c r="O44" s="28"/>
      <c r="P44" s="28"/>
    </row>
    <row r="45" spans="1:17" x14ac:dyDescent="0.25">
      <c r="A45" s="1064" t="s">
        <v>515</v>
      </c>
      <c r="B45" s="2" t="s">
        <v>510</v>
      </c>
      <c r="C45" s="294"/>
      <c r="D45" s="294"/>
      <c r="E45" s="294"/>
      <c r="F45" s="294"/>
      <c r="G45" s="294"/>
      <c r="H45" s="294"/>
      <c r="I45" s="16"/>
      <c r="J45" s="16"/>
      <c r="K45" s="16"/>
      <c r="L45" s="16"/>
      <c r="M45" s="16"/>
      <c r="N45" s="16"/>
      <c r="O45" s="16"/>
      <c r="P45" s="16"/>
      <c r="Q45" s="7"/>
    </row>
    <row r="46" spans="1:17" x14ac:dyDescent="0.25">
      <c r="A46" s="1064"/>
      <c r="B46" s="12" t="s">
        <v>525</v>
      </c>
      <c r="C46" s="294">
        <f>D77</f>
        <v>4508.16</v>
      </c>
      <c r="D46" s="294">
        <f>E46*'Conversion Tables'!C41</f>
        <v>0</v>
      </c>
      <c r="E46" s="294">
        <f>C46*'Prac. Rec. Assumptions'!B38</f>
        <v>4508.16</v>
      </c>
      <c r="F46" s="294">
        <f>$E46</f>
        <v>4508.16</v>
      </c>
      <c r="G46" s="294">
        <f>$E46</f>
        <v>4508.16</v>
      </c>
      <c r="H46" s="294">
        <f>$E46</f>
        <v>4508.16</v>
      </c>
      <c r="I46" s="16" t="str">
        <f>IF('Conversion Tables'!F41="NA","NA",(E46*'Conversion Tables'!$C41)/'Conversion Tables'!F41)</f>
        <v>NA</v>
      </c>
      <c r="J46" s="16" t="str">
        <f>IF('Conversion Tables'!G41="NA","NA",(F46*'Conversion Tables'!$C41)/'Conversion Tables'!G41)</f>
        <v>NA</v>
      </c>
      <c r="K46" s="16" t="str">
        <f>IF('Conversion Tables'!H41="NA","NA",(G46*'Conversion Tables'!$C41)/'Conversion Tables'!H41)</f>
        <v>NA</v>
      </c>
      <c r="L46" s="16" t="str">
        <f>IF('Conversion Tables'!I41="NA","NA",(H46*'Conversion Tables'!$C41)/'Conversion Tables'!I41)</f>
        <v>NA</v>
      </c>
      <c r="M46" s="16" t="str">
        <f>IF('Conversion Tables'!K41="NA","NA",E46*'Conversion Tables'!K41)</f>
        <v>NA</v>
      </c>
      <c r="N46" s="16" t="str">
        <f>IF('Conversion Tables'!L41="NA","NA",F46*'Conversion Tables'!L41)</f>
        <v>NA</v>
      </c>
      <c r="O46" s="16" t="str">
        <f>IF('Conversion Tables'!M41="NA","NA",G46*'Conversion Tables'!M41)</f>
        <v>NA</v>
      </c>
      <c r="P46" s="16" t="str">
        <f>IF('Conversion Tables'!N41="NA","NA",H46*'Conversion Tables'!N41)</f>
        <v>NA</v>
      </c>
      <c r="Q46" s="15"/>
    </row>
    <row r="47" spans="1:17" x14ac:dyDescent="0.25">
      <c r="A47" s="1065"/>
      <c r="B47" s="2" t="s">
        <v>508</v>
      </c>
      <c r="C47" s="294">
        <f t="shared" ref="C47:C48" si="5">C148</f>
        <v>406.50808000000006</v>
      </c>
      <c r="D47" s="294"/>
      <c r="E47" s="294">
        <f>C47*'Prac. Rec. Assumptions'!B39</f>
        <v>203.25404000000003</v>
      </c>
      <c r="F47" s="294">
        <f>($C47*(1+'Biomass Data Assumptions'!G$112))*'Prac. Rec. Assumptions'!$B39</f>
        <v>211.57654391264788</v>
      </c>
      <c r="G47" s="294">
        <f>($C47*(1+'Biomass Data Assumptions'!H$112))*'Prac. Rec. Assumptions'!$B39</f>
        <v>220.63882595086446</v>
      </c>
      <c r="H47" s="294">
        <f>($C47*(1+'Biomass Data Assumptions'!I$112))*'Prac. Rec. Assumptions'!$B39</f>
        <v>227.29682908098275</v>
      </c>
      <c r="I47" s="16" t="str">
        <f>IF('Conversion Tables'!F42="NA","NA",(E47*'Conversion Tables'!$C42)/'Conversion Tables'!F42)</f>
        <v>NA</v>
      </c>
      <c r="J47" s="16" t="str">
        <f>IF('Conversion Tables'!G42="NA","NA",(F47*'Conversion Tables'!$C42)/'Conversion Tables'!G42)</f>
        <v>NA</v>
      </c>
      <c r="K47" s="16" t="str">
        <f>IF('Conversion Tables'!H42="NA","NA",(G47*'Conversion Tables'!$C42)/'Conversion Tables'!H42)</f>
        <v>NA</v>
      </c>
      <c r="L47" s="16" t="str">
        <f>IF('Conversion Tables'!I42="NA","NA",(H47*'Conversion Tables'!$C42)/'Conversion Tables'!I42)</f>
        <v>NA</v>
      </c>
      <c r="M47" s="16" t="str">
        <f>IF('Conversion Tables'!K42="NA","NA",E47*'Conversion Tables'!K42)</f>
        <v>NA</v>
      </c>
      <c r="N47" s="16" t="str">
        <f>IF('Conversion Tables'!L42="NA","NA",F47*'Conversion Tables'!L42)</f>
        <v>NA</v>
      </c>
      <c r="O47" s="16" t="str">
        <f>IF('Conversion Tables'!M42="NA","NA",G47*'Conversion Tables'!M42)</f>
        <v>NA</v>
      </c>
      <c r="P47" s="16" t="str">
        <f>IF('Conversion Tables'!N42="NA","NA",H47*'Conversion Tables'!N42)</f>
        <v>NA</v>
      </c>
      <c r="Q47" s="7"/>
    </row>
    <row r="48" spans="1:17" x14ac:dyDescent="0.25">
      <c r="A48" s="1065"/>
      <c r="B48" s="1" t="s">
        <v>509</v>
      </c>
      <c r="C48" s="294">
        <f t="shared" si="5"/>
        <v>36.330300999999999</v>
      </c>
      <c r="D48" s="294"/>
      <c r="E48" s="294">
        <f>C48*'Prac. Rec. Assumptions'!B40</f>
        <v>36.330300999999999</v>
      </c>
      <c r="F48" s="294">
        <f>($C48*(1+'Biomass Data Assumptions'!G$112))*'Prac. Rec. Assumptions'!$B40</f>
        <v>37.817892942675158</v>
      </c>
      <c r="G48" s="294">
        <f>($C48*(1+'Biomass Data Assumptions'!H$112))*'Prac. Rec. Assumptions'!$B40</f>
        <v>39.437715280254771</v>
      </c>
      <c r="H48" s="294">
        <f>($C48*(1+'Biomass Data Assumptions'!I$112))*'Prac. Rec. Assumptions'!$B40</f>
        <v>40.627788834394906</v>
      </c>
      <c r="I48" s="16" t="str">
        <f>IF('Conversion Tables'!F43="NA","NA",(E48*'Conversion Tables'!$C43)/'Conversion Tables'!F43)</f>
        <v>NA</v>
      </c>
      <c r="J48" s="16" t="str">
        <f>IF('Conversion Tables'!G43="NA","NA",(F48*'Conversion Tables'!$C43)/'Conversion Tables'!G43)</f>
        <v>NA</v>
      </c>
      <c r="K48" s="16" t="str">
        <f>IF('Conversion Tables'!H43="NA","NA",(G48*'Conversion Tables'!$C43)/'Conversion Tables'!H43)</f>
        <v>NA</v>
      </c>
      <c r="L48" s="16" t="str">
        <f>IF('Conversion Tables'!I43="NA","NA",(H48*'Conversion Tables'!$C43)/'Conversion Tables'!I43)</f>
        <v>NA</v>
      </c>
      <c r="M48" s="16" t="str">
        <f>IF('Conversion Tables'!K43="NA","NA",E48*'Conversion Tables'!K43)</f>
        <v>NA</v>
      </c>
      <c r="N48" s="16" t="str">
        <f>IF('Conversion Tables'!L43="NA","NA",F48*'Conversion Tables'!L43)</f>
        <v>NA</v>
      </c>
      <c r="O48" s="16" t="str">
        <f>IF('Conversion Tables'!M43="NA","NA",G48*'Conversion Tables'!M43)</f>
        <v>NA</v>
      </c>
      <c r="P48" s="16" t="str">
        <f>IF('Conversion Tables'!N43="NA","NA",H48*'Conversion Tables'!N43)</f>
        <v>NA</v>
      </c>
      <c r="Q48" s="7"/>
    </row>
    <row r="49" spans="1:17" x14ac:dyDescent="0.25">
      <c r="A49" s="1065"/>
      <c r="B49" s="9" t="s">
        <v>524</v>
      </c>
      <c r="C49" s="295">
        <f>SUM(C46:C48)</f>
        <v>4950.9983809999994</v>
      </c>
      <c r="D49" s="295">
        <f>SUM(D45:D48)</f>
        <v>0</v>
      </c>
      <c r="E49" s="295">
        <f t="shared" ref="E49:P49" si="6">SUM(E45:E48)</f>
        <v>4747.7443409999996</v>
      </c>
      <c r="F49" s="295">
        <f>SUM(F45:F48)</f>
        <v>4757.5544368553228</v>
      </c>
      <c r="G49" s="295">
        <f>SUM(G45:G48)</f>
        <v>4768.2365412311192</v>
      </c>
      <c r="H49" s="295">
        <f>SUM(H45:H48)</f>
        <v>4776.0846179153777</v>
      </c>
      <c r="I49" s="19">
        <f t="shared" si="6"/>
        <v>0</v>
      </c>
      <c r="J49" s="19">
        <f t="shared" si="6"/>
        <v>0</v>
      </c>
      <c r="K49" s="19">
        <f t="shared" si="6"/>
        <v>0</v>
      </c>
      <c r="L49" s="19">
        <f t="shared" si="6"/>
        <v>0</v>
      </c>
      <c r="M49" s="19">
        <f t="shared" si="6"/>
        <v>0</v>
      </c>
      <c r="N49" s="19">
        <f t="shared" si="6"/>
        <v>0</v>
      </c>
      <c r="O49" s="19">
        <f t="shared" si="6"/>
        <v>0</v>
      </c>
      <c r="P49" s="19">
        <f t="shared" si="6"/>
        <v>0</v>
      </c>
      <c r="Q49" s="19"/>
    </row>
    <row r="50" spans="1:17" x14ac:dyDescent="0.25">
      <c r="A50" s="8"/>
      <c r="C50" s="296"/>
      <c r="D50" s="296"/>
      <c r="E50" s="296"/>
      <c r="F50" s="296"/>
      <c r="G50" s="296"/>
      <c r="H50" s="296"/>
      <c r="I50" s="28"/>
      <c r="J50" s="28"/>
      <c r="K50" s="28"/>
      <c r="L50" s="28"/>
      <c r="M50" s="28"/>
      <c r="N50" s="28"/>
      <c r="O50" s="28"/>
      <c r="P50" s="28"/>
    </row>
    <row r="51" spans="1:17" x14ac:dyDescent="0.25">
      <c r="A51" s="1200" t="s">
        <v>517</v>
      </c>
      <c r="B51" s="2" t="s">
        <v>505</v>
      </c>
      <c r="C51" s="294"/>
      <c r="D51" s="294"/>
      <c r="E51" s="294"/>
      <c r="F51" s="294"/>
      <c r="G51" s="294"/>
      <c r="H51" s="294"/>
      <c r="I51" s="16"/>
      <c r="J51" s="16"/>
      <c r="K51" s="16"/>
      <c r="L51" s="16"/>
      <c r="M51" s="16"/>
      <c r="N51" s="16"/>
      <c r="O51" s="16"/>
      <c r="P51" s="16"/>
      <c r="Q51" s="7"/>
    </row>
    <row r="52" spans="1:17" x14ac:dyDescent="0.25">
      <c r="A52" s="1201"/>
      <c r="B52" s="12" t="s">
        <v>535</v>
      </c>
      <c r="C52" s="294">
        <f>G97</f>
        <v>2908.3083200000001</v>
      </c>
      <c r="D52" s="299">
        <f>E52*'Conversion Tables'!C45</f>
        <v>8587.6528072960009</v>
      </c>
      <c r="E52" s="299">
        <f>C52*'Prac. Rec. Assumptions'!B42</f>
        <v>581.66166400000009</v>
      </c>
      <c r="F52" s="294">
        <f t="shared" ref="F52:H59" si="7">$E52</f>
        <v>581.66166400000009</v>
      </c>
      <c r="G52" s="294">
        <f t="shared" si="7"/>
        <v>581.66166400000009</v>
      </c>
      <c r="H52" s="294">
        <f t="shared" si="7"/>
        <v>581.66166400000009</v>
      </c>
      <c r="I52" s="16" t="str">
        <f>IF('Conversion Tables'!F45="NA","NA",(E52*'Conversion Tables'!$C45)/'Conversion Tables'!F45)</f>
        <v>NA</v>
      </c>
      <c r="J52" s="16" t="str">
        <f>IF('Conversion Tables'!G45="NA","NA",(F52*'Conversion Tables'!$C45)/'Conversion Tables'!G45)</f>
        <v>NA</v>
      </c>
      <c r="K52" s="16" t="str">
        <f>IF('Conversion Tables'!H45="NA","NA",(G52*'Conversion Tables'!$C45)/'Conversion Tables'!H45)</f>
        <v>NA</v>
      </c>
      <c r="L52" s="16" t="str">
        <f>IF('Conversion Tables'!I45="NA","NA",(H52*'Conversion Tables'!$C45)/'Conversion Tables'!I45)</f>
        <v>NA</v>
      </c>
      <c r="M52" s="16" t="str">
        <f>IF('Conversion Tables'!K45="NA","NA",E52*'Conversion Tables'!K45)</f>
        <v>NA</v>
      </c>
      <c r="N52" s="16" t="str">
        <f>IF('Conversion Tables'!L45="NA","NA",F52*'Conversion Tables'!L45)</f>
        <v>NA</v>
      </c>
      <c r="O52" s="16" t="str">
        <f>IF('Conversion Tables'!M45="NA","NA",G52*'Conversion Tables'!M45)</f>
        <v>NA</v>
      </c>
      <c r="P52" s="16" t="str">
        <f>IF('Conversion Tables'!N45="NA","NA",H52*'Conversion Tables'!N45)</f>
        <v>NA</v>
      </c>
      <c r="Q52" s="27"/>
    </row>
    <row r="53" spans="1:17" x14ac:dyDescent="0.25">
      <c r="A53" s="1201"/>
      <c r="B53" s="12" t="s">
        <v>539</v>
      </c>
      <c r="C53" s="294">
        <f>G104</f>
        <v>13416.337849999998</v>
      </c>
      <c r="D53" s="299">
        <f>E53*'Conversion Tables'!C46</f>
        <v>118847.28721043997</v>
      </c>
      <c r="E53" s="299">
        <f>C53*'Prac. Rec. Assumptions'!B43</f>
        <v>8049.8027099999981</v>
      </c>
      <c r="F53" s="294">
        <f t="shared" si="7"/>
        <v>8049.8027099999981</v>
      </c>
      <c r="G53" s="294">
        <f t="shared" si="7"/>
        <v>8049.8027099999981</v>
      </c>
      <c r="H53" s="294">
        <f t="shared" si="7"/>
        <v>8049.8027099999981</v>
      </c>
      <c r="I53" s="16" t="str">
        <f>IF('Conversion Tables'!F46="NA","NA",(E53*'Conversion Tables'!$C46)/'Conversion Tables'!F46)</f>
        <v>NA</v>
      </c>
      <c r="J53" s="16" t="str">
        <f>IF('Conversion Tables'!G46="NA","NA",(F53*'Conversion Tables'!$C46)/'Conversion Tables'!G46)</f>
        <v>NA</v>
      </c>
      <c r="K53" s="16" t="str">
        <f>IF('Conversion Tables'!H46="NA","NA",(G53*'Conversion Tables'!$C46)/'Conversion Tables'!H46)</f>
        <v>NA</v>
      </c>
      <c r="L53" s="16" t="str">
        <f>IF('Conversion Tables'!I46="NA","NA",(H53*'Conversion Tables'!$C46)/'Conversion Tables'!I46)</f>
        <v>NA</v>
      </c>
      <c r="M53" s="16" t="str">
        <f>IF('Conversion Tables'!K46="NA","NA",E53*'Conversion Tables'!K46)</f>
        <v>NA</v>
      </c>
      <c r="N53" s="16" t="str">
        <f>IF('Conversion Tables'!L46="NA","NA",F53*'Conversion Tables'!L46)</f>
        <v>NA</v>
      </c>
      <c r="O53" s="16" t="str">
        <f>IF('Conversion Tables'!M46="NA","NA",G53*'Conversion Tables'!M46)</f>
        <v>NA</v>
      </c>
      <c r="P53" s="16" t="str">
        <f>IF('Conversion Tables'!N46="NA","NA",H53*'Conversion Tables'!N46)</f>
        <v>NA</v>
      </c>
      <c r="Q53" s="27"/>
    </row>
    <row r="54" spans="1:17" x14ac:dyDescent="0.25">
      <c r="A54" s="1201"/>
      <c r="B54" s="12" t="s">
        <v>545</v>
      </c>
      <c r="C54" s="294">
        <f>G106</f>
        <v>6517.3551375000006</v>
      </c>
      <c r="D54" s="299">
        <f>E54*'Conversion Tables'!C47</f>
        <v>57733.338750030001</v>
      </c>
      <c r="E54" s="299">
        <f>C54*'Prac. Rec. Assumptions'!B44</f>
        <v>3910.4130825000002</v>
      </c>
      <c r="F54" s="294">
        <f t="shared" si="7"/>
        <v>3910.4130825000002</v>
      </c>
      <c r="G54" s="294">
        <f t="shared" si="7"/>
        <v>3910.4130825000002</v>
      </c>
      <c r="H54" s="294">
        <f t="shared" si="7"/>
        <v>3910.4130825000002</v>
      </c>
      <c r="I54" s="16" t="str">
        <f>IF('Conversion Tables'!F47="NA","NA",(E54*'Conversion Tables'!$C47)/'Conversion Tables'!F47)</f>
        <v>NA</v>
      </c>
      <c r="J54" s="16" t="str">
        <f>IF('Conversion Tables'!G47="NA","NA",(F54*'Conversion Tables'!$C47)/'Conversion Tables'!G47)</f>
        <v>NA</v>
      </c>
      <c r="K54" s="16" t="str">
        <f>IF('Conversion Tables'!H47="NA","NA",(G54*'Conversion Tables'!$C47)/'Conversion Tables'!H47)</f>
        <v>NA</v>
      </c>
      <c r="L54" s="16" t="str">
        <f>IF('Conversion Tables'!I47="NA","NA",(H54*'Conversion Tables'!$C47)/'Conversion Tables'!I47)</f>
        <v>NA</v>
      </c>
      <c r="M54" s="16" t="str">
        <f>IF('Conversion Tables'!K47="NA","NA",E54*'Conversion Tables'!K47)</f>
        <v>NA</v>
      </c>
      <c r="N54" s="16" t="str">
        <f>IF('Conversion Tables'!L47="NA","NA",F54*'Conversion Tables'!L47)</f>
        <v>NA</v>
      </c>
      <c r="O54" s="16" t="str">
        <f>IF('Conversion Tables'!M47="NA","NA",G54*'Conversion Tables'!M47)</f>
        <v>NA</v>
      </c>
      <c r="P54" s="16" t="str">
        <f>IF('Conversion Tables'!N47="NA","NA",H54*'Conversion Tables'!N47)</f>
        <v>NA</v>
      </c>
      <c r="Q54" s="27"/>
    </row>
    <row r="55" spans="1:17" x14ac:dyDescent="0.25">
      <c r="A55" s="1201"/>
      <c r="B55" s="12" t="s">
        <v>546</v>
      </c>
      <c r="C55" s="294">
        <f>G108</f>
        <v>429.55937500000005</v>
      </c>
      <c r="D55" s="299">
        <f>E55*'Conversion Tables'!C48</f>
        <v>1268.4029225000002</v>
      </c>
      <c r="E55" s="299">
        <f>C55*'Prac. Rec. Assumptions'!B45</f>
        <v>85.911875000000009</v>
      </c>
      <c r="F55" s="294">
        <f t="shared" si="7"/>
        <v>85.911875000000009</v>
      </c>
      <c r="G55" s="294">
        <f t="shared" si="7"/>
        <v>85.911875000000009</v>
      </c>
      <c r="H55" s="294">
        <f t="shared" si="7"/>
        <v>85.911875000000009</v>
      </c>
      <c r="I55" s="16" t="str">
        <f>IF('Conversion Tables'!F48="NA","NA",(E55*'Conversion Tables'!$C48)/'Conversion Tables'!F48)</f>
        <v>NA</v>
      </c>
      <c r="J55" s="16" t="str">
        <f>IF('Conversion Tables'!G48="NA","NA",(F55*'Conversion Tables'!$C48)/'Conversion Tables'!G48)</f>
        <v>NA</v>
      </c>
      <c r="K55" s="16" t="str">
        <f>IF('Conversion Tables'!H48="NA","NA",(G55*'Conversion Tables'!$C48)/'Conversion Tables'!H48)</f>
        <v>NA</v>
      </c>
      <c r="L55" s="16" t="str">
        <f>IF('Conversion Tables'!I48="NA","NA",(H55*'Conversion Tables'!$C48)/'Conversion Tables'!I48)</f>
        <v>NA</v>
      </c>
      <c r="M55" s="16" t="str">
        <f>IF('Conversion Tables'!K48="NA","NA",E55*'Conversion Tables'!K48)</f>
        <v>NA</v>
      </c>
      <c r="N55" s="16" t="str">
        <f>IF('Conversion Tables'!L48="NA","NA",F55*'Conversion Tables'!L48)</f>
        <v>NA</v>
      </c>
      <c r="O55" s="16" t="str">
        <f>IF('Conversion Tables'!M48="NA","NA",G55*'Conversion Tables'!M48)</f>
        <v>NA</v>
      </c>
      <c r="P55" s="16" t="str">
        <f>IF('Conversion Tables'!N48="NA","NA",H55*'Conversion Tables'!N48)</f>
        <v>NA</v>
      </c>
      <c r="Q55" s="27"/>
    </row>
    <row r="56" spans="1:17" x14ac:dyDescent="0.25">
      <c r="A56" s="1201"/>
      <c r="B56" s="12" t="s">
        <v>547</v>
      </c>
      <c r="C56" s="294">
        <f>G110</f>
        <v>283.50462500000003</v>
      </c>
      <c r="D56" s="299">
        <f>E56*'Conversion Tables'!C49</f>
        <v>837.13245670000015</v>
      </c>
      <c r="E56" s="299">
        <f>C56*'Prac. Rec. Assumptions'!B46</f>
        <v>56.700925000000012</v>
      </c>
      <c r="F56" s="294">
        <f t="shared" si="7"/>
        <v>56.700925000000012</v>
      </c>
      <c r="G56" s="294">
        <f t="shared" si="7"/>
        <v>56.700925000000012</v>
      </c>
      <c r="H56" s="294">
        <f t="shared" si="7"/>
        <v>56.700925000000012</v>
      </c>
      <c r="I56" s="16" t="str">
        <f>IF('Conversion Tables'!F49="NA","NA",(E56*'Conversion Tables'!$C49)/'Conversion Tables'!F49)</f>
        <v>NA</v>
      </c>
      <c r="J56" s="16" t="str">
        <f>IF('Conversion Tables'!G49="NA","NA",(F56*'Conversion Tables'!$C49)/'Conversion Tables'!G49)</f>
        <v>NA</v>
      </c>
      <c r="K56" s="16" t="str">
        <f>IF('Conversion Tables'!H49="NA","NA",(G56*'Conversion Tables'!$C49)/'Conversion Tables'!H49)</f>
        <v>NA</v>
      </c>
      <c r="L56" s="16" t="str">
        <f>IF('Conversion Tables'!I49="NA","NA",(H56*'Conversion Tables'!$C49)/'Conversion Tables'!I49)</f>
        <v>NA</v>
      </c>
      <c r="M56" s="16" t="str">
        <f>IF('Conversion Tables'!K49="NA","NA",E56*'Conversion Tables'!K49)</f>
        <v>NA</v>
      </c>
      <c r="N56" s="16" t="str">
        <f>IF('Conversion Tables'!L49="NA","NA",F56*'Conversion Tables'!L49)</f>
        <v>NA</v>
      </c>
      <c r="O56" s="16" t="str">
        <f>IF('Conversion Tables'!M49="NA","NA",G56*'Conversion Tables'!M49)</f>
        <v>NA</v>
      </c>
      <c r="P56" s="16" t="str">
        <f>IF('Conversion Tables'!N49="NA","NA",H56*'Conversion Tables'!N49)</f>
        <v>NA</v>
      </c>
      <c r="Q56" s="27"/>
    </row>
    <row r="57" spans="1:17" x14ac:dyDescent="0.25">
      <c r="A57" s="1201"/>
      <c r="B57" s="133" t="s">
        <v>605</v>
      </c>
      <c r="C57" s="294">
        <f>G115</f>
        <v>288.20400000000001</v>
      </c>
      <c r="D57" s="299">
        <f>E57*'Conversion Tables'!C50</f>
        <v>2127.5219280000001</v>
      </c>
      <c r="E57" s="299">
        <f>C57*'Prac. Rec. Assumptions'!B47</f>
        <v>144.102</v>
      </c>
      <c r="F57" s="294">
        <f t="shared" si="7"/>
        <v>144.102</v>
      </c>
      <c r="G57" s="294">
        <f t="shared" si="7"/>
        <v>144.102</v>
      </c>
      <c r="H57" s="294">
        <f t="shared" si="7"/>
        <v>144.102</v>
      </c>
      <c r="I57" s="16" t="str">
        <f>IF('Conversion Tables'!F50="NA","NA",(E57*'Conversion Tables'!$C50)/'Conversion Tables'!F50)</f>
        <v>NA</v>
      </c>
      <c r="J57" s="16" t="str">
        <f>IF('Conversion Tables'!G50="NA","NA",(F57*'Conversion Tables'!$C50)/'Conversion Tables'!G50)</f>
        <v>NA</v>
      </c>
      <c r="K57" s="16" t="str">
        <f>IF('Conversion Tables'!H50="NA","NA",(G57*'Conversion Tables'!$C50)/'Conversion Tables'!H50)</f>
        <v>NA</v>
      </c>
      <c r="L57" s="16" t="str">
        <f>IF('Conversion Tables'!I50="NA","NA",(H57*'Conversion Tables'!$C50)/'Conversion Tables'!I50)</f>
        <v>NA</v>
      </c>
      <c r="M57" s="16" t="str">
        <f>IF('Conversion Tables'!K50="NA","NA",E57*'Conversion Tables'!K50)</f>
        <v>NA</v>
      </c>
      <c r="N57" s="16" t="str">
        <f>IF('Conversion Tables'!L50="NA","NA",F57*'Conversion Tables'!L50)</f>
        <v>NA</v>
      </c>
      <c r="O57" s="16" t="str">
        <f>IF('Conversion Tables'!M50="NA","NA",G57*'Conversion Tables'!M50)</f>
        <v>NA</v>
      </c>
      <c r="P57" s="16" t="str">
        <f>IF('Conversion Tables'!N50="NA","NA",H57*'Conversion Tables'!N50)</f>
        <v>NA</v>
      </c>
      <c r="Q57" s="27"/>
    </row>
    <row r="58" spans="1:17" x14ac:dyDescent="0.25">
      <c r="A58" s="1201"/>
      <c r="B58" s="12" t="s">
        <v>551</v>
      </c>
      <c r="C58" s="294">
        <f>G117</f>
        <v>9464.4956249999996</v>
      </c>
      <c r="D58" s="299">
        <f>E58*'Conversion Tables'!C51</f>
        <v>113573.94749999999</v>
      </c>
      <c r="E58" s="299">
        <f>C58*'Prac. Rec. Assumptions'!B48</f>
        <v>9464.4956249999996</v>
      </c>
      <c r="F58" s="294">
        <f t="shared" si="7"/>
        <v>9464.4956249999996</v>
      </c>
      <c r="G58" s="294">
        <f t="shared" si="7"/>
        <v>9464.4956249999996</v>
      </c>
      <c r="H58" s="294">
        <f t="shared" si="7"/>
        <v>9464.4956249999996</v>
      </c>
      <c r="I58" s="16" t="str">
        <f>IF('Conversion Tables'!F51="NA","NA",(E58*'Conversion Tables'!$C51)/'Conversion Tables'!F51)</f>
        <v>NA</v>
      </c>
      <c r="J58" s="16" t="str">
        <f>IF('Conversion Tables'!G51="NA","NA",(F58*'Conversion Tables'!$C51)/'Conversion Tables'!G51)</f>
        <v>NA</v>
      </c>
      <c r="K58" s="16" t="str">
        <f>IF('Conversion Tables'!H51="NA","NA",(G58*'Conversion Tables'!$C51)/'Conversion Tables'!H51)</f>
        <v>NA</v>
      </c>
      <c r="L58" s="16" t="str">
        <f>IF('Conversion Tables'!I51="NA","NA",(H58*'Conversion Tables'!$C51)/'Conversion Tables'!I51)</f>
        <v>NA</v>
      </c>
      <c r="M58" s="16" t="str">
        <f>IF('Conversion Tables'!K51="NA","NA",E58*'Conversion Tables'!K51)</f>
        <v>NA</v>
      </c>
      <c r="N58" s="16" t="str">
        <f>IF('Conversion Tables'!L51="NA","NA",F58*'Conversion Tables'!L51)</f>
        <v>NA</v>
      </c>
      <c r="O58" s="16" t="str">
        <f>IF('Conversion Tables'!M51="NA","NA",G58*'Conversion Tables'!M51)</f>
        <v>NA</v>
      </c>
      <c r="P58" s="16" t="str">
        <f>IF('Conversion Tables'!N51="NA","NA",H58*'Conversion Tables'!N51)</f>
        <v>NA</v>
      </c>
      <c r="Q58" s="27"/>
    </row>
    <row r="59" spans="1:17" x14ac:dyDescent="0.25">
      <c r="A59" s="1201"/>
      <c r="B59" s="12" t="s">
        <v>552</v>
      </c>
      <c r="C59" s="294">
        <f>G119</f>
        <v>0</v>
      </c>
      <c r="D59" s="299">
        <f>E59*'Conversion Tables'!C52</f>
        <v>0</v>
      </c>
      <c r="E59" s="299">
        <f>C59*'Prac. Rec. Assumptions'!B49</f>
        <v>0</v>
      </c>
      <c r="F59" s="294">
        <f t="shared" si="7"/>
        <v>0</v>
      </c>
      <c r="G59" s="294">
        <f t="shared" si="7"/>
        <v>0</v>
      </c>
      <c r="H59" s="294">
        <f t="shared" si="7"/>
        <v>0</v>
      </c>
      <c r="I59" s="16" t="str">
        <f>IF('Conversion Tables'!F52="NA","NA",(E59*'Conversion Tables'!$C52)/'Conversion Tables'!F52)</f>
        <v>NA</v>
      </c>
      <c r="J59" s="16" t="str">
        <f>IF('Conversion Tables'!G52="NA","NA",(F59*'Conversion Tables'!$C52)/'Conversion Tables'!G52)</f>
        <v>NA</v>
      </c>
      <c r="K59" s="16" t="str">
        <f>IF('Conversion Tables'!H52="NA","NA",(G59*'Conversion Tables'!$C52)/'Conversion Tables'!H52)</f>
        <v>NA</v>
      </c>
      <c r="L59" s="16" t="str">
        <f>IF('Conversion Tables'!I52="NA","NA",(H59*'Conversion Tables'!$C52)/'Conversion Tables'!I52)</f>
        <v>NA</v>
      </c>
      <c r="M59" s="16" t="str">
        <f>IF('Conversion Tables'!K52="NA","NA",E59*'Conversion Tables'!K52)</f>
        <v>NA</v>
      </c>
      <c r="N59" s="16" t="str">
        <f>IF('Conversion Tables'!L52="NA","NA",F59*'Conversion Tables'!L52)</f>
        <v>NA</v>
      </c>
      <c r="O59" s="16" t="str">
        <f>IF('Conversion Tables'!M52="NA","NA",G59*'Conversion Tables'!M52)</f>
        <v>NA</v>
      </c>
      <c r="P59" s="16" t="str">
        <f>IF('Conversion Tables'!N52="NA","NA",H59*'Conversion Tables'!N52)</f>
        <v>NA</v>
      </c>
      <c r="Q59" s="27"/>
    </row>
    <row r="60" spans="1:17" x14ac:dyDescent="0.25">
      <c r="A60" s="1202"/>
      <c r="B60" s="129" t="s">
        <v>305</v>
      </c>
      <c r="C60" s="294">
        <f>'Biomass Data Assumptions'!AE27</f>
        <v>156.08709600000009</v>
      </c>
      <c r="D60" s="299">
        <f>E60*'Conversion Tables'!C53</f>
        <v>1873.0451520000011</v>
      </c>
      <c r="E60" s="299">
        <f>C60*'Prac. Rec. Assumptions'!B50</f>
        <v>156.08709600000009</v>
      </c>
      <c r="F60" s="294">
        <f>($C60*(1+'Biomass Data Assumptions'!G$112*(4/5)))*'Prac. Rec. Assumptions'!$B50</f>
        <v>161.20004909918117</v>
      </c>
      <c r="G60" s="294">
        <f>($C60*(1+'Biomass Data Assumptions'!H$112*(9/10)))*'Prac. Rec. Assumptions'!$B50</f>
        <v>168.10253578307564</v>
      </c>
      <c r="H60" s="294">
        <f>($C60*(1+'Biomass Data Assumptions'!I$112*(14/15)))*'Prac. Rec. Assumptions'!$B50</f>
        <v>173.31964163057333</v>
      </c>
      <c r="I60" s="16" t="str">
        <f>IF('Conversion Tables'!F53="NA","NA",(E60*'Conversion Tables'!$C53)/'Conversion Tables'!F53)</f>
        <v>NA</v>
      </c>
      <c r="J60" s="16" t="str">
        <f>IF('Conversion Tables'!G53="NA","NA",(F60*'Conversion Tables'!$C53)/'Conversion Tables'!G53)</f>
        <v>NA</v>
      </c>
      <c r="K60" s="16" t="str">
        <f>IF('Conversion Tables'!H53="NA","NA",(G60*'Conversion Tables'!$C53)/'Conversion Tables'!H53)</f>
        <v>NA</v>
      </c>
      <c r="L60" s="16" t="str">
        <f>IF('Conversion Tables'!I53="NA","NA",(H60*'Conversion Tables'!$C53)/'Conversion Tables'!I53)</f>
        <v>NA</v>
      </c>
      <c r="M60" s="16" t="str">
        <f>IF('Conversion Tables'!K53="NA","NA",E60*'Conversion Tables'!K53)</f>
        <v>NA</v>
      </c>
      <c r="N60" s="16" t="str">
        <f>IF('Conversion Tables'!L53="NA","NA",F60*'Conversion Tables'!L53)</f>
        <v>NA</v>
      </c>
      <c r="O60" s="16" t="str">
        <f>IF('Conversion Tables'!M53="NA","NA",G60*'Conversion Tables'!M53)</f>
        <v>NA</v>
      </c>
      <c r="P60" s="16" t="str">
        <f>IF('Conversion Tables'!N53="NA","NA",H60*'Conversion Tables'!N53)</f>
        <v>NA</v>
      </c>
      <c r="Q60" s="7"/>
    </row>
    <row r="61" spans="1:17" x14ac:dyDescent="0.25">
      <c r="A61" s="1202"/>
      <c r="B61" s="9" t="s">
        <v>257</v>
      </c>
      <c r="C61" s="295">
        <f>SUM(C52:C60)</f>
        <v>33463.852028500005</v>
      </c>
      <c r="D61" s="295">
        <f>SUM(D52:D60)</f>
        <v>304848.32872696593</v>
      </c>
      <c r="E61" s="295">
        <f t="shared" ref="E61:P61" si="8">SUM(E52:E60)</f>
        <v>22449.174977499995</v>
      </c>
      <c r="F61" s="295">
        <f>SUM(F52:F60)</f>
        <v>22454.287930599177</v>
      </c>
      <c r="G61" s="295">
        <f>SUM(G52:G60)</f>
        <v>22461.190417283073</v>
      </c>
      <c r="H61" s="295">
        <f>SUM(H52:H60)</f>
        <v>22466.407523130569</v>
      </c>
      <c r="I61" s="19">
        <f t="shared" si="8"/>
        <v>0</v>
      </c>
      <c r="J61" s="19">
        <f t="shared" si="8"/>
        <v>0</v>
      </c>
      <c r="K61" s="19">
        <f t="shared" si="8"/>
        <v>0</v>
      </c>
      <c r="L61" s="19">
        <f t="shared" si="8"/>
        <v>0</v>
      </c>
      <c r="M61" s="19">
        <f t="shared" si="8"/>
        <v>0</v>
      </c>
      <c r="N61" s="19">
        <f t="shared" si="8"/>
        <v>0</v>
      </c>
      <c r="O61" s="19">
        <f t="shared" si="8"/>
        <v>0</v>
      </c>
      <c r="P61" s="19">
        <f t="shared" si="8"/>
        <v>0</v>
      </c>
      <c r="Q61" s="7"/>
    </row>
    <row r="62" spans="1:17" x14ac:dyDescent="0.25">
      <c r="A62" s="1202"/>
      <c r="B62" s="7" t="s">
        <v>256</v>
      </c>
      <c r="C62" s="298" t="s">
        <v>251</v>
      </c>
      <c r="D62" s="13"/>
      <c r="E62" s="298" t="s">
        <v>251</v>
      </c>
      <c r="F62" s="298"/>
      <c r="G62" s="298"/>
      <c r="H62" s="298"/>
      <c r="I62" s="7"/>
      <c r="J62" s="7"/>
      <c r="K62" s="7"/>
      <c r="L62" s="7"/>
      <c r="M62" s="7"/>
      <c r="N62" s="7"/>
      <c r="O62" s="7"/>
      <c r="P62" s="7"/>
      <c r="Q62" s="7"/>
    </row>
    <row r="63" spans="1:17" x14ac:dyDescent="0.25">
      <c r="A63" s="1203"/>
      <c r="B63" s="133" t="s">
        <v>304</v>
      </c>
      <c r="C63" s="294">
        <f>'Biomass Data Assumptions'!AB27</f>
        <v>7.8599100000000011</v>
      </c>
      <c r="D63" s="300">
        <f>E63*'Conversion Tables'!C55</f>
        <v>4865.2842900000005</v>
      </c>
      <c r="E63" s="299">
        <f>C63*'Prac. Rec. Assumptions'!B51</f>
        <v>7.8599100000000011</v>
      </c>
      <c r="F63" s="294">
        <f>($C63*(1+'Biomass Data Assumptions'!G$112*(4/5)))*'Prac. Rec. Assumptions'!$B51</f>
        <v>8.1173774795268443</v>
      </c>
      <c r="G63" s="294">
        <f>($C63*(1+'Biomass Data Assumptions'!H$112*(9/10)))*'Prac. Rec. Assumptions'!$B51</f>
        <v>8.4649585768880815</v>
      </c>
      <c r="H63" s="294">
        <f>($C63*(1+'Biomass Data Assumptions'!I$112*(14/15)))*'Prac. Rec. Assumptions'!$B51</f>
        <v>8.7276707643312115</v>
      </c>
      <c r="I63" s="16" t="str">
        <f>IF('Conversion Tables'!F55="NA","NA",(E63*'Conversion Tables'!$C55)/'Conversion Tables'!F55)</f>
        <v>NA</v>
      </c>
      <c r="J63" s="16" t="str">
        <f>IF('Conversion Tables'!G55="NA","NA",(F63*'Conversion Tables'!$C55)/'Conversion Tables'!G55)</f>
        <v>NA</v>
      </c>
      <c r="K63" s="16" t="str">
        <f>IF('Conversion Tables'!H55="NA","NA",(G63*'Conversion Tables'!$C55)/'Conversion Tables'!H55)</f>
        <v>NA</v>
      </c>
      <c r="L63" s="16" t="str">
        <f>IF('Conversion Tables'!I55="NA","NA",(H63*'Conversion Tables'!$C55)/'Conversion Tables'!I55)</f>
        <v>NA</v>
      </c>
      <c r="M63" s="16" t="str">
        <f>IF('Conversion Tables'!K55="NA","NA",E63*'Conversion Tables'!K55)</f>
        <v>NA</v>
      </c>
      <c r="N63" s="16" t="str">
        <f>IF('Conversion Tables'!L55="NA","NA",F63*'Conversion Tables'!L55)</f>
        <v>NA</v>
      </c>
      <c r="O63" s="16" t="str">
        <f>IF('Conversion Tables'!M55="NA","NA",G63*'Conversion Tables'!M55)</f>
        <v>NA</v>
      </c>
      <c r="P63" s="16" t="str">
        <f>IF('Conversion Tables'!N55="NA","NA",H63*'Conversion Tables'!N55)</f>
        <v>NA</v>
      </c>
      <c r="Q63" s="7"/>
    </row>
    <row r="64" spans="1:17" x14ac:dyDescent="0.25">
      <c r="A64" s="1204"/>
      <c r="B64" s="17" t="s">
        <v>512</v>
      </c>
      <c r="C64" s="294">
        <f>'Biomass Data Assumptions'!X27</f>
        <v>93.632656999999995</v>
      </c>
      <c r="D64" s="300">
        <f>E64*'Conversion Tables'!C56</f>
        <v>47378.124442</v>
      </c>
      <c r="E64" s="299">
        <f>C64*'Prac. Rec. Assumptions'!B52</f>
        <v>93.632656999999995</v>
      </c>
      <c r="F64" s="545">
        <f>($C64*(1+'Biomass Data Assumptions'!G$112*(3/5))*(1+('Biomass Data Assumptions'!C$82-((1+'Biomass Data Assumptions'!$B$82)^2 - 1))))*'Prac. Rec. Assumptions'!$B52</f>
        <v>95.893927733954342</v>
      </c>
      <c r="G64" s="545">
        <f>($C64*(1+'Biomass Data Assumptions'!H$112*(4/5))*(1+('Biomass Data Assumptions'!D$82-((1+'Biomass Data Assumptions'!$B$82)^2 - 1))))*'Prac. Rec. Assumptions'!$B52</f>
        <v>99.930922332088855</v>
      </c>
      <c r="H64" s="545">
        <f>($C64*(1+'Biomass Data Assumptions'!I$112*(13/15))*(1+('Biomass Data Assumptions'!E$82-((1+'Biomass Data Assumptions'!$B$82)^2 - 1))))*'Prac. Rec. Assumptions'!$B52</f>
        <v>103.04954612729576</v>
      </c>
      <c r="I64" s="16" t="str">
        <f>IF('Conversion Tables'!F56="NA","NA",(E64*'Conversion Tables'!$C56)/'Conversion Tables'!F56)</f>
        <v>NA</v>
      </c>
      <c r="J64" s="16" t="str">
        <f>IF('Conversion Tables'!G56="NA","NA",(F64*'Conversion Tables'!$C56)/'Conversion Tables'!G56)</f>
        <v>NA</v>
      </c>
      <c r="K64" s="16" t="str">
        <f>IF('Conversion Tables'!H56="NA","NA",(G64*'Conversion Tables'!$C56)/'Conversion Tables'!H56)</f>
        <v>NA</v>
      </c>
      <c r="L64" s="16" t="str">
        <f>IF('Conversion Tables'!I56="NA","NA",(H64*'Conversion Tables'!$C56)/'Conversion Tables'!I56)</f>
        <v>NA</v>
      </c>
      <c r="M64" s="16" t="str">
        <f>IF('Conversion Tables'!K56="NA","NA",E64*'Conversion Tables'!K56)</f>
        <v>NA</v>
      </c>
      <c r="N64" s="16" t="str">
        <f>IF('Conversion Tables'!L56="NA","NA",F64*'Conversion Tables'!L56)</f>
        <v>NA</v>
      </c>
      <c r="O64" s="16" t="str">
        <f>IF('Conversion Tables'!M56="NA","NA",G64*'Conversion Tables'!M56)</f>
        <v>NA</v>
      </c>
      <c r="P64" s="16" t="str">
        <f>IF('Conversion Tables'!N56="NA","NA",H64*'Conversion Tables'!N56)</f>
        <v>NA</v>
      </c>
      <c r="Q64" s="7"/>
    </row>
    <row r="65" spans="1:19" x14ac:dyDescent="0.25">
      <c r="A65" s="1204"/>
      <c r="B65" s="9" t="s">
        <v>248</v>
      </c>
      <c r="C65" s="295">
        <f>SUM(C63:C64)</f>
        <v>101.49256699999999</v>
      </c>
      <c r="D65" s="295">
        <f>SUM(D63:D64)</f>
        <v>52243.408732000004</v>
      </c>
      <c r="E65" s="295">
        <f t="shared" ref="E65:P65" si="9">SUM(E63:E64)</f>
        <v>101.49256699999999</v>
      </c>
      <c r="F65" s="295">
        <f>SUM(F63:F64)</f>
        <v>104.01130521348119</v>
      </c>
      <c r="G65" s="295">
        <f>SUM(G63:G64)</f>
        <v>108.39588090897693</v>
      </c>
      <c r="H65" s="295">
        <f>SUM(H63:H64)</f>
        <v>111.77721689162696</v>
      </c>
      <c r="I65" s="19">
        <f t="shared" si="9"/>
        <v>0</v>
      </c>
      <c r="J65" s="19">
        <f t="shared" si="9"/>
        <v>0</v>
      </c>
      <c r="K65" s="19">
        <f t="shared" si="9"/>
        <v>0</v>
      </c>
      <c r="L65" s="19">
        <f t="shared" si="9"/>
        <v>0</v>
      </c>
      <c r="M65" s="19">
        <f t="shared" si="9"/>
        <v>0</v>
      </c>
      <c r="N65" s="19">
        <f t="shared" si="9"/>
        <v>0</v>
      </c>
      <c r="O65" s="19">
        <f t="shared" si="9"/>
        <v>0</v>
      </c>
      <c r="P65" s="19">
        <f t="shared" si="9"/>
        <v>0</v>
      </c>
      <c r="Q65" s="19">
        <f>SUM(Q51:Q64)</f>
        <v>0</v>
      </c>
    </row>
    <row r="66" spans="1:19" x14ac:dyDescent="0.25">
      <c r="A66" s="1204"/>
      <c r="B66" s="9"/>
      <c r="C66" s="295"/>
      <c r="D66" s="295"/>
      <c r="E66" s="295"/>
      <c r="F66" s="295"/>
      <c r="G66" s="295"/>
      <c r="H66" s="295"/>
      <c r="I66" s="19"/>
      <c r="J66" s="19"/>
      <c r="K66" s="19"/>
      <c r="L66" s="19"/>
      <c r="M66" s="19"/>
      <c r="N66" s="19"/>
      <c r="O66" s="19"/>
      <c r="P66" s="19"/>
      <c r="Q66" s="19"/>
    </row>
    <row r="67" spans="1:19" x14ac:dyDescent="0.25">
      <c r="A67" s="1205"/>
      <c r="B67" s="9" t="s">
        <v>258</v>
      </c>
      <c r="C67" s="295">
        <f>C61+(C63*1000000/29487.1582406855)+(C64*1000000/25364.5039539246)</f>
        <v>37421.889551591878</v>
      </c>
      <c r="D67" s="295">
        <f>D61+D65</f>
        <v>357091.73745896592</v>
      </c>
      <c r="E67" s="295">
        <f>E61+(E63*1000000/29487.1582406855)+(E64*1000000/25364.5039539246)</f>
        <v>26407.212500591868</v>
      </c>
      <c r="F67" s="295">
        <f t="shared" ref="F67:H67" si="10">F61+(F63*1000000/29487.1582406855)+(F64*1000000/25364.5039539246)</f>
        <v>26510.207959578995</v>
      </c>
      <c r="G67" s="295">
        <f t="shared" si="10"/>
        <v>26688.057204987308</v>
      </c>
      <c r="H67" s="295">
        <f t="shared" si="10"/>
        <v>26825.135975092759</v>
      </c>
      <c r="I67" s="19">
        <f t="shared" ref="I67:P67" si="11">I61+I65</f>
        <v>0</v>
      </c>
      <c r="J67" s="19">
        <f t="shared" si="11"/>
        <v>0</v>
      </c>
      <c r="K67" s="19">
        <f t="shared" si="11"/>
        <v>0</v>
      </c>
      <c r="L67" s="19">
        <f t="shared" si="11"/>
        <v>0</v>
      </c>
      <c r="M67" s="19">
        <f t="shared" si="11"/>
        <v>0</v>
      </c>
      <c r="N67" s="19">
        <f t="shared" si="11"/>
        <v>0</v>
      </c>
      <c r="O67" s="19">
        <f t="shared" si="11"/>
        <v>0</v>
      </c>
      <c r="P67" s="19">
        <f t="shared" si="11"/>
        <v>0</v>
      </c>
      <c r="Q67" s="19"/>
    </row>
    <row r="68" spans="1:19" customFormat="1" x14ac:dyDescent="0.25">
      <c r="B68" s="270" t="s">
        <v>162</v>
      </c>
      <c r="C68" s="132">
        <f>C11+C29+C43+C49+C67</f>
        <v>251011.27559325853</v>
      </c>
      <c r="D68" s="132"/>
      <c r="E68" s="132">
        <f>E11+E29+E43+E49+E67</f>
        <v>121494.35309985853</v>
      </c>
      <c r="F68" s="132">
        <f>F11+F29+F43+F49+F67</f>
        <v>122377.16373279263</v>
      </c>
      <c r="G68" s="132">
        <f>G11+G29+G43+G49+G67</f>
        <v>123430.28585639759</v>
      </c>
      <c r="H68" s="132">
        <f>H11+H29+H43+H49+H67</f>
        <v>124347.61107754125</v>
      </c>
      <c r="I68" s="264"/>
    </row>
    <row r="69" spans="1:19" ht="13.8" thickBot="1" x14ac:dyDescent="0.3">
      <c r="A69" s="10"/>
      <c r="B69" s="10"/>
      <c r="C69" s="10"/>
      <c r="D69" s="10"/>
      <c r="E69" s="10"/>
      <c r="F69" s="10"/>
      <c r="G69" s="10"/>
      <c r="H69" s="10"/>
      <c r="I69" s="1003">
        <f>SUM(I8:I66)/2</f>
        <v>0</v>
      </c>
      <c r="J69" s="1003">
        <f>SUM(J8:J66)/2</f>
        <v>0</v>
      </c>
      <c r="K69" s="1003">
        <f>SUM(K8:K66)/2</f>
        <v>0</v>
      </c>
      <c r="L69" s="1003">
        <f>SUM(L8:L66)/2</f>
        <v>0</v>
      </c>
      <c r="M69" s="1003">
        <f>SUM(M8:M66)/2</f>
        <v>0</v>
      </c>
      <c r="N69" s="1003">
        <f t="shared" ref="N69:P69" si="12">SUM(N8:N66)/2</f>
        <v>0</v>
      </c>
      <c r="O69" s="1003">
        <f t="shared" si="12"/>
        <v>0</v>
      </c>
      <c r="P69" s="1003">
        <f t="shared" si="12"/>
        <v>0</v>
      </c>
      <c r="Q69" s="10"/>
      <c r="R69" s="10"/>
      <c r="S69" s="10"/>
    </row>
    <row r="70" spans="1:19" x14ac:dyDescent="0.25">
      <c r="A70" s="35" t="s">
        <v>23</v>
      </c>
      <c r="B70" s="36"/>
      <c r="C70" s="36"/>
      <c r="D70" s="36"/>
      <c r="E70" s="36"/>
      <c r="F70" s="36"/>
      <c r="G70" s="36"/>
      <c r="H70" s="36"/>
      <c r="I70" s="36"/>
      <c r="J70" s="36"/>
      <c r="K70" s="36"/>
      <c r="L70" s="36"/>
      <c r="M70" s="36"/>
      <c r="N70" s="36"/>
      <c r="O70" s="36"/>
      <c r="P70" s="36"/>
      <c r="Q70" s="36"/>
      <c r="R70" s="36"/>
    </row>
    <row r="71" spans="1:19" x14ac:dyDescent="0.25">
      <c r="A71" s="36"/>
      <c r="B71" s="36"/>
      <c r="C71" s="36"/>
      <c r="D71" s="36"/>
      <c r="E71" s="36"/>
      <c r="F71" s="36"/>
      <c r="G71" s="36"/>
      <c r="H71" s="36"/>
      <c r="I71" s="36"/>
      <c r="J71" s="36"/>
      <c r="K71" s="36"/>
      <c r="L71" s="36"/>
      <c r="M71" s="36"/>
      <c r="N71" s="36"/>
      <c r="O71" s="36"/>
      <c r="P71" s="36"/>
      <c r="Q71" s="36"/>
      <c r="R71" s="36"/>
    </row>
    <row r="72" spans="1:19" x14ac:dyDescent="0.25">
      <c r="A72" s="36"/>
      <c r="B72" s="36"/>
      <c r="C72" s="36"/>
      <c r="D72" s="36"/>
      <c r="E72" s="36"/>
      <c r="F72" s="36"/>
      <c r="G72" s="36"/>
      <c r="H72" s="36"/>
      <c r="I72" s="36"/>
      <c r="J72" s="36"/>
      <c r="K72" s="36"/>
      <c r="L72" s="36"/>
      <c r="M72" s="36"/>
      <c r="N72" s="36"/>
      <c r="O72" s="36"/>
      <c r="P72" s="36"/>
      <c r="Q72" s="36"/>
      <c r="R72" s="36"/>
    </row>
    <row r="73" spans="1:19" ht="26.4" x14ac:dyDescent="0.25">
      <c r="A73" s="37" t="s">
        <v>1037</v>
      </c>
      <c r="B73" s="454" t="s">
        <v>297</v>
      </c>
      <c r="C73" s="37" t="s">
        <v>1042</v>
      </c>
      <c r="D73" s="37" t="s">
        <v>1041</v>
      </c>
      <c r="E73" s="36" t="s">
        <v>598</v>
      </c>
      <c r="F73" s="38"/>
      <c r="G73" s="38"/>
      <c r="H73" s="36"/>
      <c r="I73" s="36"/>
      <c r="J73" s="36"/>
      <c r="K73" s="36"/>
      <c r="L73" s="36"/>
      <c r="M73" s="36"/>
      <c r="N73" s="36"/>
      <c r="O73" s="36"/>
      <c r="P73" s="36"/>
      <c r="Q73" s="36"/>
      <c r="R73" s="36"/>
    </row>
    <row r="74" spans="1:19" x14ac:dyDescent="0.25">
      <c r="A74" s="39" t="s">
        <v>519</v>
      </c>
      <c r="B74" s="21">
        <v>320</v>
      </c>
      <c r="C74" s="40">
        <f>'Biomass Data Assumptions'!B38*B74</f>
        <v>20896</v>
      </c>
      <c r="D74" s="40">
        <f>(C74*'Biomass Data Assumptions'!C38)/2000</f>
        <v>585.08799999999997</v>
      </c>
      <c r="E74" s="41"/>
      <c r="F74" s="41"/>
      <c r="G74" s="41"/>
      <c r="H74" s="36"/>
      <c r="I74" s="36"/>
      <c r="J74" s="36"/>
      <c r="K74" s="36"/>
      <c r="L74" s="36"/>
      <c r="M74" s="36"/>
      <c r="N74" s="36"/>
      <c r="O74" s="36"/>
      <c r="P74" s="36"/>
      <c r="Q74" s="36"/>
      <c r="R74" s="36"/>
    </row>
    <row r="75" spans="1:19" x14ac:dyDescent="0.25">
      <c r="A75" s="39" t="s">
        <v>520</v>
      </c>
      <c r="B75" s="21">
        <v>131</v>
      </c>
      <c r="C75" s="40">
        <f>'Biomass Data Assumptions'!B39*B75</f>
        <v>3576.3</v>
      </c>
      <c r="D75" s="40">
        <f>(C75*'Biomass Data Assumptions'!C39)/2000</f>
        <v>100.13640000000001</v>
      </c>
      <c r="E75" s="41"/>
      <c r="F75" s="41"/>
      <c r="G75" s="41"/>
      <c r="H75" s="36"/>
      <c r="I75" s="36"/>
      <c r="J75" s="36"/>
      <c r="K75" s="36"/>
      <c r="L75" s="36"/>
      <c r="M75" s="36"/>
      <c r="N75" s="36"/>
      <c r="O75" s="36"/>
      <c r="P75" s="36"/>
      <c r="Q75" s="36"/>
      <c r="R75" s="36"/>
    </row>
    <row r="76" spans="1:19" x14ac:dyDescent="0.25">
      <c r="A76" s="39" t="s">
        <v>521</v>
      </c>
      <c r="B76" s="21">
        <v>13968</v>
      </c>
      <c r="C76" s="40">
        <f>'Biomass Data Assumptions'!B40*B76</f>
        <v>1746000</v>
      </c>
      <c r="D76" s="40">
        <f>(C76*'Biomass Data Assumptions'!C40)/2000</f>
        <v>48888</v>
      </c>
      <c r="E76" s="41"/>
      <c r="F76" s="41"/>
      <c r="G76" s="41"/>
      <c r="H76" s="36"/>
      <c r="I76" s="36"/>
      <c r="J76" s="36"/>
      <c r="K76" s="36"/>
      <c r="L76" s="36"/>
      <c r="M76" s="36"/>
      <c r="N76" s="36"/>
      <c r="O76" s="36"/>
      <c r="P76" s="36"/>
      <c r="Q76" s="36"/>
      <c r="R76" s="36"/>
    </row>
    <row r="77" spans="1:19" x14ac:dyDescent="0.25">
      <c r="A77" s="39" t="s">
        <v>525</v>
      </c>
      <c r="B77" s="21">
        <v>4696</v>
      </c>
      <c r="C77" s="40">
        <f>'Biomass Data Assumptions'!B41*B77</f>
        <v>150272</v>
      </c>
      <c r="D77" s="40">
        <f>(C77*'Biomass Data Assumptions'!C41)/2000</f>
        <v>4508.16</v>
      </c>
      <c r="E77" s="41"/>
      <c r="F77" s="41"/>
      <c r="G77" s="41"/>
      <c r="H77" s="36"/>
      <c r="I77" s="36"/>
      <c r="J77" s="36"/>
      <c r="K77" s="36"/>
      <c r="L77" s="36"/>
      <c r="M77" s="36"/>
      <c r="N77" s="36"/>
      <c r="O77" s="36"/>
      <c r="P77" s="36"/>
      <c r="Q77" s="36"/>
      <c r="R77" s="36"/>
    </row>
    <row r="78" spans="1:19" x14ac:dyDescent="0.25">
      <c r="A78" s="39" t="s">
        <v>522</v>
      </c>
      <c r="B78" s="21">
        <v>1115</v>
      </c>
      <c r="C78" s="40">
        <f>'Biomass Data Assumptions'!B42*B78</f>
        <v>60210</v>
      </c>
      <c r="D78" s="40">
        <f>(C78*'Biomass Data Assumptions'!C42)/2000</f>
        <v>1806.3</v>
      </c>
      <c r="E78" s="41"/>
      <c r="F78" s="41"/>
      <c r="G78" s="41"/>
      <c r="H78" s="36"/>
      <c r="I78" s="36"/>
      <c r="J78" s="36"/>
      <c r="K78" s="36"/>
      <c r="L78" s="36"/>
      <c r="M78" s="36"/>
      <c r="N78" s="36"/>
      <c r="O78" s="36"/>
      <c r="P78" s="36"/>
      <c r="Q78" s="36"/>
      <c r="R78" s="36"/>
    </row>
    <row r="79" spans="1:19" x14ac:dyDescent="0.25">
      <c r="A79" s="36"/>
      <c r="B79" s="36"/>
      <c r="C79" s="36"/>
      <c r="D79" s="36"/>
      <c r="E79" s="36"/>
      <c r="F79" s="36"/>
      <c r="G79" s="36"/>
      <c r="H79" s="36"/>
      <c r="I79" s="36"/>
      <c r="J79" s="36"/>
      <c r="K79" s="36"/>
      <c r="L79" s="36"/>
      <c r="M79" s="36"/>
      <c r="N79" s="36"/>
      <c r="O79" s="36"/>
      <c r="P79" s="36"/>
      <c r="Q79" s="36"/>
      <c r="R79" s="36"/>
    </row>
    <row r="80" spans="1:19" ht="39.6" x14ac:dyDescent="0.25">
      <c r="A80" s="37" t="s">
        <v>1038</v>
      </c>
      <c r="B80" s="454" t="s">
        <v>297</v>
      </c>
      <c r="C80" s="37" t="s">
        <v>1041</v>
      </c>
      <c r="D80" s="37" t="s">
        <v>1036</v>
      </c>
      <c r="E80" s="36" t="s">
        <v>598</v>
      </c>
      <c r="F80" s="38"/>
      <c r="G80" s="38"/>
      <c r="H80" s="36"/>
      <c r="I80" s="36"/>
      <c r="J80" s="36"/>
      <c r="K80" s="36"/>
      <c r="L80" s="36"/>
      <c r="M80" s="36"/>
      <c r="N80" s="36"/>
      <c r="O80" s="36"/>
      <c r="P80" s="36"/>
      <c r="Q80" s="36"/>
      <c r="R80" s="36"/>
    </row>
    <row r="81" spans="1:18" x14ac:dyDescent="0.25">
      <c r="A81" s="39" t="s">
        <v>527</v>
      </c>
      <c r="B81" s="21">
        <v>333</v>
      </c>
      <c r="C81" s="40">
        <f>'Biomass Data Assumptions'!B49*B81</f>
        <v>333</v>
      </c>
      <c r="D81" s="40">
        <f>C81*'Energy Content Assumptions'!C11</f>
        <v>283.05</v>
      </c>
      <c r="E81" s="41"/>
      <c r="F81" s="41"/>
      <c r="G81" s="41"/>
      <c r="H81" s="36"/>
      <c r="I81" s="36"/>
      <c r="J81" s="36"/>
      <c r="K81" s="36"/>
      <c r="L81" s="36"/>
      <c r="M81" s="36"/>
      <c r="N81" s="36"/>
      <c r="O81" s="36"/>
      <c r="P81" s="36"/>
      <c r="Q81" s="36"/>
      <c r="R81" s="36"/>
    </row>
    <row r="82" spans="1:18" x14ac:dyDescent="0.25">
      <c r="A82" s="39" t="s">
        <v>520</v>
      </c>
      <c r="B82" s="21">
        <f>159+131</f>
        <v>290</v>
      </c>
      <c r="C82" s="40">
        <f>'Biomass Data Assumptions'!B50*B82</f>
        <v>652.5</v>
      </c>
      <c r="D82" s="40">
        <f>C82*'Energy Content Assumptions'!C12</f>
        <v>554.625</v>
      </c>
      <c r="E82" s="41"/>
      <c r="F82" s="41"/>
      <c r="G82" s="41"/>
      <c r="H82" s="36"/>
      <c r="I82" s="36"/>
      <c r="J82" s="36"/>
      <c r="K82" s="36"/>
      <c r="L82" s="36"/>
      <c r="M82" s="36"/>
      <c r="N82" s="36"/>
      <c r="O82" s="36"/>
      <c r="P82" s="36"/>
      <c r="Q82" s="36"/>
      <c r="R82" s="36"/>
    </row>
    <row r="83" spans="1:18" x14ac:dyDescent="0.25">
      <c r="A83" s="39" t="s">
        <v>521</v>
      </c>
      <c r="B83" s="21">
        <v>13968</v>
      </c>
      <c r="C83" s="40">
        <f>'Biomass Data Assumptions'!B51*B83</f>
        <v>34920</v>
      </c>
      <c r="D83" s="40">
        <f>C83*'Energy Content Assumptions'!C13</f>
        <v>29682</v>
      </c>
      <c r="E83" s="41"/>
      <c r="F83" s="41"/>
      <c r="G83" s="41"/>
      <c r="H83" s="36"/>
      <c r="I83" s="36"/>
      <c r="J83" s="36"/>
      <c r="K83" s="36"/>
      <c r="L83" s="36"/>
      <c r="M83" s="36"/>
      <c r="N83" s="36"/>
      <c r="O83" s="36"/>
      <c r="P83" s="36"/>
      <c r="Q83" s="36"/>
      <c r="R83" s="36"/>
    </row>
    <row r="84" spans="1:18" x14ac:dyDescent="0.25">
      <c r="A84" s="39" t="s">
        <v>528</v>
      </c>
      <c r="B84" s="21">
        <v>2268</v>
      </c>
      <c r="C84" s="40">
        <f>'Biomass Data Assumptions'!B52*B84</f>
        <v>37195.199999999997</v>
      </c>
      <c r="D84" s="40">
        <f>C84*'Energy Content Assumptions'!C14</f>
        <v>13018.319999999998</v>
      </c>
      <c r="E84" s="41"/>
      <c r="F84" s="41"/>
      <c r="G84" s="41"/>
      <c r="H84" s="36"/>
      <c r="I84" s="36"/>
      <c r="J84" s="36"/>
      <c r="K84" s="36"/>
      <c r="L84" s="36"/>
      <c r="M84" s="36"/>
      <c r="N84" s="36"/>
      <c r="O84" s="36"/>
      <c r="P84" s="36"/>
      <c r="Q84" s="36"/>
      <c r="R84" s="36"/>
    </row>
    <row r="85" spans="1:18" x14ac:dyDescent="0.25">
      <c r="A85" s="39" t="s">
        <v>529</v>
      </c>
      <c r="B85" s="21">
        <v>4129</v>
      </c>
      <c r="C85" s="40">
        <f>'Biomass Data Assumptions'!B53*B85</f>
        <v>13212.800000000001</v>
      </c>
      <c r="D85" s="40">
        <f>C85*'Energy Content Assumptions'!C15</f>
        <v>11230.880000000001</v>
      </c>
      <c r="E85" s="41"/>
      <c r="F85" s="41"/>
      <c r="G85" s="41"/>
      <c r="H85" s="36"/>
      <c r="I85" s="36"/>
      <c r="J85" s="36"/>
      <c r="K85" s="36"/>
      <c r="L85" s="36"/>
      <c r="M85" s="36"/>
      <c r="N85" s="36"/>
      <c r="O85" s="36"/>
      <c r="P85" s="36"/>
      <c r="Q85" s="36"/>
      <c r="R85" s="36"/>
    </row>
    <row r="86" spans="1:18" x14ac:dyDescent="0.25">
      <c r="A86" s="39" t="s">
        <v>530</v>
      </c>
      <c r="B86" s="21">
        <v>11775</v>
      </c>
      <c r="C86" s="40">
        <f>'Biomass Data Assumptions'!B54*B86</f>
        <v>20017.5</v>
      </c>
      <c r="D86" s="40">
        <f>C86*'Energy Content Assumptions'!C16</f>
        <v>17014.875</v>
      </c>
      <c r="E86" s="41"/>
      <c r="F86" s="41"/>
      <c r="G86" s="41"/>
      <c r="H86" s="36"/>
      <c r="I86" s="36"/>
      <c r="J86" s="36"/>
      <c r="K86" s="36"/>
      <c r="L86" s="36"/>
      <c r="M86" s="36"/>
      <c r="N86" s="36"/>
      <c r="O86" s="36"/>
      <c r="P86" s="36"/>
      <c r="Q86" s="36"/>
      <c r="R86" s="36"/>
    </row>
    <row r="87" spans="1:18" x14ac:dyDescent="0.25">
      <c r="A87" s="39" t="s">
        <v>522</v>
      </c>
      <c r="B87" s="21">
        <v>1115</v>
      </c>
      <c r="C87" s="40">
        <f>'Biomass Data Assumptions'!B55*B87</f>
        <v>1951.25</v>
      </c>
      <c r="D87" s="40">
        <f>C87*'Energy Content Assumptions'!C17</f>
        <v>1658.5625</v>
      </c>
      <c r="E87" s="41"/>
      <c r="F87" s="41"/>
      <c r="G87" s="41"/>
      <c r="H87" s="36"/>
      <c r="I87" s="36"/>
      <c r="J87" s="36"/>
      <c r="K87" s="36"/>
      <c r="L87" s="36"/>
      <c r="M87" s="36"/>
      <c r="N87" s="36"/>
      <c r="O87" s="36"/>
      <c r="P87" s="36"/>
      <c r="Q87" s="36"/>
      <c r="R87" s="36"/>
    </row>
    <row r="88" spans="1:18" x14ac:dyDescent="0.25">
      <c r="A88" s="43"/>
      <c r="B88" s="41"/>
      <c r="C88" s="41"/>
      <c r="D88" s="41"/>
      <c r="E88" s="41"/>
      <c r="F88" s="41"/>
      <c r="G88" s="41"/>
      <c r="H88" s="36"/>
      <c r="I88" s="36"/>
      <c r="J88" s="36"/>
      <c r="K88" s="36"/>
      <c r="L88" s="36"/>
      <c r="M88" s="36"/>
      <c r="N88" s="36"/>
      <c r="O88" s="36"/>
      <c r="P88" s="36"/>
      <c r="Q88" s="36"/>
      <c r="R88" s="36"/>
    </row>
    <row r="89" spans="1:18" x14ac:dyDescent="0.25">
      <c r="A89" s="43"/>
      <c r="B89" s="640" t="s">
        <v>297</v>
      </c>
      <c r="C89" s="122" t="s">
        <v>299</v>
      </c>
      <c r="D89" s="122" t="s">
        <v>300</v>
      </c>
      <c r="E89" s="41"/>
      <c r="F89" s="41"/>
      <c r="G89" s="41"/>
      <c r="H89" s="36"/>
      <c r="I89" s="36"/>
      <c r="J89" s="36"/>
      <c r="K89" s="36"/>
      <c r="L89" s="36"/>
      <c r="M89" s="36"/>
      <c r="N89" s="36"/>
      <c r="O89" s="36"/>
      <c r="P89" s="36"/>
      <c r="Q89" s="36"/>
      <c r="R89" s="36"/>
    </row>
    <row r="90" spans="1:18" x14ac:dyDescent="0.25">
      <c r="A90" s="43" t="s">
        <v>296</v>
      </c>
      <c r="B90" s="85">
        <f>IF('Prac. Rec. Assumptions'!B56='Prac. Rec. Assumptions'!V3,0,SUM(IF('Prac. Rec. Assumptions'!B57="Yes",B74,0),IF('Prac. Rec. Assumptions'!B58="Yes",B81,0),IF('Prac. Rec. Assumptions'!B59="Yes",B82,0),IF('Prac. Rec. Assumptions'!B60="Yes",B83,0),IF('Prac. Rec. Assumptions'!B61="Yes",B84,0),IF('Prac. Rec. Assumptions'!B62="Yes",B85,0),IF('Prac. Rec. Assumptions'!B63="Yes",B86,0),IF('Prac. Rec. Assumptions'!B64="Yes",B87,0)))</f>
        <v>0</v>
      </c>
      <c r="C90" s="41">
        <f>IF('Prac. Rec. Assumptions'!B56='Prac. Rec. Assumptions'!V1,'Biomass Data Assumptions'!C46,IF('Prac. Rec. Assumptions'!B56='Prac. Rec. Assumptions'!V2,'Biomass Data Assumptions'!C45,0))</f>
        <v>0</v>
      </c>
      <c r="D90" s="41">
        <f>(C90*'Energy Content Assumptions'!C9)*B90</f>
        <v>0</v>
      </c>
      <c r="E90" s="41"/>
      <c r="F90" s="41"/>
      <c r="G90" s="41"/>
      <c r="H90" s="36"/>
      <c r="I90" s="36"/>
      <c r="J90" s="36"/>
      <c r="K90" s="36"/>
      <c r="L90" s="36"/>
      <c r="M90" s="36"/>
      <c r="N90" s="36"/>
      <c r="O90" s="36"/>
      <c r="P90" s="36"/>
      <c r="Q90" s="36"/>
      <c r="R90" s="36"/>
    </row>
    <row r="91" spans="1:18" x14ac:dyDescent="0.25">
      <c r="A91" s="36"/>
      <c r="B91" s="36"/>
      <c r="C91" s="36"/>
      <c r="D91" s="36"/>
      <c r="E91" s="36"/>
      <c r="F91" s="36"/>
      <c r="G91" s="36"/>
      <c r="H91" s="36"/>
      <c r="I91" s="36"/>
      <c r="J91" s="36"/>
      <c r="K91" s="36"/>
      <c r="L91" s="36"/>
      <c r="M91" s="36"/>
      <c r="N91" s="36"/>
      <c r="O91" s="36"/>
      <c r="P91" s="36"/>
      <c r="Q91" s="36"/>
      <c r="R91" s="36"/>
    </row>
    <row r="92" spans="1:18" ht="39.6" x14ac:dyDescent="0.25">
      <c r="A92" s="42" t="s">
        <v>531</v>
      </c>
      <c r="B92" s="455" t="s">
        <v>298</v>
      </c>
      <c r="C92" s="38" t="s">
        <v>1050</v>
      </c>
      <c r="D92" s="38" t="s">
        <v>1045</v>
      </c>
      <c r="E92" s="38" t="s">
        <v>1048</v>
      </c>
      <c r="F92" s="38" t="s">
        <v>1047</v>
      </c>
      <c r="G92" s="38" t="s">
        <v>1046</v>
      </c>
      <c r="H92" s="36" t="s">
        <v>599</v>
      </c>
      <c r="I92" s="36"/>
      <c r="J92" s="38"/>
      <c r="K92" s="38"/>
      <c r="L92" s="38"/>
      <c r="M92" s="38"/>
      <c r="N92" s="36"/>
      <c r="O92" s="36"/>
      <c r="P92" s="36"/>
      <c r="Q92" s="36"/>
      <c r="R92" s="36"/>
    </row>
    <row r="93" spans="1:18" x14ac:dyDescent="0.25">
      <c r="A93" s="42"/>
      <c r="B93" s="38"/>
      <c r="C93" s="38"/>
      <c r="D93" s="38"/>
      <c r="E93" s="38"/>
      <c r="F93" s="36"/>
      <c r="G93" s="36"/>
      <c r="H93" s="36"/>
      <c r="I93" s="36"/>
      <c r="J93" s="38"/>
      <c r="K93" s="38"/>
      <c r="L93" s="38"/>
      <c r="M93" s="38"/>
      <c r="N93" s="36"/>
      <c r="O93" s="36"/>
      <c r="P93" s="36"/>
      <c r="Q93" s="36"/>
      <c r="R93" s="36"/>
    </row>
    <row r="94" spans="1:18" hidden="1" x14ac:dyDescent="0.25">
      <c r="A94" s="43"/>
      <c r="B94" s="36"/>
      <c r="C94" s="41"/>
      <c r="D94" s="41"/>
      <c r="E94" s="44"/>
      <c r="F94" s="36"/>
      <c r="G94" s="36"/>
      <c r="H94" s="36"/>
      <c r="I94" s="36"/>
      <c r="J94" s="44"/>
      <c r="K94" s="44"/>
      <c r="L94" s="44"/>
      <c r="M94" s="44"/>
      <c r="N94" s="36"/>
      <c r="O94" s="36"/>
      <c r="P94" s="36"/>
      <c r="Q94" s="36"/>
      <c r="R94" s="36"/>
    </row>
    <row r="95" spans="1:18" hidden="1" x14ac:dyDescent="0.25">
      <c r="A95" s="45"/>
      <c r="B95" s="85"/>
      <c r="C95" s="41"/>
      <c r="D95" s="41"/>
      <c r="E95" s="41"/>
      <c r="F95" s="41"/>
      <c r="G95" s="41"/>
      <c r="H95" s="36"/>
      <c r="I95" s="36"/>
      <c r="J95" s="41"/>
      <c r="K95" s="41"/>
      <c r="L95" s="41"/>
      <c r="M95" s="41"/>
      <c r="N95" s="36"/>
      <c r="O95" s="36"/>
      <c r="P95" s="36"/>
      <c r="Q95" s="36"/>
      <c r="R95" s="36"/>
    </row>
    <row r="96" spans="1:18" hidden="1" x14ac:dyDescent="0.25">
      <c r="A96" s="45"/>
      <c r="B96" s="85"/>
      <c r="C96" s="41"/>
      <c r="D96" s="41"/>
      <c r="E96" s="41"/>
      <c r="F96" s="41"/>
      <c r="G96" s="41"/>
      <c r="H96" s="36"/>
      <c r="I96" s="36"/>
      <c r="J96" s="41"/>
      <c r="K96" s="41"/>
      <c r="L96" s="41"/>
      <c r="M96" s="41"/>
      <c r="N96" s="36"/>
      <c r="O96" s="36"/>
      <c r="P96" s="36"/>
      <c r="Q96" s="36"/>
      <c r="R96" s="36"/>
    </row>
    <row r="97" spans="1:18" x14ac:dyDescent="0.25">
      <c r="A97" s="467" t="s">
        <v>535</v>
      </c>
      <c r="B97" s="85">
        <v>2567</v>
      </c>
      <c r="C97" s="41">
        <f>ROUND('Biomass Data Assumptions'!$B$60/1000*B97,0)</f>
        <v>2567</v>
      </c>
      <c r="D97" s="41">
        <f>'Biomass Data Assumptions'!$C$60*C97</f>
        <v>86199860</v>
      </c>
      <c r="E97" s="41">
        <f>('Biomass Data Assumptions'!$D$60*'Energy Content Assumptions'!$C$44*D97)/2000</f>
        <v>1034.39832</v>
      </c>
      <c r="F97" s="41">
        <f>('Biomass Data Assumptions'!$E$60*B97*365)/2000</f>
        <v>1873.91</v>
      </c>
      <c r="G97" s="41">
        <f>F97+E97</f>
        <v>2908.3083200000001</v>
      </c>
      <c r="H97" s="36"/>
      <c r="I97" s="36"/>
      <c r="J97" s="41"/>
      <c r="K97" s="41"/>
      <c r="L97" s="41"/>
      <c r="M97" s="41"/>
      <c r="N97" s="36"/>
      <c r="O97" s="36"/>
      <c r="P97" s="36"/>
      <c r="Q97" s="36"/>
      <c r="R97" s="36"/>
    </row>
    <row r="98" spans="1:18" x14ac:dyDescent="0.25">
      <c r="A98" s="46"/>
      <c r="B98" s="41"/>
      <c r="C98" s="41"/>
      <c r="D98" s="41"/>
      <c r="E98" s="41"/>
      <c r="F98" s="41"/>
      <c r="G98" s="41"/>
      <c r="H98" s="36"/>
      <c r="I98" s="36"/>
      <c r="J98" s="41"/>
      <c r="K98" s="41"/>
      <c r="L98" s="41"/>
      <c r="M98" s="41"/>
      <c r="N98" s="36"/>
      <c r="O98" s="36"/>
      <c r="P98" s="36"/>
      <c r="Q98" s="36"/>
      <c r="R98" s="36"/>
    </row>
    <row r="99" spans="1:18" x14ac:dyDescent="0.25">
      <c r="A99" s="43" t="s">
        <v>539</v>
      </c>
      <c r="B99" s="47"/>
      <c r="C99" s="41"/>
      <c r="D99" s="41"/>
      <c r="E99" s="41"/>
      <c r="F99" s="41"/>
      <c r="G99" s="41"/>
      <c r="H99" s="36"/>
      <c r="I99" s="36"/>
      <c r="J99" s="41"/>
      <c r="K99" s="41"/>
      <c r="L99" s="41"/>
      <c r="M99" s="41"/>
      <c r="N99" s="36"/>
      <c r="O99" s="36"/>
      <c r="P99" s="36"/>
      <c r="Q99" s="36"/>
      <c r="R99" s="36"/>
    </row>
    <row r="100" spans="1:18" x14ac:dyDescent="0.25">
      <c r="A100" s="460" t="s">
        <v>603</v>
      </c>
      <c r="B100" s="85">
        <v>1843</v>
      </c>
      <c r="C100" s="41">
        <f>ROUND('Biomass Data Assumptions'!B62/1000*B100,0)</f>
        <v>645</v>
      </c>
      <c r="D100" s="41">
        <f>'Biomass Data Assumptions'!C62*C100</f>
        <v>18834000</v>
      </c>
      <c r="E100" s="41">
        <f>('Biomass Data Assumptions'!D62*'Energy Content Assumptions'!C46*D100)/2000</f>
        <v>847.53</v>
      </c>
      <c r="F100" s="41">
        <f>('Biomass Data Assumptions'!E62*B100*365)/2000</f>
        <v>1681.7375</v>
      </c>
      <c r="G100" s="41">
        <f>F100+E100</f>
        <v>2529.2674999999999</v>
      </c>
      <c r="H100" s="36"/>
      <c r="I100" s="36"/>
      <c r="J100" s="41"/>
      <c r="K100" s="41"/>
      <c r="L100" s="41"/>
      <c r="M100" s="41"/>
      <c r="N100" s="36"/>
      <c r="O100" s="36"/>
      <c r="P100" s="36"/>
      <c r="Q100" s="36"/>
      <c r="R100" s="36"/>
    </row>
    <row r="101" spans="1:18" hidden="1" x14ac:dyDescent="0.25">
      <c r="A101" s="45"/>
      <c r="B101" s="85"/>
      <c r="C101" s="41"/>
      <c r="D101" s="41"/>
      <c r="E101" s="41"/>
      <c r="F101" s="41"/>
      <c r="G101" s="41"/>
      <c r="H101" s="36"/>
      <c r="I101" s="36"/>
      <c r="J101" s="41"/>
      <c r="K101" s="41"/>
      <c r="L101" s="41"/>
      <c r="M101" s="41"/>
      <c r="N101" s="36"/>
      <c r="O101" s="36"/>
      <c r="P101" s="36"/>
      <c r="Q101" s="36"/>
      <c r="R101" s="36"/>
    </row>
    <row r="102" spans="1:18" x14ac:dyDescent="0.25">
      <c r="A102" s="460" t="s">
        <v>604</v>
      </c>
      <c r="B102" s="85">
        <v>2487</v>
      </c>
      <c r="C102" s="41">
        <f>ROUND('Biomass Data Assumptions'!B64/1000*B102,0)</f>
        <v>3482</v>
      </c>
      <c r="D102" s="41">
        <f>'Biomass Data Assumptions'!C64*C102</f>
        <v>141073230</v>
      </c>
      <c r="E102" s="41">
        <f>('Biomass Data Assumptions'!D64*'Energy Content Assumptions'!C48*D102)/2000</f>
        <v>6348.2953499999994</v>
      </c>
      <c r="F102" s="41">
        <f>'Biomass Data Assumptions'!E64*B102*365/2000</f>
        <v>4538.7749999999996</v>
      </c>
      <c r="G102" s="41">
        <f>F102+E102</f>
        <v>10887.070349999998</v>
      </c>
      <c r="H102" s="36"/>
      <c r="I102" s="36"/>
      <c r="J102" s="41"/>
      <c r="K102" s="41"/>
      <c r="L102" s="41"/>
      <c r="M102" s="41"/>
      <c r="N102" s="36"/>
      <c r="O102" s="36"/>
      <c r="P102" s="36"/>
      <c r="Q102" s="36"/>
      <c r="R102" s="36"/>
    </row>
    <row r="103" spans="1:18" hidden="1" x14ac:dyDescent="0.25">
      <c r="A103" s="45"/>
      <c r="B103" s="85"/>
      <c r="C103" s="41"/>
      <c r="D103" s="41"/>
      <c r="E103" s="41"/>
      <c r="F103" s="41"/>
      <c r="G103" s="41"/>
      <c r="H103" s="36"/>
      <c r="I103" s="36"/>
      <c r="J103" s="41"/>
      <c r="K103" s="41"/>
      <c r="L103" s="41"/>
      <c r="M103" s="41"/>
      <c r="N103" s="36"/>
      <c r="O103" s="36"/>
      <c r="P103" s="36"/>
      <c r="Q103" s="36"/>
      <c r="R103" s="36"/>
    </row>
    <row r="104" spans="1:18" x14ac:dyDescent="0.25">
      <c r="A104" s="467" t="s">
        <v>544</v>
      </c>
      <c r="B104" s="85">
        <f t="shared" ref="B104:G104" si="13">SUM(B100:B103)</f>
        <v>4330</v>
      </c>
      <c r="C104" s="41">
        <f t="shared" si="13"/>
        <v>4127</v>
      </c>
      <c r="D104" s="41">
        <f t="shared" si="13"/>
        <v>159907230</v>
      </c>
      <c r="E104" s="41">
        <f t="shared" si="13"/>
        <v>7195.8253499999992</v>
      </c>
      <c r="F104" s="41">
        <f t="shared" si="13"/>
        <v>6220.5124999999998</v>
      </c>
      <c r="G104" s="41">
        <f t="shared" si="13"/>
        <v>13416.337849999998</v>
      </c>
      <c r="H104" s="36"/>
      <c r="I104" s="36"/>
      <c r="J104" s="41"/>
      <c r="K104" s="41"/>
      <c r="L104" s="41"/>
      <c r="M104" s="41"/>
      <c r="N104" s="36"/>
      <c r="O104" s="36"/>
      <c r="P104" s="36"/>
      <c r="Q104" s="36"/>
      <c r="R104" s="36"/>
    </row>
    <row r="105" spans="1:18" x14ac:dyDescent="0.25">
      <c r="A105" s="46"/>
      <c r="B105" s="41"/>
      <c r="C105" s="41"/>
      <c r="D105" s="41"/>
      <c r="E105" s="41"/>
      <c r="F105" s="41"/>
      <c r="G105" s="41"/>
      <c r="H105" s="36"/>
      <c r="I105" s="36"/>
      <c r="J105" s="41"/>
      <c r="K105" s="41"/>
      <c r="L105" s="41"/>
      <c r="M105" s="41"/>
      <c r="N105" s="36"/>
      <c r="O105" s="36"/>
      <c r="P105" s="36"/>
      <c r="Q105" s="36"/>
      <c r="R105" s="36"/>
    </row>
    <row r="106" spans="1:18" x14ac:dyDescent="0.25">
      <c r="A106" s="43" t="s">
        <v>545</v>
      </c>
      <c r="B106" s="85">
        <v>1891</v>
      </c>
      <c r="C106" s="41">
        <f>ROUND('Biomass Data Assumptions'!B66/1000*B106,0)</f>
        <v>1891</v>
      </c>
      <c r="D106" s="41">
        <f>'Biomass Data Assumptions'!C66*C106</f>
        <v>38306932.5</v>
      </c>
      <c r="E106" s="41">
        <f>('Biomass Data Assumptions'!D66*'Energy Content Assumptions'!C50*D106)/2000</f>
        <v>1340.7426375000002</v>
      </c>
      <c r="F106" s="41">
        <f>'Biomass Data Assumptions'!E66*B106*365/2000</f>
        <v>5176.6125000000002</v>
      </c>
      <c r="G106" s="41">
        <f>F106+E106</f>
        <v>6517.3551375000006</v>
      </c>
      <c r="H106" s="36"/>
      <c r="I106" s="36"/>
      <c r="J106" s="41"/>
      <c r="K106" s="41"/>
      <c r="L106" s="41"/>
      <c r="M106" s="41"/>
      <c r="N106" s="36"/>
      <c r="O106" s="36"/>
      <c r="P106" s="36"/>
      <c r="Q106" s="36"/>
      <c r="R106" s="36"/>
    </row>
    <row r="107" spans="1:18" x14ac:dyDescent="0.25">
      <c r="A107" s="43"/>
      <c r="B107" s="41"/>
      <c r="C107" s="41"/>
      <c r="D107" s="41"/>
      <c r="E107" s="41"/>
      <c r="F107" s="41"/>
      <c r="G107" s="41"/>
      <c r="H107" s="36"/>
      <c r="I107" s="36"/>
      <c r="J107" s="41"/>
      <c r="K107" s="41"/>
      <c r="L107" s="41"/>
      <c r="M107" s="41"/>
      <c r="N107" s="36"/>
      <c r="O107" s="36"/>
      <c r="P107" s="36"/>
      <c r="Q107" s="36"/>
      <c r="R107" s="36"/>
    </row>
    <row r="108" spans="1:18" x14ac:dyDescent="0.25">
      <c r="A108" s="43" t="s">
        <v>546</v>
      </c>
      <c r="B108" s="85">
        <v>1954</v>
      </c>
      <c r="C108" s="41">
        <f>ROUND('Biomass Data Assumptions'!B67/1000*B108,0)</f>
        <v>195</v>
      </c>
      <c r="D108" s="41">
        <f>'Biomass Data Assumptions'!C67*C108</f>
        <v>2918175</v>
      </c>
      <c r="E108" s="41">
        <f>('Biomass Data Assumptions'!D67*'Energy Content Assumptions'!C51*D108)/2000</f>
        <v>72.954374999999999</v>
      </c>
      <c r="F108" s="41">
        <f>'Biomass Data Assumptions'!E67*B108*365/2000</f>
        <v>356.60500000000002</v>
      </c>
      <c r="G108" s="41">
        <f>F108+E108</f>
        <v>429.55937500000005</v>
      </c>
      <c r="H108" s="36"/>
      <c r="I108" s="36"/>
      <c r="J108" s="41"/>
      <c r="K108" s="41"/>
      <c r="L108" s="41"/>
      <c r="M108" s="41"/>
      <c r="N108" s="36"/>
      <c r="O108" s="36"/>
      <c r="P108" s="36"/>
      <c r="Q108" s="36"/>
      <c r="R108" s="36"/>
    </row>
    <row r="109" spans="1:18" x14ac:dyDescent="0.25">
      <c r="A109" s="43"/>
      <c r="B109" s="41"/>
      <c r="C109" s="41"/>
      <c r="D109" s="41"/>
      <c r="E109" s="41"/>
      <c r="F109" s="41"/>
      <c r="G109" s="41"/>
      <c r="H109" s="36"/>
      <c r="I109" s="36"/>
      <c r="J109" s="41"/>
      <c r="K109" s="41"/>
      <c r="L109" s="41"/>
      <c r="M109" s="41"/>
      <c r="N109" s="36"/>
      <c r="O109" s="36"/>
      <c r="P109" s="36"/>
      <c r="Q109" s="36"/>
      <c r="R109" s="36"/>
    </row>
    <row r="110" spans="1:18" x14ac:dyDescent="0.25">
      <c r="A110" s="43" t="s">
        <v>547</v>
      </c>
      <c r="B110" s="85">
        <v>1289</v>
      </c>
      <c r="C110" s="41">
        <f>ROUND('Biomass Data Assumptions'!B68/1000*B110,0)</f>
        <v>129</v>
      </c>
      <c r="D110" s="41">
        <f>'Biomass Data Assumptions'!C68*C110</f>
        <v>1930485</v>
      </c>
      <c r="E110" s="41">
        <f>('Biomass Data Assumptions'!D68*'Energy Content Assumptions'!C52*D110)/2000</f>
        <v>48.262124999999997</v>
      </c>
      <c r="F110" s="41">
        <f>'Biomass Data Assumptions'!E68*B110*365/2000</f>
        <v>235.24250000000001</v>
      </c>
      <c r="G110" s="41">
        <f>F110+E110</f>
        <v>283.50462500000003</v>
      </c>
      <c r="H110" s="36"/>
      <c r="I110" s="36"/>
      <c r="J110" s="41"/>
      <c r="K110" s="41"/>
      <c r="L110" s="41"/>
      <c r="M110" s="41"/>
      <c r="N110" s="36"/>
      <c r="O110" s="36"/>
      <c r="P110" s="36"/>
      <c r="Q110" s="36"/>
      <c r="R110" s="36"/>
    </row>
    <row r="111" spans="1:18" ht="12" customHeight="1" x14ac:dyDescent="0.25">
      <c r="A111" s="43"/>
      <c r="B111" s="41"/>
      <c r="C111" s="41"/>
      <c r="D111" s="41"/>
      <c r="E111" s="41"/>
      <c r="F111" s="41"/>
      <c r="G111" s="41"/>
      <c r="H111" s="36"/>
      <c r="I111" s="36"/>
      <c r="J111" s="41"/>
      <c r="K111" s="41"/>
      <c r="L111" s="41"/>
      <c r="M111" s="41"/>
      <c r="N111" s="36"/>
      <c r="O111" s="36"/>
      <c r="P111" s="36"/>
      <c r="Q111" s="36"/>
      <c r="R111" s="36"/>
    </row>
    <row r="112" spans="1:18" hidden="1" x14ac:dyDescent="0.25">
      <c r="A112" s="43"/>
      <c r="B112" s="36"/>
      <c r="C112" s="41"/>
      <c r="D112" s="41"/>
      <c r="E112" s="41"/>
      <c r="F112" s="41"/>
      <c r="G112" s="41"/>
      <c r="H112" s="36"/>
      <c r="I112" s="36"/>
      <c r="J112" s="41"/>
      <c r="K112" s="41"/>
      <c r="L112" s="41"/>
      <c r="M112" s="41"/>
      <c r="N112" s="36"/>
      <c r="O112" s="36"/>
      <c r="P112" s="36"/>
      <c r="Q112" s="36"/>
      <c r="R112" s="36"/>
    </row>
    <row r="113" spans="1:18" hidden="1" x14ac:dyDescent="0.25">
      <c r="A113" s="45"/>
      <c r="B113" s="85"/>
      <c r="C113" s="41"/>
      <c r="D113" s="41"/>
      <c r="E113" s="41"/>
      <c r="F113" s="41"/>
      <c r="G113" s="41"/>
      <c r="H113" s="36"/>
      <c r="I113" s="36"/>
      <c r="J113" s="41"/>
      <c r="K113" s="41"/>
      <c r="L113" s="41"/>
      <c r="M113" s="41"/>
      <c r="N113" s="36"/>
      <c r="O113" s="36"/>
      <c r="P113" s="36"/>
      <c r="Q113" s="36"/>
      <c r="R113" s="36"/>
    </row>
    <row r="114" spans="1:18" hidden="1" x14ac:dyDescent="0.25">
      <c r="A114" s="45"/>
      <c r="B114" s="85"/>
      <c r="C114" s="41"/>
      <c r="D114" s="41"/>
      <c r="E114" s="41"/>
      <c r="F114" s="41"/>
      <c r="G114" s="41"/>
      <c r="H114" s="36"/>
      <c r="I114" s="36"/>
      <c r="J114" s="41"/>
      <c r="K114" s="41"/>
      <c r="L114" s="41"/>
      <c r="M114" s="41"/>
      <c r="N114" s="36"/>
      <c r="O114" s="36"/>
      <c r="P114" s="36"/>
      <c r="Q114" s="36"/>
      <c r="R114" s="36"/>
    </row>
    <row r="115" spans="1:18" x14ac:dyDescent="0.25">
      <c r="A115" s="467" t="s">
        <v>605</v>
      </c>
      <c r="B115" s="85">
        <v>1681</v>
      </c>
      <c r="C115" s="41">
        <f>ROUND('Biomass Data Assumptions'!$B$71/1000*B115,0)</f>
        <v>672</v>
      </c>
      <c r="D115" s="41">
        <f>'Biomass Data Assumptions'!$C$71*C115</f>
        <v>11528160</v>
      </c>
      <c r="E115" s="41">
        <f>('Biomass Data Assumptions'!$D$71*'Energy Content Assumptions'!$C$55*D115)/2000</f>
        <v>288.20400000000001</v>
      </c>
      <c r="F115" s="41">
        <f>'Biomass Data Assumptions'!$E$71*B115*365/2000</f>
        <v>0</v>
      </c>
      <c r="G115" s="41">
        <f>F115+E115</f>
        <v>288.20400000000001</v>
      </c>
      <c r="H115" s="36"/>
      <c r="I115" s="36"/>
      <c r="J115" s="41"/>
      <c r="K115" s="41"/>
      <c r="L115" s="41"/>
      <c r="M115" s="41"/>
      <c r="N115" s="36"/>
      <c r="O115" s="36"/>
      <c r="P115" s="36"/>
      <c r="Q115" s="36"/>
      <c r="R115" s="36"/>
    </row>
    <row r="116" spans="1:18" x14ac:dyDescent="0.25">
      <c r="A116" s="46"/>
      <c r="B116" s="41"/>
      <c r="C116" s="41"/>
      <c r="D116" s="41"/>
      <c r="E116" s="41"/>
      <c r="F116" s="41"/>
      <c r="G116" s="41"/>
      <c r="H116" s="36"/>
      <c r="I116" s="36"/>
      <c r="J116" s="41"/>
      <c r="K116" s="41"/>
      <c r="L116" s="41"/>
      <c r="M116" s="41"/>
      <c r="N116" s="36"/>
      <c r="O116" s="36"/>
      <c r="P116" s="36"/>
      <c r="Q116" s="36"/>
      <c r="R116" s="36"/>
    </row>
    <row r="117" spans="1:18" x14ac:dyDescent="0.25">
      <c r="A117" s="43" t="s">
        <v>551</v>
      </c>
      <c r="B117" s="85">
        <f>1016+3568+1059226</f>
        <v>1063810</v>
      </c>
      <c r="C117" s="41">
        <f>ROUND('Biomass Data Assumptions'!B72/1000*B117,0)</f>
        <v>5319</v>
      </c>
      <c r="D117" s="41">
        <f>'Biomass Data Assumptions'!C72*C117</f>
        <v>97071750</v>
      </c>
      <c r="E117" s="41">
        <f>('Biomass Data Assumptions'!D72*'Energy Content Assumptions'!C56*D117)/2000</f>
        <v>9464.4956249999996</v>
      </c>
      <c r="F117" s="41">
        <f>'Biomass Data Assumptions'!E72*B117*365/2000</f>
        <v>0</v>
      </c>
      <c r="G117" s="41">
        <f>F117+E117</f>
        <v>9464.4956249999996</v>
      </c>
      <c r="H117" s="36"/>
      <c r="I117" s="36"/>
      <c r="J117" s="41"/>
      <c r="K117" s="41"/>
      <c r="L117" s="41"/>
      <c r="M117" s="41"/>
      <c r="N117" s="36"/>
      <c r="O117" s="36"/>
      <c r="P117" s="36"/>
      <c r="Q117" s="36"/>
      <c r="R117" s="36"/>
    </row>
    <row r="118" spans="1:18" x14ac:dyDescent="0.25">
      <c r="A118" s="43"/>
      <c r="B118" s="41"/>
      <c r="C118" s="41"/>
      <c r="D118" s="41"/>
      <c r="E118" s="41"/>
      <c r="F118" s="41"/>
      <c r="G118" s="41"/>
      <c r="H118" s="36"/>
      <c r="I118" s="36"/>
      <c r="J118" s="41"/>
      <c r="K118" s="41"/>
      <c r="L118" s="41"/>
      <c r="M118" s="41"/>
      <c r="N118" s="36"/>
      <c r="O118" s="36"/>
      <c r="P118" s="36"/>
      <c r="Q118" s="36"/>
      <c r="R118" s="36"/>
    </row>
    <row r="119" spans="1:18" x14ac:dyDescent="0.25">
      <c r="A119" s="43" t="s">
        <v>552</v>
      </c>
      <c r="B119" s="85">
        <v>0</v>
      </c>
      <c r="C119" s="41">
        <f>ROUND('Biomass Data Assumptions'!B73/1000*B119,0)</f>
        <v>0</v>
      </c>
      <c r="D119" s="41">
        <f>'Biomass Data Assumptions'!C73*C119</f>
        <v>0</v>
      </c>
      <c r="E119" s="41">
        <f>('Biomass Data Assumptions'!D73*'Energy Content Assumptions'!C57*D119)/2000</f>
        <v>0</v>
      </c>
      <c r="F119" s="41">
        <f>'Biomass Data Assumptions'!E73*B119*365/2000</f>
        <v>0</v>
      </c>
      <c r="G119" s="41">
        <f>F119+E119</f>
        <v>0</v>
      </c>
      <c r="H119" s="36"/>
      <c r="I119" s="36"/>
      <c r="J119" s="41"/>
      <c r="K119" s="41"/>
      <c r="L119" s="41"/>
      <c r="M119" s="41"/>
      <c r="N119" s="36"/>
      <c r="O119" s="36"/>
      <c r="P119" s="36"/>
      <c r="Q119" s="36"/>
      <c r="R119" s="36"/>
    </row>
    <row r="120" spans="1:18" x14ac:dyDescent="0.25">
      <c r="A120" s="43"/>
      <c r="B120" s="41"/>
      <c r="C120" s="41"/>
      <c r="D120" s="41"/>
      <c r="E120" s="41"/>
      <c r="F120" s="41"/>
      <c r="G120" s="41"/>
      <c r="H120" s="36"/>
      <c r="I120" s="36"/>
      <c r="J120" s="41"/>
      <c r="K120" s="41"/>
      <c r="L120" s="41"/>
      <c r="M120" s="41"/>
      <c r="N120" s="36"/>
      <c r="O120" s="36"/>
      <c r="P120" s="36"/>
      <c r="Q120" s="36"/>
      <c r="R120" s="36"/>
    </row>
    <row r="121" spans="1:18" x14ac:dyDescent="0.25">
      <c r="A121" s="43" t="s">
        <v>553</v>
      </c>
      <c r="B121" s="86">
        <f t="shared" ref="B121:G121" si="14">B97+B104+B106+B108+B110+B115+B117+B119</f>
        <v>1077522</v>
      </c>
      <c r="C121" s="48">
        <f t="shared" si="14"/>
        <v>14900</v>
      </c>
      <c r="D121" s="48">
        <f t="shared" si="14"/>
        <v>397862592.5</v>
      </c>
      <c r="E121" s="48">
        <f t="shared" si="14"/>
        <v>19444.882432499995</v>
      </c>
      <c r="F121" s="48">
        <f t="shared" si="14"/>
        <v>13862.8825</v>
      </c>
      <c r="G121" s="48">
        <f t="shared" si="14"/>
        <v>33307.764932500002</v>
      </c>
      <c r="H121" s="36"/>
      <c r="I121" s="36"/>
      <c r="J121" s="48"/>
      <c r="K121" s="48"/>
      <c r="L121" s="48"/>
      <c r="M121" s="48"/>
      <c r="N121" s="36"/>
      <c r="O121" s="36"/>
      <c r="P121" s="36"/>
      <c r="Q121" s="36"/>
      <c r="R121" s="36"/>
    </row>
    <row r="122" spans="1:18" x14ac:dyDescent="0.25">
      <c r="A122" s="36"/>
      <c r="B122" s="36"/>
      <c r="C122" s="36"/>
      <c r="D122" s="36"/>
      <c r="E122" s="36"/>
      <c r="F122" s="36"/>
      <c r="G122" s="36"/>
      <c r="H122" s="36"/>
      <c r="I122" s="36"/>
      <c r="J122" s="36"/>
      <c r="K122" s="36"/>
      <c r="L122" s="36"/>
      <c r="M122" s="36"/>
      <c r="N122" s="36"/>
      <c r="O122" s="36"/>
      <c r="P122" s="36"/>
      <c r="Q122" s="36"/>
      <c r="R122" s="36"/>
    </row>
    <row r="123" spans="1:18" x14ac:dyDescent="0.25">
      <c r="A123" s="49" t="s">
        <v>1014</v>
      </c>
      <c r="B123" s="49" t="s">
        <v>1043</v>
      </c>
      <c r="C123" s="49" t="s">
        <v>1044</v>
      </c>
      <c r="D123" s="547" t="s">
        <v>1013</v>
      </c>
      <c r="E123" s="36"/>
      <c r="F123" s="36"/>
      <c r="G123" s="36"/>
      <c r="H123" s="36"/>
      <c r="I123" s="36"/>
      <c r="J123" s="36"/>
      <c r="K123" s="36"/>
      <c r="L123" s="36"/>
      <c r="M123" s="36"/>
      <c r="N123" s="36"/>
      <c r="O123" s="36"/>
      <c r="P123" s="36"/>
      <c r="Q123" s="36"/>
      <c r="R123" s="36"/>
    </row>
    <row r="124" spans="1:18" x14ac:dyDescent="0.25">
      <c r="A124" s="50" t="s">
        <v>555</v>
      </c>
      <c r="B124" s="87">
        <v>6484.22</v>
      </c>
      <c r="C124" s="543">
        <f>B124*'Energy Content Assumptions'!C33</f>
        <v>5835.7980000000007</v>
      </c>
      <c r="D124" s="36"/>
      <c r="E124" s="36"/>
      <c r="F124" s="36"/>
      <c r="G124" s="36"/>
      <c r="H124" s="36"/>
      <c r="I124" s="36"/>
      <c r="J124" s="36"/>
      <c r="K124" s="36"/>
      <c r="L124" s="36"/>
      <c r="M124" s="36"/>
      <c r="N124" s="36"/>
      <c r="O124" s="36"/>
      <c r="P124" s="36"/>
      <c r="Q124" s="36"/>
      <c r="R124" s="36"/>
    </row>
    <row r="125" spans="1:18" x14ac:dyDescent="0.25">
      <c r="A125" s="50" t="s">
        <v>556</v>
      </c>
      <c r="B125" s="87">
        <v>755.47</v>
      </c>
      <c r="C125" s="543">
        <f>B125*'Energy Content Assumptions'!C34</f>
        <v>679.923</v>
      </c>
      <c r="D125" s="36"/>
      <c r="E125" s="36"/>
      <c r="F125" s="36"/>
      <c r="G125" s="36"/>
      <c r="H125" s="36"/>
      <c r="I125" s="36"/>
      <c r="J125" s="36"/>
      <c r="K125" s="36"/>
      <c r="L125" s="36"/>
      <c r="M125" s="36"/>
      <c r="N125" s="36"/>
      <c r="O125" s="36"/>
      <c r="P125" s="36"/>
      <c r="Q125" s="36"/>
      <c r="R125" s="36"/>
    </row>
    <row r="126" spans="1:18" x14ac:dyDescent="0.25">
      <c r="A126" s="50" t="s">
        <v>557</v>
      </c>
      <c r="B126" s="87">
        <v>1925.56</v>
      </c>
      <c r="C126" s="543">
        <f>B126*'Energy Content Assumptions'!C35</f>
        <v>1733.0039999999999</v>
      </c>
      <c r="D126" s="36"/>
      <c r="E126" s="36"/>
      <c r="F126" s="36"/>
      <c r="G126" s="36"/>
      <c r="H126" s="36"/>
      <c r="I126" s="36"/>
      <c r="J126" s="36"/>
      <c r="K126" s="36"/>
      <c r="L126" s="36"/>
      <c r="M126" s="36"/>
      <c r="N126" s="36"/>
      <c r="O126" s="36"/>
      <c r="P126" s="36"/>
      <c r="Q126" s="36"/>
      <c r="R126" s="36"/>
    </row>
    <row r="127" spans="1:18" x14ac:dyDescent="0.25">
      <c r="A127" s="50" t="s">
        <v>558</v>
      </c>
      <c r="B127" s="87">
        <v>1984.57</v>
      </c>
      <c r="C127" s="543">
        <f>B127*'Energy Content Assumptions'!C36</f>
        <v>1786.1130000000001</v>
      </c>
      <c r="D127" s="36"/>
      <c r="E127" s="36"/>
      <c r="F127" s="36"/>
      <c r="G127" s="36"/>
      <c r="H127" s="36"/>
      <c r="I127" s="36"/>
      <c r="J127" s="36"/>
      <c r="K127" s="36"/>
      <c r="L127" s="36"/>
      <c r="M127" s="36"/>
      <c r="N127" s="36"/>
      <c r="O127" s="36"/>
      <c r="P127" s="36"/>
      <c r="Q127" s="36"/>
      <c r="R127" s="36"/>
    </row>
    <row r="128" spans="1:18" x14ac:dyDescent="0.25">
      <c r="A128" s="50" t="s">
        <v>559</v>
      </c>
      <c r="B128" s="87">
        <v>6912.93</v>
      </c>
      <c r="C128" s="543">
        <f>B128*'Energy Content Assumptions'!C21</f>
        <v>3456.4650000000001</v>
      </c>
      <c r="D128" s="36"/>
      <c r="E128" s="36"/>
      <c r="F128" s="36"/>
      <c r="G128" s="36"/>
      <c r="H128" s="36"/>
      <c r="I128" s="36"/>
      <c r="J128" s="36"/>
      <c r="K128" s="36"/>
      <c r="L128" s="36"/>
      <c r="M128" s="36"/>
      <c r="N128" s="36"/>
      <c r="O128" s="36"/>
      <c r="P128" s="36"/>
      <c r="Q128" s="36"/>
      <c r="R128" s="36"/>
    </row>
    <row r="129" spans="1:18" x14ac:dyDescent="0.25">
      <c r="A129" s="50" t="s">
        <v>560</v>
      </c>
      <c r="B129" s="87">
        <v>824.18</v>
      </c>
      <c r="C129" s="543">
        <f>B129*'Energy Content Assumptions'!C22</f>
        <v>274.72666666666663</v>
      </c>
      <c r="D129" s="36"/>
      <c r="E129" s="36"/>
      <c r="F129" s="36"/>
      <c r="G129" s="36"/>
      <c r="H129" s="36"/>
      <c r="I129" s="36"/>
      <c r="J129" s="36"/>
      <c r="K129" s="36"/>
      <c r="L129" s="36"/>
      <c r="M129" s="36"/>
      <c r="N129" s="36"/>
      <c r="O129" s="36"/>
      <c r="P129" s="36"/>
      <c r="Q129" s="36"/>
      <c r="R129" s="36"/>
    </row>
    <row r="130" spans="1:18" x14ac:dyDescent="0.25">
      <c r="A130" s="50" t="s">
        <v>561</v>
      </c>
      <c r="B130" s="87">
        <v>2261.58</v>
      </c>
      <c r="C130" s="543">
        <f>B130*'Energy Content Assumptions'!C23</f>
        <v>753.8599999999999</v>
      </c>
      <c r="D130" s="36"/>
      <c r="E130" s="36"/>
      <c r="F130" s="36"/>
      <c r="G130" s="36"/>
      <c r="H130" s="36"/>
      <c r="I130" s="36"/>
      <c r="J130" s="36"/>
      <c r="K130" s="36"/>
      <c r="L130" s="36"/>
      <c r="M130" s="36"/>
      <c r="N130" s="36"/>
      <c r="O130" s="36"/>
      <c r="P130" s="36"/>
      <c r="Q130" s="36"/>
      <c r="R130" s="36"/>
    </row>
    <row r="131" spans="1:18" x14ac:dyDescent="0.25">
      <c r="A131" s="50" t="s">
        <v>562</v>
      </c>
      <c r="B131" s="87">
        <v>119.07</v>
      </c>
      <c r="C131" s="543">
        <f>B131*'Energy Content Assumptions'!C24</f>
        <v>59.534999999999997</v>
      </c>
      <c r="D131" s="36"/>
      <c r="E131" s="36"/>
      <c r="F131" s="36"/>
      <c r="G131" s="36"/>
      <c r="H131" s="36"/>
      <c r="I131" s="36"/>
      <c r="J131" s="36"/>
      <c r="K131" s="36"/>
      <c r="L131" s="36"/>
      <c r="M131" s="36"/>
      <c r="N131" s="36"/>
      <c r="O131" s="36"/>
      <c r="P131" s="36"/>
      <c r="Q131" s="36"/>
      <c r="R131" s="36"/>
    </row>
    <row r="132" spans="1:18" x14ac:dyDescent="0.25">
      <c r="A132" s="50" t="s">
        <v>563</v>
      </c>
      <c r="B132" s="87">
        <v>2218.36</v>
      </c>
      <c r="C132" s="543">
        <f>B132*'Energy Content Assumptions'!C31</f>
        <v>554.59</v>
      </c>
      <c r="D132" s="36"/>
      <c r="E132" s="36"/>
      <c r="F132" s="36"/>
      <c r="G132" s="36"/>
      <c r="H132" s="36"/>
      <c r="I132" s="36"/>
      <c r="J132" s="36"/>
      <c r="K132" s="36"/>
      <c r="L132" s="36"/>
      <c r="M132" s="36"/>
      <c r="N132" s="36"/>
      <c r="O132" s="36"/>
      <c r="P132" s="36"/>
      <c r="Q132" s="36"/>
      <c r="R132" s="36"/>
    </row>
    <row r="133" spans="1:18" x14ac:dyDescent="0.25">
      <c r="A133" s="50" t="s">
        <v>564</v>
      </c>
      <c r="B133" s="87">
        <v>7930.77</v>
      </c>
      <c r="C133" s="543">
        <f>B133*'Energy Content Assumptions'!C19</f>
        <v>7137.6930000000002</v>
      </c>
      <c r="D133" s="36"/>
      <c r="E133" s="36"/>
      <c r="F133" s="36"/>
      <c r="G133" s="36"/>
      <c r="H133" s="36"/>
      <c r="I133" s="36"/>
      <c r="J133" s="36"/>
      <c r="K133" s="36"/>
      <c r="L133" s="36"/>
      <c r="M133" s="36"/>
      <c r="N133" s="36"/>
      <c r="O133" s="36"/>
      <c r="P133" s="36"/>
      <c r="Q133" s="36"/>
      <c r="R133" s="36"/>
    </row>
    <row r="134" spans="1:18" x14ac:dyDescent="0.25">
      <c r="A134" s="50" t="s">
        <v>565</v>
      </c>
      <c r="B134" s="87">
        <v>879.35</v>
      </c>
      <c r="C134" s="543">
        <f>B134*'Energy Content Assumptions'!C32</f>
        <v>703.48</v>
      </c>
      <c r="D134" s="36"/>
      <c r="E134" s="36"/>
      <c r="F134" s="36"/>
      <c r="G134" s="36"/>
      <c r="H134" s="36"/>
      <c r="I134" s="36"/>
      <c r="J134" s="36"/>
      <c r="K134" s="36"/>
      <c r="L134" s="36"/>
      <c r="M134" s="36"/>
      <c r="N134" s="36"/>
      <c r="O134" s="36"/>
      <c r="P134" s="36"/>
      <c r="Q134" s="36"/>
      <c r="R134" s="36"/>
    </row>
    <row r="135" spans="1:18" x14ac:dyDescent="0.25">
      <c r="A135" s="36"/>
      <c r="B135" s="36"/>
      <c r="C135" s="36"/>
      <c r="D135" s="36"/>
      <c r="E135" s="36"/>
      <c r="F135" s="36"/>
      <c r="G135" s="36"/>
      <c r="H135" s="36"/>
      <c r="I135" s="36"/>
      <c r="J135" s="36"/>
      <c r="K135" s="36"/>
      <c r="L135" s="36"/>
      <c r="M135" s="36"/>
      <c r="N135" s="36"/>
      <c r="O135" s="36"/>
      <c r="P135" s="36"/>
      <c r="Q135" s="36"/>
      <c r="R135" s="36"/>
    </row>
    <row r="136" spans="1:18" x14ac:dyDescent="0.25">
      <c r="A136" s="49" t="s">
        <v>462</v>
      </c>
      <c r="B136" s="49" t="s">
        <v>1039</v>
      </c>
      <c r="C136" s="49" t="s">
        <v>1040</v>
      </c>
      <c r="D136" s="36"/>
      <c r="E136" s="36"/>
      <c r="F136" s="36"/>
      <c r="G136" s="36"/>
      <c r="H136" s="36"/>
      <c r="I136" s="36"/>
      <c r="J136" s="36"/>
      <c r="K136" s="36"/>
      <c r="L136" s="36"/>
      <c r="M136" s="36"/>
      <c r="N136" s="36"/>
      <c r="O136" s="36"/>
      <c r="P136" s="36"/>
      <c r="Q136" s="36"/>
      <c r="R136" s="36"/>
    </row>
    <row r="137" spans="1:18" x14ac:dyDescent="0.25">
      <c r="A137" s="50" t="s">
        <v>211</v>
      </c>
      <c r="B137" s="87">
        <f>'Biomass Data Assumptions'!$M$27</f>
        <v>97843.9</v>
      </c>
      <c r="C137" s="544"/>
      <c r="D137" s="546" t="s">
        <v>1016</v>
      </c>
      <c r="E137" s="36"/>
      <c r="F137" s="36"/>
      <c r="G137" s="36"/>
      <c r="H137" s="36"/>
      <c r="I137" s="36"/>
      <c r="J137" s="36"/>
      <c r="K137" s="36"/>
      <c r="L137" s="36"/>
      <c r="M137" s="36"/>
      <c r="N137" s="36"/>
      <c r="O137" s="36"/>
      <c r="P137" s="36"/>
      <c r="Q137" s="36"/>
      <c r="R137" s="36"/>
    </row>
    <row r="138" spans="1:18" x14ac:dyDescent="0.25">
      <c r="A138" s="50" t="s">
        <v>208</v>
      </c>
      <c r="B138" s="87">
        <f>'Biomass Data Assumptions'!$F$27</f>
        <v>66483.95</v>
      </c>
      <c r="C138" s="543">
        <f>B138*'Energy Content Assumptions'!$C$28</f>
        <v>33241.974999999999</v>
      </c>
      <c r="D138" s="546" t="s">
        <v>1016</v>
      </c>
      <c r="E138" s="36"/>
      <c r="F138" s="36"/>
      <c r="G138" s="36"/>
      <c r="H138" s="36"/>
      <c r="I138" s="36"/>
      <c r="J138" s="36"/>
      <c r="K138" s="36"/>
      <c r="L138" s="36"/>
      <c r="M138" s="36"/>
      <c r="N138" s="36"/>
      <c r="O138" s="36"/>
      <c r="P138" s="36"/>
      <c r="Q138" s="36"/>
      <c r="R138" s="36"/>
    </row>
    <row r="139" spans="1:18" x14ac:dyDescent="0.25">
      <c r="A139" s="50" t="s">
        <v>209</v>
      </c>
      <c r="B139" s="87">
        <f>'Biomass Data Assumptions'!$H$27</f>
        <v>51546.8</v>
      </c>
      <c r="C139" s="543"/>
      <c r="D139" s="36" t="s">
        <v>1020</v>
      </c>
      <c r="E139" s="36"/>
      <c r="F139" s="36"/>
      <c r="G139" s="36"/>
      <c r="H139" s="36"/>
      <c r="I139" s="36"/>
      <c r="J139" s="36"/>
      <c r="K139" s="36"/>
      <c r="L139" s="36"/>
      <c r="M139" s="36"/>
      <c r="N139" s="36"/>
      <c r="O139" s="36"/>
      <c r="P139" s="36"/>
      <c r="Q139" s="36"/>
      <c r="R139" s="36"/>
    </row>
    <row r="140" spans="1:18" x14ac:dyDescent="0.25">
      <c r="A140" s="50" t="s">
        <v>210</v>
      </c>
      <c r="B140" s="87">
        <f>'Biomass Data Assumptions'!$I$27</f>
        <v>14937.149999999994</v>
      </c>
      <c r="C140" s="543">
        <f>B140*'Energy Content Assumptions'!$C$28</f>
        <v>7468.5749999999971</v>
      </c>
      <c r="D140" s="36" t="s">
        <v>1021</v>
      </c>
      <c r="E140" s="36"/>
      <c r="F140" s="36"/>
      <c r="G140" s="36"/>
      <c r="H140" s="36"/>
      <c r="I140" s="36"/>
      <c r="J140" s="36"/>
      <c r="K140" s="36"/>
      <c r="L140" s="36"/>
      <c r="M140" s="36"/>
      <c r="N140" s="36"/>
      <c r="O140" s="36"/>
      <c r="P140" s="36"/>
      <c r="Q140" s="36"/>
      <c r="R140" s="36"/>
    </row>
    <row r="141" spans="1:18" x14ac:dyDescent="0.25">
      <c r="A141" s="50" t="str">
        <f>'Bioenergy Calculator'!B35</f>
        <v>Food waste, Landfilled</v>
      </c>
      <c r="B141" s="87">
        <f>IF('Bioenergy Calculator'!H75="No",'Biomass Data Assumptions'!J27,'Biomass Data Assumptions'!F27*'Biomass Data Assumptions'!I41)</f>
        <v>2363.0571299999992</v>
      </c>
      <c r="C141" s="543">
        <f>B141*'Energy Content Assumptions'!C26</f>
        <v>708.91713899999979</v>
      </c>
      <c r="D141" s="36" t="s">
        <v>1063</v>
      </c>
      <c r="E141" s="36"/>
      <c r="F141" s="36"/>
      <c r="G141" s="36"/>
      <c r="H141" s="36"/>
      <c r="I141" s="36"/>
      <c r="J141" s="36"/>
      <c r="K141" s="36"/>
      <c r="L141" s="36"/>
      <c r="M141" s="36"/>
      <c r="N141" s="36"/>
      <c r="O141" s="36"/>
      <c r="P141" s="36"/>
      <c r="Q141" s="36"/>
      <c r="R141" s="36"/>
    </row>
    <row r="142" spans="1:18" x14ac:dyDescent="0.25">
      <c r="A142" s="50" t="str">
        <f>'Bioenergy Calculator'!B36</f>
        <v>Waste paper, Landfilled</v>
      </c>
      <c r="B142" s="87">
        <f>IF('Bioenergy Calculator'!H75="No",'Biomass Data Assumptions'!K27,'Biomass Data Assumptions'!F27*'Biomass Data Assumptions'!I42)</f>
        <v>2905.275674999999</v>
      </c>
      <c r="C142" s="543">
        <f>B142*'Energy Content Assumptions'!C27</f>
        <v>2614.7481074999992</v>
      </c>
      <c r="D142" s="36" t="s">
        <v>1063</v>
      </c>
      <c r="E142" s="36"/>
      <c r="F142" s="36"/>
      <c r="G142" s="36"/>
      <c r="H142" s="36"/>
      <c r="I142" s="36"/>
      <c r="J142" s="36"/>
      <c r="K142" s="36"/>
      <c r="L142" s="36"/>
      <c r="M142" s="36"/>
      <c r="N142" s="36"/>
      <c r="O142" s="36"/>
      <c r="P142" s="36"/>
      <c r="Q142" s="36"/>
      <c r="R142" s="36"/>
    </row>
    <row r="143" spans="1:18" x14ac:dyDescent="0.25">
      <c r="A143" s="50" t="str">
        <f>'Bioenergy Calculator'!B37</f>
        <v>Other Biomass, Landfilled</v>
      </c>
      <c r="B143" s="87">
        <f>IF('Bioenergy Calculator'!H75="No",'Biomass Data Assumptions'!L27,'Biomass Data Assumptions'!F27*'Biomass Data Assumptions'!I43)</f>
        <v>4022.574494999998</v>
      </c>
      <c r="C143" s="543">
        <f>B143*'Energy Content Assumptions'!$C$28</f>
        <v>2011.287247499999</v>
      </c>
      <c r="D143" s="546" t="s">
        <v>1064</v>
      </c>
      <c r="E143" s="36"/>
      <c r="F143" s="36"/>
      <c r="G143" s="36"/>
      <c r="H143" s="36"/>
      <c r="I143" s="36"/>
      <c r="J143" s="36"/>
      <c r="K143" s="36"/>
      <c r="L143" s="36"/>
      <c r="M143" s="36"/>
      <c r="N143" s="36"/>
      <c r="O143" s="36"/>
      <c r="P143" s="36"/>
      <c r="Q143" s="36"/>
      <c r="R143" s="36"/>
    </row>
    <row r="144" spans="1:18" x14ac:dyDescent="0.25">
      <c r="A144" s="50" t="s">
        <v>463</v>
      </c>
      <c r="B144" s="87">
        <v>2730.73</v>
      </c>
      <c r="C144" s="543">
        <f>B144*'Energy Content Assumptions'!C29</f>
        <v>2184.5840000000003</v>
      </c>
      <c r="D144" s="151" t="s">
        <v>206</v>
      </c>
      <c r="E144" s="36"/>
      <c r="F144" s="36"/>
      <c r="G144" s="36"/>
      <c r="H144" s="36"/>
      <c r="I144" s="36"/>
      <c r="J144" s="36"/>
      <c r="K144" s="36"/>
      <c r="L144" s="36"/>
      <c r="M144" s="36"/>
      <c r="N144" s="36"/>
      <c r="O144" s="36"/>
      <c r="P144" s="36"/>
      <c r="Q144" s="36"/>
      <c r="R144" s="36"/>
    </row>
    <row r="145" spans="1:18" x14ac:dyDescent="0.25">
      <c r="A145" s="709" t="s">
        <v>179</v>
      </c>
      <c r="B145" s="710">
        <v>0.4</v>
      </c>
      <c r="C145" s="543">
        <f>C144*B145</f>
        <v>873.83360000000016</v>
      </c>
      <c r="D145" s="36" t="s">
        <v>1202</v>
      </c>
      <c r="E145" s="36"/>
      <c r="F145" s="36"/>
      <c r="G145" s="36"/>
      <c r="H145" s="36"/>
      <c r="I145" s="36"/>
      <c r="J145" s="36"/>
      <c r="K145" s="36"/>
      <c r="L145" s="36"/>
      <c r="M145" s="36"/>
      <c r="N145" s="36"/>
      <c r="O145" s="36"/>
      <c r="P145" s="36"/>
      <c r="Q145" s="36"/>
      <c r="R145" s="36"/>
    </row>
    <row r="146" spans="1:18" x14ac:dyDescent="0.25">
      <c r="A146" s="712"/>
      <c r="B146" s="713"/>
      <c r="C146" s="543"/>
      <c r="D146" s="150" t="s">
        <v>1553</v>
      </c>
      <c r="E146" s="36"/>
      <c r="F146" s="36"/>
      <c r="G146" s="36"/>
      <c r="H146" s="36"/>
      <c r="I146" s="36"/>
      <c r="J146" s="36"/>
      <c r="K146" s="36"/>
      <c r="L146" s="36"/>
      <c r="M146" s="36"/>
      <c r="N146" s="36"/>
      <c r="O146" s="36"/>
      <c r="P146" s="36"/>
      <c r="Q146" s="36"/>
      <c r="R146" s="36"/>
    </row>
    <row r="147" spans="1:18" x14ac:dyDescent="0.25">
      <c r="A147" s="1238" t="s">
        <v>1568</v>
      </c>
      <c r="B147" s="49" t="s">
        <v>1039</v>
      </c>
      <c r="C147" s="49" t="s">
        <v>1571</v>
      </c>
      <c r="D147" s="150"/>
      <c r="E147" s="36"/>
      <c r="F147" s="36"/>
      <c r="G147" s="36"/>
      <c r="H147" s="36"/>
      <c r="I147" s="36"/>
      <c r="J147" s="36"/>
      <c r="K147" s="36"/>
      <c r="L147" s="36"/>
      <c r="M147" s="36"/>
      <c r="N147" s="36"/>
      <c r="O147" s="36"/>
      <c r="P147" s="36"/>
      <c r="Q147" s="36"/>
      <c r="R147" s="36"/>
    </row>
    <row r="148" spans="1:18" x14ac:dyDescent="0.25">
      <c r="A148" s="1236" t="s">
        <v>508</v>
      </c>
      <c r="B148" s="549">
        <f>'Biomass Data Assumptions'!R27/2000</f>
        <v>478.24480000000005</v>
      </c>
      <c r="C148" s="1239">
        <f>B148*'Energy Content Assumptions'!C39</f>
        <v>406.50808000000006</v>
      </c>
      <c r="D148" s="150" t="s">
        <v>1569</v>
      </c>
      <c r="E148" s="36"/>
      <c r="F148" s="36"/>
      <c r="G148" s="36"/>
      <c r="H148" s="36"/>
      <c r="I148" s="36"/>
      <c r="J148" s="36"/>
      <c r="K148" s="36"/>
      <c r="L148" s="36"/>
      <c r="M148" s="36"/>
      <c r="N148" s="36"/>
      <c r="O148" s="36"/>
      <c r="P148" s="36"/>
      <c r="Q148" s="36"/>
      <c r="R148" s="36"/>
    </row>
    <row r="149" spans="1:18" x14ac:dyDescent="0.25">
      <c r="A149" s="1236" t="s">
        <v>509</v>
      </c>
      <c r="B149" s="549">
        <f>'Biomass Data Assumptions'!S27/2000</f>
        <v>726.60601999999994</v>
      </c>
      <c r="C149" s="1239">
        <f>B149*'Energy Content Assumptions'!C40</f>
        <v>36.330300999999999</v>
      </c>
      <c r="D149" s="150" t="s">
        <v>1570</v>
      </c>
      <c r="E149" s="36"/>
      <c r="F149" s="36"/>
      <c r="G149" s="36"/>
      <c r="H149" s="36"/>
      <c r="I149" s="36"/>
      <c r="J149" s="36"/>
      <c r="K149" s="36"/>
      <c r="L149" s="36"/>
      <c r="M149" s="36"/>
      <c r="N149" s="36"/>
      <c r="O149" s="36"/>
      <c r="P149" s="36"/>
      <c r="Q149" s="36"/>
      <c r="R149" s="36"/>
    </row>
    <row r="150" spans="1:18" x14ac:dyDescent="0.25">
      <c r="A150" s="36"/>
      <c r="B150" s="36"/>
      <c r="C150" s="36"/>
      <c r="D150" s="36"/>
      <c r="E150" s="36"/>
      <c r="F150" s="36"/>
      <c r="G150" s="36"/>
      <c r="H150" s="36"/>
      <c r="I150" s="36"/>
      <c r="J150" s="36"/>
      <c r="K150" s="36"/>
      <c r="L150" s="36"/>
      <c r="M150" s="36"/>
      <c r="N150" s="36"/>
      <c r="O150" s="36"/>
      <c r="P150" s="36"/>
      <c r="Q150" s="36"/>
      <c r="R150" s="36"/>
    </row>
    <row r="151" spans="1:18" x14ac:dyDescent="0.25">
      <c r="A151" s="36"/>
      <c r="B151" s="36"/>
      <c r="C151" s="36"/>
      <c r="D151" s="36"/>
      <c r="E151" s="36"/>
      <c r="F151" s="36"/>
      <c r="G151" s="36"/>
      <c r="H151" s="36"/>
      <c r="I151" s="36"/>
      <c r="J151" s="36"/>
      <c r="K151" s="36"/>
      <c r="L151" s="36"/>
      <c r="M151" s="36"/>
      <c r="N151" s="36"/>
      <c r="O151" s="36"/>
      <c r="P151" s="36"/>
      <c r="Q151" s="36"/>
      <c r="R151" s="36"/>
    </row>
    <row r="152" spans="1:18" x14ac:dyDescent="0.25">
      <c r="A152" s="36"/>
      <c r="B152" s="36"/>
      <c r="C152" s="36"/>
      <c r="D152" s="36"/>
      <c r="E152" s="36"/>
      <c r="F152" s="36"/>
      <c r="G152" s="36"/>
      <c r="H152" s="36"/>
      <c r="I152" s="36"/>
      <c r="J152" s="36"/>
      <c r="K152" s="36"/>
      <c r="L152" s="36"/>
      <c r="M152" s="36"/>
      <c r="N152" s="36"/>
      <c r="O152" s="36"/>
      <c r="P152" s="36"/>
      <c r="Q152" s="36"/>
      <c r="R152" s="36"/>
    </row>
    <row r="153" spans="1:18" x14ac:dyDescent="0.25">
      <c r="A153" s="36"/>
      <c r="B153" s="36"/>
      <c r="C153" s="36"/>
      <c r="D153" s="36"/>
      <c r="E153" s="36"/>
      <c r="F153" s="36"/>
      <c r="G153" s="36"/>
      <c r="H153" s="36"/>
      <c r="I153" s="36"/>
      <c r="J153" s="36"/>
      <c r="K153" s="36"/>
      <c r="L153" s="36"/>
      <c r="M153" s="36"/>
      <c r="N153" s="36"/>
      <c r="O153" s="36"/>
      <c r="P153" s="36"/>
      <c r="Q153" s="36"/>
      <c r="R153" s="36"/>
    </row>
    <row r="154" spans="1:18" x14ac:dyDescent="0.25">
      <c r="A154" s="36"/>
      <c r="B154" s="36"/>
      <c r="C154" s="36"/>
      <c r="D154" s="36"/>
      <c r="E154" s="36"/>
      <c r="F154" s="36"/>
      <c r="G154" s="36"/>
      <c r="H154" s="36"/>
      <c r="I154" s="36"/>
      <c r="J154" s="36"/>
      <c r="K154" s="36"/>
      <c r="L154" s="36"/>
      <c r="M154" s="36"/>
      <c r="N154" s="36"/>
      <c r="O154" s="36"/>
      <c r="P154" s="36"/>
      <c r="Q154" s="36"/>
      <c r="R154" s="36"/>
    </row>
    <row r="155" spans="1:18" x14ac:dyDescent="0.25">
      <c r="A155" s="36"/>
      <c r="B155" s="36"/>
      <c r="C155" s="36"/>
      <c r="D155" s="36"/>
      <c r="E155" s="36"/>
      <c r="F155" s="36"/>
      <c r="G155" s="36"/>
      <c r="H155" s="36"/>
      <c r="I155" s="36"/>
      <c r="J155" s="36"/>
      <c r="K155" s="36"/>
      <c r="L155" s="36"/>
      <c r="M155" s="36"/>
      <c r="N155" s="36"/>
      <c r="O155" s="36"/>
      <c r="P155" s="36"/>
      <c r="Q155" s="36"/>
      <c r="R155" s="36"/>
    </row>
    <row r="156" spans="1:18" x14ac:dyDescent="0.25">
      <c r="A156" s="36"/>
      <c r="B156" s="36"/>
      <c r="C156" s="36"/>
      <c r="D156" s="36"/>
      <c r="E156" s="36"/>
      <c r="F156" s="36"/>
      <c r="G156" s="36"/>
      <c r="H156" s="36"/>
      <c r="I156" s="36"/>
      <c r="J156" s="36"/>
      <c r="K156" s="36"/>
      <c r="L156" s="36"/>
      <c r="M156" s="36"/>
      <c r="N156" s="36"/>
      <c r="O156" s="36"/>
      <c r="P156" s="36"/>
      <c r="Q156" s="36"/>
      <c r="R156" s="36"/>
    </row>
    <row r="157" spans="1:18" x14ac:dyDescent="0.25">
      <c r="A157" s="36"/>
      <c r="B157" s="36"/>
      <c r="C157" s="36"/>
      <c r="D157" s="36"/>
      <c r="E157" s="36"/>
      <c r="F157" s="36"/>
      <c r="G157" s="36"/>
      <c r="H157" s="36"/>
      <c r="I157" s="36"/>
      <c r="J157" s="36"/>
      <c r="K157" s="36"/>
      <c r="L157" s="36"/>
      <c r="M157" s="36"/>
      <c r="N157" s="36"/>
      <c r="O157" s="36"/>
      <c r="P157" s="36"/>
      <c r="Q157" s="36"/>
      <c r="R157" s="36"/>
    </row>
    <row r="158" spans="1:18" x14ac:dyDescent="0.25">
      <c r="A158" s="36"/>
      <c r="B158" s="36"/>
      <c r="C158" s="36"/>
      <c r="D158" s="36"/>
      <c r="E158" s="36"/>
      <c r="F158" s="36"/>
      <c r="G158" s="36"/>
      <c r="H158" s="36"/>
      <c r="I158" s="36"/>
      <c r="J158" s="36"/>
      <c r="K158" s="36"/>
      <c r="L158" s="36"/>
      <c r="M158" s="36"/>
      <c r="N158" s="36"/>
      <c r="O158" s="36"/>
      <c r="P158" s="36"/>
      <c r="Q158" s="36"/>
      <c r="R158" s="36"/>
    </row>
    <row r="159" spans="1:18" x14ac:dyDescent="0.25">
      <c r="A159" s="36"/>
      <c r="B159" s="36"/>
      <c r="C159" s="36"/>
      <c r="D159" s="36"/>
      <c r="E159" s="36"/>
      <c r="F159" s="36"/>
      <c r="G159" s="36"/>
      <c r="H159" s="36"/>
      <c r="I159" s="36"/>
      <c r="J159" s="36"/>
      <c r="K159" s="36"/>
      <c r="L159" s="36"/>
      <c r="M159" s="36"/>
      <c r="N159" s="36"/>
      <c r="O159" s="36"/>
      <c r="P159" s="36"/>
      <c r="Q159" s="36"/>
      <c r="R159" s="36"/>
    </row>
    <row r="160" spans="1:18" x14ac:dyDescent="0.25">
      <c r="A160" s="36"/>
      <c r="B160" s="36"/>
      <c r="C160" s="36"/>
      <c r="D160" s="36"/>
      <c r="E160" s="36"/>
      <c r="F160" s="36"/>
      <c r="G160" s="36"/>
      <c r="H160" s="36"/>
      <c r="I160" s="36"/>
      <c r="J160" s="36"/>
      <c r="K160" s="36"/>
      <c r="L160" s="36"/>
      <c r="M160" s="36"/>
      <c r="N160" s="36"/>
      <c r="O160" s="36"/>
      <c r="P160" s="36"/>
      <c r="Q160" s="36"/>
      <c r="R160" s="36"/>
    </row>
    <row r="161" spans="1:18" x14ac:dyDescent="0.25">
      <c r="A161" s="36"/>
      <c r="B161" s="36"/>
      <c r="C161" s="36"/>
      <c r="D161" s="36"/>
      <c r="E161" s="36"/>
      <c r="F161" s="36"/>
      <c r="G161" s="36"/>
      <c r="H161" s="36"/>
      <c r="I161" s="36"/>
      <c r="J161" s="36"/>
      <c r="K161" s="36"/>
      <c r="L161" s="36"/>
      <c r="M161" s="36"/>
      <c r="N161" s="36"/>
      <c r="O161" s="36"/>
      <c r="P161" s="36"/>
      <c r="Q161" s="36"/>
      <c r="R161" s="36"/>
    </row>
    <row r="162" spans="1:18" x14ac:dyDescent="0.25">
      <c r="A162" s="36"/>
      <c r="B162" s="36"/>
      <c r="C162" s="36"/>
      <c r="D162" s="36"/>
      <c r="E162" s="36"/>
      <c r="F162" s="36"/>
      <c r="G162" s="36"/>
      <c r="H162" s="36"/>
      <c r="I162" s="36"/>
      <c r="J162" s="36"/>
      <c r="K162" s="36"/>
      <c r="L162" s="36"/>
      <c r="M162" s="36"/>
      <c r="N162" s="36"/>
      <c r="O162" s="36"/>
      <c r="P162" s="36"/>
      <c r="Q162" s="36"/>
      <c r="R162" s="36"/>
    </row>
    <row r="163" spans="1:18" x14ac:dyDescent="0.25">
      <c r="A163" s="36"/>
      <c r="B163" s="36"/>
      <c r="C163" s="36"/>
      <c r="D163" s="36"/>
      <c r="E163" s="36"/>
      <c r="F163" s="36"/>
      <c r="G163" s="36"/>
      <c r="H163" s="36"/>
      <c r="I163" s="36"/>
      <c r="J163" s="36"/>
      <c r="K163" s="36"/>
      <c r="L163" s="36"/>
      <c r="M163" s="36"/>
      <c r="N163" s="36"/>
      <c r="O163" s="36"/>
      <c r="P163" s="36"/>
      <c r="Q163" s="36"/>
      <c r="R163" s="36"/>
    </row>
    <row r="164" spans="1:18" x14ac:dyDescent="0.25">
      <c r="A164" s="36"/>
      <c r="B164" s="36"/>
      <c r="C164" s="36"/>
      <c r="D164" s="36"/>
      <c r="E164" s="36"/>
      <c r="F164" s="36"/>
      <c r="G164" s="36"/>
      <c r="H164" s="36"/>
      <c r="I164" s="36"/>
      <c r="J164" s="36"/>
      <c r="K164" s="36"/>
      <c r="L164" s="36"/>
      <c r="M164" s="36"/>
      <c r="N164" s="36"/>
      <c r="O164" s="36"/>
      <c r="P164" s="36"/>
      <c r="Q164" s="36"/>
      <c r="R164" s="36"/>
    </row>
    <row r="165" spans="1:18" x14ac:dyDescent="0.25">
      <c r="A165" s="36"/>
      <c r="B165" s="36"/>
      <c r="C165" s="36"/>
      <c r="D165" s="36"/>
      <c r="E165" s="36"/>
      <c r="F165" s="36"/>
      <c r="G165" s="36"/>
      <c r="H165" s="36"/>
      <c r="I165" s="36"/>
      <c r="J165" s="36"/>
      <c r="K165" s="36"/>
      <c r="L165" s="36"/>
      <c r="M165" s="36"/>
      <c r="N165" s="36"/>
      <c r="O165" s="36"/>
      <c r="P165" s="36"/>
      <c r="Q165" s="36"/>
      <c r="R165" s="36"/>
    </row>
    <row r="166" spans="1:18" x14ac:dyDescent="0.25">
      <c r="A166" s="36"/>
      <c r="B166" s="36"/>
      <c r="C166" s="36"/>
      <c r="D166" s="36"/>
      <c r="E166" s="36"/>
      <c r="F166" s="36"/>
      <c r="G166" s="36"/>
      <c r="H166" s="36"/>
      <c r="I166" s="36"/>
      <c r="J166" s="36"/>
      <c r="K166" s="36"/>
      <c r="L166" s="36"/>
      <c r="M166" s="36"/>
      <c r="N166" s="36"/>
      <c r="O166" s="36"/>
      <c r="P166" s="36"/>
      <c r="Q166" s="36"/>
      <c r="R166" s="36"/>
    </row>
    <row r="167" spans="1:18" x14ac:dyDescent="0.25">
      <c r="A167" s="36"/>
      <c r="B167" s="36"/>
      <c r="C167" s="36"/>
      <c r="D167" s="36"/>
      <c r="E167" s="36"/>
      <c r="F167" s="36"/>
      <c r="G167" s="36"/>
      <c r="H167" s="36"/>
      <c r="I167" s="36"/>
      <c r="J167" s="36"/>
      <c r="K167" s="36"/>
      <c r="L167" s="36"/>
      <c r="M167" s="36"/>
      <c r="N167" s="36"/>
      <c r="O167" s="36"/>
      <c r="P167" s="36"/>
      <c r="Q167" s="36"/>
      <c r="R167" s="36"/>
    </row>
    <row r="168" spans="1:18" x14ac:dyDescent="0.25">
      <c r="A168" s="36"/>
      <c r="B168" s="36"/>
      <c r="C168" s="36"/>
      <c r="D168" s="36"/>
      <c r="E168" s="36"/>
      <c r="F168" s="36"/>
      <c r="G168" s="36"/>
      <c r="H168" s="36"/>
      <c r="I168" s="36"/>
      <c r="J168" s="36"/>
      <c r="K168" s="36"/>
      <c r="L168" s="36"/>
      <c r="M168" s="36"/>
      <c r="N168" s="36"/>
      <c r="O168" s="36"/>
      <c r="P168" s="36"/>
      <c r="Q168" s="36"/>
      <c r="R168" s="36"/>
    </row>
    <row r="169" spans="1:18" x14ac:dyDescent="0.25">
      <c r="A169" s="36"/>
      <c r="B169" s="36"/>
      <c r="C169" s="36"/>
      <c r="D169" s="36"/>
      <c r="E169" s="36"/>
      <c r="F169" s="36"/>
      <c r="G169" s="36"/>
      <c r="H169" s="36"/>
      <c r="I169" s="36"/>
      <c r="J169" s="36"/>
      <c r="K169" s="36"/>
      <c r="L169" s="36"/>
      <c r="M169" s="36"/>
      <c r="N169" s="36"/>
      <c r="O169" s="36"/>
      <c r="P169" s="36"/>
      <c r="Q169" s="36"/>
      <c r="R169" s="36"/>
    </row>
    <row r="170" spans="1:18" x14ac:dyDescent="0.25">
      <c r="A170" s="36"/>
      <c r="B170" s="36"/>
      <c r="C170" s="36"/>
      <c r="D170" s="36"/>
      <c r="E170" s="36"/>
      <c r="F170" s="36"/>
      <c r="G170" s="36"/>
      <c r="H170" s="36"/>
      <c r="I170" s="36"/>
      <c r="J170" s="36"/>
      <c r="K170" s="36"/>
      <c r="L170" s="36"/>
      <c r="M170" s="36"/>
      <c r="N170" s="36"/>
      <c r="O170" s="36"/>
      <c r="P170" s="36"/>
      <c r="Q170" s="36"/>
      <c r="R170" s="36"/>
    </row>
    <row r="171" spans="1:18" x14ac:dyDescent="0.25">
      <c r="P171" s="36"/>
      <c r="Q171" s="36"/>
      <c r="R171" s="36"/>
    </row>
    <row r="172" spans="1:18" x14ac:dyDescent="0.25">
      <c r="P172" s="36"/>
      <c r="Q172" s="36"/>
      <c r="R172" s="36"/>
    </row>
    <row r="173" spans="1:18" x14ac:dyDescent="0.25">
      <c r="P173" s="36"/>
      <c r="Q173" s="36"/>
      <c r="R173" s="36"/>
    </row>
    <row r="174" spans="1:18" x14ac:dyDescent="0.25">
      <c r="P174" s="36"/>
      <c r="Q174" s="36"/>
      <c r="R174" s="36"/>
    </row>
    <row r="175" spans="1:18" x14ac:dyDescent="0.25">
      <c r="P175" s="36"/>
      <c r="Q175" s="36"/>
      <c r="R175" s="36"/>
    </row>
    <row r="176" spans="1:18" x14ac:dyDescent="0.25">
      <c r="P176" s="36"/>
      <c r="Q176" s="36"/>
      <c r="R176" s="36"/>
    </row>
    <row r="177" spans="16:18" x14ac:dyDescent="0.25">
      <c r="P177" s="36"/>
      <c r="Q177" s="36"/>
      <c r="R177" s="36"/>
    </row>
    <row r="178" spans="16:18" x14ac:dyDescent="0.25">
      <c r="P178" s="36"/>
      <c r="Q178" s="36"/>
      <c r="R178" s="36"/>
    </row>
    <row r="179" spans="16:18" x14ac:dyDescent="0.25">
      <c r="P179" s="36"/>
      <c r="Q179" s="36"/>
      <c r="R179" s="36"/>
    </row>
    <row r="180" spans="16:18" x14ac:dyDescent="0.25">
      <c r="P180" s="36"/>
      <c r="Q180" s="36"/>
      <c r="R180" s="36"/>
    </row>
    <row r="181" spans="16:18" x14ac:dyDescent="0.25">
      <c r="P181" s="36"/>
      <c r="Q181" s="36"/>
      <c r="R181" s="36"/>
    </row>
    <row r="182" spans="16:18" x14ac:dyDescent="0.25">
      <c r="P182" s="36"/>
      <c r="Q182" s="36"/>
      <c r="R182" s="36"/>
    </row>
    <row r="183" spans="16:18" x14ac:dyDescent="0.25">
      <c r="P183" s="36"/>
      <c r="Q183" s="36"/>
      <c r="R183" s="36"/>
    </row>
    <row r="184" spans="16:18" x14ac:dyDescent="0.25">
      <c r="P184" s="36"/>
      <c r="Q184" s="36"/>
      <c r="R184" s="36"/>
    </row>
    <row r="185" spans="16:18" x14ac:dyDescent="0.25">
      <c r="P185" s="36"/>
      <c r="Q185" s="36"/>
      <c r="R185" s="36"/>
    </row>
    <row r="186" spans="16:18" x14ac:dyDescent="0.25">
      <c r="P186" s="36"/>
      <c r="Q186" s="36"/>
      <c r="R186" s="36"/>
    </row>
    <row r="187" spans="16:18" x14ac:dyDescent="0.25">
      <c r="P187" s="36"/>
      <c r="Q187" s="36"/>
      <c r="R187" s="36"/>
    </row>
    <row r="188" spans="16:18" x14ac:dyDescent="0.25">
      <c r="P188" s="36"/>
      <c r="Q188" s="36"/>
      <c r="R188" s="36"/>
    </row>
    <row r="189" spans="16:18" x14ac:dyDescent="0.25">
      <c r="P189" s="36"/>
      <c r="Q189" s="36"/>
      <c r="R189" s="36"/>
    </row>
    <row r="190" spans="16:18" x14ac:dyDescent="0.25">
      <c r="P190" s="36"/>
      <c r="Q190" s="36"/>
      <c r="R190" s="36"/>
    </row>
    <row r="191" spans="16:18" x14ac:dyDescent="0.25">
      <c r="P191" s="36"/>
      <c r="Q191" s="36"/>
      <c r="R191" s="36"/>
    </row>
    <row r="192" spans="16:18" x14ac:dyDescent="0.25">
      <c r="P192" s="36"/>
      <c r="Q192" s="36"/>
      <c r="R192" s="36"/>
    </row>
    <row r="193" spans="16:18" x14ac:dyDescent="0.25">
      <c r="P193" s="36"/>
      <c r="Q193" s="36"/>
      <c r="R193" s="36"/>
    </row>
    <row r="194" spans="16:18" x14ac:dyDescent="0.25">
      <c r="P194" s="36"/>
      <c r="Q194" s="36"/>
      <c r="R194" s="36"/>
    </row>
    <row r="195" spans="16:18" x14ac:dyDescent="0.25">
      <c r="P195" s="36"/>
      <c r="Q195" s="36"/>
      <c r="R195" s="36"/>
    </row>
    <row r="196" spans="16:18" x14ac:dyDescent="0.25">
      <c r="P196" s="36"/>
      <c r="Q196" s="36"/>
      <c r="R196" s="36"/>
    </row>
    <row r="197" spans="16:18" x14ac:dyDescent="0.25">
      <c r="P197" s="36"/>
      <c r="Q197" s="36"/>
      <c r="R197" s="36"/>
    </row>
    <row r="198" spans="16:18" x14ac:dyDescent="0.25">
      <c r="P198" s="36"/>
      <c r="Q198" s="36"/>
      <c r="R198" s="36"/>
    </row>
    <row r="199" spans="16:18" x14ac:dyDescent="0.25">
      <c r="P199" s="36"/>
      <c r="Q199" s="36"/>
      <c r="R199" s="36"/>
    </row>
  </sheetData>
  <mergeCells count="15">
    <mergeCell ref="A3:A4"/>
    <mergeCell ref="B3:B4"/>
    <mergeCell ref="C3:C4"/>
    <mergeCell ref="A51:A67"/>
    <mergeCell ref="A5:A11"/>
    <mergeCell ref="A13:A29"/>
    <mergeCell ref="A31:A43"/>
    <mergeCell ref="A45:A49"/>
    <mergeCell ref="I1:L1"/>
    <mergeCell ref="M1:P1"/>
    <mergeCell ref="Q3:Q4"/>
    <mergeCell ref="D3:D4"/>
    <mergeCell ref="I3:L3"/>
    <mergeCell ref="M3:P3"/>
    <mergeCell ref="E3:H3"/>
  </mergeCells>
  <phoneticPr fontId="0" type="noConversion"/>
  <pageMargins left="0.75" right="0.75" top="1" bottom="1" header="0.5" footer="0.5"/>
  <pageSetup paperSize="5" scale="50" orientation="landscape" r:id="rId1"/>
  <headerFooter alignWithMargins="0">
    <oddFooter>&amp;L&amp;"Arial,Italic" 7/02/07&amp;C&amp;"Arial,Italic"&amp;A&amp;R&amp;"Arial,Italic"NJAES Report 2007-1 ©2007
New Jersey Agricultural Experiment Station</oddFooter>
  </headerFooter>
  <ignoredErrors>
    <ignoredError sqref="D67" formula="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23"/>
  <sheetViews>
    <sheetView zoomScale="90" zoomScaleNormal="90" workbookViewId="0">
      <selection activeCell="B28" sqref="B28"/>
    </sheetView>
  </sheetViews>
  <sheetFormatPr defaultColWidth="9.109375" defaultRowHeight="14.4" x14ac:dyDescent="0.3"/>
  <cols>
    <col min="1" max="1" width="9.109375" style="857"/>
    <col min="2" max="2" width="12.6640625" style="857" customWidth="1"/>
    <col min="3" max="7" width="12.6640625" style="858" customWidth="1"/>
    <col min="8" max="8" width="13.6640625" style="858" customWidth="1"/>
    <col min="9" max="10" width="12.6640625" style="858" customWidth="1"/>
    <col min="11" max="12" width="12.6640625" style="857" customWidth="1"/>
    <col min="13" max="13" width="14.5546875" style="857" customWidth="1"/>
    <col min="14" max="16" width="14.6640625" style="857" customWidth="1"/>
    <col min="17" max="17" width="18.44140625" style="857" customWidth="1"/>
    <col min="18" max="19" width="14.6640625" style="857" customWidth="1"/>
    <col min="20" max="20" width="14" style="857" customWidth="1"/>
    <col min="21" max="21" width="12" style="857" bestFit="1" customWidth="1"/>
    <col min="22" max="28" width="14.6640625" style="857" customWidth="1"/>
    <col min="29" max="16384" width="9.109375" style="857"/>
  </cols>
  <sheetData>
    <row r="1" spans="1:28" x14ac:dyDescent="0.3">
      <c r="A1" s="1015"/>
      <c r="B1" s="1027" t="s">
        <v>154</v>
      </c>
      <c r="C1" s="1026"/>
      <c r="D1" s="1026"/>
      <c r="E1" s="1026"/>
      <c r="F1" s="1026"/>
      <c r="G1" s="1026"/>
      <c r="H1" s="1026"/>
      <c r="I1" s="1026"/>
      <c r="J1" s="1026"/>
      <c r="K1" s="1015"/>
    </row>
    <row r="2" spans="1:28" ht="15" customHeight="1" x14ac:dyDescent="0.3">
      <c r="A2" s="1015"/>
      <c r="B2" s="1220" t="s">
        <v>1345</v>
      </c>
      <c r="C2" s="1221"/>
      <c r="D2" s="1221"/>
      <c r="E2" s="1221"/>
      <c r="F2" s="1221"/>
      <c r="G2" s="1221"/>
      <c r="H2" s="1221"/>
      <c r="I2" s="1221"/>
      <c r="J2" s="1222"/>
      <c r="K2" s="1015"/>
    </row>
    <row r="3" spans="1:28" x14ac:dyDescent="0.3">
      <c r="A3" s="1015"/>
      <c r="B3" s="1223" t="s">
        <v>322</v>
      </c>
      <c r="C3" s="1224" t="s">
        <v>1346</v>
      </c>
      <c r="D3" s="1224" t="s">
        <v>216</v>
      </c>
      <c r="E3" s="1224" t="s">
        <v>1544</v>
      </c>
      <c r="F3" s="1213" t="s">
        <v>212</v>
      </c>
      <c r="G3" s="1213"/>
      <c r="H3" s="1213"/>
      <c r="I3" s="1224" t="s">
        <v>163</v>
      </c>
      <c r="J3" s="1224" t="s">
        <v>1348</v>
      </c>
      <c r="K3" s="1015"/>
      <c r="Q3" s="857" t="s">
        <v>1351</v>
      </c>
    </row>
    <row r="4" spans="1:28" ht="30" customHeight="1" thickBot="1" x14ac:dyDescent="0.35">
      <c r="A4" s="1015"/>
      <c r="B4" s="1223"/>
      <c r="C4" s="1224"/>
      <c r="D4" s="1224"/>
      <c r="E4" s="1224"/>
      <c r="F4" s="859" t="s">
        <v>213</v>
      </c>
      <c r="G4" s="1055" t="str">
        <f>IF('Bioenergy Calculator'!H75="No","Landfilled","Landfilled and Incinerated")</f>
        <v>Landfilled</v>
      </c>
      <c r="H4" s="859" t="s">
        <v>1349</v>
      </c>
      <c r="I4" s="1224"/>
      <c r="J4" s="1224"/>
      <c r="K4" s="1015"/>
      <c r="L4" s="857" t="s">
        <v>1350</v>
      </c>
      <c r="Q4" s="982" t="s">
        <v>1479</v>
      </c>
      <c r="R4" s="977" t="s">
        <v>1480</v>
      </c>
    </row>
    <row r="5" spans="1:28" ht="15" customHeight="1" thickBot="1" x14ac:dyDescent="0.35">
      <c r="A5" s="1015"/>
      <c r="B5" s="860" t="s">
        <v>403</v>
      </c>
      <c r="C5" s="861">
        <f>Atlantic!$C$11</f>
        <v>2548.5675999999999</v>
      </c>
      <c r="D5" s="861">
        <f>Atlantic!$C$29</f>
        <v>118397.15833333334</v>
      </c>
      <c r="E5" s="861">
        <f>Atlantic!$C$49</f>
        <v>1234.7412632500002</v>
      </c>
      <c r="F5" s="861">
        <f>SUM(Atlantic!$C$37:'Atlantic'!$C$42)</f>
        <v>37946.602499999994</v>
      </c>
      <c r="G5" s="861">
        <f>SUM(Atlantic!$C$32:'Atlantic'!$C$34)</f>
        <v>84846.086702400004</v>
      </c>
      <c r="H5" s="861">
        <f>Atlantic!$C$35</f>
        <v>20944.182400000005</v>
      </c>
      <c r="I5" s="861">
        <f>Atlantic!$C$67</f>
        <v>50563.715968067183</v>
      </c>
      <c r="J5" s="861">
        <f>SUM(C5:I5)</f>
        <v>316481.05476705049</v>
      </c>
      <c r="K5" s="1015"/>
      <c r="L5" s="1211" t="s">
        <v>1352</v>
      </c>
      <c r="M5" s="1212"/>
      <c r="N5" s="1212"/>
      <c r="O5" s="1153"/>
      <c r="Q5" s="978" t="s">
        <v>1481</v>
      </c>
      <c r="R5" s="979">
        <f>'Bioenergy Calculator'!$C$44</f>
        <v>269912.304</v>
      </c>
    </row>
    <row r="6" spans="1:28" ht="15" customHeight="1" thickBot="1" x14ac:dyDescent="0.35">
      <c r="A6" s="1015"/>
      <c r="B6" s="863" t="s">
        <v>325</v>
      </c>
      <c r="C6" s="861">
        <f>Bergen!$C$11</f>
        <v>4.2644000000000002</v>
      </c>
      <c r="D6" s="861">
        <f>Bergen!$C$29</f>
        <v>93737.097499999989</v>
      </c>
      <c r="E6" s="861">
        <f>Bergen!$C$49</f>
        <v>3687.6688630000003</v>
      </c>
      <c r="F6" s="861">
        <f>SUM(Bergen!$C$37:'Bergen'!$C$42)</f>
        <v>166837.16649999999</v>
      </c>
      <c r="G6" s="861">
        <f>SUM(Bergen!$C$32:'Bergen'!$C$34)</f>
        <v>195159.15290400002</v>
      </c>
      <c r="H6" s="861">
        <f>Bergen!$C$35</f>
        <v>86592.899200000014</v>
      </c>
      <c r="I6" s="861">
        <f>Bergen!$C$67</f>
        <v>65289.158135847931</v>
      </c>
      <c r="J6" s="861">
        <f t="shared" ref="J6:J25" si="0">SUM(C6:I6)</f>
        <v>611307.40750284784</v>
      </c>
      <c r="K6" s="1015"/>
      <c r="L6" s="864" t="s">
        <v>322</v>
      </c>
      <c r="M6" s="865" t="s">
        <v>1353</v>
      </c>
      <c r="N6" s="865" t="s">
        <v>1354</v>
      </c>
      <c r="O6" s="865" t="s">
        <v>1355</v>
      </c>
      <c r="Q6" s="978" t="s">
        <v>1482</v>
      </c>
      <c r="R6" s="979">
        <f>'Bioenergy Calculator'!$C$42</f>
        <v>736575.51599999995</v>
      </c>
      <c r="Y6" s="1217" t="s">
        <v>1352</v>
      </c>
      <c r="Z6" s="1218"/>
      <c r="AA6" s="1218"/>
      <c r="AB6" s="1219"/>
    </row>
    <row r="7" spans="1:28" ht="15" thickBot="1" x14ac:dyDescent="0.35">
      <c r="A7" s="1015"/>
      <c r="B7" s="863" t="s">
        <v>328</v>
      </c>
      <c r="C7" s="861">
        <f>Burlington!$C$11</f>
        <v>32089.921600000001</v>
      </c>
      <c r="D7" s="861">
        <f>Burlington!$C$29</f>
        <v>214810.09</v>
      </c>
      <c r="E7" s="861">
        <f>Burlington!$C$49</f>
        <v>21042.6544995</v>
      </c>
      <c r="F7" s="861">
        <f>SUM(Burlington!$C$37:'Burlington'!$C$42)</f>
        <v>77961.870500000005</v>
      </c>
      <c r="G7" s="861">
        <f>SUM(Burlington!$C$32:'Burlington'!$C$34)</f>
        <v>98113.39617349999</v>
      </c>
      <c r="H7" s="861">
        <f>Burlington!$C$35</f>
        <v>23711.446400000004</v>
      </c>
      <c r="I7" s="861">
        <f>Burlington!$C$67</f>
        <v>86409.209896009605</v>
      </c>
      <c r="J7" s="861">
        <f t="shared" si="0"/>
        <v>554138.58906900964</v>
      </c>
      <c r="K7" s="1015"/>
      <c r="L7" s="867" t="s">
        <v>403</v>
      </c>
      <c r="M7" s="868">
        <f>'Biomass Data Assumptions'!$U7</f>
        <v>1638.0013513686999</v>
      </c>
      <c r="N7" s="868">
        <f>'Biomass Data Assumptions'!$W7</f>
        <v>737.42353600000001</v>
      </c>
      <c r="O7" s="868">
        <f>'Biomass Data Assumptions'!$X7</f>
        <v>900.57781536869993</v>
      </c>
      <c r="Q7" s="978" t="s">
        <v>1483</v>
      </c>
      <c r="R7" s="979">
        <f>'Bioenergy Calculator'!$C$43</f>
        <v>174898.71000000002</v>
      </c>
      <c r="Y7" s="966" t="s">
        <v>322</v>
      </c>
      <c r="Z7" s="967" t="s">
        <v>1353</v>
      </c>
      <c r="AA7" s="967" t="s">
        <v>1354</v>
      </c>
      <c r="AB7" s="967" t="s">
        <v>1355</v>
      </c>
    </row>
    <row r="8" spans="1:28" x14ac:dyDescent="0.3">
      <c r="A8" s="1015"/>
      <c r="B8" s="863" t="s">
        <v>331</v>
      </c>
      <c r="C8" s="861">
        <f>Camden!$C$11</f>
        <v>2443.7939999999999</v>
      </c>
      <c r="D8" s="861">
        <f>Camden!$C$29</f>
        <v>73270.317500000005</v>
      </c>
      <c r="E8" s="861">
        <f>Camden!$C$49</f>
        <v>2279.0070322500001</v>
      </c>
      <c r="F8" s="861">
        <f>SUM(Camden!$C$37:'Camden'!$C$42)</f>
        <v>75827.284499999994</v>
      </c>
      <c r="G8" s="861">
        <f>SUM(Camden!$C$32:'Camden'!$C$34)</f>
        <v>30227.090116399995</v>
      </c>
      <c r="H8" s="861">
        <f>Camden!$C$35</f>
        <v>20582.972800000003</v>
      </c>
      <c r="I8" s="861">
        <f>Camden!$C$67</f>
        <v>15225.408834256337</v>
      </c>
      <c r="J8" s="861">
        <f t="shared" si="0"/>
        <v>219855.87478290632</v>
      </c>
      <c r="K8" s="1015"/>
      <c r="L8" s="869" t="s">
        <v>325</v>
      </c>
      <c r="M8" s="868">
        <f>'Biomass Data Assumptions'!$U8</f>
        <v>1194.1632</v>
      </c>
      <c r="N8" s="868">
        <f>'Biomass Data Assumptions'!$W8</f>
        <v>0</v>
      </c>
      <c r="O8" s="868">
        <f>'Biomass Data Assumptions'!$X8</f>
        <v>1194.1632</v>
      </c>
      <c r="Q8" s="978" t="s">
        <v>1484</v>
      </c>
      <c r="R8" s="979">
        <f>'Bioenergy Calculator'!$C$45</f>
        <v>147228.67800000004</v>
      </c>
      <c r="Y8" s="968" t="s">
        <v>403</v>
      </c>
      <c r="Z8" s="969">
        <v>1638.0013513686999</v>
      </c>
      <c r="AA8" s="969">
        <v>737.42353600000001</v>
      </c>
      <c r="AB8" s="969">
        <v>900.57781536869993</v>
      </c>
    </row>
    <row r="9" spans="1:28" x14ac:dyDescent="0.3">
      <c r="A9" s="1015"/>
      <c r="B9" s="863" t="s">
        <v>333</v>
      </c>
      <c r="C9" s="861">
        <f>'Cape May'!$C$11</f>
        <v>772.41560000000004</v>
      </c>
      <c r="D9" s="861">
        <f>'Cape May'!$C$29</f>
        <v>90166.833333333343</v>
      </c>
      <c r="E9" s="861">
        <f>'Cape May'!$C$49</f>
        <v>396.28192625000003</v>
      </c>
      <c r="F9" s="861">
        <f>SUM('Cape May'!$C$37:'Cape May'!$C$42)</f>
        <v>22539.174000000003</v>
      </c>
      <c r="G9" s="861">
        <f>SUM('Cape May'!$C$32:'Cape May'!$C$34)</f>
        <v>32504.888731200001</v>
      </c>
      <c r="H9" s="861">
        <f>'Cape May'!$C$35</f>
        <v>21896.950400000002</v>
      </c>
      <c r="I9" s="861">
        <f>'Cape May'!$C$67</f>
        <v>31893.14851532691</v>
      </c>
      <c r="J9" s="861">
        <f t="shared" si="0"/>
        <v>200169.69250611024</v>
      </c>
      <c r="K9" s="1015"/>
      <c r="L9" s="869" t="s">
        <v>328</v>
      </c>
      <c r="M9" s="868">
        <f>'Biomass Data Assumptions'!$U9</f>
        <v>2677.5167271646746</v>
      </c>
      <c r="N9" s="868">
        <f>'Biomass Data Assumptions'!$W9</f>
        <v>1019.152098</v>
      </c>
      <c r="O9" s="868">
        <f>'Biomass Data Assumptions'!$X9</f>
        <v>1658.3646291646746</v>
      </c>
      <c r="Q9" s="978" t="s">
        <v>1485</v>
      </c>
      <c r="R9" s="979">
        <f>'Bioenergy Calculator'!$C$40</f>
        <v>66877.455000000016</v>
      </c>
      <c r="Y9" s="970" t="s">
        <v>325</v>
      </c>
      <c r="Z9" s="969">
        <v>1194.1632</v>
      </c>
      <c r="AA9" s="969">
        <v>0</v>
      </c>
      <c r="AB9" s="969">
        <v>1194.1632</v>
      </c>
    </row>
    <row r="10" spans="1:28" x14ac:dyDescent="0.3">
      <c r="A10" s="1015"/>
      <c r="B10" s="863" t="s">
        <v>335</v>
      </c>
      <c r="C10" s="861">
        <f>Cumberland!$C$11</f>
        <v>27282.040399999998</v>
      </c>
      <c r="D10" s="861">
        <f>Cumberland!$C$29</f>
        <v>128487.38666666666</v>
      </c>
      <c r="E10" s="861">
        <f>Cumberland!$C$49</f>
        <v>8858.7616765000002</v>
      </c>
      <c r="F10" s="861">
        <f>SUM(Cumberland!$C$37:'Cumberland'!$C$42)</f>
        <v>34772.178</v>
      </c>
      <c r="G10" s="861">
        <f>SUM(Cumberland!$C$32:'Cumberland'!$C$34)</f>
        <v>40639.464886400005</v>
      </c>
      <c r="H10" s="861">
        <f>Cumberland!$C$35</f>
        <v>6815.2128000000012</v>
      </c>
      <c r="I10" s="861">
        <f>Cumberland!$C$67</f>
        <v>15768.03974753267</v>
      </c>
      <c r="J10" s="861">
        <f t="shared" si="0"/>
        <v>262623.08417709934</v>
      </c>
      <c r="K10" s="1015"/>
      <c r="L10" s="869" t="s">
        <v>331</v>
      </c>
      <c r="M10" s="868">
        <f>'Biomass Data Assumptions'!$U10</f>
        <v>319.86940351947902</v>
      </c>
      <c r="N10" s="868">
        <f>'Biomass Data Assumptions'!$W10</f>
        <v>297.00299999999999</v>
      </c>
      <c r="O10" s="868">
        <f>'Biomass Data Assumptions'!$X10</f>
        <v>22.866403519479036</v>
      </c>
      <c r="Q10" s="978" t="s">
        <v>1486</v>
      </c>
      <c r="R10" s="979">
        <f>'Bioenergy Calculator'!$C$41</f>
        <v>129506.64000000003</v>
      </c>
      <c r="Y10" s="970" t="s">
        <v>328</v>
      </c>
      <c r="Z10" s="969">
        <v>2677.5167271646746</v>
      </c>
      <c r="AA10" s="969">
        <v>1019.152098</v>
      </c>
      <c r="AB10" s="969">
        <v>1658.3646291646746</v>
      </c>
    </row>
    <row r="11" spans="1:28" x14ac:dyDescent="0.3">
      <c r="A11" s="1015"/>
      <c r="B11" s="863" t="s">
        <v>336</v>
      </c>
      <c r="C11" s="861">
        <f>Essex!$C$11</f>
        <v>0</v>
      </c>
      <c r="D11" s="861">
        <f>Essex!$C$29</f>
        <v>40659.395000000004</v>
      </c>
      <c r="E11" s="861">
        <f>Essex!$C$49</f>
        <v>3194.08569825</v>
      </c>
      <c r="F11" s="861">
        <f>SUM(Essex!$C$37:'Essex'!$C$42)</f>
        <v>112229.36249999999</v>
      </c>
      <c r="G11" s="861">
        <f>SUM(Essex!$C$32:'Essex'!$C$34)</f>
        <v>36170.632535599994</v>
      </c>
      <c r="H11" s="861">
        <f>Essex!$C$35</f>
        <v>19283.440000000002</v>
      </c>
      <c r="I11" s="861">
        <f>Essex!$C$67</f>
        <v>38771.941112966771</v>
      </c>
      <c r="J11" s="861">
        <f t="shared" si="0"/>
        <v>250308.85684681675</v>
      </c>
      <c r="K11" s="1015"/>
      <c r="L11" s="869" t="s">
        <v>333</v>
      </c>
      <c r="M11" s="868">
        <f>'Biomass Data Assumptions'!$U11</f>
        <v>803.05677939999998</v>
      </c>
      <c r="N11" s="868">
        <f>'Biomass Data Assumptions'!$W11</f>
        <v>70.643416999999999</v>
      </c>
      <c r="O11" s="868">
        <f>'Biomass Data Assumptions'!$X11</f>
        <v>732.41336239999998</v>
      </c>
      <c r="Q11" s="980" t="s">
        <v>1487</v>
      </c>
      <c r="R11" s="981">
        <f>SUM(R5:R10)</f>
        <v>1524999.3030000003</v>
      </c>
      <c r="Y11" s="970" t="s">
        <v>331</v>
      </c>
      <c r="Z11" s="969">
        <v>319.86940351947902</v>
      </c>
      <c r="AA11" s="969">
        <v>297.00299999999999</v>
      </c>
      <c r="AB11" s="969">
        <v>22.866403519479036</v>
      </c>
    </row>
    <row r="12" spans="1:28" x14ac:dyDescent="0.3">
      <c r="A12" s="1015"/>
      <c r="B12" s="863" t="s">
        <v>337</v>
      </c>
      <c r="C12" s="861">
        <f>Gloucester!$C$11</f>
        <v>18272.194800000001</v>
      </c>
      <c r="D12" s="861">
        <f>Gloucester!$C$29</f>
        <v>81806.846666666665</v>
      </c>
      <c r="E12" s="861">
        <f>Gloucester!$C$49</f>
        <v>9405.5973840000024</v>
      </c>
      <c r="F12" s="861">
        <f>SUM(Gloucester!$C$37:'Gloucester'!$C$42)</f>
        <v>76845.582500000004</v>
      </c>
      <c r="G12" s="861">
        <f>SUM(Gloucester!$C$32:'Gloucester'!$C$34)</f>
        <v>9064.4207856000012</v>
      </c>
      <c r="H12" s="861">
        <f>Gloucester!$C$35</f>
        <v>10686.140800000001</v>
      </c>
      <c r="I12" s="861">
        <f>Gloucester!$C$67</f>
        <v>131590.12365920792</v>
      </c>
      <c r="J12" s="861">
        <f t="shared" si="0"/>
        <v>337670.90659547457</v>
      </c>
      <c r="K12" s="1015"/>
      <c r="L12" s="869" t="s">
        <v>335</v>
      </c>
      <c r="M12" s="868">
        <f>'Biomass Data Assumptions'!$U12</f>
        <v>890.09893009999996</v>
      </c>
      <c r="N12" s="868">
        <f>'Biomass Data Assumptions'!$W12</f>
        <v>699.89516800000001</v>
      </c>
      <c r="O12" s="868">
        <f>'Biomass Data Assumptions'!$X12</f>
        <v>190.20376209999995</v>
      </c>
      <c r="Y12" s="970" t="s">
        <v>333</v>
      </c>
      <c r="Z12" s="969">
        <v>803.05677939999998</v>
      </c>
      <c r="AA12" s="969">
        <v>70.643416999999999</v>
      </c>
      <c r="AB12" s="969">
        <v>732.41336239999998</v>
      </c>
    </row>
    <row r="13" spans="1:28" x14ac:dyDescent="0.3">
      <c r="A13" s="1015"/>
      <c r="B13" s="863" t="s">
        <v>338</v>
      </c>
      <c r="C13" s="861">
        <f>Hudson!$C$11</f>
        <v>0</v>
      </c>
      <c r="D13" s="861">
        <f>Hudson!$C$29</f>
        <v>4128.5766666666659</v>
      </c>
      <c r="E13" s="861">
        <f>Hudson!$C$49</f>
        <v>2584.1582505000001</v>
      </c>
      <c r="F13" s="861">
        <f>SUM(Hudson!$C$37:'Hudson'!$C$42)</f>
        <v>114940.1395</v>
      </c>
      <c r="G13" s="861">
        <f>SUM(Hudson!$C$32:'Hudson'!$C$34)</f>
        <v>131772.91051040002</v>
      </c>
      <c r="H13" s="861">
        <f>Hudson!$C$35</f>
        <v>25802.438399999999</v>
      </c>
      <c r="I13" s="861">
        <f>Hudson!$C$67</f>
        <v>5393.1112143971977</v>
      </c>
      <c r="J13" s="861">
        <f t="shared" si="0"/>
        <v>284621.33454196388</v>
      </c>
      <c r="K13" s="1015"/>
      <c r="L13" s="869" t="s">
        <v>337</v>
      </c>
      <c r="M13" s="868">
        <f>'Biomass Data Assumptions'!$U14</f>
        <v>2709.58754</v>
      </c>
      <c r="N13" s="868">
        <f>'Biomass Data Assumptions'!$W14</f>
        <v>0</v>
      </c>
      <c r="O13" s="868">
        <f>'Biomass Data Assumptions'!$X14</f>
        <v>2709.58754</v>
      </c>
      <c r="Y13" s="970" t="s">
        <v>335</v>
      </c>
      <c r="Z13" s="969">
        <v>890.09893009999996</v>
      </c>
      <c r="AA13" s="969">
        <v>699.89516800000001</v>
      </c>
      <c r="AB13" s="969">
        <v>190.20376209999995</v>
      </c>
    </row>
    <row r="14" spans="1:28" x14ac:dyDescent="0.3">
      <c r="A14" s="1015"/>
      <c r="B14" s="863" t="s">
        <v>339</v>
      </c>
      <c r="C14" s="861">
        <f>Hunterdon!$C$11</f>
        <v>27925.648400000002</v>
      </c>
      <c r="D14" s="861">
        <f>Hunterdon!$C$29</f>
        <v>134938.16250000001</v>
      </c>
      <c r="E14" s="861">
        <f>Hunterdon!$C$49</f>
        <v>4712.3659132499997</v>
      </c>
      <c r="F14" s="861">
        <f>SUM(Hunterdon!$C$37:'Hunterdon'!$C$42)</f>
        <v>16168.502500000002</v>
      </c>
      <c r="G14" s="861">
        <f>SUM(Hunterdon!$C$32:'Hunterdon'!$C$34)</f>
        <v>17524.687573200004</v>
      </c>
      <c r="H14" s="861">
        <f>Hunterdon!$C$35</f>
        <v>8298.1792000000023</v>
      </c>
      <c r="I14" s="861">
        <f>Hunterdon!$C$67</f>
        <v>26904.709018646779</v>
      </c>
      <c r="J14" s="861">
        <f t="shared" si="0"/>
        <v>236472.25510509679</v>
      </c>
      <c r="K14" s="1015"/>
      <c r="L14" s="869" t="s">
        <v>341</v>
      </c>
      <c r="M14" s="870">
        <f>'Biomass Data Assumptions'!$U18</f>
        <v>4428.5576053097093</v>
      </c>
      <c r="N14" s="870">
        <f>'Biomass Data Assumptions'!$W18</f>
        <v>3642.692</v>
      </c>
      <c r="O14" s="870">
        <f>'Biomass Data Assumptions'!$X18</f>
        <v>785.86560530970928</v>
      </c>
      <c r="Q14" s="976" t="s">
        <v>1477</v>
      </c>
      <c r="R14" s="976" t="s">
        <v>1478</v>
      </c>
      <c r="S14" s="857" t="s">
        <v>1356</v>
      </c>
      <c r="U14" s="976" t="s">
        <v>1477</v>
      </c>
      <c r="V14" s="976" t="s">
        <v>1478</v>
      </c>
      <c r="Y14" s="970" t="s">
        <v>337</v>
      </c>
      <c r="Z14" s="969">
        <v>2709.58754</v>
      </c>
      <c r="AA14" s="969">
        <v>0</v>
      </c>
      <c r="AB14" s="969">
        <v>2709.58754</v>
      </c>
    </row>
    <row r="15" spans="1:28" x14ac:dyDescent="0.3">
      <c r="A15" s="1015"/>
      <c r="B15" s="863" t="s">
        <v>340</v>
      </c>
      <c r="C15" s="861">
        <f>Mercer!$C$11</f>
        <v>8511.2288000000008</v>
      </c>
      <c r="D15" s="861">
        <f>Mercer!$C$29</f>
        <v>119708.63166666668</v>
      </c>
      <c r="E15" s="861">
        <f>Mercer!$C$49</f>
        <v>5335.185590250001</v>
      </c>
      <c r="F15" s="861">
        <f>SUM(Mercer!$C$37:'Mercer'!$C$42)</f>
        <v>70080.870999999999</v>
      </c>
      <c r="G15" s="861">
        <f>SUM(Mercer!$C$32:'Mercer'!$C$34)</f>
        <v>84207.195322799991</v>
      </c>
      <c r="H15" s="861">
        <f>Mercer!$C$35</f>
        <v>20757.116800000003</v>
      </c>
      <c r="I15" s="861">
        <f>Mercer!$C$67</f>
        <v>22469.857877486527</v>
      </c>
      <c r="J15" s="861">
        <f t="shared" si="0"/>
        <v>331070.08705720323</v>
      </c>
      <c r="K15" s="1015"/>
      <c r="L15" s="869" t="s">
        <v>342</v>
      </c>
      <c r="M15" s="870">
        <f>'Biomass Data Assumptions'!$U19</f>
        <v>2010.750597</v>
      </c>
      <c r="N15" s="870">
        <f>'Biomass Data Assumptions'!$W19</f>
        <v>1788.5</v>
      </c>
      <c r="O15" s="870">
        <f>'Biomass Data Assumptions'!$X19</f>
        <v>222.25059699999997</v>
      </c>
      <c r="Q15" s="871">
        <f>F26</f>
        <v>1524999.3030000003</v>
      </c>
      <c r="R15" s="871">
        <f>G26</f>
        <v>1593668.8508182997</v>
      </c>
      <c r="S15" s="871">
        <f>H26</f>
        <v>582995.8208000001</v>
      </c>
      <c r="T15" s="871">
        <f>SUM(Q15:S15)</f>
        <v>3701663.9746182999</v>
      </c>
      <c r="Y15" s="970" t="s">
        <v>341</v>
      </c>
      <c r="Z15" s="971">
        <v>4428.5576053097093</v>
      </c>
      <c r="AA15" s="971">
        <v>3642.692</v>
      </c>
      <c r="AB15" s="971">
        <v>785.86560530970928</v>
      </c>
    </row>
    <row r="16" spans="1:28" x14ac:dyDescent="0.3">
      <c r="A16" s="1015"/>
      <c r="B16" s="1035" t="s">
        <v>341</v>
      </c>
      <c r="C16" s="861">
        <f>Middlesex!$C$11</f>
        <v>9512.9772000000012</v>
      </c>
      <c r="D16" s="861">
        <f>Middlesex!$C$29</f>
        <v>73388.464999999982</v>
      </c>
      <c r="E16" s="861">
        <f>Middlesex!$C$49</f>
        <v>6790.1239565000005</v>
      </c>
      <c r="F16" s="861">
        <f>SUM(Middlesex!$C$37:'Middlesex'!$C$42)</f>
        <v>197132.77750000003</v>
      </c>
      <c r="G16" s="861">
        <f>SUM(Middlesex!$C$32:'Middlesex'!$C$34)</f>
        <v>190952.07597400001</v>
      </c>
      <c r="H16" s="861">
        <f>Middlesex!$C$35</f>
        <v>31407.497599999999</v>
      </c>
      <c r="I16" s="861">
        <f>Middlesex!$C$67</f>
        <v>88378.776855365984</v>
      </c>
      <c r="J16" s="1034">
        <f t="shared" si="0"/>
        <v>597562.69408586598</v>
      </c>
      <c r="K16" s="1015"/>
      <c r="L16" s="869" t="s">
        <v>343</v>
      </c>
      <c r="M16" s="870">
        <f>'Biomass Data Assumptions'!$U20</f>
        <v>446.87619649999999</v>
      </c>
      <c r="N16" s="870">
        <f>'Biomass Data Assumptions'!$W20</f>
        <v>0</v>
      </c>
      <c r="O16" s="870">
        <f>'Biomass Data Assumptions'!$X20</f>
        <v>446.87619649999999</v>
      </c>
      <c r="Y16" s="970" t="s">
        <v>342</v>
      </c>
      <c r="Z16" s="971">
        <v>2010.750597</v>
      </c>
      <c r="AA16" s="971">
        <v>1788.5</v>
      </c>
      <c r="AB16" s="971">
        <v>222.25059699999997</v>
      </c>
    </row>
    <row r="17" spans="1:28" x14ac:dyDescent="0.3">
      <c r="A17" s="1015"/>
      <c r="B17" s="863" t="s">
        <v>342</v>
      </c>
      <c r="C17" s="861">
        <f>Monmouth!$C$11</f>
        <v>9428.0999999999985</v>
      </c>
      <c r="D17" s="861">
        <f>Monmouth!$C$29</f>
        <v>125283.12666666666</v>
      </c>
      <c r="E17" s="861">
        <f>Monmouth!$C$49</f>
        <v>7489.2857150000009</v>
      </c>
      <c r="F17" s="861">
        <f>SUM(Monmouth!$C$37:'Monmouth'!$C$42)</f>
        <v>99977.147000000026</v>
      </c>
      <c r="G17" s="861">
        <f>SUM(Monmouth!$C$32:'Monmouth'!$C$34)</f>
        <v>153487.57062119999</v>
      </c>
      <c r="H17" s="861">
        <f>Monmouth!$C$35</f>
        <v>64421.347200000011</v>
      </c>
      <c r="I17" s="861">
        <f>Monmouth!$C$67</f>
        <v>51188.939997831229</v>
      </c>
      <c r="J17" s="861">
        <f t="shared" si="0"/>
        <v>511275.51720069797</v>
      </c>
      <c r="K17" s="1015"/>
      <c r="L17" s="869" t="s">
        <v>344</v>
      </c>
      <c r="M17" s="870">
        <f>'Biomass Data Assumptions'!$U21</f>
        <v>3153.6</v>
      </c>
      <c r="N17" s="870">
        <f>'Biomass Data Assumptions'!$W21</f>
        <v>2242.7352000000001</v>
      </c>
      <c r="O17" s="870">
        <f>'Biomass Data Assumptions'!$X21</f>
        <v>910.86479999999983</v>
      </c>
      <c r="Y17" s="970" t="s">
        <v>343</v>
      </c>
      <c r="Z17" s="971">
        <v>446.87619649999999</v>
      </c>
      <c r="AA17" s="971">
        <v>0</v>
      </c>
      <c r="AB17" s="971">
        <v>446.87619649999999</v>
      </c>
    </row>
    <row r="18" spans="1:28" x14ac:dyDescent="0.3">
      <c r="A18" s="1015"/>
      <c r="B18" s="863" t="s">
        <v>343</v>
      </c>
      <c r="C18" s="861">
        <f>Morris!$C$11</f>
        <v>3296.5652</v>
      </c>
      <c r="D18" s="861">
        <f>Morris!$C$29</f>
        <v>113251.15083333332</v>
      </c>
      <c r="E18" s="861">
        <f>Morris!$C$49</f>
        <v>2238.9354930000004</v>
      </c>
      <c r="F18" s="861">
        <f>SUM(Morris!$C$37:'Morris'!$C$42)</f>
        <v>101477.8955</v>
      </c>
      <c r="G18" s="861">
        <f>SUM(Morris!$C$32:'Morris'!$C$34)</f>
        <v>101153.9837296</v>
      </c>
      <c r="H18" s="861">
        <f>Morris!$C$35</f>
        <v>19766.307200000003</v>
      </c>
      <c r="I18" s="861">
        <f>Morris!$C$67</f>
        <v>40024.097300352943</v>
      </c>
      <c r="J18" s="861">
        <f t="shared" si="0"/>
        <v>381208.93525628623</v>
      </c>
      <c r="K18" s="1015"/>
      <c r="L18" s="869" t="s">
        <v>346</v>
      </c>
      <c r="M18" s="870">
        <f>'Biomass Data Assumptions'!$U23</f>
        <v>660.768552</v>
      </c>
      <c r="N18" s="870">
        <f>'Biomass Data Assumptions'!$W23</f>
        <v>351.62639999999999</v>
      </c>
      <c r="O18" s="870">
        <f>'Biomass Data Assumptions'!$X23</f>
        <v>309.14215200000001</v>
      </c>
      <c r="Y18" s="970" t="s">
        <v>344</v>
      </c>
      <c r="Z18" s="971">
        <v>3153.6</v>
      </c>
      <c r="AA18" s="971">
        <v>2242.7352000000001</v>
      </c>
      <c r="AB18" s="971">
        <v>910.86479999999983</v>
      </c>
    </row>
    <row r="19" spans="1:28" x14ac:dyDescent="0.3">
      <c r="A19" s="1015"/>
      <c r="B19" s="863" t="s">
        <v>344</v>
      </c>
      <c r="C19" s="861">
        <f>Ocean!$C$11</f>
        <v>1006.876</v>
      </c>
      <c r="D19" s="861">
        <f>Ocean!$C$29</f>
        <v>158073.35416666666</v>
      </c>
      <c r="E19" s="861">
        <f>Ocean!$C$49</f>
        <v>2609.2380997500004</v>
      </c>
      <c r="F19" s="861">
        <f>SUM(Ocean!$C$37:'Ocean'!$C$42)</f>
        <v>91930.809500000018</v>
      </c>
      <c r="G19" s="861">
        <f>SUM(Ocean!$C$32:'Ocean'!$C$34)</f>
        <v>139857.79142319999</v>
      </c>
      <c r="H19" s="861">
        <f>Ocean!$C$35</f>
        <v>88560.502400000012</v>
      </c>
      <c r="I19" s="861">
        <f>Ocean!$C$67</f>
        <v>46770.027326514952</v>
      </c>
      <c r="J19" s="861">
        <f t="shared" si="0"/>
        <v>528808.59891613165</v>
      </c>
      <c r="K19" s="1015"/>
      <c r="L19" s="869" t="s">
        <v>348</v>
      </c>
      <c r="M19" s="870">
        <f>'Biomass Data Assumptions'!$U25</f>
        <v>306.94063244064165</v>
      </c>
      <c r="N19" s="870">
        <f>'Biomass Data Assumptions'!$W25</f>
        <v>289.17588932806325</v>
      </c>
      <c r="O19" s="870">
        <f>'Biomass Data Assumptions'!$X25</f>
        <v>17.764743112578401</v>
      </c>
      <c r="Y19" s="970" t="s">
        <v>346</v>
      </c>
      <c r="Z19" s="971">
        <v>660.768552</v>
      </c>
      <c r="AA19" s="971">
        <v>351.62639999999999</v>
      </c>
      <c r="AB19" s="971">
        <v>309.14215200000001</v>
      </c>
    </row>
    <row r="20" spans="1:28" ht="15" thickBot="1" x14ac:dyDescent="0.35">
      <c r="A20" s="1015"/>
      <c r="B20" s="863" t="s">
        <v>345</v>
      </c>
      <c r="C20" s="861">
        <f>Passaic!$C$11</f>
        <v>3.5</v>
      </c>
      <c r="D20" s="861">
        <f>Passaic!$C$29</f>
        <v>57969.090833333328</v>
      </c>
      <c r="E20" s="861">
        <f>Passaic!$C$49</f>
        <v>2042.1200305000002</v>
      </c>
      <c r="F20" s="861">
        <f>SUM(Passaic!$C$37:'Passaic'!$C$42)</f>
        <v>104048.74100000001</v>
      </c>
      <c r="G20" s="861">
        <f>SUM(Passaic!$C$32:'Passaic'!$C$34)</f>
        <v>119978.115816</v>
      </c>
      <c r="H20" s="861">
        <f>Passaic!$C$35</f>
        <v>50443.353600000009</v>
      </c>
      <c r="I20" s="861">
        <f>Passaic!$C$67</f>
        <v>4303.9418303385155</v>
      </c>
      <c r="J20" s="861">
        <f t="shared" si="0"/>
        <v>338788.86311017192</v>
      </c>
      <c r="K20" s="1015"/>
      <c r="L20" s="872" t="s">
        <v>350</v>
      </c>
      <c r="M20" s="873">
        <f>'Biomass Data Assumptions'!$U27</f>
        <v>276.52688999999998</v>
      </c>
      <c r="N20" s="873">
        <f>'Biomass Data Assumptions'!$W27</f>
        <v>182.89423300000001</v>
      </c>
      <c r="O20" s="873">
        <f>'Biomass Data Assumptions'!$X27</f>
        <v>93.632656999999995</v>
      </c>
      <c r="Y20" s="970" t="s">
        <v>348</v>
      </c>
      <c r="Z20" s="971">
        <v>306.94063244064165</v>
      </c>
      <c r="AA20" s="971">
        <v>289.17588932806325</v>
      </c>
      <c r="AB20" s="971">
        <v>17.764743112578401</v>
      </c>
    </row>
    <row r="21" spans="1:28" ht="15.6" thickTop="1" thickBot="1" x14ac:dyDescent="0.35">
      <c r="A21" s="1015"/>
      <c r="B21" s="863" t="s">
        <v>346</v>
      </c>
      <c r="C21" s="861">
        <f>Salem!$C$11</f>
        <v>63270.227200000001</v>
      </c>
      <c r="D21" s="861">
        <f>Salem!$C$29</f>
        <v>118525.39250000002</v>
      </c>
      <c r="E21" s="861">
        <f>Salem!$C$49</f>
        <v>20589.558662750002</v>
      </c>
      <c r="F21" s="861">
        <f>SUM(Salem!$C$37:'Salem'!$C$42)</f>
        <v>7506.5125000000007</v>
      </c>
      <c r="G21" s="861">
        <f>SUM(Salem!$C$32:'Salem'!$C$34)</f>
        <v>14300.707829600004</v>
      </c>
      <c r="H21" s="861">
        <f>Salem!$C$35</f>
        <v>2479.5776000000005</v>
      </c>
      <c r="I21" s="861">
        <f>Salem!$C$67</f>
        <v>35486.314973318411</v>
      </c>
      <c r="J21" s="861">
        <f t="shared" si="0"/>
        <v>262158.29126566841</v>
      </c>
      <c r="K21" s="1015"/>
      <c r="L21" s="874" t="s">
        <v>409</v>
      </c>
      <c r="M21" s="875">
        <f>SUM(M7:M20)</f>
        <v>21516.314404803205</v>
      </c>
      <c r="N21" s="875">
        <f>SUM(N7:N20)</f>
        <v>11321.740941328062</v>
      </c>
      <c r="O21" s="875">
        <f>SUM(O7:O20)</f>
        <v>10194.573463475141</v>
      </c>
      <c r="Y21" s="972" t="s">
        <v>350</v>
      </c>
      <c r="Z21" s="973">
        <v>276.52688999999998</v>
      </c>
      <c r="AA21" s="973">
        <v>182.89423300000001</v>
      </c>
      <c r="AB21" s="973">
        <v>93.632656999999995</v>
      </c>
    </row>
    <row r="22" spans="1:28" ht="15" thickBot="1" x14ac:dyDescent="0.35">
      <c r="A22" s="1015"/>
      <c r="B22" s="863" t="s">
        <v>347</v>
      </c>
      <c r="C22" s="861">
        <f>Somerset!$C$11</f>
        <v>8088.4135999999999</v>
      </c>
      <c r="D22" s="861">
        <f>Somerset!$C$29</f>
        <v>50999.234999999993</v>
      </c>
      <c r="E22" s="861">
        <f>Somerset!$C$49</f>
        <v>2410.2717170000001</v>
      </c>
      <c r="F22" s="861">
        <f>SUM(Somerset!$C$37:'Somerset'!$C$42)</f>
        <v>46273.167000000001</v>
      </c>
      <c r="G22" s="861">
        <f>SUM(Somerset!$C$32:'Somerset'!$C$34)</f>
        <v>71276.231809199991</v>
      </c>
      <c r="H22" s="861">
        <f>Somerset!$C$35</f>
        <v>33212.150400000006</v>
      </c>
      <c r="I22" s="861">
        <f>Somerset!$C$67</f>
        <v>16973.968984036717</v>
      </c>
      <c r="J22" s="861">
        <f t="shared" si="0"/>
        <v>229233.43851023671</v>
      </c>
      <c r="K22" s="1015"/>
      <c r="Y22" s="974" t="s">
        <v>409</v>
      </c>
      <c r="Z22" s="975">
        <v>21516.314404803205</v>
      </c>
      <c r="AA22" s="975">
        <v>11321.740941328062</v>
      </c>
      <c r="AB22" s="975">
        <v>10194.573463475141</v>
      </c>
    </row>
    <row r="23" spans="1:28" x14ac:dyDescent="0.3">
      <c r="A23" s="1015"/>
      <c r="B23" s="863" t="s">
        <v>348</v>
      </c>
      <c r="C23" s="861">
        <f>Sussex!$C$11</f>
        <v>9413.5999999999985</v>
      </c>
      <c r="D23" s="861">
        <f>Sussex!$C$29</f>
        <v>151080.80583333332</v>
      </c>
      <c r="E23" s="861">
        <f>Sussex!$C$49</f>
        <v>642.7029262499999</v>
      </c>
      <c r="F23" s="861">
        <f>SUM(Sussex!$C$37:'Sussex'!$C$42)</f>
        <v>15610.903</v>
      </c>
      <c r="G23" s="861">
        <f>SUM(Sussex!$C$32:'Sussex'!$C$34)</f>
        <v>26895.915942</v>
      </c>
      <c r="H23" s="861">
        <f>Sussex!$C$35</f>
        <v>3522.5440000000003</v>
      </c>
      <c r="I23" s="861">
        <f>Sussex!$C$67</f>
        <v>28110.983474770568</v>
      </c>
      <c r="J23" s="861">
        <f t="shared" si="0"/>
        <v>235277.45517635386</v>
      </c>
      <c r="K23" s="1015"/>
      <c r="L23" s="876" t="s">
        <v>1357</v>
      </c>
    </row>
    <row r="24" spans="1:28" x14ac:dyDescent="0.3">
      <c r="A24" s="1015"/>
      <c r="B24" s="1035" t="s">
        <v>349</v>
      </c>
      <c r="C24" s="861">
        <f>Union!$C$11</f>
        <v>0</v>
      </c>
      <c r="D24" s="861">
        <f>Union!$C$29</f>
        <v>36022.504999999997</v>
      </c>
      <c r="E24" s="861">
        <f>Union!$C$49</f>
        <v>2185.83105075</v>
      </c>
      <c r="F24" s="861">
        <f>SUM(Union!$C$37:'Union'!$C$42)</f>
        <v>43599.707999999999</v>
      </c>
      <c r="G24" s="861">
        <f>SUM(Union!$C$32:'Union'!$C$34)</f>
        <v>10201.578937999995</v>
      </c>
      <c r="H24" s="861">
        <f>Union!$C$35</f>
        <v>22937.728000000003</v>
      </c>
      <c r="I24" s="861">
        <f>Union!$C$67</f>
        <v>13465.529517859932</v>
      </c>
      <c r="J24" s="1034">
        <f t="shared" si="0"/>
        <v>128412.88050660993</v>
      </c>
      <c r="K24" s="1015"/>
      <c r="M24" s="858"/>
      <c r="N24" s="858"/>
      <c r="O24" s="858"/>
    </row>
    <row r="25" spans="1:28" ht="15" thickBot="1" x14ac:dyDescent="0.35">
      <c r="A25" s="1015"/>
      <c r="B25" s="877" t="s">
        <v>350</v>
      </c>
      <c r="C25" s="878">
        <f>Warren!$C$11</f>
        <v>51379.524400000002</v>
      </c>
      <c r="D25" s="878">
        <f>Warren!$C$29</f>
        <v>139757.16916666663</v>
      </c>
      <c r="E25" s="878">
        <f>Warren!$C$49</f>
        <v>4950.9983809999994</v>
      </c>
      <c r="F25" s="878">
        <f>SUM(Warren!$C$37:'Warren'!$C$42)</f>
        <v>11292.907999999999</v>
      </c>
      <c r="G25" s="878">
        <f>SUM(Warren!$C$32:'Warren'!$C$34)</f>
        <v>5334.9524939999974</v>
      </c>
      <c r="H25" s="878">
        <f>Warren!$C$35</f>
        <v>873.83360000000016</v>
      </c>
      <c r="I25" s="878">
        <f>Warren!$C$67</f>
        <v>37421.889551591878</v>
      </c>
      <c r="J25" s="878">
        <f t="shared" si="0"/>
        <v>251011.27559325853</v>
      </c>
      <c r="K25" s="1015"/>
      <c r="L25" s="876"/>
    </row>
    <row r="26" spans="1:28" ht="15" thickTop="1" x14ac:dyDescent="0.3">
      <c r="A26" s="1015"/>
      <c r="B26" s="879" t="s">
        <v>351</v>
      </c>
      <c r="C26" s="880">
        <f t="shared" ref="C26:J26" si="1">SUM(C5:C25)</f>
        <v>275249.85920000001</v>
      </c>
      <c r="D26" s="880">
        <f t="shared" si="1"/>
        <v>2124460.7908333335</v>
      </c>
      <c r="E26" s="880">
        <f t="shared" si="1"/>
        <v>114679.5741295</v>
      </c>
      <c r="F26" s="880">
        <f t="shared" si="1"/>
        <v>1524999.3030000003</v>
      </c>
      <c r="G26" s="880">
        <f t="shared" si="1"/>
        <v>1593668.8508182997</v>
      </c>
      <c r="H26" s="880">
        <f t="shared" si="1"/>
        <v>582995.8208000001</v>
      </c>
      <c r="I26" s="880">
        <f t="shared" si="1"/>
        <v>852402.89379172691</v>
      </c>
      <c r="J26" s="880">
        <f t="shared" si="1"/>
        <v>7068457.0925728595</v>
      </c>
      <c r="K26" s="1015"/>
    </row>
    <row r="27" spans="1:28" x14ac:dyDescent="0.3">
      <c r="A27" s="1015"/>
      <c r="B27" s="1015"/>
      <c r="C27" s="1026"/>
      <c r="D27" s="1026"/>
      <c r="E27" s="1026"/>
      <c r="F27" s="1026"/>
      <c r="G27" s="1026"/>
      <c r="H27" s="1026"/>
      <c r="I27" s="1026"/>
      <c r="J27" s="1026"/>
      <c r="K27" s="1015"/>
      <c r="M27" s="858"/>
      <c r="N27" s="858"/>
      <c r="O27" s="858"/>
    </row>
    <row r="28" spans="1:28" x14ac:dyDescent="0.3">
      <c r="B28" s="1049" t="s">
        <v>1560</v>
      </c>
    </row>
    <row r="30" spans="1:28" ht="15" customHeight="1" x14ac:dyDescent="0.3">
      <c r="B30" s="857" t="s">
        <v>1358</v>
      </c>
      <c r="I30" s="881" t="s">
        <v>1359</v>
      </c>
    </row>
    <row r="31" spans="1:28" ht="28.8" x14ac:dyDescent="0.3">
      <c r="B31" s="882" t="s">
        <v>207</v>
      </c>
      <c r="C31" s="858" t="s">
        <v>1346</v>
      </c>
      <c r="D31" s="858" t="s">
        <v>1360</v>
      </c>
      <c r="E31" s="858" t="s">
        <v>1347</v>
      </c>
      <c r="F31" s="858" t="s">
        <v>212</v>
      </c>
      <c r="G31" s="858" t="s">
        <v>163</v>
      </c>
      <c r="I31" s="883" t="s">
        <v>1361</v>
      </c>
      <c r="J31" s="858" t="s">
        <v>1360</v>
      </c>
      <c r="K31" s="858" t="s">
        <v>1347</v>
      </c>
      <c r="L31" s="858" t="s">
        <v>212</v>
      </c>
      <c r="M31" s="858" t="s">
        <v>163</v>
      </c>
    </row>
    <row r="32" spans="1:28" x14ac:dyDescent="0.3">
      <c r="B32" s="857" t="s">
        <v>351</v>
      </c>
      <c r="C32" s="884">
        <f>C26</f>
        <v>275249.85920000001</v>
      </c>
      <c r="D32" s="884">
        <f>D26</f>
        <v>2124460.7908333335</v>
      </c>
      <c r="E32" s="884">
        <f>E26</f>
        <v>114679.5741295</v>
      </c>
      <c r="F32" s="884">
        <f>SUM(F26:H26)</f>
        <v>3701663.9746182999</v>
      </c>
      <c r="G32" s="884">
        <f>I26</f>
        <v>852402.89379172691</v>
      </c>
      <c r="I32" s="858" t="s">
        <v>351</v>
      </c>
      <c r="J32" s="884">
        <f>D26-SUM('Bioenergy Calculator'!$C$18:'Bioenergy Calculator'!$C$25)</f>
        <v>714553.05833333358</v>
      </c>
      <c r="K32" s="871">
        <f>E26-'Bioenergy Calculator'!$C$49</f>
        <v>35820.374129500007</v>
      </c>
      <c r="L32" s="871">
        <f>SUM(F26:H26)</f>
        <v>3701663.9746182999</v>
      </c>
      <c r="M32" s="871">
        <f>I26-SUM('Bioenergy Calculator'!$C$55:'Bioenergy Calculator'!$C$62)</f>
        <v>644779.75444797694</v>
      </c>
      <c r="N32" s="871">
        <f>SUM(J32:M32)</f>
        <v>5096817.1615291107</v>
      </c>
    </row>
    <row r="33" spans="1:14" x14ac:dyDescent="0.3">
      <c r="A33" s="1015"/>
      <c r="B33" s="1015"/>
      <c r="C33" s="1026"/>
      <c r="D33" s="1026"/>
      <c r="E33" s="1026"/>
      <c r="F33" s="1026"/>
      <c r="G33" s="1026"/>
      <c r="H33" s="1026"/>
      <c r="I33" s="1026"/>
      <c r="J33" s="1029"/>
      <c r="K33" s="1030"/>
      <c r="L33" s="1030"/>
      <c r="M33" s="1015"/>
      <c r="N33" s="1015"/>
    </row>
    <row r="34" spans="1:14" x14ac:dyDescent="0.3">
      <c r="A34" s="1015"/>
      <c r="B34" s="1015"/>
      <c r="C34" s="1026"/>
      <c r="D34" s="1026"/>
      <c r="E34" s="1026"/>
      <c r="F34" s="1026"/>
      <c r="G34" s="1026"/>
      <c r="H34" s="1026"/>
      <c r="I34" s="1026"/>
      <c r="J34" s="1026"/>
      <c r="K34" s="1015"/>
      <c r="L34" s="1015"/>
      <c r="M34" s="1015"/>
      <c r="N34" s="1015"/>
    </row>
    <row r="35" spans="1:14" x14ac:dyDescent="0.3">
      <c r="A35" s="1015"/>
      <c r="B35" s="1015"/>
      <c r="C35" s="1026"/>
      <c r="D35" s="1026"/>
      <c r="E35" s="1026"/>
      <c r="F35" s="1026"/>
      <c r="G35" s="1026"/>
      <c r="H35" s="1026"/>
      <c r="I35" s="1026"/>
      <c r="J35" s="1026"/>
      <c r="K35" s="1015"/>
      <c r="L35" s="1015"/>
      <c r="M35" s="1015"/>
      <c r="N35" s="1015"/>
    </row>
    <row r="36" spans="1:14" x14ac:dyDescent="0.3">
      <c r="A36" s="1015"/>
      <c r="B36" s="1015"/>
      <c r="C36" s="1026"/>
      <c r="D36" s="1026"/>
      <c r="E36" s="1026"/>
      <c r="F36" s="1026"/>
      <c r="G36" s="1026"/>
      <c r="H36" s="1026"/>
      <c r="I36" s="1026"/>
      <c r="J36" s="1026"/>
      <c r="K36" s="1015"/>
      <c r="L36" s="1015"/>
      <c r="M36" s="1015"/>
      <c r="N36" s="1015"/>
    </row>
    <row r="37" spans="1:14" x14ac:dyDescent="0.3">
      <c r="A37" s="1015"/>
      <c r="B37" s="1015"/>
      <c r="C37" s="1026"/>
      <c r="D37" s="1026"/>
      <c r="E37" s="1026"/>
      <c r="F37" s="1026"/>
      <c r="G37" s="1026"/>
      <c r="H37" s="1026"/>
      <c r="I37" s="1026"/>
      <c r="J37" s="1026"/>
      <c r="K37" s="1015"/>
      <c r="L37" s="1015"/>
      <c r="M37" s="1015"/>
      <c r="N37" s="1015"/>
    </row>
    <row r="38" spans="1:14" x14ac:dyDescent="0.3">
      <c r="A38" s="1015"/>
      <c r="B38" s="1015"/>
      <c r="C38" s="1026"/>
      <c r="D38" s="1026"/>
      <c r="E38" s="1026"/>
      <c r="F38" s="1026"/>
      <c r="G38" s="1026"/>
      <c r="H38" s="1026"/>
      <c r="I38" s="1026"/>
      <c r="J38" s="1026"/>
      <c r="K38" s="1015"/>
      <c r="L38" s="1015"/>
      <c r="M38" s="1015"/>
      <c r="N38" s="1015"/>
    </row>
    <row r="39" spans="1:14" x14ac:dyDescent="0.3">
      <c r="A39" s="1015"/>
      <c r="B39" s="1015"/>
      <c r="C39" s="1026"/>
      <c r="D39" s="1026"/>
      <c r="E39" s="1026"/>
      <c r="F39" s="1026"/>
      <c r="G39" s="1026"/>
      <c r="H39" s="1026"/>
      <c r="I39" s="1026"/>
      <c r="J39" s="1026"/>
      <c r="K39" s="1015"/>
      <c r="L39" s="1015"/>
      <c r="M39" s="1015"/>
      <c r="N39" s="1015"/>
    </row>
    <row r="40" spans="1:14" x14ac:dyDescent="0.3">
      <c r="A40" s="1015"/>
      <c r="B40" s="1015"/>
      <c r="C40" s="1026"/>
      <c r="D40" s="1026"/>
      <c r="E40" s="1026"/>
      <c r="F40" s="1026"/>
      <c r="G40" s="1026"/>
      <c r="H40" s="1026"/>
      <c r="I40" s="1026"/>
      <c r="J40" s="1026"/>
      <c r="K40" s="1015"/>
      <c r="L40" s="1015"/>
      <c r="M40" s="1015"/>
      <c r="N40" s="1015"/>
    </row>
    <row r="41" spans="1:14" x14ac:dyDescent="0.3">
      <c r="A41" s="1015"/>
      <c r="B41" s="1015"/>
      <c r="C41" s="1026"/>
      <c r="D41" s="1026"/>
      <c r="E41" s="1026"/>
      <c r="F41" s="1026"/>
      <c r="G41" s="1026"/>
      <c r="H41" s="1026"/>
      <c r="I41" s="1026"/>
      <c r="J41" s="1026"/>
      <c r="K41" s="1015"/>
      <c r="L41" s="1015"/>
      <c r="M41" s="1015"/>
      <c r="N41" s="1015"/>
    </row>
    <row r="42" spans="1:14" x14ac:dyDescent="0.3">
      <c r="A42" s="1015"/>
      <c r="B42" s="1015"/>
      <c r="C42" s="1026"/>
      <c r="D42" s="1026"/>
      <c r="E42" s="1026"/>
      <c r="F42" s="1026"/>
      <c r="G42" s="1026"/>
      <c r="H42" s="1026"/>
      <c r="I42" s="1026"/>
      <c r="J42" s="1026"/>
      <c r="K42" s="1015"/>
      <c r="L42" s="1015"/>
      <c r="M42" s="1015"/>
      <c r="N42" s="1015"/>
    </row>
    <row r="43" spans="1:14" x14ac:dyDescent="0.3">
      <c r="A43" s="1015"/>
      <c r="B43" s="1015"/>
      <c r="C43" s="1026"/>
      <c r="D43" s="1026"/>
      <c r="E43" s="1026"/>
      <c r="F43" s="1026"/>
      <c r="G43" s="1026"/>
      <c r="H43" s="1026"/>
      <c r="I43" s="1026"/>
      <c r="J43" s="1026"/>
      <c r="K43" s="1015"/>
      <c r="L43" s="1015"/>
      <c r="M43" s="1015"/>
      <c r="N43" s="1015"/>
    </row>
    <row r="44" spans="1:14" x14ac:dyDescent="0.3">
      <c r="A44" s="1015"/>
      <c r="B44" s="1015"/>
      <c r="C44" s="1026"/>
      <c r="D44" s="1026"/>
      <c r="E44" s="1026"/>
      <c r="F44" s="1026"/>
      <c r="G44" s="1026"/>
      <c r="H44" s="1026"/>
      <c r="I44" s="1026"/>
      <c r="J44" s="1026"/>
      <c r="K44" s="1015"/>
      <c r="L44" s="1015"/>
      <c r="M44" s="1015"/>
      <c r="N44" s="1015"/>
    </row>
    <row r="45" spans="1:14" x14ac:dyDescent="0.3">
      <c r="A45" s="1015"/>
      <c r="B45" s="1015"/>
      <c r="C45" s="1026"/>
      <c r="D45" s="1026"/>
      <c r="E45" s="1026"/>
      <c r="F45" s="1026"/>
      <c r="G45" s="1026"/>
      <c r="H45" s="1026"/>
      <c r="I45" s="1026"/>
      <c r="J45" s="1026"/>
      <c r="K45" s="1015"/>
      <c r="L45" s="1015"/>
      <c r="M45" s="1015"/>
      <c r="N45" s="1015"/>
    </row>
    <row r="46" spans="1:14" x14ac:dyDescent="0.3">
      <c r="A46" s="1015"/>
      <c r="B46" s="1015"/>
      <c r="C46" s="1026"/>
      <c r="D46" s="1026"/>
      <c r="E46" s="1026"/>
      <c r="F46" s="1026"/>
      <c r="G46" s="1026"/>
      <c r="H46" s="1026"/>
      <c r="I46" s="1026"/>
      <c r="J46" s="1026"/>
      <c r="K46" s="1015"/>
      <c r="L46" s="1015"/>
      <c r="M46" s="1015"/>
      <c r="N46" s="1015"/>
    </row>
    <row r="47" spans="1:14" x14ac:dyDescent="0.3">
      <c r="A47" s="1015"/>
      <c r="B47" s="1015"/>
      <c r="C47" s="1026"/>
      <c r="D47" s="1026"/>
      <c r="E47" s="1026"/>
      <c r="F47" s="1026"/>
      <c r="G47" s="1026"/>
      <c r="H47" s="1026"/>
      <c r="I47" s="1026"/>
      <c r="J47" s="1026"/>
      <c r="K47" s="1015"/>
      <c r="L47" s="1015"/>
      <c r="M47" s="1015"/>
      <c r="N47" s="1015"/>
    </row>
    <row r="48" spans="1:14" x14ac:dyDescent="0.3">
      <c r="A48" s="1015"/>
      <c r="B48" s="1015"/>
      <c r="C48" s="1026"/>
      <c r="D48" s="1026"/>
      <c r="E48" s="1026"/>
      <c r="F48" s="1026"/>
      <c r="G48" s="1026"/>
      <c r="H48" s="1026"/>
      <c r="I48" s="1026"/>
      <c r="J48" s="1026"/>
      <c r="K48" s="1015"/>
      <c r="L48" s="1015"/>
      <c r="M48" s="1015"/>
      <c r="N48" s="1015"/>
    </row>
    <row r="49" spans="1:16" ht="15" thickBot="1" x14ac:dyDescent="0.35">
      <c r="A49" s="1015"/>
      <c r="B49" s="1015"/>
      <c r="C49" s="1026"/>
      <c r="D49" s="1026"/>
      <c r="E49" s="1026"/>
      <c r="F49" s="1026"/>
      <c r="G49" s="1026"/>
      <c r="H49" s="1031" t="s">
        <v>1362</v>
      </c>
      <c r="I49" s="1026"/>
      <c r="J49" s="1026"/>
      <c r="K49" s="1015"/>
      <c r="L49" s="1015"/>
      <c r="M49" s="1015"/>
      <c r="N49" s="1015"/>
    </row>
    <row r="50" spans="1:16" x14ac:dyDescent="0.3">
      <c r="C50" s="1213" t="s">
        <v>1363</v>
      </c>
      <c r="D50" s="1213"/>
      <c r="E50" s="1213"/>
      <c r="F50" s="1213"/>
      <c r="H50" s="857"/>
      <c r="I50" s="1225" t="s">
        <v>618</v>
      </c>
      <c r="J50" s="1226"/>
      <c r="K50" s="1226"/>
      <c r="L50" s="1226"/>
      <c r="M50" s="1226"/>
      <c r="N50" s="1226"/>
      <c r="O50" s="1226"/>
      <c r="P50" s="1227"/>
    </row>
    <row r="51" spans="1:16" ht="40.200000000000003" x14ac:dyDescent="0.3">
      <c r="B51" s="885" t="s">
        <v>322</v>
      </c>
      <c r="C51" s="886">
        <v>2010</v>
      </c>
      <c r="D51" s="886">
        <v>2015</v>
      </c>
      <c r="E51" s="886">
        <v>2020</v>
      </c>
      <c r="F51" s="886">
        <v>2025</v>
      </c>
      <c r="H51" s="887" t="s">
        <v>322</v>
      </c>
      <c r="I51" s="888">
        <v>2010</v>
      </c>
      <c r="J51" s="889">
        <v>2015</v>
      </c>
      <c r="K51" s="889">
        <v>2020</v>
      </c>
      <c r="L51" s="889">
        <v>2025</v>
      </c>
      <c r="M51" s="890"/>
      <c r="N51" s="891" t="s">
        <v>592</v>
      </c>
      <c r="O51" s="891" t="s">
        <v>593</v>
      </c>
      <c r="P51" s="892" t="s">
        <v>594</v>
      </c>
    </row>
    <row r="52" spans="1:16" x14ac:dyDescent="0.3">
      <c r="B52" s="860" t="s">
        <v>403</v>
      </c>
      <c r="C52" s="861">
        <f>'Biomass Data Assumptions'!$I7</f>
        <v>237557.64</v>
      </c>
      <c r="D52" s="861">
        <f>C52*(1+'Biomass Data Assumptions'!G$92)*(1+'Biomass Data Assumptions'!C$82)</f>
        <v>244853.36066420557</v>
      </c>
      <c r="E52" s="861">
        <f>D52*(1+'Biomass Data Assumptions'!H$92)*(1+'Biomass Data Assumptions'!D$82)</f>
        <v>260063.32574993148</v>
      </c>
      <c r="F52" s="861">
        <f>E52*(1+'Biomass Data Assumptions'!I$92)*(1+'Biomass Data Assumptions'!E$82)</f>
        <v>285333.89069245843</v>
      </c>
      <c r="H52" s="893" t="s">
        <v>403</v>
      </c>
      <c r="I52" s="894">
        <f>'Biomass Data Assumptions'!$B92</f>
        <v>274549</v>
      </c>
      <c r="J52" s="895">
        <f>'Biomass Data Assumptions'!$C92</f>
        <v>283173.04471544718</v>
      </c>
      <c r="K52" s="895">
        <f>'Biomass Data Assumptions'!$D92</f>
        <v>292000.00813008129</v>
      </c>
      <c r="L52" s="895">
        <f>'Biomass Data Assumptions'!$E92</f>
        <v>301841.56504065043</v>
      </c>
      <c r="M52" s="896"/>
      <c r="N52" s="897">
        <f>'Biomass Data Assumptions'!$G92</f>
        <v>3.1411677753141166E-2</v>
      </c>
      <c r="O52" s="898">
        <f>'Biomass Data Assumptions'!$H92</f>
        <v>6.3562453806356251E-2</v>
      </c>
      <c r="P52" s="899">
        <f>'Biomass Data Assumptions'!$I92</f>
        <v>9.9408721359940874E-2</v>
      </c>
    </row>
    <row r="53" spans="1:16" x14ac:dyDescent="0.3">
      <c r="B53" s="863" t="s">
        <v>325</v>
      </c>
      <c r="C53" s="861">
        <f>'Biomass Data Assumptions'!$I8</f>
        <v>546419.4</v>
      </c>
      <c r="D53" s="861">
        <f>C53*(1+'Biomass Data Assumptions'!G$93)*(1+'Biomass Data Assumptions'!C$82)</f>
        <v>547459.68729301821</v>
      </c>
      <c r="E53" s="861">
        <f>D53*(1+'Biomass Data Assumptions'!H$93)*(1+'Biomass Data Assumptions'!D$82)</f>
        <v>550034.0409828882</v>
      </c>
      <c r="F53" s="861">
        <f>E53*(1+'Biomass Data Assumptions'!I$93)*(1+'Biomass Data Assumptions'!E$82)</f>
        <v>553972.39803774445</v>
      </c>
      <c r="H53" s="893" t="s">
        <v>325</v>
      </c>
      <c r="I53" s="894">
        <f>'Biomass Data Assumptions'!$B93</f>
        <v>905116</v>
      </c>
      <c r="J53" s="895">
        <f>'Biomass Data Assumptions'!$C93</f>
        <v>907455.32666591753</v>
      </c>
      <c r="K53" s="895">
        <f>'Biomass Data Assumptions'!$D93</f>
        <v>910608.33217215422</v>
      </c>
      <c r="L53" s="895">
        <f>'Biomass Data Assumptions'!$E93</f>
        <v>913456.20811327116</v>
      </c>
      <c r="M53" s="896"/>
      <c r="N53" s="897">
        <f>'Biomass Data Assumptions'!$G93</f>
        <v>2.5845600629284191E-3</v>
      </c>
      <c r="O53" s="898">
        <f>'Biomass Data Assumptions'!$H93</f>
        <v>6.0680975390493318E-3</v>
      </c>
      <c r="P53" s="899">
        <f>'Biomass Data Assumptions'!$I93</f>
        <v>9.2145184852230593E-3</v>
      </c>
    </row>
    <row r="54" spans="1:16" x14ac:dyDescent="0.3">
      <c r="B54" s="863" t="s">
        <v>328</v>
      </c>
      <c r="C54" s="861">
        <f>'Biomass Data Assumptions'!$I9</f>
        <v>266576.26999999996</v>
      </c>
      <c r="D54" s="861">
        <f>C54*(1+'Biomass Data Assumptions'!G$94)*(1+'Biomass Data Assumptions'!C$82)</f>
        <v>273810.08802131267</v>
      </c>
      <c r="E54" s="861">
        <f>D54*(1+'Biomass Data Assumptions'!H$94)*(1+'Biomass Data Assumptions'!D$82)</f>
        <v>290624.19375052879</v>
      </c>
      <c r="F54" s="861">
        <f>E54*(1+'Biomass Data Assumptions'!I$94)*(1+'Biomass Data Assumptions'!E$82)</f>
        <v>315292.46686084633</v>
      </c>
      <c r="H54" s="893" t="s">
        <v>328</v>
      </c>
      <c r="I54" s="894">
        <f>'Biomass Data Assumptions'!$B94</f>
        <v>448734</v>
      </c>
      <c r="J54" s="895">
        <f>'Biomass Data Assumptions'!$C94</f>
        <v>461224.01481481479</v>
      </c>
      <c r="K54" s="895">
        <f>'Biomass Data Assumptions'!$D94</f>
        <v>476937.25925925927</v>
      </c>
      <c r="L54" s="895">
        <f>'Biomass Data Assumptions'!$E94</f>
        <v>487815.65925925924</v>
      </c>
      <c r="M54" s="896"/>
      <c r="N54" s="897">
        <f>'Biomass Data Assumptions'!$G94</f>
        <v>2.7833894500561167E-2</v>
      </c>
      <c r="O54" s="898">
        <f>'Biomass Data Assumptions'!$H94</f>
        <v>6.2850729517396189E-2</v>
      </c>
      <c r="P54" s="899">
        <f>'Biomass Data Assumptions'!$I94</f>
        <v>8.7093153759820421E-2</v>
      </c>
    </row>
    <row r="55" spans="1:16" x14ac:dyDescent="0.3">
      <c r="B55" s="863" t="s">
        <v>331</v>
      </c>
      <c r="C55" s="861">
        <f>'Biomass Data Assumptions'!$I10</f>
        <v>84631.789999999979</v>
      </c>
      <c r="D55" s="861">
        <f>C55*(1+'Biomass Data Assumptions'!G$95)*(1+'Biomass Data Assumptions'!C$82)</f>
        <v>84999.077086163787</v>
      </c>
      <c r="E55" s="861">
        <f>D55*(1+'Biomass Data Assumptions'!H$95)*(1+'Biomass Data Assumptions'!D$82)</f>
        <v>86834.851764336432</v>
      </c>
      <c r="F55" s="861">
        <f>E55*(1+'Biomass Data Assumptions'!I$95)*(1+'Biomass Data Assumptions'!E$82)</f>
        <v>89771.559054718251</v>
      </c>
      <c r="H55" s="893" t="s">
        <v>331</v>
      </c>
      <c r="I55" s="894">
        <f>'Biomass Data Assumptions'!$B95</f>
        <v>513657</v>
      </c>
      <c r="J55" s="895">
        <f>'Biomass Data Assumptions'!$C95</f>
        <v>516236.69519026461</v>
      </c>
      <c r="K55" s="895">
        <f>'Biomass Data Assumptions'!$D95</f>
        <v>525464.06644774962</v>
      </c>
      <c r="L55" s="895">
        <f>'Biomass Data Assumptions'!$E95</f>
        <v>532111.74251497001</v>
      </c>
      <c r="M55" s="896"/>
      <c r="N55" s="897">
        <f>'Biomass Data Assumptions'!$G95</f>
        <v>5.0222136372416459E-3</v>
      </c>
      <c r="O55" s="898">
        <f>'Biomass Data Assumptions'!$H95</f>
        <v>2.298628549352907E-2</v>
      </c>
      <c r="P55" s="899">
        <f>'Biomass Data Assumptions'!$I95</f>
        <v>3.5928143712574849E-2</v>
      </c>
    </row>
    <row r="56" spans="1:16" x14ac:dyDescent="0.3">
      <c r="B56" s="863" t="s">
        <v>333</v>
      </c>
      <c r="C56" s="861">
        <f>'Biomass Data Assumptions'!$I11</f>
        <v>91009.32</v>
      </c>
      <c r="D56" s="861">
        <f>C56*(1+'Biomass Data Assumptions'!G$96)*(1+'Biomass Data Assumptions'!C$82)</f>
        <v>88497.126858120711</v>
      </c>
      <c r="E56" s="861">
        <f>D56*(1+'Biomass Data Assumptions'!H$96)*(1+'Biomass Data Assumptions'!D$82)</f>
        <v>86087.432802404306</v>
      </c>
      <c r="F56" s="861">
        <f>E56*(1+'Biomass Data Assumptions'!I$96)*(1+'Biomass Data Assumptions'!E$82)</f>
        <v>83508.436076729253</v>
      </c>
      <c r="H56" s="893" t="s">
        <v>333</v>
      </c>
      <c r="I56" s="894">
        <f>'Biomass Data Assumptions'!$B96</f>
        <v>97265</v>
      </c>
      <c r="J56" s="895">
        <f>'Biomass Data Assumptions'!$C96</f>
        <v>94644.388601036277</v>
      </c>
      <c r="K56" s="895">
        <f>'Biomass Data Assumptions'!$D96</f>
        <v>94745.181347150254</v>
      </c>
      <c r="L56" s="895">
        <f>'Biomass Data Assumptions'!$E96</f>
        <v>94543.595854922285</v>
      </c>
      <c r="M56" s="896"/>
      <c r="N56" s="897">
        <f>'Biomass Data Assumptions'!$G96</f>
        <v>-2.6943005181347152E-2</v>
      </c>
      <c r="O56" s="898">
        <f>'Biomass Data Assumptions'!$H96</f>
        <v>-2.5906735751295335E-2</v>
      </c>
      <c r="P56" s="899">
        <f>'Biomass Data Assumptions'!$I96</f>
        <v>-2.7979274611398965E-2</v>
      </c>
    </row>
    <row r="57" spans="1:16" x14ac:dyDescent="0.3">
      <c r="B57" s="863" t="s">
        <v>335</v>
      </c>
      <c r="C57" s="861">
        <f>'Biomass Data Assumptions'!$I12</f>
        <v>113785.04000000001</v>
      </c>
      <c r="D57" s="861">
        <f>C57*(1+'Biomass Data Assumptions'!G$97)*(1+'Biomass Data Assumptions'!C$82)</f>
        <v>116971.07961307642</v>
      </c>
      <c r="E57" s="861">
        <f>D57*(1+'Biomass Data Assumptions'!H$97)*(1+'Biomass Data Assumptions'!D$82)</f>
        <v>123815.06929209291</v>
      </c>
      <c r="F57" s="861">
        <f>E57*(1+'Biomass Data Assumptions'!I$97)*(1+'Biomass Data Assumptions'!E$82)</f>
        <v>134674.25376868519</v>
      </c>
      <c r="H57" s="893" t="s">
        <v>335</v>
      </c>
      <c r="I57" s="894">
        <f>'Biomass Data Assumptions'!$B97</f>
        <v>156898</v>
      </c>
      <c r="J57" s="895">
        <f>'Biomass Data Assumptions'!$C97</f>
        <v>161400.8125</v>
      </c>
      <c r="K57" s="895">
        <f>'Biomass Data Assumptions'!$D97</f>
        <v>166303.875</v>
      </c>
      <c r="L57" s="895">
        <f>'Biomass Data Assumptions'!$E97</f>
        <v>171006.8125</v>
      </c>
      <c r="M57" s="896"/>
      <c r="N57" s="897">
        <f>'Biomass Data Assumptions'!$G97</f>
        <v>2.8698979591836735E-2</v>
      </c>
      <c r="O57" s="898">
        <f>'Biomass Data Assumptions'!$H97</f>
        <v>5.9948979591836732E-2</v>
      </c>
      <c r="P57" s="899">
        <f>'Biomass Data Assumptions'!$I97</f>
        <v>8.9923469387755098E-2</v>
      </c>
    </row>
    <row r="58" spans="1:16" x14ac:dyDescent="0.3">
      <c r="B58" s="863" t="s">
        <v>336</v>
      </c>
      <c r="C58" s="861">
        <f>'Biomass Data Assumptions'!$I13</f>
        <v>101272.90999999997</v>
      </c>
      <c r="D58" s="861">
        <f>C58*(1+'Biomass Data Assumptions'!G$98)*(1+'Biomass Data Assumptions'!C$82)</f>
        <v>101111.79618119165</v>
      </c>
      <c r="E58" s="861">
        <f>D58*(1+'Biomass Data Assumptions'!H$98)*(1+'Biomass Data Assumptions'!D$82)</f>
        <v>100974.53712014716</v>
      </c>
      <c r="F58" s="861">
        <f>E58*(1+'Biomass Data Assumptions'!I$98)*(1+'Biomass Data Assumptions'!E$82)</f>
        <v>100847.81596076896</v>
      </c>
      <c r="H58" s="893" t="s">
        <v>336</v>
      </c>
      <c r="I58" s="894">
        <f>'Biomass Data Assumptions'!$B98</f>
        <v>783969</v>
      </c>
      <c r="J58" s="895">
        <f>'Biomass Data Assumptions'!$C98</f>
        <v>783253.60657019948</v>
      </c>
      <c r="K58" s="895">
        <f>'Biomass Data Assumptions'!$D98</f>
        <v>783969</v>
      </c>
      <c r="L58" s="895">
        <f>'Biomass Data Assumptions'!$E98</f>
        <v>784582.19436840049</v>
      </c>
      <c r="M58" s="896"/>
      <c r="N58" s="897">
        <f>'Biomass Data Assumptions'!$G98</f>
        <v>-9.1252770173380268E-4</v>
      </c>
      <c r="O58" s="898">
        <f>'Biomass Data Assumptions'!$H98</f>
        <v>0</v>
      </c>
      <c r="P58" s="899">
        <f>'Biomass Data Assumptions'!$I98</f>
        <v>7.8216660148611649E-4</v>
      </c>
    </row>
    <row r="59" spans="1:16" x14ac:dyDescent="0.3">
      <c r="B59" s="863" t="s">
        <v>337</v>
      </c>
      <c r="C59" s="861">
        <f>'Biomass Data Assumptions'!$I14</f>
        <v>25379.160000000003</v>
      </c>
      <c r="D59" s="861">
        <f>C59*(1+'Biomass Data Assumptions'!G$99)*(1+'Biomass Data Assumptions'!C$82)</f>
        <v>26558.743551937372</v>
      </c>
      <c r="E59" s="861">
        <f>D59*(1+'Biomass Data Assumptions'!H$99)*(1+'Biomass Data Assumptions'!D$82)</f>
        <v>29127.104163897235</v>
      </c>
      <c r="F59" s="861">
        <f>E59*(1+'Biomass Data Assumptions'!I$99)*(1+'Biomass Data Assumptions'!E$82)</f>
        <v>33455.218630738455</v>
      </c>
      <c r="H59" s="893" t="s">
        <v>337</v>
      </c>
      <c r="I59" s="894">
        <f>'Biomass Data Assumptions'!$B99</f>
        <v>288288</v>
      </c>
      <c r="J59" s="895">
        <f>'Biomass Data Assumptions'!$C99</f>
        <v>301892.1526717557</v>
      </c>
      <c r="K59" s="895">
        <f>'Biomass Data Assumptions'!$D99</f>
        <v>316596.64122137404</v>
      </c>
      <c r="L59" s="895">
        <f>'Biomass Data Assumptions'!$E99</f>
        <v>331801.28244274808</v>
      </c>
      <c r="M59" s="896"/>
      <c r="N59" s="897">
        <f>'Biomass Data Assumptions'!$G99</f>
        <v>4.7189451769604443E-2</v>
      </c>
      <c r="O59" s="898">
        <f>'Biomass Data Assumptions'!$H99</f>
        <v>9.8195697432338649E-2</v>
      </c>
      <c r="P59" s="899">
        <f>'Biomass Data Assumptions'!$I99</f>
        <v>0.15093684941013186</v>
      </c>
    </row>
    <row r="60" spans="1:16" x14ac:dyDescent="0.3">
      <c r="B60" s="863" t="s">
        <v>338</v>
      </c>
      <c r="C60" s="861">
        <f>'Biomass Data Assumptions'!$I15</f>
        <v>368946.44</v>
      </c>
      <c r="D60" s="861">
        <f>C60*(1+'Biomass Data Assumptions'!G$100)*(1+'Biomass Data Assumptions'!C$82)</f>
        <v>369131.81732797867</v>
      </c>
      <c r="E60" s="861">
        <f>D60*(1+'Biomass Data Assumptions'!H$100)*(1+'Biomass Data Assumptions'!D$82)</f>
        <v>369813.62716583395</v>
      </c>
      <c r="F60" s="861">
        <f>E60*(1+'Biomass Data Assumptions'!I$100)*(1+'Biomass Data Assumptions'!E$82)</f>
        <v>371367.09164529032</v>
      </c>
      <c r="H60" s="893" t="s">
        <v>338</v>
      </c>
      <c r="I60" s="894">
        <f>'Biomass Data Assumptions'!$B100</f>
        <v>634266</v>
      </c>
      <c r="J60" s="895">
        <f>'Biomass Data Assumptions'!$C100</f>
        <v>635015.85002533358</v>
      </c>
      <c r="K60" s="895">
        <f>'Biomass Data Assumptions'!$D100</f>
        <v>636301.30721161969</v>
      </c>
      <c r="L60" s="895">
        <f>'Biomass Data Assumptions'!$E100</f>
        <v>638229.49299104884</v>
      </c>
      <c r="M60" s="896"/>
      <c r="N60" s="897">
        <f>'Biomass Data Assumptions'!$G100</f>
        <v>1.1822327309576085E-3</v>
      </c>
      <c r="O60" s="898">
        <f>'Biomass Data Assumptions'!$H100</f>
        <v>3.2089174125992229E-3</v>
      </c>
      <c r="P60" s="899">
        <f>'Biomass Data Assumptions'!$I100</f>
        <v>6.2489444350616449E-3</v>
      </c>
    </row>
    <row r="61" spans="1:16" x14ac:dyDescent="0.3">
      <c r="B61" s="863" t="s">
        <v>339</v>
      </c>
      <c r="C61" s="861">
        <f>'Biomass Data Assumptions'!$I16</f>
        <v>49066.770000000004</v>
      </c>
      <c r="D61" s="861">
        <f>C61*(1+'Biomass Data Assumptions'!G$101)*(1+'Biomass Data Assumptions'!C$82)</f>
        <v>50431.17255990058</v>
      </c>
      <c r="E61" s="861">
        <f>D61*(1+'Biomass Data Assumptions'!H$101)*(1+'Biomass Data Assumptions'!D$82)</f>
        <v>54087.535444982452</v>
      </c>
      <c r="F61" s="861">
        <f>E61*(1+'Biomass Data Assumptions'!I$101)*(1+'Biomass Data Assumptions'!E$82)</f>
        <v>60132.029477590928</v>
      </c>
      <c r="H61" s="893" t="s">
        <v>339</v>
      </c>
      <c r="I61" s="894">
        <f>'Biomass Data Assumptions'!$B101</f>
        <v>128349</v>
      </c>
      <c r="J61" s="895">
        <f>'Biomass Data Assumptions'!$C101</f>
        <v>132007.63867488445</v>
      </c>
      <c r="K61" s="895">
        <f>'Biomass Data Assumptions'!$D101</f>
        <v>137841.68412942989</v>
      </c>
      <c r="L61" s="895">
        <f>'Biomass Data Assumptions'!$E101</f>
        <v>142983.55469953775</v>
      </c>
      <c r="M61" s="896"/>
      <c r="N61" s="897">
        <f>'Biomass Data Assumptions'!$G101</f>
        <v>2.8505392912172575E-2</v>
      </c>
      <c r="O61" s="898">
        <f>'Biomass Data Assumptions'!$H101</f>
        <v>7.3959938366718034E-2</v>
      </c>
      <c r="P61" s="899">
        <f>'Biomass Data Assumptions'!$I101</f>
        <v>0.1140215716486903</v>
      </c>
    </row>
    <row r="62" spans="1:16" x14ac:dyDescent="0.3">
      <c r="B62" s="863" t="s">
        <v>340</v>
      </c>
      <c r="C62" s="861">
        <f>'Biomass Data Assumptions'!$I17</f>
        <v>235768.83</v>
      </c>
      <c r="D62" s="861">
        <f>C62*(1+'Biomass Data Assumptions'!G$102)*(1+'Biomass Data Assumptions'!C$82)</f>
        <v>240972.30404059478</v>
      </c>
      <c r="E62" s="861">
        <f>D62*(1+'Biomass Data Assumptions'!H$102)*(1+'Biomass Data Assumptions'!D$82)</f>
        <v>251997.61790423706</v>
      </c>
      <c r="F62" s="861">
        <f>E62*(1+'Biomass Data Assumptions'!I$102)*(1+'Biomass Data Assumptions'!E$82)</f>
        <v>270659.85090754565</v>
      </c>
      <c r="H62" s="893" t="s">
        <v>340</v>
      </c>
      <c r="I62" s="894">
        <f>'Biomass Data Assumptions'!$B102</f>
        <v>366513</v>
      </c>
      <c r="J62" s="895">
        <f>'Biomass Data Assumptions'!$C102</f>
        <v>374856.54882062535</v>
      </c>
      <c r="K62" s="895">
        <f>'Biomass Data Assumptions'!$D102</f>
        <v>383803.24574876577</v>
      </c>
      <c r="L62" s="895">
        <f>'Biomass Data Assumptions'!$E102</f>
        <v>394458.86231486558</v>
      </c>
      <c r="M62" s="896"/>
      <c r="N62" s="897">
        <f>'Biomass Data Assumptions'!$G102</f>
        <v>2.2764673614920461E-2</v>
      </c>
      <c r="O62" s="898">
        <f>'Biomass Data Assumptions'!$H102</f>
        <v>4.7174986286341196E-2</v>
      </c>
      <c r="P62" s="899">
        <f>'Biomass Data Assumptions'!$I102</f>
        <v>7.624794295117937E-2</v>
      </c>
    </row>
    <row r="63" spans="1:16" x14ac:dyDescent="0.3">
      <c r="B63" s="863" t="s">
        <v>341</v>
      </c>
      <c r="C63" s="861">
        <f>'Biomass Data Assumptions'!$I18</f>
        <v>534640.15</v>
      </c>
      <c r="D63" s="861">
        <f>C63*(1+'Biomass Data Assumptions'!G$103)*(1+'Biomass Data Assumptions'!C$82)</f>
        <v>547543.9227165652</v>
      </c>
      <c r="E63" s="861">
        <f>D63*(1+'Biomass Data Assumptions'!H$103)*(1+'Biomass Data Assumptions'!D$82)</f>
        <v>578412.43573235732</v>
      </c>
      <c r="F63" s="861">
        <f>E63*(1+'Biomass Data Assumptions'!I$103)*(1+'Biomass Data Assumptions'!E$82)</f>
        <v>623616.72244257305</v>
      </c>
      <c r="H63" s="893" t="s">
        <v>341</v>
      </c>
      <c r="I63" s="894">
        <f>'Biomass Data Assumptions'!$B103</f>
        <v>809858</v>
      </c>
      <c r="J63" s="895">
        <f>'Biomass Data Assumptions'!$C103</f>
        <v>829967.80644339742</v>
      </c>
      <c r="K63" s="895">
        <f>'Biomass Data Assumptions'!$D103</f>
        <v>856677.75448873045</v>
      </c>
      <c r="L63" s="895">
        <f>'Biomass Data Assumptions'!$E103</f>
        <v>874931.27110658342</v>
      </c>
      <c r="M63" s="896"/>
      <c r="N63" s="897">
        <f>'Biomass Data Assumptions'!$G103</f>
        <v>2.4831274672099835E-2</v>
      </c>
      <c r="O63" s="898">
        <f>'Biomass Data Assumptions'!$H103</f>
        <v>5.7812301031452948E-2</v>
      </c>
      <c r="P63" s="899">
        <f>'Biomass Data Assumptions'!$I103</f>
        <v>8.0351458041512794E-2</v>
      </c>
    </row>
    <row r="64" spans="1:16" x14ac:dyDescent="0.3">
      <c r="B64" s="863" t="s">
        <v>342</v>
      </c>
      <c r="C64" s="861">
        <f>'Biomass Data Assumptions'!$I19</f>
        <v>429744.57</v>
      </c>
      <c r="D64" s="861">
        <f>C64*(1+'Biomass Data Assumptions'!G$104)*(1+'Biomass Data Assumptions'!C$82)</f>
        <v>438083.31798313581</v>
      </c>
      <c r="E64" s="861">
        <f>D64*(1+'Biomass Data Assumptions'!H$104)*(1+'Biomass Data Assumptions'!D$82)</f>
        <v>457253.64646325418</v>
      </c>
      <c r="F64" s="861">
        <f>E64*(1+'Biomass Data Assumptions'!I$104)*(1+'Biomass Data Assumptions'!E$82)</f>
        <v>487104.59287596808</v>
      </c>
      <c r="H64" s="893" t="s">
        <v>125</v>
      </c>
      <c r="I64" s="894">
        <f>'Biomass Data Assumptions'!$B104</f>
        <v>630380</v>
      </c>
      <c r="J64" s="895">
        <f>'Biomass Data Assumptions'!$C104</f>
        <v>643048.48730331822</v>
      </c>
      <c r="K64" s="895">
        <f>'Biomass Data Assumptions'!$D104</f>
        <v>658859.545100483</v>
      </c>
      <c r="L64" s="895">
        <f>'Biomass Data Assumptions'!$E104</f>
        <v>672902.90699485899</v>
      </c>
      <c r="M64" s="896"/>
      <c r="N64" s="897">
        <f>'Biomass Data Assumptions'!$G104</f>
        <v>2.0096588253622059E-2</v>
      </c>
      <c r="O64" s="898">
        <f>'Biomass Data Assumptions'!$H104</f>
        <v>4.5178376694189129E-2</v>
      </c>
      <c r="P64" s="899">
        <f>'Biomass Data Assumptions'!$I104</f>
        <v>6.7455990029599622E-2</v>
      </c>
    </row>
    <row r="65" spans="2:16" x14ac:dyDescent="0.3">
      <c r="B65" s="863" t="s">
        <v>343</v>
      </c>
      <c r="C65" s="861">
        <f>'Biomass Data Assumptions'!$I20</f>
        <v>283217.56</v>
      </c>
      <c r="D65" s="861">
        <f>C65*(1+'Biomass Data Assumptions'!G$105)*(1+'Biomass Data Assumptions'!C$82)</f>
        <v>288489.29364235286</v>
      </c>
      <c r="E65" s="861">
        <f>D65*(1+'Biomass Data Assumptions'!H$105)*(1+'Biomass Data Assumptions'!D$82)</f>
        <v>300819.17319717066</v>
      </c>
      <c r="F65" s="861">
        <f>E65*(1+'Biomass Data Assumptions'!I$105)*(1+'Biomass Data Assumptions'!E$82)</f>
        <v>320491.91806380142</v>
      </c>
      <c r="H65" s="893" t="s">
        <v>343</v>
      </c>
      <c r="I65" s="894">
        <f>'Biomass Data Assumptions'!$B105</f>
        <v>492276</v>
      </c>
      <c r="J65" s="895">
        <f>'Biomass Data Assumptions'!$C105</f>
        <v>501779.78804682684</v>
      </c>
      <c r="K65" s="895">
        <f>'Biomass Data Assumptions'!$D105</f>
        <v>514013.38755391253</v>
      </c>
      <c r="L65" s="895">
        <f>'Biomass Data Assumptions'!$E105</f>
        <v>525539.25816389406</v>
      </c>
      <c r="M65" s="896"/>
      <c r="N65" s="897">
        <f>'Biomass Data Assumptions'!$G105</f>
        <v>1.9305812281782707E-2</v>
      </c>
      <c r="O65" s="898">
        <f>'Biomass Data Assumptions'!$H105</f>
        <v>4.4156911070034915E-2</v>
      </c>
      <c r="P65" s="899">
        <f>'Biomass Data Assumptions'!$I105</f>
        <v>6.7570342986239471E-2</v>
      </c>
    </row>
    <row r="66" spans="2:16" x14ac:dyDescent="0.3">
      <c r="B66" s="863" t="s">
        <v>344</v>
      </c>
      <c r="C66" s="861">
        <f>'Biomass Data Assumptions'!$I21</f>
        <v>391583.01999999996</v>
      </c>
      <c r="D66" s="861">
        <f>C66*(1+'Biomass Data Assumptions'!G$106)*(1+'Biomass Data Assumptions'!C$82)</f>
        <v>406565.94178178179</v>
      </c>
      <c r="E66" s="861">
        <f>D66*(1+'Biomass Data Assumptions'!H$106)*(1+'Biomass Data Assumptions'!D$82)</f>
        <v>448703.58586207643</v>
      </c>
      <c r="F66" s="861">
        <f>E66*(1+'Biomass Data Assumptions'!I$106)*(1+'Biomass Data Assumptions'!E$82)</f>
        <v>520181.79865260172</v>
      </c>
      <c r="H66" s="893" t="s">
        <v>344</v>
      </c>
      <c r="I66" s="894">
        <f>'Biomass Data Assumptions'!$B106</f>
        <v>576567</v>
      </c>
      <c r="J66" s="895">
        <f>'Biomass Data Assumptions'!$C106</f>
        <v>599034.59241706156</v>
      </c>
      <c r="K66" s="895">
        <f>'Biomass Data Assumptions'!$D106</f>
        <v>637189.01737756713</v>
      </c>
      <c r="L66" s="895">
        <f>'Biomass Data Assumptions'!$E106</f>
        <v>669777.14691943128</v>
      </c>
      <c r="M66" s="896"/>
      <c r="N66" s="897">
        <f>'Biomass Data Assumptions'!$G106</f>
        <v>3.8967877830437071E-2</v>
      </c>
      <c r="O66" s="898">
        <f>'Biomass Data Assumptions'!$H106</f>
        <v>0.10514305774969282</v>
      </c>
      <c r="P66" s="899">
        <f>'Biomass Data Assumptions'!$I106</f>
        <v>0.1616640337019484</v>
      </c>
    </row>
    <row r="67" spans="2:16" x14ac:dyDescent="0.3">
      <c r="B67" s="863" t="s">
        <v>345</v>
      </c>
      <c r="C67" s="861">
        <f>'Biomass Data Assumptions'!$I22</f>
        <v>335922.6</v>
      </c>
      <c r="D67" s="861">
        <f>C67*(1+'Biomass Data Assumptions'!G$107)*(1+'Biomass Data Assumptions'!C$82)</f>
        <v>336450.58416734671</v>
      </c>
      <c r="E67" s="861">
        <f>D67*(1+'Biomass Data Assumptions'!H$107)*(1+'Biomass Data Assumptions'!D$82)</f>
        <v>337576.13380773272</v>
      </c>
      <c r="F67" s="861">
        <f>E67*(1+'Biomass Data Assumptions'!I$107)*(1+'Biomass Data Assumptions'!E$82)</f>
        <v>339786.05842299992</v>
      </c>
      <c r="H67" s="893" t="s">
        <v>345</v>
      </c>
      <c r="I67" s="894">
        <f>'Biomass Data Assumptions'!$B107</f>
        <v>501226</v>
      </c>
      <c r="J67" s="895">
        <f>'Biomass Data Assumptions'!$C107</f>
        <v>502354.8873873874</v>
      </c>
      <c r="K67" s="895">
        <f>'Biomass Data Assumptions'!$D107</f>
        <v>503586.40090090089</v>
      </c>
      <c r="L67" s="895">
        <f>'Biomass Data Assumptions'!$E107</f>
        <v>505536.29729729728</v>
      </c>
      <c r="M67" s="896"/>
      <c r="N67" s="897">
        <f>'Biomass Data Assumptions'!$G107</f>
        <v>2.2522522522522522E-3</v>
      </c>
      <c r="O67" s="898">
        <f>'Biomass Data Assumptions'!$H107</f>
        <v>4.7092547092547092E-3</v>
      </c>
      <c r="P67" s="899">
        <f>'Biomass Data Assumptions'!$I107</f>
        <v>8.5995085995085995E-3</v>
      </c>
    </row>
    <row r="68" spans="2:16" x14ac:dyDescent="0.3">
      <c r="B68" s="863" t="s">
        <v>346</v>
      </c>
      <c r="C68" s="861">
        <f>'Biomass Data Assumptions'!$I23</f>
        <v>40040.060000000005</v>
      </c>
      <c r="D68" s="861">
        <f>C68*(1+'Biomass Data Assumptions'!G$108)*(1+'Biomass Data Assumptions'!C$82)</f>
        <v>40315.085656230578</v>
      </c>
      <c r="E68" s="861">
        <f>D68*(1+'Biomass Data Assumptions'!H$108)*(1+'Biomass Data Assumptions'!D$82)</f>
        <v>40868.520515776756</v>
      </c>
      <c r="F68" s="861">
        <f>E68*(1+'Biomass Data Assumptions'!I$108)*(1+'Biomass Data Assumptions'!E$82)</f>
        <v>41771.078527959347</v>
      </c>
      <c r="H68" s="893" t="s">
        <v>126</v>
      </c>
      <c r="I68" s="894">
        <f>'Biomass Data Assumptions'!$B108</f>
        <v>66083</v>
      </c>
      <c r="J68" s="895">
        <f>'Biomass Data Assumptions'!$C108</f>
        <v>66582.116314199389</v>
      </c>
      <c r="K68" s="895">
        <f>'Biomass Data Assumptions'!$D108</f>
        <v>67081.232628398793</v>
      </c>
      <c r="L68" s="895">
        <f>'Biomass Data Assumptions'!$E108</f>
        <v>67680.172205438066</v>
      </c>
      <c r="M68" s="896"/>
      <c r="N68" s="897">
        <f>'Biomass Data Assumptions'!$G108</f>
        <v>7.5528700906344415E-3</v>
      </c>
      <c r="O68" s="898">
        <f>'Biomass Data Assumptions'!$H108</f>
        <v>1.5105740181268883E-2</v>
      </c>
      <c r="P68" s="899">
        <f>'Biomass Data Assumptions'!$I108</f>
        <v>2.4169184290030211E-2</v>
      </c>
    </row>
    <row r="69" spans="2:16" x14ac:dyDescent="0.3">
      <c r="B69" s="863" t="s">
        <v>347</v>
      </c>
      <c r="C69" s="861">
        <f>'Biomass Data Assumptions'!$I24</f>
        <v>199563.87</v>
      </c>
      <c r="D69" s="861">
        <f>C69*(1+'Biomass Data Assumptions'!G$109)*(1+'Biomass Data Assumptions'!C$82)</f>
        <v>207018.00188583526</v>
      </c>
      <c r="E69" s="861">
        <f>D69*(1+'Biomass Data Assumptions'!H$109)*(1+'Biomass Data Assumptions'!D$82)</f>
        <v>225031.15078123633</v>
      </c>
      <c r="F69" s="861">
        <f>E69*(1+'Biomass Data Assumptions'!I$109)*(1+'Biomass Data Assumptions'!E$82)</f>
        <v>252922.66022285941</v>
      </c>
      <c r="H69" s="893" t="s">
        <v>347</v>
      </c>
      <c r="I69" s="894">
        <f>'Biomass Data Assumptions'!$B109</f>
        <v>323444</v>
      </c>
      <c r="J69" s="895">
        <f>'Biomass Data Assumptions'!$C109</f>
        <v>335753.28589108912</v>
      </c>
      <c r="K69" s="895">
        <f>'Biomass Data Assumptions'!$D109</f>
        <v>352065.59158415842</v>
      </c>
      <c r="L69" s="895">
        <f>'Biomass Data Assumptions'!$E109</f>
        <v>364274.80198019801</v>
      </c>
      <c r="M69" s="896"/>
      <c r="N69" s="897">
        <f>'Biomass Data Assumptions'!$G109</f>
        <v>3.8056930693069306E-2</v>
      </c>
      <c r="O69" s="898">
        <f>'Biomass Data Assumptions'!$H109</f>
        <v>8.8490099009900985E-2</v>
      </c>
      <c r="P69" s="899">
        <f>'Biomass Data Assumptions'!$I109</f>
        <v>0.12623762376237624</v>
      </c>
    </row>
    <row r="70" spans="2:16" x14ac:dyDescent="0.3">
      <c r="B70" s="863" t="s">
        <v>348</v>
      </c>
      <c r="C70" s="861">
        <f>'Biomass Data Assumptions'!$I25</f>
        <v>75304.95</v>
      </c>
      <c r="D70" s="861">
        <f>C70*(1+'Biomass Data Assumptions'!G$110)*(1+'Biomass Data Assumptions'!C$82)</f>
        <v>77490.557841998889</v>
      </c>
      <c r="E70" s="861">
        <f>D70*(1+'Biomass Data Assumptions'!H$110)*(1+'Biomass Data Assumptions'!D$82)</f>
        <v>82803.362348011098</v>
      </c>
      <c r="F70" s="861">
        <f>E70*(1+'Biomass Data Assumptions'!I$110)*(1+'Biomass Data Assumptions'!E$82)</f>
        <v>90057.753598964482</v>
      </c>
      <c r="H70" s="893" t="s">
        <v>348</v>
      </c>
      <c r="I70" s="894">
        <f>'Biomass Data Assumptions'!$B110</f>
        <v>149265</v>
      </c>
      <c r="J70" s="895">
        <f>'Biomass Data Assumptions'!$C110</f>
        <v>153701.54227212683</v>
      </c>
      <c r="K70" s="895">
        <f>'Biomass Data Assumptions'!$D110</f>
        <v>159715.52179656539</v>
      </c>
      <c r="L70" s="895">
        <f>'Biomass Data Assumptions'!$E110</f>
        <v>162673.21664464995</v>
      </c>
      <c r="M70" s="896"/>
      <c r="N70" s="897">
        <f>'Biomass Data Assumptions'!$G110</f>
        <v>2.9722589167767502E-2</v>
      </c>
      <c r="O70" s="898">
        <f>'Biomass Data Assumptions'!$H110</f>
        <v>7.0013210039630125E-2</v>
      </c>
      <c r="P70" s="899">
        <f>'Biomass Data Assumptions'!$I110</f>
        <v>8.982826948480846E-2</v>
      </c>
    </row>
    <row r="71" spans="2:16" x14ac:dyDescent="0.3">
      <c r="B71" s="863" t="s">
        <v>349</v>
      </c>
      <c r="C71" s="861">
        <f>'Biomass Data Assumptions'!$I26</f>
        <v>28563.049999999988</v>
      </c>
      <c r="D71" s="861">
        <f>C71*(1+'Biomass Data Assumptions'!G$111)*(1+'Biomass Data Assumptions'!C$82)</f>
        <v>28587.418108484642</v>
      </c>
      <c r="E71" s="861">
        <f>D71*(1+'Biomass Data Assumptions'!H$111)*(1+'Biomass Data Assumptions'!D$82)</f>
        <v>28674.447856964565</v>
      </c>
      <c r="F71" s="861">
        <f>E71*(1+'Biomass Data Assumptions'!I$111)*(1+'Biomass Data Assumptions'!E$82)</f>
        <v>28862.864311944995</v>
      </c>
      <c r="H71" s="893" t="s">
        <v>349</v>
      </c>
      <c r="I71" s="894">
        <f>'Biomass Data Assumptions'!$B111</f>
        <v>536499</v>
      </c>
      <c r="J71" s="895">
        <f>'Biomass Data Assumptions'!$C111</f>
        <v>537321.53583748557</v>
      </c>
      <c r="K71" s="895">
        <f>'Biomass Data Assumptions'!$D111</f>
        <v>538863.79053277115</v>
      </c>
      <c r="L71" s="895">
        <f>'Biomass Data Assumptions'!$E111</f>
        <v>541125.76408585662</v>
      </c>
      <c r="M71" s="896"/>
      <c r="N71" s="897">
        <f>'Biomass Data Assumptions'!$G111</f>
        <v>1.5331544653123803E-3</v>
      </c>
      <c r="O71" s="898">
        <f>'Biomass Data Assumptions'!$H111</f>
        <v>4.4078190877730929E-3</v>
      </c>
      <c r="P71" s="899">
        <f>'Biomass Data Assumptions'!$I111</f>
        <v>8.6239938673821383E-3</v>
      </c>
    </row>
    <row r="72" spans="2:16" ht="15" thickBot="1" x14ac:dyDescent="0.35">
      <c r="B72" s="877" t="s">
        <v>350</v>
      </c>
      <c r="C72" s="878">
        <f>'Biomass Data Assumptions'!$I27</f>
        <v>14937.149999999994</v>
      </c>
      <c r="D72" s="878">
        <f>C72*(1+'Biomass Data Assumptions'!G$112)*(1+'Biomass Data Assumptions'!C$82)</f>
        <v>15538.213949562472</v>
      </c>
      <c r="E72" s="878">
        <f>D72*(1+'Biomass Data Assumptions'!H$112)*(1+'Biomass Data Assumptions'!D$82)</f>
        <v>16844.33592380819</v>
      </c>
      <c r="F72" s="878">
        <f>E72*(1+'Biomass Data Assumptions'!I$112)*(1+'Biomass Data Assumptions'!E$82)</f>
        <v>18798.498096183153</v>
      </c>
      <c r="H72" s="893" t="s">
        <v>350</v>
      </c>
      <c r="I72" s="894">
        <f>'Biomass Data Assumptions'!$B112</f>
        <v>108692</v>
      </c>
      <c r="J72" s="895">
        <f>'Biomass Data Assumptions'!$C112</f>
        <v>113142.53685168336</v>
      </c>
      <c r="K72" s="895">
        <f>'Biomass Data Assumptions'!$D112</f>
        <v>117988.67697907188</v>
      </c>
      <c r="L72" s="895">
        <f>'Biomass Data Assumptions'!$E112</f>
        <v>121549.10646041857</v>
      </c>
      <c r="M72" s="896"/>
      <c r="N72" s="897">
        <f>'Biomass Data Assumptions'!$G112</f>
        <v>4.0946314831665151E-2</v>
      </c>
      <c r="O72" s="898">
        <f>'Biomass Data Assumptions'!$H112</f>
        <v>8.5532302092811652E-2</v>
      </c>
      <c r="P72" s="899">
        <f>'Biomass Data Assumptions'!$I112</f>
        <v>0.11828935395814377</v>
      </c>
    </row>
    <row r="73" spans="2:16" ht="15.6" thickTop="1" thickBot="1" x14ac:dyDescent="0.35">
      <c r="B73" s="879" t="s">
        <v>351</v>
      </c>
      <c r="C73" s="880">
        <f>SUM(C52:C72)</f>
        <v>4453930.55</v>
      </c>
      <c r="D73" s="880">
        <f t="shared" ref="D73:F73" si="2">SUM(D52:D72)</f>
        <v>4530878.5909307934</v>
      </c>
      <c r="E73" s="880">
        <f t="shared" si="2"/>
        <v>4720446.1286296686</v>
      </c>
      <c r="F73" s="880">
        <f t="shared" si="2"/>
        <v>5022608.9563289713</v>
      </c>
      <c r="H73" s="893" t="s">
        <v>351</v>
      </c>
      <c r="I73" s="900">
        <f>SUM(I52:I72)</f>
        <v>8791894</v>
      </c>
      <c r="J73" s="901">
        <f>SUM(J52:J72)</f>
        <v>8933846.6580148563</v>
      </c>
      <c r="K73" s="901">
        <f>SUM(K52:K72)</f>
        <v>9130611.5196101461</v>
      </c>
      <c r="L73" s="901">
        <f>SUM(L52:L72)</f>
        <v>9298820.9119583014</v>
      </c>
      <c r="M73" s="902"/>
      <c r="N73" s="903">
        <f t="shared" ref="N73" si="3">(J73-I73)/I73</f>
        <v>1.6145856400777384E-2</v>
      </c>
      <c r="O73" s="904">
        <f t="shared" ref="O73" si="4">(K73-I73)/I73</f>
        <v>3.8526115033933085E-2</v>
      </c>
      <c r="P73" s="905">
        <f t="shared" ref="P73" si="5">(L73-I73)/I73</f>
        <v>5.7658442192126229E-2</v>
      </c>
    </row>
    <row r="75" spans="2:16" x14ac:dyDescent="0.3">
      <c r="B75" s="876" t="s">
        <v>1364</v>
      </c>
      <c r="I75" s="881" t="s">
        <v>1365</v>
      </c>
    </row>
    <row r="76" spans="2:16" x14ac:dyDescent="0.3">
      <c r="D76" s="1220" t="s">
        <v>1366</v>
      </c>
      <c r="E76" s="1220"/>
      <c r="F76" s="1220"/>
      <c r="G76" s="1220"/>
      <c r="J76" s="1213" t="s">
        <v>1367</v>
      </c>
      <c r="K76" s="1213"/>
      <c r="L76" s="1213"/>
      <c r="M76" s="1213"/>
      <c r="N76" s="1213"/>
      <c r="O76" s="1213"/>
    </row>
    <row r="77" spans="2:16" x14ac:dyDescent="0.3">
      <c r="B77" s="885" t="s">
        <v>322</v>
      </c>
      <c r="C77" s="886" t="s">
        <v>1368</v>
      </c>
      <c r="D77" s="862" t="s">
        <v>1369</v>
      </c>
      <c r="E77" s="862" t="s">
        <v>216</v>
      </c>
      <c r="F77" s="862" t="s">
        <v>1347</v>
      </c>
      <c r="G77" s="862" t="s">
        <v>212</v>
      </c>
      <c r="I77" s="906" t="s">
        <v>322</v>
      </c>
      <c r="J77" s="886" t="s">
        <v>1346</v>
      </c>
      <c r="K77" s="885" t="s">
        <v>1370</v>
      </c>
      <c r="L77" s="885" t="s">
        <v>1371</v>
      </c>
      <c r="M77" s="885" t="s">
        <v>1372</v>
      </c>
      <c r="N77" s="885" t="s">
        <v>1373</v>
      </c>
      <c r="O77" s="885" t="s">
        <v>409</v>
      </c>
      <c r="P77" s="885" t="s">
        <v>1366</v>
      </c>
    </row>
    <row r="78" spans="2:16" x14ac:dyDescent="0.3">
      <c r="B78" s="860" t="s">
        <v>403</v>
      </c>
      <c r="C78" s="907">
        <v>555.70000000000005</v>
      </c>
      <c r="D78" s="907">
        <f t="shared" ref="D78:D99" si="6">J5/C78</f>
        <v>569.51782394646477</v>
      </c>
      <c r="E78" s="907">
        <f t="shared" ref="E78:E99" si="7">D5/C78</f>
        <v>213.0594895327215</v>
      </c>
      <c r="F78" s="907">
        <f t="shared" ref="F78:F99" si="8">E5/C78</f>
        <v>2.2219565651430631</v>
      </c>
      <c r="G78" s="907">
        <f t="shared" ref="G78:G99" si="9">SUM(F5:H5)/C78</f>
        <v>258.65911751376638</v>
      </c>
      <c r="I78" s="908" t="s">
        <v>403</v>
      </c>
      <c r="J78" s="861">
        <f t="shared" ref="J78:J98" si="10">C5</f>
        <v>2548.5675999999999</v>
      </c>
      <c r="K78" s="866">
        <f>Atlantic!$C$46</f>
        <v>116.16</v>
      </c>
      <c r="L78" s="866">
        <f>Atlantic!$C$22</f>
        <v>93145</v>
      </c>
      <c r="M78" s="871">
        <f>SUM(Atlantic!$C$15:'Atlantic'!$C$21)</f>
        <v>3681.3050000000003</v>
      </c>
      <c r="N78" s="866">
        <f>SUM(Atlantic!$C$52:'Atlantic'!$C$59)</f>
        <v>2093.3341300000002</v>
      </c>
      <c r="O78" s="866">
        <f>SUM(J78:N78)</f>
        <v>101584.36673000001</v>
      </c>
      <c r="P78" s="909">
        <f>O78/C78</f>
        <v>182.80433098794313</v>
      </c>
    </row>
    <row r="79" spans="2:16" x14ac:dyDescent="0.3">
      <c r="B79" s="863" t="s">
        <v>325</v>
      </c>
      <c r="C79" s="907">
        <v>233.01</v>
      </c>
      <c r="D79" s="907">
        <f t="shared" si="6"/>
        <v>2623.5243444609582</v>
      </c>
      <c r="E79" s="907">
        <f t="shared" si="7"/>
        <v>402.28787391099092</v>
      </c>
      <c r="F79" s="907">
        <f t="shared" si="8"/>
        <v>15.826225754259475</v>
      </c>
      <c r="G79" s="907">
        <f t="shared" si="9"/>
        <v>1925.192990017596</v>
      </c>
      <c r="I79" s="910" t="s">
        <v>325</v>
      </c>
      <c r="J79" s="861">
        <f t="shared" si="10"/>
        <v>4.2644000000000002</v>
      </c>
      <c r="K79" s="866">
        <f>Bergen!$C$46</f>
        <v>0</v>
      </c>
      <c r="L79" s="866">
        <f>Bergen!$C$22</f>
        <v>11655</v>
      </c>
      <c r="M79" s="866">
        <f>SUM(Bergen!$C$15:'Bergen'!$C$21)</f>
        <v>115.6425</v>
      </c>
      <c r="N79" s="866">
        <f>SUM(Bergen!$C$52:'Bergen'!$C$59)</f>
        <v>1230.6152025000001</v>
      </c>
      <c r="O79" s="866">
        <f t="shared" ref="O79:O98" si="11">SUM(J79:N79)</f>
        <v>13005.522102499999</v>
      </c>
      <c r="P79" s="909">
        <f t="shared" ref="P79:P98" si="12">O79/C79</f>
        <v>55.815295920775931</v>
      </c>
    </row>
    <row r="80" spans="2:16" x14ac:dyDescent="0.3">
      <c r="B80" s="863" t="s">
        <v>328</v>
      </c>
      <c r="C80" s="907">
        <v>798.58</v>
      </c>
      <c r="D80" s="907">
        <f t="shared" si="6"/>
        <v>693.90491756493975</v>
      </c>
      <c r="E80" s="907">
        <f t="shared" si="7"/>
        <v>268.9900698740264</v>
      </c>
      <c r="F80" s="907">
        <f t="shared" si="8"/>
        <v>26.3500895332966</v>
      </c>
      <c r="G80" s="907">
        <f t="shared" si="9"/>
        <v>250.17745632685518</v>
      </c>
      <c r="I80" s="910" t="s">
        <v>328</v>
      </c>
      <c r="J80" s="861">
        <f t="shared" si="10"/>
        <v>32089.921600000001</v>
      </c>
      <c r="K80" s="866">
        <f>Burlington!$C$46</f>
        <v>19214.400000000001</v>
      </c>
      <c r="L80" s="866">
        <f>Burlington!$C$22</f>
        <v>127223</v>
      </c>
      <c r="M80" s="866">
        <f>SUM(Burlington!$C$15:'Burlington'!$C$21)</f>
        <v>42359.055</v>
      </c>
      <c r="N80" s="866">
        <f>SUM(Burlington!$C$52:'Burlington'!$C$59)</f>
        <v>17498.847246249999</v>
      </c>
      <c r="O80" s="866">
        <f t="shared" si="11"/>
        <v>238385.22384624998</v>
      </c>
      <c r="P80" s="909">
        <f t="shared" si="12"/>
        <v>298.51138752066163</v>
      </c>
    </row>
    <row r="81" spans="2:16" x14ac:dyDescent="0.3">
      <c r="B81" s="863" t="s">
        <v>331</v>
      </c>
      <c r="C81" s="907">
        <v>221.26</v>
      </c>
      <c r="D81" s="907">
        <f t="shared" si="6"/>
        <v>993.6539581619196</v>
      </c>
      <c r="E81" s="907">
        <f t="shared" si="7"/>
        <v>331.150309590527</v>
      </c>
      <c r="F81" s="907">
        <f t="shared" si="8"/>
        <v>10.300131213278497</v>
      </c>
      <c r="G81" s="907">
        <f t="shared" si="9"/>
        <v>572.34632295218296</v>
      </c>
      <c r="I81" s="910" t="s">
        <v>331</v>
      </c>
      <c r="J81" s="861">
        <f t="shared" si="10"/>
        <v>2443.7939999999999</v>
      </c>
      <c r="K81" s="866">
        <f>Camden!$C$46</f>
        <v>186.24</v>
      </c>
      <c r="L81" s="866">
        <f>Camden!$C$22</f>
        <v>23349.5</v>
      </c>
      <c r="M81" s="866">
        <f>SUM(Camden!$C$15:'Camden'!$C$21)</f>
        <v>5515.4775</v>
      </c>
      <c r="N81" s="866">
        <f>SUM(Camden!$C$52:'Camden'!$C$59)</f>
        <v>1969.9002550000002</v>
      </c>
      <c r="O81" s="866">
        <f t="shared" si="11"/>
        <v>33464.911755000001</v>
      </c>
      <c r="P81" s="909">
        <f t="shared" si="12"/>
        <v>151.24700241796981</v>
      </c>
    </row>
    <row r="82" spans="2:16" x14ac:dyDescent="0.3">
      <c r="B82" s="863" t="s">
        <v>333</v>
      </c>
      <c r="C82" s="907">
        <v>251.43</v>
      </c>
      <c r="D82" s="907">
        <f t="shared" si="6"/>
        <v>796.12493539398736</v>
      </c>
      <c r="E82" s="907">
        <f t="shared" si="7"/>
        <v>358.61604953002166</v>
      </c>
      <c r="F82" s="907">
        <f t="shared" si="8"/>
        <v>1.5761123424014636</v>
      </c>
      <c r="G82" s="907">
        <f t="shared" si="9"/>
        <v>306.01365442150899</v>
      </c>
      <c r="I82" s="910" t="s">
        <v>333</v>
      </c>
      <c r="J82" s="861">
        <f t="shared" si="10"/>
        <v>772.41560000000004</v>
      </c>
      <c r="K82" s="866">
        <f>'Cape May'!$C$46</f>
        <v>0</v>
      </c>
      <c r="L82" s="866">
        <f>'Cape May'!$C$22</f>
        <v>26537.5</v>
      </c>
      <c r="M82" s="866">
        <f>SUM('Cape May'!$C$15:'Cape May'!$C$21)</f>
        <v>2495.915</v>
      </c>
      <c r="N82" s="866">
        <f>SUM('Cape May'!$C$52:'Cape May'!$C$59)</f>
        <v>1190.8689837499999</v>
      </c>
      <c r="O82" s="866">
        <f t="shared" si="11"/>
        <v>30996.69958375</v>
      </c>
      <c r="P82" s="909">
        <f t="shared" si="12"/>
        <v>123.28162742612257</v>
      </c>
    </row>
    <row r="83" spans="2:16" x14ac:dyDescent="0.3">
      <c r="B83" s="863" t="s">
        <v>335</v>
      </c>
      <c r="C83" s="907">
        <v>483.7</v>
      </c>
      <c r="D83" s="907">
        <f t="shared" si="6"/>
        <v>542.9462149619585</v>
      </c>
      <c r="E83" s="907">
        <f t="shared" si="7"/>
        <v>265.63445661911652</v>
      </c>
      <c r="F83" s="907">
        <f t="shared" si="8"/>
        <v>18.314578615877611</v>
      </c>
      <c r="G83" s="907">
        <f t="shared" si="9"/>
        <v>169.9955668521811</v>
      </c>
      <c r="I83" s="910" t="s">
        <v>335</v>
      </c>
      <c r="J83" s="861">
        <f t="shared" si="10"/>
        <v>27282.040399999998</v>
      </c>
      <c r="K83" s="866">
        <f>Cumberland!$C$46</f>
        <v>8219.52</v>
      </c>
      <c r="L83" s="866">
        <f>Cumberland!$C$22</f>
        <v>73755.5</v>
      </c>
      <c r="M83" s="866">
        <f>SUM(Cumberland!$C$15:'Cumberland'!$C$21)</f>
        <v>34688.699999999997</v>
      </c>
      <c r="N83" s="866">
        <f>SUM(Cumberland!$C$52:'Cumberland'!$C$59)</f>
        <v>5875.4246187500012</v>
      </c>
      <c r="O83" s="866">
        <f t="shared" si="11"/>
        <v>149821.18501874999</v>
      </c>
      <c r="P83" s="909">
        <f t="shared" si="12"/>
        <v>309.73989046671488</v>
      </c>
    </row>
    <row r="84" spans="2:16" x14ac:dyDescent="0.3">
      <c r="B84" s="863" t="s">
        <v>336</v>
      </c>
      <c r="C84" s="907">
        <v>126.21</v>
      </c>
      <c r="D84" s="907">
        <f t="shared" si="6"/>
        <v>1983.2727743191249</v>
      </c>
      <c r="E84" s="907">
        <f t="shared" si="7"/>
        <v>322.1566833056018</v>
      </c>
      <c r="F84" s="907">
        <f t="shared" si="8"/>
        <v>25.30770698241027</v>
      </c>
      <c r="G84" s="907">
        <f t="shared" si="9"/>
        <v>1328.6065686997861</v>
      </c>
      <c r="I84" s="910" t="s">
        <v>336</v>
      </c>
      <c r="J84" s="861">
        <f t="shared" si="10"/>
        <v>0</v>
      </c>
      <c r="K84" s="866">
        <f>Essex!$C$46</f>
        <v>0</v>
      </c>
      <c r="L84" s="866">
        <f>Essex!$C$22</f>
        <v>0</v>
      </c>
      <c r="M84" s="866">
        <f>SUM(Essex!$C$15:'Essex'!$C$21)</f>
        <v>8.5</v>
      </c>
      <c r="N84" s="866">
        <f>SUM(Essex!$C$52:'Essex'!$C$59)</f>
        <v>112.615275</v>
      </c>
      <c r="O84" s="866">
        <f t="shared" si="11"/>
        <v>121.115275</v>
      </c>
      <c r="P84" s="909">
        <f t="shared" si="12"/>
        <v>0.95963295301481655</v>
      </c>
    </row>
    <row r="85" spans="2:16" x14ac:dyDescent="0.3">
      <c r="B85" s="863" t="s">
        <v>337</v>
      </c>
      <c r="C85" s="907">
        <v>322.01</v>
      </c>
      <c r="D85" s="907">
        <f t="shared" si="6"/>
        <v>1048.6348454876388</v>
      </c>
      <c r="E85" s="907">
        <f t="shared" si="7"/>
        <v>254.05064024926762</v>
      </c>
      <c r="F85" s="907">
        <f t="shared" si="8"/>
        <v>29.209022651470459</v>
      </c>
      <c r="G85" s="907">
        <f t="shared" si="9"/>
        <v>299.97870900158387</v>
      </c>
      <c r="I85" s="910" t="s">
        <v>337</v>
      </c>
      <c r="J85" s="861">
        <f t="shared" si="10"/>
        <v>18272.194800000001</v>
      </c>
      <c r="K85" s="866">
        <f>Gloucester!$C$46</f>
        <v>8231.0400000000009</v>
      </c>
      <c r="L85" s="866">
        <f>Gloucester!$C$22</f>
        <v>14686.5</v>
      </c>
      <c r="M85" s="866">
        <f>SUM(Gloucester!$C$15:'Gloucester'!$C$21)</f>
        <v>28539.735000000004</v>
      </c>
      <c r="N85" s="866">
        <f>SUM(Gloucester!$C$52:'Gloucester'!$C$59)</f>
        <v>12576.898439999997</v>
      </c>
      <c r="O85" s="866">
        <f t="shared" si="11"/>
        <v>82306.368240000011</v>
      </c>
      <c r="P85" s="909">
        <f t="shared" si="12"/>
        <v>255.60190130741285</v>
      </c>
    </row>
    <row r="86" spans="2:16" x14ac:dyDescent="0.3">
      <c r="B86" s="863" t="s">
        <v>338</v>
      </c>
      <c r="C86" s="907">
        <v>46.19</v>
      </c>
      <c r="D86" s="907">
        <f t="shared" si="6"/>
        <v>6161.9687062559842</v>
      </c>
      <c r="E86" s="907">
        <f t="shared" si="7"/>
        <v>89.382478169878027</v>
      </c>
      <c r="F86" s="907">
        <f t="shared" si="8"/>
        <v>55.946270848668547</v>
      </c>
      <c r="G86" s="907">
        <f t="shared" si="9"/>
        <v>5899.8806756960385</v>
      </c>
      <c r="I86" s="910" t="s">
        <v>338</v>
      </c>
      <c r="J86" s="861">
        <f t="shared" si="10"/>
        <v>0</v>
      </c>
      <c r="K86" s="866">
        <f>Hudson!$C$46</f>
        <v>0</v>
      </c>
      <c r="L86" s="866">
        <f>Hudson!$C$22</f>
        <v>2017</v>
      </c>
      <c r="M86" s="866">
        <f>SUM(Hudson!$C$15:'Hudson'!$C$21)</f>
        <v>0</v>
      </c>
      <c r="N86" s="866">
        <f>SUM(Hudson!$C$52:'Hudson'!$C$59)</f>
        <v>0</v>
      </c>
      <c r="O86" s="866">
        <f t="shared" si="11"/>
        <v>2017</v>
      </c>
      <c r="P86" s="909">
        <f t="shared" si="12"/>
        <v>43.6674604892834</v>
      </c>
    </row>
    <row r="87" spans="2:16" x14ac:dyDescent="0.3">
      <c r="B87" s="863" t="s">
        <v>339</v>
      </c>
      <c r="C87" s="907">
        <v>427.82</v>
      </c>
      <c r="D87" s="907">
        <f t="shared" si="6"/>
        <v>552.73772872959842</v>
      </c>
      <c r="E87" s="907">
        <f t="shared" si="7"/>
        <v>315.4087291384227</v>
      </c>
      <c r="F87" s="907">
        <f t="shared" si="8"/>
        <v>11.014833138352577</v>
      </c>
      <c r="G87" s="907">
        <f t="shared" si="9"/>
        <v>98.151954731429115</v>
      </c>
      <c r="I87" s="910" t="s">
        <v>339</v>
      </c>
      <c r="J87" s="861">
        <f t="shared" si="10"/>
        <v>27925.648400000002</v>
      </c>
      <c r="K87" s="866">
        <f>Hunterdon!$C$46</f>
        <v>4189.4399999999996</v>
      </c>
      <c r="L87" s="866">
        <f>Hunterdon!$C$22</f>
        <v>51261</v>
      </c>
      <c r="M87" s="866">
        <f>SUM(Hunterdon!$C$15:'Hunterdon'!$C$21)</f>
        <v>78271.252500000002</v>
      </c>
      <c r="N87" s="866">
        <f>SUM(Hunterdon!$C$52:'Hunterdon'!$C$59)</f>
        <v>24732.590256250005</v>
      </c>
      <c r="O87" s="866">
        <f t="shared" si="11"/>
        <v>186379.93115625001</v>
      </c>
      <c r="P87" s="909">
        <f t="shared" si="12"/>
        <v>435.65034630510496</v>
      </c>
    </row>
    <row r="88" spans="2:16" x14ac:dyDescent="0.3">
      <c r="B88" s="863" t="s">
        <v>340</v>
      </c>
      <c r="C88" s="907">
        <v>224.56</v>
      </c>
      <c r="D88" s="907">
        <f t="shared" si="6"/>
        <v>1474.3056958372072</v>
      </c>
      <c r="E88" s="907">
        <f t="shared" si="7"/>
        <v>533.08083214582598</v>
      </c>
      <c r="F88" s="907">
        <f t="shared" si="8"/>
        <v>23.758396821562169</v>
      </c>
      <c r="G88" s="907">
        <f t="shared" si="9"/>
        <v>779.50295298717504</v>
      </c>
      <c r="I88" s="910" t="s">
        <v>340</v>
      </c>
      <c r="J88" s="861">
        <f t="shared" si="10"/>
        <v>8511.2288000000008</v>
      </c>
      <c r="K88" s="866">
        <f>Mercer!$C$46</f>
        <v>3841.92</v>
      </c>
      <c r="L88" s="866">
        <f>Mercer!$C$22</f>
        <v>21617</v>
      </c>
      <c r="M88" s="866">
        <f>SUM(Mercer!$C$15:'Mercer'!$C$21)</f>
        <v>12447.4</v>
      </c>
      <c r="N88" s="866">
        <f>SUM(Mercer!$C$52:'Mercer'!$C$59)</f>
        <v>3974.7841174999999</v>
      </c>
      <c r="O88" s="866">
        <f t="shared" si="11"/>
        <v>50392.332917500004</v>
      </c>
      <c r="P88" s="909">
        <f t="shared" si="12"/>
        <v>224.40476005299254</v>
      </c>
    </row>
    <row r="89" spans="2:16" x14ac:dyDescent="0.3">
      <c r="B89" s="863" t="s">
        <v>341</v>
      </c>
      <c r="C89" s="907">
        <v>308.91000000000003</v>
      </c>
      <c r="D89" s="907">
        <f t="shared" si="6"/>
        <v>1934.4232756656177</v>
      </c>
      <c r="E89" s="907">
        <f t="shared" si="7"/>
        <v>237.57231879835544</v>
      </c>
      <c r="F89" s="907">
        <f t="shared" si="8"/>
        <v>21.980913393868764</v>
      </c>
      <c r="G89" s="907">
        <f t="shared" si="9"/>
        <v>1357.9759511637692</v>
      </c>
      <c r="I89" s="910" t="s">
        <v>341</v>
      </c>
      <c r="J89" s="861">
        <f t="shared" si="10"/>
        <v>9512.9772000000012</v>
      </c>
      <c r="K89" s="866">
        <f>Middlesex!$C$46</f>
        <v>3490.56</v>
      </c>
      <c r="L89" s="866">
        <f>Middlesex!$C$22</f>
        <v>25339</v>
      </c>
      <c r="M89" s="866">
        <f>SUM(Middlesex!$C$15:'Middlesex'!$C$21)</f>
        <v>9635.73</v>
      </c>
      <c r="N89" s="866">
        <f>SUM(Middlesex!$C$52:'Middlesex'!$C$59)</f>
        <v>2347.84598375</v>
      </c>
      <c r="O89" s="866">
        <f t="shared" si="11"/>
        <v>50326.11318375</v>
      </c>
      <c r="P89" s="909">
        <f t="shared" si="12"/>
        <v>162.91513121540254</v>
      </c>
    </row>
    <row r="90" spans="2:16" x14ac:dyDescent="0.3">
      <c r="B90" s="863" t="s">
        <v>342</v>
      </c>
      <c r="C90" s="907">
        <v>468.79</v>
      </c>
      <c r="D90" s="907">
        <f t="shared" si="6"/>
        <v>1090.6280364357131</v>
      </c>
      <c r="E90" s="907">
        <f t="shared" si="7"/>
        <v>267.2478650710695</v>
      </c>
      <c r="F90" s="907">
        <f t="shared" si="8"/>
        <v>15.975779592141471</v>
      </c>
      <c r="G90" s="907">
        <f t="shared" si="9"/>
        <v>678.0990738309265</v>
      </c>
      <c r="I90" s="910" t="s">
        <v>342</v>
      </c>
      <c r="J90" s="861">
        <f t="shared" si="10"/>
        <v>9428.0999999999985</v>
      </c>
      <c r="K90" s="866">
        <f>Monmouth!$C$46</f>
        <v>4920.96</v>
      </c>
      <c r="L90" s="866">
        <f>Monmouth!$C$22</f>
        <v>39485.5</v>
      </c>
      <c r="M90" s="866">
        <f>SUM(Monmouth!$C$15:'Monmouth'!$C$21)</f>
        <v>22662.215</v>
      </c>
      <c r="N90" s="866">
        <f>SUM(Monmouth!$C$52:'Monmouth'!$C$59)</f>
        <v>28746.151243749999</v>
      </c>
      <c r="O90" s="866">
        <f t="shared" si="11"/>
        <v>105242.92624375</v>
      </c>
      <c r="P90" s="909">
        <f t="shared" si="12"/>
        <v>224.49908539804602</v>
      </c>
    </row>
    <row r="91" spans="2:16" x14ac:dyDescent="0.3">
      <c r="B91" s="863" t="s">
        <v>343</v>
      </c>
      <c r="C91" s="907">
        <v>460.18</v>
      </c>
      <c r="D91" s="907">
        <f t="shared" si="6"/>
        <v>828.39092367396722</v>
      </c>
      <c r="E91" s="907">
        <f t="shared" si="7"/>
        <v>246.10185326031839</v>
      </c>
      <c r="F91" s="907">
        <f t="shared" si="8"/>
        <v>4.8653472402103537</v>
      </c>
      <c r="G91" s="907">
        <f t="shared" si="9"/>
        <v>483.28520672258685</v>
      </c>
      <c r="I91" s="910" t="s">
        <v>343</v>
      </c>
      <c r="J91" s="861">
        <f t="shared" si="10"/>
        <v>3296.5652</v>
      </c>
      <c r="K91" s="866">
        <f>Morris!$C$46</f>
        <v>233.28</v>
      </c>
      <c r="L91" s="866">
        <f>Morris!$C$22</f>
        <v>66066</v>
      </c>
      <c r="M91" s="866">
        <f>SUM(Morris!$C$15:'Morris'!$C$21)</f>
        <v>11306.432499999999</v>
      </c>
      <c r="N91" s="866">
        <f>SUM(Morris!$C$52:'Morris'!$C$59)</f>
        <v>6669.8908275000003</v>
      </c>
      <c r="O91" s="866">
        <f t="shared" si="11"/>
        <v>87572.168527499991</v>
      </c>
      <c r="P91" s="909">
        <f t="shared" si="12"/>
        <v>190.29981426289712</v>
      </c>
    </row>
    <row r="92" spans="2:16" x14ac:dyDescent="0.3">
      <c r="B92" s="863" t="s">
        <v>344</v>
      </c>
      <c r="C92" s="907">
        <v>628.78</v>
      </c>
      <c r="D92" s="907">
        <f t="shared" si="6"/>
        <v>841.00734583818132</v>
      </c>
      <c r="E92" s="907">
        <f t="shared" si="7"/>
        <v>251.39691810596182</v>
      </c>
      <c r="F92" s="907">
        <f t="shared" si="8"/>
        <v>4.1496836727472255</v>
      </c>
      <c r="G92" s="907">
        <f t="shared" si="9"/>
        <v>509.47724692770129</v>
      </c>
      <c r="I92" s="910" t="s">
        <v>344</v>
      </c>
      <c r="J92" s="861">
        <f t="shared" si="10"/>
        <v>1006.876</v>
      </c>
      <c r="K92" s="866">
        <f>Ocean!$C$46</f>
        <v>260.16000000000003</v>
      </c>
      <c r="L92" s="866">
        <f>Ocean!$C$22</f>
        <v>111710</v>
      </c>
      <c r="M92" s="866">
        <f>SUM(Ocean!$C$15:'Ocean'!$C$21)</f>
        <v>3617.2275</v>
      </c>
      <c r="N92" s="866">
        <f>SUM(Ocean!$C$52:'Ocean'!$C$59)</f>
        <v>4801.7610587500003</v>
      </c>
      <c r="O92" s="866">
        <f t="shared" si="11"/>
        <v>121396.02455874998</v>
      </c>
      <c r="P92" s="909">
        <f t="shared" si="12"/>
        <v>193.06597626952191</v>
      </c>
    </row>
    <row r="93" spans="2:16" x14ac:dyDescent="0.3">
      <c r="B93" s="863" t="s">
        <v>345</v>
      </c>
      <c r="C93" s="907">
        <v>184.59</v>
      </c>
      <c r="D93" s="907">
        <f t="shared" si="6"/>
        <v>1835.358703668519</v>
      </c>
      <c r="E93" s="907">
        <f t="shared" si="7"/>
        <v>314.04242284703031</v>
      </c>
      <c r="F93" s="907">
        <f t="shared" si="8"/>
        <v>11.063004661682649</v>
      </c>
      <c r="G93" s="907">
        <f t="shared" si="9"/>
        <v>1486.9180909908448</v>
      </c>
      <c r="I93" s="910" t="s">
        <v>345</v>
      </c>
      <c r="J93" s="861">
        <f t="shared" si="10"/>
        <v>3.5</v>
      </c>
      <c r="K93" s="866">
        <f>Passaic!$C$46</f>
        <v>0</v>
      </c>
      <c r="L93" s="866">
        <f>Passaic!$C$22</f>
        <v>35198</v>
      </c>
      <c r="M93" s="866">
        <f>SUM(Passaic!$C$15:'Passaic'!$C$21)</f>
        <v>88.272499999999994</v>
      </c>
      <c r="N93" s="866">
        <f>SUM(Passaic!$C$52:'Passaic'!$C$59)</f>
        <v>1595.2391612499998</v>
      </c>
      <c r="O93" s="866">
        <f t="shared" si="11"/>
        <v>36885.011661249999</v>
      </c>
      <c r="P93" s="909">
        <f t="shared" si="12"/>
        <v>199.82128859228558</v>
      </c>
    </row>
    <row r="94" spans="2:16" x14ac:dyDescent="0.3">
      <c r="B94" s="863" t="s">
        <v>346</v>
      </c>
      <c r="C94" s="907">
        <v>331.9</v>
      </c>
      <c r="D94" s="907">
        <f t="shared" si="6"/>
        <v>789.87132047504792</v>
      </c>
      <c r="E94" s="907">
        <f t="shared" si="7"/>
        <v>357.11175805965661</v>
      </c>
      <c r="F94" s="907">
        <f t="shared" si="8"/>
        <v>62.035428330069308</v>
      </c>
      <c r="G94" s="907">
        <f t="shared" si="9"/>
        <v>73.17504648870144</v>
      </c>
      <c r="I94" s="910" t="s">
        <v>346</v>
      </c>
      <c r="J94" s="861">
        <f t="shared" si="10"/>
        <v>63270.227200000001</v>
      </c>
      <c r="K94" s="866">
        <f>Salem!$C$46</f>
        <v>20320.32</v>
      </c>
      <c r="L94" s="866">
        <f>Salem!$C$22</f>
        <v>32043</v>
      </c>
      <c r="M94" s="866">
        <f>SUM(Salem!$C$15:'Salem'!$C$21)</f>
        <v>82160.227500000008</v>
      </c>
      <c r="N94" s="866">
        <f>SUM(Salem!$C$52:'Salem'!$C$59)</f>
        <v>23005.447851249999</v>
      </c>
      <c r="O94" s="866">
        <f t="shared" si="11"/>
        <v>220799.22255125002</v>
      </c>
      <c r="P94" s="909">
        <f t="shared" si="12"/>
        <v>665.25827825022611</v>
      </c>
    </row>
    <row r="95" spans="2:16" x14ac:dyDescent="0.3">
      <c r="B95" s="863" t="s">
        <v>347</v>
      </c>
      <c r="C95" s="907">
        <v>301.81</v>
      </c>
      <c r="D95" s="907">
        <f t="shared" si="6"/>
        <v>759.52897024696563</v>
      </c>
      <c r="E95" s="907">
        <f t="shared" si="7"/>
        <v>168.97794970345581</v>
      </c>
      <c r="F95" s="907">
        <f t="shared" si="8"/>
        <v>7.9860565156886789</v>
      </c>
      <c r="G95" s="907">
        <f t="shared" si="9"/>
        <v>499.52469835061788</v>
      </c>
      <c r="I95" s="910" t="s">
        <v>347</v>
      </c>
      <c r="J95" s="861">
        <f t="shared" si="10"/>
        <v>8088.4135999999999</v>
      </c>
      <c r="K95" s="866">
        <f>Somerset!$C$46</f>
        <v>1092.48</v>
      </c>
      <c r="L95" s="866">
        <f>Somerset!$C$22</f>
        <v>17952</v>
      </c>
      <c r="M95" s="866">
        <f>SUM(Somerset!$C$15:'Somerset'!$C$21)</f>
        <v>25352.369999999995</v>
      </c>
      <c r="N95" s="866">
        <f>SUM(Somerset!$C$52:'Somerset'!$C$59)</f>
        <v>8685.6514162500007</v>
      </c>
      <c r="O95" s="866">
        <f t="shared" si="11"/>
        <v>61170.915016249994</v>
      </c>
      <c r="P95" s="909">
        <f t="shared" si="12"/>
        <v>202.68021277045159</v>
      </c>
    </row>
    <row r="96" spans="2:16" x14ac:dyDescent="0.3">
      <c r="B96" s="863" t="s">
        <v>348</v>
      </c>
      <c r="C96" s="907">
        <v>519.01</v>
      </c>
      <c r="D96" s="907">
        <f t="shared" si="6"/>
        <v>453.31969552870629</v>
      </c>
      <c r="E96" s="907">
        <f t="shared" si="7"/>
        <v>291.09420980970179</v>
      </c>
      <c r="F96" s="907">
        <f t="shared" si="8"/>
        <v>1.23832474566964</v>
      </c>
      <c r="G96" s="907">
        <f t="shared" si="9"/>
        <v>88.686851779349141</v>
      </c>
      <c r="I96" s="910" t="s">
        <v>348</v>
      </c>
      <c r="J96" s="861">
        <f t="shared" si="10"/>
        <v>9413.5999999999985</v>
      </c>
      <c r="K96" s="866">
        <f>Sussex!$C$46</f>
        <v>34.56</v>
      </c>
      <c r="L96" s="866">
        <f>Sussex!$C$22</f>
        <v>89546</v>
      </c>
      <c r="M96" s="866">
        <f>SUM(Sussex!$C$15:'Sussex'!$C$21)</f>
        <v>57089.287499999991</v>
      </c>
      <c r="N96" s="866">
        <f>SUM(Sussex!$C$52:'Sussex'!$C$59)</f>
        <v>27200.615318750002</v>
      </c>
      <c r="O96" s="866">
        <f t="shared" si="11"/>
        <v>183284.06281875001</v>
      </c>
      <c r="P96" s="909">
        <f t="shared" si="12"/>
        <v>353.1416790018497</v>
      </c>
    </row>
    <row r="97" spans="2:32" x14ac:dyDescent="0.3">
      <c r="B97" s="863" t="s">
        <v>349</v>
      </c>
      <c r="C97" s="907">
        <v>102.86</v>
      </c>
      <c r="D97" s="907">
        <f t="shared" si="6"/>
        <v>1248.423882039762</v>
      </c>
      <c r="E97" s="907">
        <f t="shared" si="7"/>
        <v>350.20907058137271</v>
      </c>
      <c r="F97" s="907">
        <f t="shared" si="8"/>
        <v>21.250544922710482</v>
      </c>
      <c r="G97" s="907">
        <f t="shared" si="9"/>
        <v>746.05303264631527</v>
      </c>
      <c r="I97" s="910" t="s">
        <v>349</v>
      </c>
      <c r="J97" s="861">
        <f t="shared" si="10"/>
        <v>0</v>
      </c>
      <c r="K97" s="866">
        <f>Union!$C$46</f>
        <v>0</v>
      </c>
      <c r="L97" s="866">
        <f>Union!$C$22</f>
        <v>0</v>
      </c>
      <c r="M97" s="866">
        <f>SUM(Union!$C$15:'Union'!$C$21)</f>
        <v>4.6749999999999998</v>
      </c>
      <c r="N97" s="866">
        <f>SUM(Union!$C$52:'Union'!$C$59)</f>
        <v>6.8930249999999997</v>
      </c>
      <c r="O97" s="866">
        <f t="shared" si="11"/>
        <v>11.568024999999999</v>
      </c>
      <c r="P97" s="909">
        <f t="shared" si="12"/>
        <v>0.1124637857281742</v>
      </c>
    </row>
    <row r="98" spans="2:32" ht="15" thickBot="1" x14ac:dyDescent="0.35">
      <c r="B98" s="877" t="s">
        <v>350</v>
      </c>
      <c r="C98" s="911">
        <v>356.92</v>
      </c>
      <c r="D98" s="911">
        <f t="shared" si="6"/>
        <v>703.27041239846051</v>
      </c>
      <c r="E98" s="911">
        <f t="shared" si="7"/>
        <v>391.56440985841817</v>
      </c>
      <c r="F98" s="911">
        <f t="shared" si="8"/>
        <v>13.871451252381483</v>
      </c>
      <c r="G98" s="911">
        <f t="shared" si="9"/>
        <v>49.035341516306168</v>
      </c>
      <c r="I98" s="910" t="s">
        <v>350</v>
      </c>
      <c r="J98" s="861">
        <f t="shared" si="10"/>
        <v>51379.524400000002</v>
      </c>
      <c r="K98" s="866">
        <f>Warren!$C$46</f>
        <v>4508.16</v>
      </c>
      <c r="L98" s="866">
        <f>Warren!$C$22</f>
        <v>53839.5</v>
      </c>
      <c r="M98" s="866">
        <f>SUM(Warren!$C$15:'Warren'!$C$21)</f>
        <v>73442.3125</v>
      </c>
      <c r="N98" s="866">
        <f>SUM(Warren!$C$52:'Warren'!$C$59)</f>
        <v>33307.764932500002</v>
      </c>
      <c r="O98" s="866">
        <f t="shared" si="11"/>
        <v>216477.26183249999</v>
      </c>
      <c r="P98" s="909">
        <f t="shared" si="12"/>
        <v>606.51479836517979</v>
      </c>
    </row>
    <row r="99" spans="2:32" ht="15" thickTop="1" x14ac:dyDescent="0.3">
      <c r="B99" s="879" t="s">
        <v>351</v>
      </c>
      <c r="C99" s="912">
        <f>SUM(C78:C98)</f>
        <v>7354.22</v>
      </c>
      <c r="D99" s="912">
        <f t="shared" si="6"/>
        <v>961.14300259889683</v>
      </c>
      <c r="E99" s="912">
        <f t="shared" si="7"/>
        <v>288.87642616529467</v>
      </c>
      <c r="F99" s="912">
        <f t="shared" si="8"/>
        <v>15.593710023564702</v>
      </c>
      <c r="G99" s="912">
        <f t="shared" si="9"/>
        <v>503.33875987097201</v>
      </c>
      <c r="I99" s="913" t="s">
        <v>1444</v>
      </c>
      <c r="J99" s="914">
        <f t="shared" ref="J99:N99" si="13">SUM(J78:J98)</f>
        <v>275249.85920000001</v>
      </c>
      <c r="K99" s="914">
        <f t="shared" si="13"/>
        <v>78859.199999999997</v>
      </c>
      <c r="L99" s="914">
        <f t="shared" si="13"/>
        <v>916426</v>
      </c>
      <c r="M99" s="914">
        <f t="shared" si="13"/>
        <v>493481.73249999998</v>
      </c>
      <c r="N99" s="914">
        <f t="shared" si="13"/>
        <v>207623.13934374999</v>
      </c>
      <c r="O99" s="914">
        <f>SUM(O78:O98)</f>
        <v>1971639.9310437497</v>
      </c>
      <c r="P99" s="955" t="s">
        <v>1443</v>
      </c>
    </row>
    <row r="104" spans="2:32" ht="15" customHeight="1" x14ac:dyDescent="0.3">
      <c r="C104" s="1213" t="s">
        <v>1528</v>
      </c>
      <c r="D104" s="1213"/>
      <c r="E104" s="1213"/>
      <c r="F104" s="1213"/>
      <c r="G104" s="1213" t="s">
        <v>1525</v>
      </c>
      <c r="H104" s="1213"/>
      <c r="I104" s="1213"/>
      <c r="J104" s="1213"/>
      <c r="M104" s="1213" t="s">
        <v>1524</v>
      </c>
      <c r="N104" s="1213"/>
      <c r="O104" s="1213"/>
      <c r="P104" s="1213"/>
      <c r="Q104" s="1213" t="s">
        <v>174</v>
      </c>
      <c r="R104" s="1213"/>
      <c r="S104" s="1213"/>
      <c r="T104" s="1213"/>
      <c r="W104" s="1213" t="s">
        <v>174</v>
      </c>
      <c r="X104" s="1213"/>
      <c r="Y104" s="1213"/>
      <c r="Z104" s="1213"/>
      <c r="AC104" s="857" t="s">
        <v>1524</v>
      </c>
    </row>
    <row r="105" spans="2:32" x14ac:dyDescent="0.3">
      <c r="B105" s="885" t="s">
        <v>322</v>
      </c>
      <c r="C105" s="994">
        <v>2010</v>
      </c>
      <c r="D105" s="994">
        <v>2015</v>
      </c>
      <c r="E105" s="994">
        <v>2020</v>
      </c>
      <c r="F105" s="994">
        <v>2025</v>
      </c>
      <c r="G105" s="994">
        <v>2010</v>
      </c>
      <c r="H105" s="994">
        <v>2015</v>
      </c>
      <c r="I105" s="994">
        <v>2020</v>
      </c>
      <c r="J105" s="994">
        <v>2025</v>
      </c>
      <c r="L105" s="885" t="s">
        <v>322</v>
      </c>
      <c r="M105" s="994">
        <v>2010</v>
      </c>
      <c r="N105" s="994">
        <v>2015</v>
      </c>
      <c r="O105" s="994">
        <v>2020</v>
      </c>
      <c r="P105" s="994">
        <v>2025</v>
      </c>
      <c r="Q105" s="994">
        <v>2010</v>
      </c>
      <c r="R105" s="994">
        <v>2015</v>
      </c>
      <c r="S105" s="994">
        <v>2020</v>
      </c>
      <c r="T105" s="994">
        <v>2025</v>
      </c>
      <c r="V105" s="885" t="s">
        <v>322</v>
      </c>
      <c r="W105" s="994">
        <v>2010</v>
      </c>
      <c r="X105" s="994">
        <v>2015</v>
      </c>
      <c r="Y105" s="994">
        <v>2020</v>
      </c>
      <c r="Z105" s="994">
        <v>2025</v>
      </c>
      <c r="AB105" s="857" t="s">
        <v>322</v>
      </c>
      <c r="AC105" s="857">
        <v>2010</v>
      </c>
      <c r="AD105" s="857">
        <v>2015</v>
      </c>
      <c r="AE105" s="857">
        <v>2020</v>
      </c>
      <c r="AF105" s="857">
        <v>2025</v>
      </c>
    </row>
    <row r="106" spans="2:32" x14ac:dyDescent="0.3">
      <c r="B106" s="860" t="s">
        <v>403</v>
      </c>
      <c r="C106" s="1002">
        <f>Atlantic!M69</f>
        <v>0</v>
      </c>
      <c r="D106" s="1002">
        <f>Atlantic!N69</f>
        <v>0</v>
      </c>
      <c r="E106" s="1002">
        <f>Atlantic!O69</f>
        <v>0</v>
      </c>
      <c r="F106" s="1002">
        <f>Atlantic!P69</f>
        <v>0</v>
      </c>
      <c r="G106" s="1004">
        <f>C106/1.11266</f>
        <v>0</v>
      </c>
      <c r="H106" s="1004">
        <f t="shared" ref="H106:H126" si="14">D106/1.11266</f>
        <v>0</v>
      </c>
      <c r="I106" s="1004">
        <f t="shared" ref="I106:I126" si="15">E106/1.11266</f>
        <v>0</v>
      </c>
      <c r="J106" s="1004">
        <f t="shared" ref="J106:J126" si="16">F106/1.11266</f>
        <v>0</v>
      </c>
      <c r="L106" s="860" t="s">
        <v>403</v>
      </c>
      <c r="M106" s="1002">
        <v>182420.52564796509</v>
      </c>
      <c r="N106" s="1002">
        <v>188476.08803975405</v>
      </c>
      <c r="O106" s="1002">
        <v>194955.41580878838</v>
      </c>
      <c r="P106" s="1002">
        <v>202230.60532760381</v>
      </c>
      <c r="Q106" s="1004">
        <f>M106/8760/0.85</f>
        <v>24.499130492608796</v>
      </c>
      <c r="R106" s="1004">
        <f t="shared" ref="R106:R126" si="17">N106/8760/0.85</f>
        <v>25.312394311006454</v>
      </c>
      <c r="S106" s="1004">
        <f t="shared" ref="S106:S126" si="18">O106/8760/0.85</f>
        <v>26.182569944774158</v>
      </c>
      <c r="T106" s="1004">
        <f t="shared" ref="T106:T126" si="19">P106/8760/0.85</f>
        <v>27.159630046683294</v>
      </c>
      <c r="V106" s="860" t="s">
        <v>403</v>
      </c>
      <c r="W106" s="1006">
        <v>33.172238429429456</v>
      </c>
      <c r="X106" s="1006">
        <v>34.184858468451637</v>
      </c>
      <c r="Y106" s="1006">
        <v>35.344545129849301</v>
      </c>
      <c r="Z106" s="1006">
        <v>36.643043239840651</v>
      </c>
      <c r="AB106" s="857" t="s">
        <v>403</v>
      </c>
      <c r="AC106" s="857">
        <v>182420.52564796509</v>
      </c>
      <c r="AD106" s="857">
        <v>188476.08803975405</v>
      </c>
      <c r="AE106" s="857">
        <v>194955.41580878838</v>
      </c>
      <c r="AF106" s="857">
        <v>202230.60532760381</v>
      </c>
    </row>
    <row r="107" spans="2:32" x14ac:dyDescent="0.3">
      <c r="B107" s="863" t="s">
        <v>325</v>
      </c>
      <c r="C107" s="1002">
        <f>Bergen!M69</f>
        <v>0</v>
      </c>
      <c r="D107" s="1002">
        <f>Bergen!N69</f>
        <v>0</v>
      </c>
      <c r="E107" s="1002">
        <f>Bergen!O69</f>
        <v>0</v>
      </c>
      <c r="F107" s="1002">
        <f>Bergen!P69</f>
        <v>0</v>
      </c>
      <c r="G107" s="1004">
        <f t="shared" ref="G107:G126" si="20">C107/1.11266</f>
        <v>0</v>
      </c>
      <c r="H107" s="1004">
        <f t="shared" si="14"/>
        <v>0</v>
      </c>
      <c r="I107" s="1004">
        <f t="shared" si="15"/>
        <v>0</v>
      </c>
      <c r="J107" s="1004">
        <f t="shared" si="16"/>
        <v>0</v>
      </c>
      <c r="L107" s="863" t="s">
        <v>325</v>
      </c>
      <c r="M107" s="1002">
        <v>341956.93646028725</v>
      </c>
      <c r="N107" s="1002">
        <v>348512.88539609319</v>
      </c>
      <c r="O107" s="1002">
        <v>355801.2960312622</v>
      </c>
      <c r="P107" s="1002">
        <v>363435.51085510582</v>
      </c>
      <c r="Q107" s="1004">
        <f t="shared" ref="Q107:Q126" si="21">M107/8760/0.85</f>
        <v>45.924917601435304</v>
      </c>
      <c r="R107" s="1004">
        <f t="shared" si="17"/>
        <v>46.805383480538971</v>
      </c>
      <c r="S107" s="1004">
        <f t="shared" si="18"/>
        <v>47.784219182280715</v>
      </c>
      <c r="T107" s="1004">
        <f t="shared" si="19"/>
        <v>48.809496488732982</v>
      </c>
      <c r="V107" s="863" t="s">
        <v>325</v>
      </c>
      <c r="W107" s="1006">
        <v>61.094119561490878</v>
      </c>
      <c r="X107" s="1006">
        <v>62.071008903222626</v>
      </c>
      <c r="Y107" s="1006">
        <v>63.173113295073207</v>
      </c>
      <c r="Z107" s="1006">
        <v>64.326087166509637</v>
      </c>
      <c r="AB107" s="857" t="s">
        <v>325</v>
      </c>
      <c r="AC107" s="857">
        <v>341956.93646028725</v>
      </c>
      <c r="AD107" s="857">
        <v>348512.88539609319</v>
      </c>
      <c r="AE107" s="857">
        <v>355801.2960312622</v>
      </c>
      <c r="AF107" s="857">
        <v>363435.51085510582</v>
      </c>
    </row>
    <row r="108" spans="2:32" x14ac:dyDescent="0.3">
      <c r="B108" s="863" t="s">
        <v>328</v>
      </c>
      <c r="C108" s="1002">
        <f>Burlington!M69</f>
        <v>0</v>
      </c>
      <c r="D108" s="1002">
        <f>Burlington!N69</f>
        <v>0</v>
      </c>
      <c r="E108" s="1002">
        <f>Burlington!O69</f>
        <v>0</v>
      </c>
      <c r="F108" s="1002">
        <f>Burlington!P69</f>
        <v>0</v>
      </c>
      <c r="G108" s="1004">
        <f t="shared" si="20"/>
        <v>0</v>
      </c>
      <c r="H108" s="1004">
        <f t="shared" si="14"/>
        <v>0</v>
      </c>
      <c r="I108" s="1004">
        <f t="shared" si="15"/>
        <v>0</v>
      </c>
      <c r="J108" s="1004">
        <f t="shared" si="16"/>
        <v>0</v>
      </c>
      <c r="L108" s="863" t="s">
        <v>328</v>
      </c>
      <c r="M108" s="1002">
        <v>268065.8434714707</v>
      </c>
      <c r="N108" s="1002">
        <v>274800.44108015904</v>
      </c>
      <c r="O108" s="1002">
        <v>283002.05539259117</v>
      </c>
      <c r="P108" s="1002">
        <v>289693.14940444514</v>
      </c>
      <c r="Q108" s="1004">
        <f t="shared" si="21"/>
        <v>36.001321981126871</v>
      </c>
      <c r="R108" s="1004">
        <f t="shared" si="17"/>
        <v>36.905780429782311</v>
      </c>
      <c r="S108" s="1004">
        <f t="shared" si="18"/>
        <v>38.007259655196236</v>
      </c>
      <c r="T108" s="1004">
        <f t="shared" si="19"/>
        <v>38.905875557943212</v>
      </c>
      <c r="V108" s="863" t="s">
        <v>328</v>
      </c>
      <c r="W108" s="1006">
        <v>51.777238771182503</v>
      </c>
      <c r="X108" s="1006">
        <v>52.992242317937787</v>
      </c>
      <c r="Y108" s="1006">
        <v>54.626616791207198</v>
      </c>
      <c r="Z108" s="1006">
        <v>55.939899451945919</v>
      </c>
      <c r="AB108" s="857" t="s">
        <v>328</v>
      </c>
      <c r="AC108" s="857">
        <v>268065.8434714707</v>
      </c>
      <c r="AD108" s="857">
        <v>274800.44108015904</v>
      </c>
      <c r="AE108" s="857">
        <v>283002.05539259117</v>
      </c>
      <c r="AF108" s="857">
        <v>289693.14940444514</v>
      </c>
    </row>
    <row r="109" spans="2:32" x14ac:dyDescent="0.3">
      <c r="B109" s="863" t="s">
        <v>331</v>
      </c>
      <c r="C109" s="1002">
        <f>Camden!M69</f>
        <v>0</v>
      </c>
      <c r="D109" s="1002">
        <f>Camden!N69</f>
        <v>0</v>
      </c>
      <c r="E109" s="1002">
        <f>Camden!O69</f>
        <v>0</v>
      </c>
      <c r="F109" s="1002">
        <f>Camden!P69</f>
        <v>0</v>
      </c>
      <c r="G109" s="1004">
        <f t="shared" si="20"/>
        <v>0</v>
      </c>
      <c r="H109" s="1004">
        <f t="shared" si="14"/>
        <v>0</v>
      </c>
      <c r="I109" s="1004">
        <f t="shared" si="15"/>
        <v>0</v>
      </c>
      <c r="J109" s="1004">
        <f t="shared" si="16"/>
        <v>0</v>
      </c>
      <c r="L109" s="863" t="s">
        <v>331</v>
      </c>
      <c r="M109" s="1002">
        <v>150864.42381984403</v>
      </c>
      <c r="N109" s="1002">
        <v>154839.10268313892</v>
      </c>
      <c r="O109" s="1002">
        <v>160893.1689229914</v>
      </c>
      <c r="P109" s="1002">
        <v>166593.90632461463</v>
      </c>
      <c r="Q109" s="1004">
        <f t="shared" si="21"/>
        <v>20.26113669350578</v>
      </c>
      <c r="R109" s="1004">
        <f t="shared" si="17"/>
        <v>20.794937239207481</v>
      </c>
      <c r="S109" s="1004">
        <f t="shared" si="18"/>
        <v>21.608000123958018</v>
      </c>
      <c r="T109" s="1004">
        <f t="shared" si="19"/>
        <v>22.373610841339598</v>
      </c>
      <c r="V109" s="863" t="s">
        <v>331</v>
      </c>
      <c r="W109" s="1006">
        <v>23.068287390041519</v>
      </c>
      <c r="X109" s="1006">
        <v>23.62041981708267</v>
      </c>
      <c r="Y109" s="1006">
        <v>24.486317684965947</v>
      </c>
      <c r="Z109" s="1006">
        <v>25.294786276495973</v>
      </c>
      <c r="AB109" s="857" t="s">
        <v>331</v>
      </c>
      <c r="AC109" s="857">
        <v>150864.42381984403</v>
      </c>
      <c r="AD109" s="857">
        <v>154839.10268313892</v>
      </c>
      <c r="AE109" s="857">
        <v>160893.1689229914</v>
      </c>
      <c r="AF109" s="857">
        <v>166593.90632461463</v>
      </c>
    </row>
    <row r="110" spans="2:32" x14ac:dyDescent="0.3">
      <c r="B110" s="863" t="s">
        <v>333</v>
      </c>
      <c r="C110" s="1002">
        <f>'Cape May'!M69</f>
        <v>0</v>
      </c>
      <c r="D110" s="1002">
        <f>'Cape May'!N69</f>
        <v>0</v>
      </c>
      <c r="E110" s="1002">
        <f>'Cape May'!O69</f>
        <v>0</v>
      </c>
      <c r="F110" s="1002">
        <f>'Cape May'!P69</f>
        <v>0</v>
      </c>
      <c r="G110" s="1004">
        <f t="shared" si="20"/>
        <v>0</v>
      </c>
      <c r="H110" s="1004">
        <f t="shared" si="14"/>
        <v>0</v>
      </c>
      <c r="I110" s="1004">
        <f t="shared" si="15"/>
        <v>0</v>
      </c>
      <c r="J110" s="1004">
        <f t="shared" si="16"/>
        <v>0</v>
      </c>
      <c r="L110" s="863" t="s">
        <v>333</v>
      </c>
      <c r="M110" s="1002">
        <v>140501.45494571485</v>
      </c>
      <c r="N110" s="1002">
        <v>140108.63452475172</v>
      </c>
      <c r="O110" s="1002">
        <v>141679.4097415607</v>
      </c>
      <c r="P110" s="1002">
        <v>143117.24674146043</v>
      </c>
      <c r="Q110" s="1004">
        <f t="shared" si="21"/>
        <v>18.869386911860712</v>
      </c>
      <c r="R110" s="1004">
        <f t="shared" si="17"/>
        <v>18.816631013262384</v>
      </c>
      <c r="S110" s="1004">
        <f t="shared" si="18"/>
        <v>19.027586588982096</v>
      </c>
      <c r="T110" s="1004">
        <f t="shared" si="19"/>
        <v>19.220688522892885</v>
      </c>
      <c r="V110" s="863" t="s">
        <v>333</v>
      </c>
      <c r="W110" s="1006">
        <v>25.073178708418403</v>
      </c>
      <c r="X110" s="1006">
        <v>24.914963676517981</v>
      </c>
      <c r="Y110" s="1006">
        <v>25.102969551120541</v>
      </c>
      <c r="Z110" s="1006">
        <v>25.27664720726175</v>
      </c>
      <c r="AB110" s="857" t="s">
        <v>333</v>
      </c>
      <c r="AC110" s="857">
        <v>140501.45494571485</v>
      </c>
      <c r="AD110" s="857">
        <v>140108.63452475172</v>
      </c>
      <c r="AE110" s="857">
        <v>141679.4097415607</v>
      </c>
      <c r="AF110" s="857">
        <v>143117.24674146043</v>
      </c>
    </row>
    <row r="111" spans="2:32" x14ac:dyDescent="0.3">
      <c r="B111" s="863" t="s">
        <v>335</v>
      </c>
      <c r="C111" s="1002">
        <f>Cumberland!M69</f>
        <v>0</v>
      </c>
      <c r="D111" s="1002">
        <f>Cumberland!N69</f>
        <v>0</v>
      </c>
      <c r="E111" s="1002">
        <f>Cumberland!O69</f>
        <v>0</v>
      </c>
      <c r="F111" s="1002">
        <f>Cumberland!P69</f>
        <v>0</v>
      </c>
      <c r="G111" s="1004">
        <f t="shared" si="20"/>
        <v>0</v>
      </c>
      <c r="H111" s="1004">
        <f t="shared" si="14"/>
        <v>0</v>
      </c>
      <c r="I111" s="1004">
        <f t="shared" si="15"/>
        <v>0</v>
      </c>
      <c r="J111" s="1004">
        <f t="shared" si="16"/>
        <v>0</v>
      </c>
      <c r="L111" s="863" t="s">
        <v>335</v>
      </c>
      <c r="M111" s="1002">
        <v>135600.62919819125</v>
      </c>
      <c r="N111" s="1002">
        <v>138767.61530261571</v>
      </c>
      <c r="O111" s="1002">
        <v>142273.71827894272</v>
      </c>
      <c r="P111" s="1002">
        <v>145860.62572519318</v>
      </c>
      <c r="Q111" s="1004">
        <f t="shared" si="21"/>
        <v>18.21120456596713</v>
      </c>
      <c r="R111" s="1004">
        <f t="shared" si="17"/>
        <v>18.63653173551111</v>
      </c>
      <c r="S111" s="1004">
        <f t="shared" si="18"/>
        <v>19.10740240114729</v>
      </c>
      <c r="T111" s="1004">
        <f t="shared" si="19"/>
        <v>19.589125130968736</v>
      </c>
      <c r="V111" s="863" t="s">
        <v>335</v>
      </c>
      <c r="W111" s="1006">
        <v>21.957981446349496</v>
      </c>
      <c r="X111" s="1006">
        <v>22.547584997616745</v>
      </c>
      <c r="Y111" s="1006">
        <v>23.221036697272339</v>
      </c>
      <c r="Z111" s="1006">
        <v>23.917122054291671</v>
      </c>
      <c r="AB111" s="857" t="s">
        <v>335</v>
      </c>
      <c r="AC111" s="857">
        <v>135600.62919819125</v>
      </c>
      <c r="AD111" s="857">
        <v>138767.61530261571</v>
      </c>
      <c r="AE111" s="857">
        <v>142273.71827894272</v>
      </c>
      <c r="AF111" s="857">
        <v>145860.62572519318</v>
      </c>
    </row>
    <row r="112" spans="2:32" x14ac:dyDescent="0.3">
      <c r="B112" s="863" t="s">
        <v>336</v>
      </c>
      <c r="C112" s="1002">
        <f>Essex!M69</f>
        <v>0</v>
      </c>
      <c r="D112" s="1002">
        <f>Essex!N69</f>
        <v>0</v>
      </c>
      <c r="E112" s="1002">
        <f>Essex!O69</f>
        <v>0</v>
      </c>
      <c r="F112" s="1002">
        <f>Essex!P69</f>
        <v>0</v>
      </c>
      <c r="G112" s="1004">
        <f t="shared" si="20"/>
        <v>0</v>
      </c>
      <c r="H112" s="1004">
        <f t="shared" si="14"/>
        <v>0</v>
      </c>
      <c r="I112" s="1004">
        <f t="shared" si="15"/>
        <v>0</v>
      </c>
      <c r="J112" s="1004">
        <f t="shared" si="16"/>
        <v>0</v>
      </c>
      <c r="L112" s="863" t="s">
        <v>336</v>
      </c>
      <c r="M112" s="1002">
        <v>162867.35483176378</v>
      </c>
      <c r="N112" s="1002">
        <v>167118.84165581441</v>
      </c>
      <c r="O112" s="1002">
        <v>171927.65949913379</v>
      </c>
      <c r="P112" s="1002">
        <v>176995.66057080033</v>
      </c>
      <c r="Q112" s="1004">
        <f t="shared" si="21"/>
        <v>21.873133874800402</v>
      </c>
      <c r="R112" s="1004">
        <f t="shared" si="17"/>
        <v>22.444109811417459</v>
      </c>
      <c r="S112" s="1004">
        <f t="shared" si="18"/>
        <v>23.089935468591701</v>
      </c>
      <c r="T112" s="1004">
        <f t="shared" si="19"/>
        <v>23.770569509911407</v>
      </c>
      <c r="V112" s="863" t="s">
        <v>336</v>
      </c>
      <c r="W112" s="1006">
        <v>35.881661042199006</v>
      </c>
      <c r="X112" s="1006">
        <v>36.949203757779017</v>
      </c>
      <c r="Y112" s="1006">
        <v>38.162885139476302</v>
      </c>
      <c r="Z112" s="1006">
        <v>39.463376231948821</v>
      </c>
      <c r="AB112" s="857" t="s">
        <v>336</v>
      </c>
      <c r="AC112" s="857">
        <v>162867.35483176378</v>
      </c>
      <c r="AD112" s="857">
        <v>167118.84165581441</v>
      </c>
      <c r="AE112" s="857">
        <v>171927.65949913379</v>
      </c>
      <c r="AF112" s="857">
        <v>176995.66057080033</v>
      </c>
    </row>
    <row r="113" spans="2:32" x14ac:dyDescent="0.3">
      <c r="B113" s="863" t="s">
        <v>337</v>
      </c>
      <c r="C113" s="1002">
        <f>Gloucester!M69</f>
        <v>0</v>
      </c>
      <c r="D113" s="1002">
        <f>Gloucester!N69</f>
        <v>0</v>
      </c>
      <c r="E113" s="1002">
        <f>Gloucester!O69</f>
        <v>0</v>
      </c>
      <c r="F113" s="1002">
        <f>Gloucester!P69</f>
        <v>0</v>
      </c>
      <c r="G113" s="1004">
        <f t="shared" si="20"/>
        <v>0</v>
      </c>
      <c r="H113" s="1004">
        <f t="shared" si="14"/>
        <v>0</v>
      </c>
      <c r="I113" s="1004">
        <f t="shared" si="15"/>
        <v>0</v>
      </c>
      <c r="J113" s="1004">
        <f t="shared" si="16"/>
        <v>0</v>
      </c>
      <c r="L113" s="863" t="s">
        <v>337</v>
      </c>
      <c r="M113" s="1002">
        <v>118471.39153934596</v>
      </c>
      <c r="N113" s="1002">
        <v>124670.32014269024</v>
      </c>
      <c r="O113" s="1002">
        <v>131652.35846100064</v>
      </c>
      <c r="P113" s="1002">
        <v>139198.68932744456</v>
      </c>
      <c r="Q113" s="1004">
        <f t="shared" si="21"/>
        <v>15.910742887368515</v>
      </c>
      <c r="R113" s="1004">
        <f t="shared" si="17"/>
        <v>16.743260830337125</v>
      </c>
      <c r="S113" s="1004">
        <f t="shared" si="18"/>
        <v>17.680950639403793</v>
      </c>
      <c r="T113" s="1004">
        <f t="shared" si="19"/>
        <v>18.694425104411035</v>
      </c>
      <c r="V113" s="863" t="s">
        <v>337</v>
      </c>
      <c r="W113" s="1006">
        <v>37.943112988814022</v>
      </c>
      <c r="X113" s="1006">
        <v>39.520805420309372</v>
      </c>
      <c r="Y113" s="1006">
        <v>41.648250136377058</v>
      </c>
      <c r="Z113" s="1006">
        <v>43.919757888139216</v>
      </c>
      <c r="AB113" s="857" t="s">
        <v>337</v>
      </c>
      <c r="AC113" s="857">
        <v>118471.39153934596</v>
      </c>
      <c r="AD113" s="857">
        <v>124670.32014269024</v>
      </c>
      <c r="AE113" s="857">
        <v>131652.35846100064</v>
      </c>
      <c r="AF113" s="857">
        <v>139198.68932744456</v>
      </c>
    </row>
    <row r="114" spans="2:32" x14ac:dyDescent="0.3">
      <c r="B114" s="863" t="s">
        <v>338</v>
      </c>
      <c r="C114" s="1002">
        <f>Hudson!M69</f>
        <v>0</v>
      </c>
      <c r="D114" s="1002">
        <f>Hudson!N69</f>
        <v>0</v>
      </c>
      <c r="E114" s="1002">
        <f>Hudson!O69</f>
        <v>0</v>
      </c>
      <c r="F114" s="1002">
        <f>Hudson!P69</f>
        <v>0</v>
      </c>
      <c r="G114" s="1004">
        <f t="shared" si="20"/>
        <v>0</v>
      </c>
      <c r="H114" s="1004">
        <f t="shared" si="14"/>
        <v>0</v>
      </c>
      <c r="I114" s="1004">
        <f t="shared" si="15"/>
        <v>0</v>
      </c>
      <c r="J114" s="1004">
        <f t="shared" si="16"/>
        <v>0</v>
      </c>
      <c r="L114" s="863" t="s">
        <v>338</v>
      </c>
      <c r="M114" s="1002">
        <v>180402.40602005721</v>
      </c>
      <c r="N114" s="1002">
        <v>186482.20003743464</v>
      </c>
      <c r="O114" s="1002">
        <v>193201.56006497308</v>
      </c>
      <c r="P114" s="1002">
        <v>200651.58466128245</v>
      </c>
      <c r="Q114" s="1004">
        <f t="shared" si="21"/>
        <v>24.228096430305829</v>
      </c>
      <c r="R114" s="1004">
        <f t="shared" si="17"/>
        <v>25.044614563179515</v>
      </c>
      <c r="S114" s="1004">
        <f t="shared" si="18"/>
        <v>25.947026600184405</v>
      </c>
      <c r="T114" s="1004">
        <f t="shared" si="19"/>
        <v>26.947567104657864</v>
      </c>
      <c r="V114" s="863" t="s">
        <v>338</v>
      </c>
      <c r="W114" s="1006">
        <v>27.594617984315647</v>
      </c>
      <c r="X114" s="1006">
        <v>28.420402424576537</v>
      </c>
      <c r="Y114" s="1006">
        <v>29.335744567015634</v>
      </c>
      <c r="Z114" s="1006">
        <v>30.353349266918496</v>
      </c>
      <c r="AB114" s="857" t="s">
        <v>338</v>
      </c>
      <c r="AC114" s="857">
        <v>180402.40602005721</v>
      </c>
      <c r="AD114" s="857">
        <v>186482.20003743464</v>
      </c>
      <c r="AE114" s="857">
        <v>193201.56006497308</v>
      </c>
      <c r="AF114" s="857">
        <v>200651.58466128245</v>
      </c>
    </row>
    <row r="115" spans="2:32" x14ac:dyDescent="0.3">
      <c r="B115" s="863" t="s">
        <v>339</v>
      </c>
      <c r="C115" s="1002">
        <f>Hunterdon!M69</f>
        <v>0</v>
      </c>
      <c r="D115" s="1002">
        <f>Hunterdon!N69</f>
        <v>0</v>
      </c>
      <c r="E115" s="1002">
        <f>Hunterdon!O69</f>
        <v>0</v>
      </c>
      <c r="F115" s="1002">
        <f>Hunterdon!P69</f>
        <v>0</v>
      </c>
      <c r="G115" s="1004">
        <f t="shared" si="20"/>
        <v>0</v>
      </c>
      <c r="H115" s="1004">
        <f t="shared" si="14"/>
        <v>0</v>
      </c>
      <c r="I115" s="1004">
        <f t="shared" si="15"/>
        <v>0</v>
      </c>
      <c r="J115" s="1004">
        <f t="shared" si="16"/>
        <v>0</v>
      </c>
      <c r="L115" s="863" t="s">
        <v>339</v>
      </c>
      <c r="M115" s="1002">
        <v>162818.90576112748</v>
      </c>
      <c r="N115" s="1002">
        <v>168257.30111056773</v>
      </c>
      <c r="O115" s="1002">
        <v>175516.3900507956</v>
      </c>
      <c r="P115" s="1002">
        <v>182780.49288960354</v>
      </c>
      <c r="Q115" s="1004">
        <f t="shared" si="21"/>
        <v>21.866627150299152</v>
      </c>
      <c r="R115" s="1004">
        <f t="shared" si="17"/>
        <v>22.597005252560802</v>
      </c>
      <c r="S115" s="1004">
        <f t="shared" si="18"/>
        <v>23.57190304200854</v>
      </c>
      <c r="T115" s="1004">
        <f t="shared" si="19"/>
        <v>24.547474199516994</v>
      </c>
      <c r="V115" s="863" t="s">
        <v>339</v>
      </c>
      <c r="W115" s="1006">
        <v>24.228578244791326</v>
      </c>
      <c r="X115" s="1006">
        <v>24.970682675107117</v>
      </c>
      <c r="Y115" s="1006">
        <v>25.964853060893759</v>
      </c>
      <c r="Z115" s="1006">
        <v>26.957645872236654</v>
      </c>
      <c r="AB115" s="857" t="s">
        <v>339</v>
      </c>
      <c r="AC115" s="857">
        <v>162818.90576112748</v>
      </c>
      <c r="AD115" s="857">
        <v>168257.30111056773</v>
      </c>
      <c r="AE115" s="857">
        <v>175516.3900507956</v>
      </c>
      <c r="AF115" s="857">
        <v>182780.49288960354</v>
      </c>
    </row>
    <row r="116" spans="2:32" x14ac:dyDescent="0.3">
      <c r="B116" s="863" t="s">
        <v>340</v>
      </c>
      <c r="C116" s="1002">
        <f>Mercer!M69</f>
        <v>0</v>
      </c>
      <c r="D116" s="1002">
        <f>Mercer!N69</f>
        <v>0</v>
      </c>
      <c r="E116" s="1002">
        <f>Mercer!O69</f>
        <v>0</v>
      </c>
      <c r="F116" s="1002">
        <f>Mercer!P69</f>
        <v>0</v>
      </c>
      <c r="G116" s="1004">
        <f t="shared" si="20"/>
        <v>0</v>
      </c>
      <c r="H116" s="1004">
        <f t="shared" si="14"/>
        <v>0</v>
      </c>
      <c r="I116" s="1004">
        <f t="shared" si="15"/>
        <v>0</v>
      </c>
      <c r="J116" s="1004">
        <f t="shared" si="16"/>
        <v>0</v>
      </c>
      <c r="L116" s="863" t="s">
        <v>340</v>
      </c>
      <c r="M116" s="1002">
        <v>239559.65964661801</v>
      </c>
      <c r="N116" s="1002">
        <v>245957.86063087147</v>
      </c>
      <c r="O116" s="1002">
        <v>253026.5394360616</v>
      </c>
      <c r="P116" s="1002">
        <v>261257.03970892107</v>
      </c>
      <c r="Q116" s="1004">
        <f t="shared" si="21"/>
        <v>32.172933070993551</v>
      </c>
      <c r="R116" s="1004">
        <f t="shared" si="17"/>
        <v>33.032213353595417</v>
      </c>
      <c r="S116" s="1004">
        <f t="shared" si="18"/>
        <v>33.981539005648884</v>
      </c>
      <c r="T116" s="1004">
        <f t="shared" si="19"/>
        <v>35.086897624082873</v>
      </c>
      <c r="V116" s="863" t="s">
        <v>340</v>
      </c>
      <c r="W116" s="1006">
        <v>35.359318761105527</v>
      </c>
      <c r="X116" s="1006">
        <v>36.297807481777014</v>
      </c>
      <c r="Y116" s="1006">
        <v>37.339564583821755</v>
      </c>
      <c r="Z116" s="1006">
        <v>38.553992004146558</v>
      </c>
      <c r="AB116" s="857" t="s">
        <v>340</v>
      </c>
      <c r="AC116" s="857">
        <v>239559.65964661801</v>
      </c>
      <c r="AD116" s="857">
        <v>245957.86063087147</v>
      </c>
      <c r="AE116" s="857">
        <v>253026.5394360616</v>
      </c>
      <c r="AF116" s="857">
        <v>261257.03970892107</v>
      </c>
    </row>
    <row r="117" spans="2:32" x14ac:dyDescent="0.3">
      <c r="B117" s="863" t="s">
        <v>341</v>
      </c>
      <c r="C117" s="1002">
        <f>Middlesex!M69</f>
        <v>0</v>
      </c>
      <c r="D117" s="1002">
        <f>Middlesex!N69</f>
        <v>0</v>
      </c>
      <c r="E117" s="1002">
        <f>Middlesex!O69</f>
        <v>0</v>
      </c>
      <c r="F117" s="1002">
        <f>Middlesex!P69</f>
        <v>0</v>
      </c>
      <c r="G117" s="1004">
        <f t="shared" si="20"/>
        <v>0</v>
      </c>
      <c r="H117" s="1004">
        <f t="shared" si="14"/>
        <v>0</v>
      </c>
      <c r="I117" s="1004">
        <f t="shared" si="15"/>
        <v>0</v>
      </c>
      <c r="J117" s="1004">
        <f t="shared" si="16"/>
        <v>0</v>
      </c>
      <c r="L117" s="863" t="s">
        <v>341</v>
      </c>
      <c r="M117" s="1002">
        <v>350125.19969043357</v>
      </c>
      <c r="N117" s="1002">
        <v>364790.05490238051</v>
      </c>
      <c r="O117" s="1002">
        <v>383172.00522283698</v>
      </c>
      <c r="P117" s="1002">
        <v>398938.63264639367</v>
      </c>
      <c r="Q117" s="1004">
        <f t="shared" si="21"/>
        <v>47.021917766644314</v>
      </c>
      <c r="R117" s="1004">
        <f t="shared" si="17"/>
        <v>48.991412154496444</v>
      </c>
      <c r="S117" s="1004">
        <f t="shared" si="18"/>
        <v>51.460113513676738</v>
      </c>
      <c r="T117" s="1004">
        <f t="shared" si="19"/>
        <v>53.577576235078389</v>
      </c>
      <c r="V117" s="863" t="s">
        <v>341</v>
      </c>
      <c r="W117" s="1006">
        <v>59.756041508365897</v>
      </c>
      <c r="X117" s="1006">
        <v>61.984316495995202</v>
      </c>
      <c r="Y117" s="1006">
        <v>64.876954072220244</v>
      </c>
      <c r="Z117" s="1006">
        <v>67.308935910368731</v>
      </c>
      <c r="AB117" s="857" t="s">
        <v>341</v>
      </c>
      <c r="AC117" s="857">
        <v>350125.19969043357</v>
      </c>
      <c r="AD117" s="857">
        <v>364790.05490238051</v>
      </c>
      <c r="AE117" s="857">
        <v>383172.00522283698</v>
      </c>
      <c r="AF117" s="857">
        <v>398938.63264639367</v>
      </c>
    </row>
    <row r="118" spans="2:32" x14ac:dyDescent="0.3">
      <c r="B118" s="863" t="s">
        <v>342</v>
      </c>
      <c r="C118" s="1002">
        <f>Monmouth!M69</f>
        <v>0</v>
      </c>
      <c r="D118" s="1002">
        <f>Monmouth!N69</f>
        <v>0</v>
      </c>
      <c r="E118" s="1002">
        <f>Monmouth!O69</f>
        <v>0</v>
      </c>
      <c r="F118" s="1002">
        <f>Monmouth!P69</f>
        <v>0</v>
      </c>
      <c r="G118" s="1004">
        <f t="shared" si="20"/>
        <v>0</v>
      </c>
      <c r="H118" s="1004">
        <f t="shared" si="14"/>
        <v>0</v>
      </c>
      <c r="I118" s="1004">
        <f t="shared" si="15"/>
        <v>0</v>
      </c>
      <c r="J118" s="1004">
        <f t="shared" si="16"/>
        <v>0</v>
      </c>
      <c r="L118" s="863" t="s">
        <v>342</v>
      </c>
      <c r="M118" s="1002">
        <v>311106.49712083227</v>
      </c>
      <c r="N118" s="1002">
        <v>320686.24724924751</v>
      </c>
      <c r="O118" s="1002">
        <v>332118.70506507508</v>
      </c>
      <c r="P118" s="1002">
        <v>343352.1904790597</v>
      </c>
      <c r="Q118" s="1004">
        <f t="shared" si="21"/>
        <v>41.781694483055638</v>
      </c>
      <c r="R118" s="1004">
        <f t="shared" si="17"/>
        <v>43.068257755741008</v>
      </c>
      <c r="S118" s="1004">
        <f t="shared" si="18"/>
        <v>44.60364021824806</v>
      </c>
      <c r="T118" s="1004">
        <f t="shared" si="19"/>
        <v>46.112300628399105</v>
      </c>
      <c r="V118" s="863" t="s">
        <v>342</v>
      </c>
      <c r="W118" s="1006">
        <v>50.018172863563009</v>
      </c>
      <c r="X118" s="1006">
        <v>51.407308963529417</v>
      </c>
      <c r="Y118" s="1006">
        <v>53.09039328586617</v>
      </c>
      <c r="Z118" s="1006">
        <v>54.734793482794046</v>
      </c>
      <c r="AB118" s="857" t="s">
        <v>342</v>
      </c>
      <c r="AC118" s="857">
        <v>311106.49712083227</v>
      </c>
      <c r="AD118" s="857">
        <v>320686.24724924751</v>
      </c>
      <c r="AE118" s="857">
        <v>332118.70506507508</v>
      </c>
      <c r="AF118" s="857">
        <v>343352.1904790597</v>
      </c>
    </row>
    <row r="119" spans="2:32" x14ac:dyDescent="0.3">
      <c r="B119" s="863" t="s">
        <v>343</v>
      </c>
      <c r="C119" s="1002">
        <f>Morris!M69</f>
        <v>0</v>
      </c>
      <c r="D119" s="1002">
        <f>Morris!N69</f>
        <v>0</v>
      </c>
      <c r="E119" s="1002">
        <f>Morris!O69</f>
        <v>0</v>
      </c>
      <c r="F119" s="1002">
        <f>Morris!P69</f>
        <v>0</v>
      </c>
      <c r="G119" s="1004">
        <f t="shared" si="20"/>
        <v>0</v>
      </c>
      <c r="H119" s="1004">
        <f t="shared" si="14"/>
        <v>0</v>
      </c>
      <c r="I119" s="1004">
        <f t="shared" si="15"/>
        <v>0</v>
      </c>
      <c r="J119" s="1004">
        <f t="shared" si="16"/>
        <v>0</v>
      </c>
      <c r="L119" s="863" t="s">
        <v>343</v>
      </c>
      <c r="M119" s="1002">
        <v>224868.72112826398</v>
      </c>
      <c r="N119" s="1002">
        <v>231569.74800100364</v>
      </c>
      <c r="O119" s="1002">
        <v>239679.65219733154</v>
      </c>
      <c r="P119" s="1002">
        <v>247955.78641495627</v>
      </c>
      <c r="Q119" s="1004">
        <f t="shared" si="21"/>
        <v>30.199935687384365</v>
      </c>
      <c r="R119" s="1004">
        <f t="shared" si="17"/>
        <v>31.099885576283057</v>
      </c>
      <c r="S119" s="1004">
        <f t="shared" si="18"/>
        <v>32.189048106007462</v>
      </c>
      <c r="T119" s="1004">
        <f t="shared" si="19"/>
        <v>33.300535376706456</v>
      </c>
      <c r="V119" s="863" t="s">
        <v>343</v>
      </c>
      <c r="W119" s="1006">
        <v>36.965253989070533</v>
      </c>
      <c r="X119" s="1006">
        <v>37.96829800558114</v>
      </c>
      <c r="Y119" s="1006">
        <v>39.220800039864983</v>
      </c>
      <c r="Z119" s="1006">
        <v>40.492299338488266</v>
      </c>
      <c r="AB119" s="857" t="s">
        <v>343</v>
      </c>
      <c r="AC119" s="857">
        <v>224868.72112826398</v>
      </c>
      <c r="AD119" s="857">
        <v>231569.74800100364</v>
      </c>
      <c r="AE119" s="857">
        <v>239679.65219733154</v>
      </c>
      <c r="AF119" s="857">
        <v>247955.78641495627</v>
      </c>
    </row>
    <row r="120" spans="2:32" x14ac:dyDescent="0.3">
      <c r="B120" s="863" t="s">
        <v>344</v>
      </c>
      <c r="C120" s="1002">
        <f>Ocean!M69</f>
        <v>0</v>
      </c>
      <c r="D120" s="1002">
        <f>Ocean!N69</f>
        <v>0</v>
      </c>
      <c r="E120" s="1002">
        <f>Ocean!O69</f>
        <v>0</v>
      </c>
      <c r="F120" s="1002">
        <f>Ocean!P69</f>
        <v>0</v>
      </c>
      <c r="G120" s="1004">
        <f t="shared" si="20"/>
        <v>0</v>
      </c>
      <c r="H120" s="1004">
        <f t="shared" si="14"/>
        <v>0</v>
      </c>
      <c r="I120" s="1004">
        <f t="shared" si="15"/>
        <v>0</v>
      </c>
      <c r="J120" s="1004">
        <f t="shared" si="16"/>
        <v>0</v>
      </c>
      <c r="L120" s="863" t="s">
        <v>344</v>
      </c>
      <c r="M120" s="1002">
        <v>274805.86164110492</v>
      </c>
      <c r="N120" s="1002">
        <v>286294.12318759016</v>
      </c>
      <c r="O120" s="1002">
        <v>304102.83836396888</v>
      </c>
      <c r="P120" s="1002">
        <v>320543.46363456285</v>
      </c>
      <c r="Q120" s="1004">
        <f t="shared" si="21"/>
        <v>36.9065084127189</v>
      </c>
      <c r="R120" s="1004">
        <f t="shared" si="17"/>
        <v>38.449385332741087</v>
      </c>
      <c r="S120" s="1004">
        <f t="shared" si="18"/>
        <v>40.841101042703315</v>
      </c>
      <c r="T120" s="1004">
        <f t="shared" si="19"/>
        <v>43.049081874101915</v>
      </c>
      <c r="V120" s="863" t="s">
        <v>344</v>
      </c>
      <c r="W120" s="1006">
        <v>47.591268277529423</v>
      </c>
      <c r="X120" s="1006">
        <v>49.432325005690373</v>
      </c>
      <c r="Y120" s="1006">
        <v>52.474212137750463</v>
      </c>
      <c r="Z120" s="1006">
        <v>55.270546622388956</v>
      </c>
      <c r="AB120" s="857" t="s">
        <v>344</v>
      </c>
      <c r="AC120" s="857">
        <v>274805.86164110492</v>
      </c>
      <c r="AD120" s="857">
        <v>286294.12318759016</v>
      </c>
      <c r="AE120" s="857">
        <v>304102.83836396888</v>
      </c>
      <c r="AF120" s="857">
        <v>320543.46363456285</v>
      </c>
    </row>
    <row r="121" spans="2:32" x14ac:dyDescent="0.3">
      <c r="B121" s="863" t="s">
        <v>345</v>
      </c>
      <c r="C121" s="1002">
        <f>Passaic!M69</f>
        <v>0</v>
      </c>
      <c r="D121" s="1002">
        <f>Passaic!N69</f>
        <v>0</v>
      </c>
      <c r="E121" s="1002">
        <f>Passaic!O69</f>
        <v>0</v>
      </c>
      <c r="F121" s="1002">
        <f>Passaic!P69</f>
        <v>0</v>
      </c>
      <c r="G121" s="1004">
        <f t="shared" si="20"/>
        <v>0</v>
      </c>
      <c r="H121" s="1004">
        <f t="shared" si="14"/>
        <v>0</v>
      </c>
      <c r="I121" s="1004">
        <f t="shared" si="15"/>
        <v>0</v>
      </c>
      <c r="J121" s="1004">
        <f t="shared" si="16"/>
        <v>0</v>
      </c>
      <c r="L121" s="863" t="s">
        <v>345</v>
      </c>
      <c r="M121" s="1002">
        <v>184366.03133013283</v>
      </c>
      <c r="N121" s="1002">
        <v>187655.57696832696</v>
      </c>
      <c r="O121" s="1002">
        <v>191189.03953613431</v>
      </c>
      <c r="P121" s="1002">
        <v>195194.79778248796</v>
      </c>
      <c r="Q121" s="1004">
        <f t="shared" si="21"/>
        <v>24.7604124805443</v>
      </c>
      <c r="R121" s="1004">
        <f t="shared" si="17"/>
        <v>25.202199431685059</v>
      </c>
      <c r="S121" s="1004">
        <f t="shared" si="18"/>
        <v>25.676744498540735</v>
      </c>
      <c r="T121" s="1004">
        <f t="shared" si="19"/>
        <v>26.214719014569965</v>
      </c>
      <c r="V121" s="863" t="s">
        <v>345</v>
      </c>
      <c r="W121" s="1006">
        <v>27.593677060818056</v>
      </c>
      <c r="X121" s="1006">
        <v>28.087896669619496</v>
      </c>
      <c r="Y121" s="1006">
        <v>28.620214074024727</v>
      </c>
      <c r="Z121" s="1006">
        <v>29.225151568331075</v>
      </c>
      <c r="AB121" s="857" t="s">
        <v>345</v>
      </c>
      <c r="AC121" s="857">
        <v>184366.03133013283</v>
      </c>
      <c r="AD121" s="857">
        <v>187655.57696832696</v>
      </c>
      <c r="AE121" s="857">
        <v>191189.03953613431</v>
      </c>
      <c r="AF121" s="857">
        <v>195194.79778248796</v>
      </c>
    </row>
    <row r="122" spans="2:32" x14ac:dyDescent="0.3">
      <c r="B122" s="863" t="s">
        <v>346</v>
      </c>
      <c r="C122" s="1002">
        <f>Salem!M69</f>
        <v>0</v>
      </c>
      <c r="D122" s="1002">
        <f>Salem!N69</f>
        <v>0</v>
      </c>
      <c r="E122" s="1002">
        <f>Salem!O69</f>
        <v>0</v>
      </c>
      <c r="F122" s="1002">
        <f>Salem!P69</f>
        <v>0</v>
      </c>
      <c r="G122" s="1004">
        <f t="shared" si="20"/>
        <v>0</v>
      </c>
      <c r="H122" s="1004">
        <f t="shared" si="14"/>
        <v>0</v>
      </c>
      <c r="I122" s="1004">
        <f t="shared" si="15"/>
        <v>0</v>
      </c>
      <c r="J122" s="1004">
        <f t="shared" si="16"/>
        <v>0</v>
      </c>
      <c r="L122" s="863" t="s">
        <v>346</v>
      </c>
      <c r="M122" s="1002">
        <v>105159.70790241171</v>
      </c>
      <c r="N122" s="1002">
        <v>106260.6708159315</v>
      </c>
      <c r="O122" s="1002">
        <v>107424.38373231776</v>
      </c>
      <c r="P122" s="1002">
        <v>108706.43541844645</v>
      </c>
      <c r="Q122" s="1004">
        <f t="shared" si="21"/>
        <v>14.122979841849546</v>
      </c>
      <c r="R122" s="1004">
        <f t="shared" si="17"/>
        <v>14.270839486426473</v>
      </c>
      <c r="S122" s="1004">
        <f t="shared" si="18"/>
        <v>14.427126474928519</v>
      </c>
      <c r="T122" s="1004">
        <f t="shared" si="19"/>
        <v>14.599306395171428</v>
      </c>
      <c r="V122" s="863" t="s">
        <v>346</v>
      </c>
      <c r="W122" s="1006">
        <v>18.371640680553494</v>
      </c>
      <c r="X122" s="1006">
        <v>18.530115677796953</v>
      </c>
      <c r="Y122" s="1006">
        <v>18.702929876235942</v>
      </c>
      <c r="Z122" s="1006">
        <v>18.894796402377896</v>
      </c>
      <c r="AB122" s="857" t="s">
        <v>346</v>
      </c>
      <c r="AC122" s="857">
        <v>105159.70790241171</v>
      </c>
      <c r="AD122" s="857">
        <v>106260.6708159315</v>
      </c>
      <c r="AE122" s="857">
        <v>107424.38373231776</v>
      </c>
      <c r="AF122" s="857">
        <v>108706.43541844645</v>
      </c>
    </row>
    <row r="123" spans="2:32" x14ac:dyDescent="0.3">
      <c r="B123" s="863" t="s">
        <v>347</v>
      </c>
      <c r="C123" s="1002">
        <f>Somerset!M69</f>
        <v>0</v>
      </c>
      <c r="D123" s="1002">
        <f>Somerset!N69</f>
        <v>0</v>
      </c>
      <c r="E123" s="1002">
        <f>Somerset!O69</f>
        <v>0</v>
      </c>
      <c r="F123" s="1002">
        <f>Somerset!P69</f>
        <v>0</v>
      </c>
      <c r="G123" s="1004">
        <f t="shared" si="20"/>
        <v>0</v>
      </c>
      <c r="H123" s="1004">
        <f t="shared" si="14"/>
        <v>0</v>
      </c>
      <c r="I123" s="1004">
        <f t="shared" si="15"/>
        <v>0</v>
      </c>
      <c r="J123" s="1004">
        <f t="shared" si="16"/>
        <v>0</v>
      </c>
      <c r="L123" s="863" t="s">
        <v>347</v>
      </c>
      <c r="M123" s="1002">
        <v>100105.75227407836</v>
      </c>
      <c r="N123" s="1002">
        <v>103551.16612281909</v>
      </c>
      <c r="O123" s="1002">
        <v>108072.65703934364</v>
      </c>
      <c r="P123" s="1002">
        <v>111797.01244868658</v>
      </c>
      <c r="Q123" s="1004">
        <f t="shared" si="21"/>
        <v>13.44423210771936</v>
      </c>
      <c r="R123" s="1004">
        <f t="shared" si="17"/>
        <v>13.906952205589457</v>
      </c>
      <c r="S123" s="1004">
        <f t="shared" si="18"/>
        <v>14.51418977160135</v>
      </c>
      <c r="T123" s="1004">
        <f t="shared" si="19"/>
        <v>15.014371803476577</v>
      </c>
      <c r="V123" s="863" t="s">
        <v>347</v>
      </c>
      <c r="W123" s="1006">
        <v>15.948836530723387</v>
      </c>
      <c r="X123" s="1006">
        <v>16.478351478700052</v>
      </c>
      <c r="Y123" s="1006">
        <v>17.179053646261277</v>
      </c>
      <c r="Z123" s="1006">
        <v>17.751429895286861</v>
      </c>
      <c r="AB123" s="857" t="s">
        <v>347</v>
      </c>
      <c r="AC123" s="857">
        <v>100105.75227407836</v>
      </c>
      <c r="AD123" s="857">
        <v>103551.16612281909</v>
      </c>
      <c r="AE123" s="857">
        <v>108072.65703934364</v>
      </c>
      <c r="AF123" s="857">
        <v>111797.01244868658</v>
      </c>
    </row>
    <row r="124" spans="2:32" x14ac:dyDescent="0.3">
      <c r="B124" s="863" t="s">
        <v>348</v>
      </c>
      <c r="C124" s="1002">
        <f>Sussex!M69</f>
        <v>0</v>
      </c>
      <c r="D124" s="1002">
        <f>Sussex!N69</f>
        <v>0</v>
      </c>
      <c r="E124" s="1002">
        <f>Sussex!O69</f>
        <v>0</v>
      </c>
      <c r="F124" s="1002">
        <f>Sussex!P69</f>
        <v>0</v>
      </c>
      <c r="G124" s="1004">
        <f t="shared" si="20"/>
        <v>0</v>
      </c>
      <c r="H124" s="1004">
        <f t="shared" si="14"/>
        <v>0</v>
      </c>
      <c r="I124" s="1004">
        <f t="shared" si="15"/>
        <v>0</v>
      </c>
      <c r="J124" s="1004">
        <f t="shared" si="16"/>
        <v>0</v>
      </c>
      <c r="L124" s="863" t="s">
        <v>348</v>
      </c>
      <c r="M124" s="1002">
        <v>127452.90326359014</v>
      </c>
      <c r="N124" s="1002">
        <v>129386.59374333263</v>
      </c>
      <c r="O124" s="1002">
        <v>131841.01415515511</v>
      </c>
      <c r="P124" s="1002">
        <v>133583.94814760887</v>
      </c>
      <c r="Q124" s="1004">
        <f t="shared" si="21"/>
        <v>17.116962565617801</v>
      </c>
      <c r="R124" s="1004">
        <f t="shared" si="17"/>
        <v>17.376657768376663</v>
      </c>
      <c r="S124" s="1004">
        <f t="shared" si="18"/>
        <v>17.706287154869074</v>
      </c>
      <c r="T124" s="1004">
        <f t="shared" si="19"/>
        <v>17.940363705024023</v>
      </c>
      <c r="V124" s="863" t="s">
        <v>348</v>
      </c>
      <c r="W124" s="1006">
        <v>19.996622778723861</v>
      </c>
      <c r="X124" s="1006">
        <v>20.276663607349082</v>
      </c>
      <c r="Y124" s="1006">
        <v>20.635005753521138</v>
      </c>
      <c r="Z124" s="1006">
        <v>20.886014185488126</v>
      </c>
      <c r="AB124" s="857" t="s">
        <v>348</v>
      </c>
      <c r="AC124" s="857">
        <v>127452.90326359014</v>
      </c>
      <c r="AD124" s="857">
        <v>129386.59374333263</v>
      </c>
      <c r="AE124" s="857">
        <v>131841.01415515511</v>
      </c>
      <c r="AF124" s="857">
        <v>133583.94814760887</v>
      </c>
    </row>
    <row r="125" spans="2:32" x14ac:dyDescent="0.3">
      <c r="B125" s="863" t="s">
        <v>349</v>
      </c>
      <c r="C125" s="1002">
        <f>Union!M69</f>
        <v>0</v>
      </c>
      <c r="D125" s="1002">
        <f>Union!N69</f>
        <v>0</v>
      </c>
      <c r="E125" s="1002">
        <f>Union!O69</f>
        <v>0</v>
      </c>
      <c r="F125" s="1002">
        <f>Union!P69</f>
        <v>0</v>
      </c>
      <c r="G125" s="1004">
        <f t="shared" si="20"/>
        <v>0</v>
      </c>
      <c r="H125" s="1004">
        <f t="shared" si="14"/>
        <v>0</v>
      </c>
      <c r="I125" s="1004">
        <f t="shared" si="15"/>
        <v>0</v>
      </c>
      <c r="J125" s="1004">
        <f t="shared" si="16"/>
        <v>0</v>
      </c>
      <c r="L125" s="863" t="s">
        <v>349</v>
      </c>
      <c r="M125" s="1002">
        <v>104488.95686129945</v>
      </c>
      <c r="N125" s="1002">
        <v>107499.06698134611</v>
      </c>
      <c r="O125" s="1002">
        <v>110818.41395613758</v>
      </c>
      <c r="P125" s="1002">
        <v>114470.36314002315</v>
      </c>
      <c r="Q125" s="1004">
        <f t="shared" si="21"/>
        <v>14.03289777884763</v>
      </c>
      <c r="R125" s="1004">
        <f t="shared" si="17"/>
        <v>14.43715645733899</v>
      </c>
      <c r="S125" s="1004">
        <f t="shared" si="18"/>
        <v>14.882945736789898</v>
      </c>
      <c r="T125" s="1004">
        <f t="shared" si="19"/>
        <v>15.373403591193011</v>
      </c>
      <c r="V125" s="863" t="s">
        <v>349</v>
      </c>
      <c r="W125" s="1006">
        <v>17.869724735613985</v>
      </c>
      <c r="X125" s="1006">
        <v>18.297999736057935</v>
      </c>
      <c r="Y125" s="1006">
        <v>18.775395992648257</v>
      </c>
      <c r="Z125" s="1006">
        <v>19.304782945270304</v>
      </c>
      <c r="AB125" s="857" t="s">
        <v>349</v>
      </c>
      <c r="AC125" s="857">
        <v>104488.95686129945</v>
      </c>
      <c r="AD125" s="857">
        <v>107499.06698134611</v>
      </c>
      <c r="AE125" s="857">
        <v>110818.41395613758</v>
      </c>
      <c r="AF125" s="857">
        <v>114470.36314002315</v>
      </c>
    </row>
    <row r="126" spans="2:32" ht="15" thickBot="1" x14ac:dyDescent="0.35">
      <c r="B126" s="877" t="s">
        <v>350</v>
      </c>
      <c r="C126" s="1002">
        <f>Warren!M69</f>
        <v>0</v>
      </c>
      <c r="D126" s="1002">
        <f>Warren!N69</f>
        <v>0</v>
      </c>
      <c r="E126" s="1002">
        <f>Warren!O69</f>
        <v>0</v>
      </c>
      <c r="F126" s="1002">
        <f>Warren!P69</f>
        <v>0</v>
      </c>
      <c r="G126" s="1004">
        <f t="shared" si="20"/>
        <v>0</v>
      </c>
      <c r="H126" s="1004">
        <f t="shared" si="14"/>
        <v>0</v>
      </c>
      <c r="I126" s="1004">
        <f t="shared" si="15"/>
        <v>0</v>
      </c>
      <c r="J126" s="1004">
        <f t="shared" si="16"/>
        <v>0</v>
      </c>
      <c r="L126" s="877" t="s">
        <v>350</v>
      </c>
      <c r="M126" s="1002">
        <v>123631.17769804501</v>
      </c>
      <c r="N126" s="1002">
        <v>125081.42423097447</v>
      </c>
      <c r="O126" s="1002">
        <v>126703.59017114043</v>
      </c>
      <c r="P126" s="1002">
        <v>128174.94449457445</v>
      </c>
      <c r="Q126" s="1004">
        <f t="shared" si="21"/>
        <v>16.60370369299557</v>
      </c>
      <c r="R126" s="1004">
        <f t="shared" si="17"/>
        <v>16.798472230858781</v>
      </c>
      <c r="S126" s="1004">
        <f t="shared" si="18"/>
        <v>17.016329595909269</v>
      </c>
      <c r="T126" s="1004">
        <f t="shared" si="19"/>
        <v>17.213932916273762</v>
      </c>
      <c r="V126" s="877" t="s">
        <v>350</v>
      </c>
      <c r="W126" s="1006">
        <v>20.693943460397794</v>
      </c>
      <c r="X126" s="1006">
        <v>20.925372378484369</v>
      </c>
      <c r="Y126" s="1006">
        <v>21.195540342485874</v>
      </c>
      <c r="Z126" s="1006">
        <v>21.436978471537543</v>
      </c>
      <c r="AB126" s="857" t="s">
        <v>350</v>
      </c>
      <c r="AC126" s="857">
        <v>123631.17769804501</v>
      </c>
      <c r="AD126" s="857">
        <v>125081.42423097447</v>
      </c>
      <c r="AE126" s="857">
        <v>126703.59017114043</v>
      </c>
      <c r="AF126" s="857">
        <v>128174.94449457445</v>
      </c>
    </row>
    <row r="127" spans="2:32" ht="15" thickTop="1" x14ac:dyDescent="0.3">
      <c r="B127" s="879" t="s">
        <v>351</v>
      </c>
      <c r="C127" s="1002">
        <f>SUM(C106:C126)</f>
        <v>0</v>
      </c>
      <c r="D127" s="1002">
        <f t="shared" ref="D127:F127" si="22">SUM(D106:D126)</f>
        <v>0</v>
      </c>
      <c r="E127" s="1002">
        <f t="shared" si="22"/>
        <v>0</v>
      </c>
      <c r="F127" s="1002">
        <f t="shared" si="22"/>
        <v>0</v>
      </c>
      <c r="G127" s="1002">
        <f t="shared" ref="G127" si="23">SUM(G106:G126)</f>
        <v>0</v>
      </c>
      <c r="H127" s="1002">
        <f t="shared" ref="H127" si="24">SUM(H106:H126)</f>
        <v>0</v>
      </c>
      <c r="I127" s="1002">
        <f t="shared" ref="I127" si="25">SUM(I106:I126)</f>
        <v>0</v>
      </c>
      <c r="J127" s="1002">
        <f t="shared" ref="J127" si="26">SUM(J106:J126)</f>
        <v>0</v>
      </c>
      <c r="L127" s="879" t="s">
        <v>351</v>
      </c>
      <c r="M127" s="1002">
        <f>SUM(M106:M126)</f>
        <v>3989640.3402525778</v>
      </c>
      <c r="N127" s="1002">
        <f t="shared" ref="N127" si="27">SUM(N106:N126)</f>
        <v>4100765.9628068446</v>
      </c>
      <c r="O127" s="1002">
        <f t="shared" ref="O127" si="28">SUM(O106:O126)</f>
        <v>4239051.871127543</v>
      </c>
      <c r="P127" s="1002">
        <f t="shared" ref="P127" si="29">SUM(P106:P126)</f>
        <v>4374532.0861432748</v>
      </c>
      <c r="Q127" s="1002">
        <f t="shared" ref="Q127" si="30">SUM(Q106:Q126)</f>
        <v>535.80987647764948</v>
      </c>
      <c r="R127" s="1002">
        <f t="shared" ref="R127" si="31">SUM(R106:R126)</f>
        <v>550.73408041993616</v>
      </c>
      <c r="S127" s="1002">
        <f t="shared" ref="S127" si="32">SUM(S106:S126)</f>
        <v>569.30591876545031</v>
      </c>
      <c r="T127" s="1002">
        <f t="shared" ref="T127" si="33">SUM(T106:T126)</f>
        <v>587.50095167113545</v>
      </c>
      <c r="V127" s="879" t="s">
        <v>351</v>
      </c>
      <c r="W127" s="1007">
        <v>691.95551521349716</v>
      </c>
      <c r="X127" s="1007">
        <v>709.87862795918238</v>
      </c>
      <c r="Y127" s="1007">
        <v>733.176395857952</v>
      </c>
      <c r="Z127" s="1007">
        <v>755.95143548206693</v>
      </c>
      <c r="AB127" s="857" t="s">
        <v>351</v>
      </c>
      <c r="AC127" s="857">
        <v>3989640.3402525778</v>
      </c>
      <c r="AD127" s="857">
        <v>4100765.9628068446</v>
      </c>
      <c r="AE127" s="857">
        <v>4239051.871127543</v>
      </c>
      <c r="AF127" s="857">
        <v>4374532.0861432748</v>
      </c>
    </row>
    <row r="131" spans="2:26" ht="15" customHeight="1" x14ac:dyDescent="0.3">
      <c r="C131" s="1213" t="s">
        <v>1526</v>
      </c>
      <c r="D131" s="1213"/>
      <c r="E131" s="1213"/>
      <c r="F131" s="1213"/>
      <c r="G131" s="1213" t="s">
        <v>1525</v>
      </c>
      <c r="H131" s="1213"/>
      <c r="I131" s="1213"/>
      <c r="J131" s="1213"/>
      <c r="M131" s="1213" t="s">
        <v>1523</v>
      </c>
      <c r="N131" s="1213"/>
      <c r="O131" s="1213"/>
      <c r="P131" s="1213"/>
      <c r="Q131" s="1213" t="s">
        <v>174</v>
      </c>
      <c r="R131" s="1213"/>
      <c r="S131" s="1213"/>
      <c r="T131" s="1213"/>
      <c r="W131" s="1213" t="s">
        <v>1529</v>
      </c>
      <c r="X131" s="1213"/>
      <c r="Y131" s="1213"/>
      <c r="Z131" s="1213"/>
    </row>
    <row r="132" spans="2:26" x14ac:dyDescent="0.3">
      <c r="B132" s="885" t="s">
        <v>322</v>
      </c>
      <c r="C132" s="994">
        <v>2010</v>
      </c>
      <c r="D132" s="994">
        <v>2015</v>
      </c>
      <c r="E132" s="994">
        <v>2020</v>
      </c>
      <c r="F132" s="994">
        <v>2025</v>
      </c>
      <c r="G132" s="994">
        <v>2010</v>
      </c>
      <c r="H132" s="994">
        <v>2015</v>
      </c>
      <c r="I132" s="994">
        <v>2020</v>
      </c>
      <c r="J132" s="994">
        <v>2025</v>
      </c>
      <c r="L132" s="885" t="s">
        <v>322</v>
      </c>
      <c r="M132" s="994">
        <v>2010</v>
      </c>
      <c r="N132" s="994">
        <v>2015</v>
      </c>
      <c r="O132" s="994">
        <v>2020</v>
      </c>
      <c r="P132" s="994">
        <v>2025</v>
      </c>
      <c r="Q132" s="994">
        <v>2010</v>
      </c>
      <c r="R132" s="994">
        <v>2015</v>
      </c>
      <c r="S132" s="994">
        <v>2020</v>
      </c>
      <c r="T132" s="994">
        <v>2025</v>
      </c>
      <c r="V132" s="885" t="s">
        <v>322</v>
      </c>
      <c r="W132" s="994">
        <v>2010</v>
      </c>
      <c r="X132" s="994">
        <v>2015</v>
      </c>
      <c r="Y132" s="994">
        <v>2020</v>
      </c>
      <c r="Z132" s="994">
        <v>2025</v>
      </c>
    </row>
    <row r="133" spans="2:26" x14ac:dyDescent="0.3">
      <c r="B133" s="860" t="s">
        <v>403</v>
      </c>
      <c r="C133" s="1002">
        <v>8106288.3442915091</v>
      </c>
      <c r="D133" s="1002">
        <v>8357509.7630021544</v>
      </c>
      <c r="E133" s="1002">
        <v>8625762.9396131895</v>
      </c>
      <c r="F133" s="1002">
        <v>8927309.4206338152</v>
      </c>
      <c r="G133" s="1004">
        <f>C133/1.11266</f>
        <v>7285503.5179583244</v>
      </c>
      <c r="H133" s="1004">
        <f t="shared" ref="H133:H153" si="34">D133/1.11266</f>
        <v>7511288.0511586238</v>
      </c>
      <c r="I133" s="1004">
        <f t="shared" ref="I133:I153" si="35">E133/1.11266</f>
        <v>7752379.8281713994</v>
      </c>
      <c r="J133" s="1004">
        <f t="shared" ref="J133:J153" si="36">F133/1.11266</f>
        <v>8023393.8675191123</v>
      </c>
      <c r="L133" s="860" t="s">
        <v>403</v>
      </c>
      <c r="M133" s="1002">
        <v>64579.961697566614</v>
      </c>
      <c r="N133" s="1002">
        <v>66064.36811633686</v>
      </c>
      <c r="O133" s="1002">
        <v>68220.0672280695</v>
      </c>
      <c r="P133" s="1002">
        <v>70613.494636249699</v>
      </c>
      <c r="Q133" s="1004">
        <f>M133/8760/0.85</f>
        <v>8.6731079368206583</v>
      </c>
      <c r="R133" s="1004">
        <f t="shared" ref="R133:R153" si="37">N133/8760/0.85</f>
        <v>8.8724641574451866</v>
      </c>
      <c r="S133" s="1004">
        <f t="shared" ref="S133:S153" si="38">O133/8760/0.85</f>
        <v>9.161975185075141</v>
      </c>
      <c r="T133" s="1004">
        <f t="shared" ref="T133:T153" si="39">P133/8760/0.85</f>
        <v>9.4834131931573609</v>
      </c>
      <c r="V133" s="860" t="s">
        <v>403</v>
      </c>
      <c r="W133" s="1005">
        <f>G133+G160+C186</f>
        <v>11927619.738679294</v>
      </c>
      <c r="X133" s="1005">
        <f t="shared" ref="X133" si="40">H133+H160+D186</f>
        <v>12259836.627556968</v>
      </c>
      <c r="Y133" s="1005">
        <f t="shared" ref="Y133:Y153" si="41">I133+I160+E186</f>
        <v>12654639.114391109</v>
      </c>
      <c r="Z133" s="1005">
        <f t="shared" ref="Z133:Z153" si="42">J133+J160+F186</f>
        <v>13096266.444935665</v>
      </c>
    </row>
    <row r="134" spans="2:26" x14ac:dyDescent="0.3">
      <c r="B134" s="863" t="s">
        <v>325</v>
      </c>
      <c r="C134" s="1002">
        <v>13588884.863812806</v>
      </c>
      <c r="D134" s="1002">
        <v>13917288.865713481</v>
      </c>
      <c r="E134" s="1002">
        <v>14279711.44819073</v>
      </c>
      <c r="F134" s="1002">
        <v>14661408.492092568</v>
      </c>
      <c r="G134" s="1004">
        <f t="shared" ref="G134:G153" si="43">C134/1.11266</f>
        <v>12212971.495167263</v>
      </c>
      <c r="H134" s="1004">
        <f t="shared" si="34"/>
        <v>12508123.654767387</v>
      </c>
      <c r="I134" s="1004">
        <f t="shared" si="35"/>
        <v>12833849.916587934</v>
      </c>
      <c r="J134" s="1004">
        <f t="shared" si="36"/>
        <v>13176899.045613727</v>
      </c>
      <c r="L134" s="863" t="s">
        <v>325</v>
      </c>
      <c r="M134" s="1002">
        <v>112949.87779457381</v>
      </c>
      <c r="N134" s="1002">
        <v>113667.84689730252</v>
      </c>
      <c r="O134" s="1002">
        <v>114585.7055638529</v>
      </c>
      <c r="P134" s="1002">
        <v>115536.53418672501</v>
      </c>
      <c r="Q134" s="1004">
        <f t="shared" ref="Q134:Q153" si="44">M134/8760/0.85</f>
        <v>15.169201960055576</v>
      </c>
      <c r="R134" s="1004">
        <f t="shared" si="37"/>
        <v>15.265625422683657</v>
      </c>
      <c r="S134" s="1004">
        <f t="shared" si="38"/>
        <v>15.388894112792494</v>
      </c>
      <c r="T134" s="1004">
        <f t="shared" si="39"/>
        <v>15.516590677776662</v>
      </c>
      <c r="V134" s="863" t="s">
        <v>325</v>
      </c>
      <c r="W134" s="1005">
        <f t="shared" ref="W134:X134" si="45">G134+G161+C187</f>
        <v>20504255.027459841</v>
      </c>
      <c r="X134" s="1005">
        <f t="shared" si="45"/>
        <v>20846775.298969623</v>
      </c>
      <c r="Y134" s="1005">
        <f t="shared" si="41"/>
        <v>21233841.810929827</v>
      </c>
      <c r="Z134" s="1005">
        <f t="shared" si="42"/>
        <v>21639983.784174193</v>
      </c>
    </row>
    <row r="135" spans="2:26" x14ac:dyDescent="0.3">
      <c r="B135" s="863" t="s">
        <v>328</v>
      </c>
      <c r="C135" s="1002">
        <v>12824652.586955145</v>
      </c>
      <c r="D135" s="1002">
        <v>13141292.024394933</v>
      </c>
      <c r="E135" s="1002">
        <v>13524204.646018675</v>
      </c>
      <c r="F135" s="1002">
        <v>13847706.46519899</v>
      </c>
      <c r="G135" s="1004">
        <f t="shared" si="43"/>
        <v>11526119.917095199</v>
      </c>
      <c r="H135" s="1004">
        <f t="shared" si="34"/>
        <v>11810698.707956549</v>
      </c>
      <c r="I135" s="1004">
        <f t="shared" si="35"/>
        <v>12154840.333991224</v>
      </c>
      <c r="J135" s="1004">
        <f t="shared" si="36"/>
        <v>12445586.670859912</v>
      </c>
      <c r="L135" s="863" t="s">
        <v>328</v>
      </c>
      <c r="M135" s="1002">
        <v>117467.47641875423</v>
      </c>
      <c r="N135" s="1002">
        <v>119779.79521920567</v>
      </c>
      <c r="O135" s="1002">
        <v>123747.73323473764</v>
      </c>
      <c r="P135" s="1002">
        <v>126835.34191474416</v>
      </c>
      <c r="Q135" s="1004">
        <f t="shared" si="44"/>
        <v>15.775916790055632</v>
      </c>
      <c r="R135" s="1004">
        <f t="shared" si="37"/>
        <v>16.086461888155476</v>
      </c>
      <c r="S135" s="1004">
        <f t="shared" si="38"/>
        <v>16.619357136010965</v>
      </c>
      <c r="T135" s="1004">
        <f t="shared" si="39"/>
        <v>17.034023894002708</v>
      </c>
      <c r="V135" s="863" t="s">
        <v>328</v>
      </c>
      <c r="W135" s="1005">
        <f t="shared" ref="W135:X135" si="46">G135+G162+C188</f>
        <v>20877340.510647193</v>
      </c>
      <c r="X135" s="1005">
        <f t="shared" si="46"/>
        <v>21326475.089307155</v>
      </c>
      <c r="Y135" s="1005">
        <f t="shared" si="41"/>
        <v>21952623.603871293</v>
      </c>
      <c r="Z135" s="1005">
        <f t="shared" si="42"/>
        <v>22461148.172832694</v>
      </c>
    </row>
    <row r="136" spans="2:26" x14ac:dyDescent="0.3">
      <c r="B136" s="863" t="s">
        <v>331</v>
      </c>
      <c r="C136" s="1002">
        <v>6315077.2966422765</v>
      </c>
      <c r="D136" s="1002">
        <v>6500042.1474991217</v>
      </c>
      <c r="E136" s="1002">
        <v>6770441.3489119913</v>
      </c>
      <c r="F136" s="1002">
        <v>7028656.8659716789</v>
      </c>
      <c r="G136" s="1004">
        <f t="shared" si="43"/>
        <v>5675657.7001440478</v>
      </c>
      <c r="H136" s="1004">
        <f t="shared" si="34"/>
        <v>5841894.3320503319</v>
      </c>
      <c r="I136" s="1004">
        <f t="shared" si="35"/>
        <v>6084914.8427300267</v>
      </c>
      <c r="J136" s="1004">
        <f t="shared" si="36"/>
        <v>6316985.3018637132</v>
      </c>
      <c r="L136" s="863" t="s">
        <v>331</v>
      </c>
      <c r="M136" s="1002">
        <v>20902.044086405127</v>
      </c>
      <c r="N136" s="1002">
        <v>21038.543274858657</v>
      </c>
      <c r="O136" s="1002">
        <v>21431.952559265035</v>
      </c>
      <c r="P136" s="1002">
        <v>21751.072290174357</v>
      </c>
      <c r="Q136" s="1004">
        <f t="shared" si="44"/>
        <v>2.8071506965357407</v>
      </c>
      <c r="R136" s="1004">
        <f t="shared" si="37"/>
        <v>2.8254825778751891</v>
      </c>
      <c r="S136" s="1004">
        <f t="shared" si="38"/>
        <v>2.8783175610079286</v>
      </c>
      <c r="T136" s="1004">
        <f t="shared" si="39"/>
        <v>2.9211754351563735</v>
      </c>
      <c r="V136" s="863" t="s">
        <v>331</v>
      </c>
      <c r="W136" s="1005">
        <f t="shared" ref="W136:X136" si="47">G136+G163+C189</f>
        <v>7419156.9307699017</v>
      </c>
      <c r="X136" s="1005">
        <f t="shared" si="47"/>
        <v>7595960.330441488</v>
      </c>
      <c r="Y136" s="1005">
        <f t="shared" si="41"/>
        <v>7871098.1127152331</v>
      </c>
      <c r="Z136" s="1005">
        <f t="shared" si="42"/>
        <v>8128639.064113291</v>
      </c>
    </row>
    <row r="137" spans="2:26" x14ac:dyDescent="0.3">
      <c r="B137" s="863" t="s">
        <v>333</v>
      </c>
      <c r="C137" s="1002">
        <v>7325813.2157448893</v>
      </c>
      <c r="D137" s="1002">
        <v>7319981.9371362543</v>
      </c>
      <c r="E137" s="1002">
        <v>7400766.8992252899</v>
      </c>
      <c r="F137" s="1002">
        <v>7476379.2281276332</v>
      </c>
      <c r="G137" s="1004">
        <f t="shared" si="43"/>
        <v>6584053.7232801476</v>
      </c>
      <c r="H137" s="1004">
        <f t="shared" si="34"/>
        <v>6578812.8782703197</v>
      </c>
      <c r="I137" s="1004">
        <f t="shared" si="35"/>
        <v>6651418.1324261585</v>
      </c>
      <c r="J137" s="1004">
        <f t="shared" si="36"/>
        <v>6719374.4972656816</v>
      </c>
      <c r="L137" s="863" t="s">
        <v>333</v>
      </c>
      <c r="M137" s="1002">
        <v>46193.433717168577</v>
      </c>
      <c r="N137" s="1002">
        <v>45408.18501060117</v>
      </c>
      <c r="O137" s="1002">
        <v>45237.301536082858</v>
      </c>
      <c r="P137" s="1002">
        <v>45092.668363810553</v>
      </c>
      <c r="Q137" s="1004">
        <f t="shared" si="44"/>
        <v>6.2037917965576925</v>
      </c>
      <c r="R137" s="1004">
        <f t="shared" si="37"/>
        <v>6.0983326632555963</v>
      </c>
      <c r="S137" s="1004">
        <f t="shared" si="38"/>
        <v>6.0753829621384448</v>
      </c>
      <c r="T137" s="1004">
        <f t="shared" si="39"/>
        <v>6.0559586843688633</v>
      </c>
      <c r="V137" s="863" t="s">
        <v>333</v>
      </c>
      <c r="W137" s="1005">
        <f t="shared" ref="W137:X137" si="48">G137+G164+C190</f>
        <v>9866495.0818169005</v>
      </c>
      <c r="X137" s="1005">
        <f t="shared" si="48"/>
        <v>9804863.3794431034</v>
      </c>
      <c r="Y137" s="1005">
        <f t="shared" si="41"/>
        <v>9865209.1929066312</v>
      </c>
      <c r="Z137" s="1005">
        <f t="shared" si="42"/>
        <v>9922647.8378690537</v>
      </c>
    </row>
    <row r="138" spans="2:26" x14ac:dyDescent="0.3">
      <c r="B138" s="863" t="s">
        <v>335</v>
      </c>
      <c r="C138" s="1002">
        <v>7093971.0350300977</v>
      </c>
      <c r="D138" s="1002">
        <v>7271640.8821142167</v>
      </c>
      <c r="E138" s="1002">
        <v>7469600.3088643458</v>
      </c>
      <c r="F138" s="1002">
        <v>7676791.6409815466</v>
      </c>
      <c r="G138" s="1004">
        <f t="shared" si="43"/>
        <v>6375686.2249295367</v>
      </c>
      <c r="H138" s="1004">
        <f t="shared" si="34"/>
        <v>6535366.493011537</v>
      </c>
      <c r="I138" s="1004">
        <f t="shared" si="35"/>
        <v>6713281.9629215989</v>
      </c>
      <c r="J138" s="1004">
        <f t="shared" si="36"/>
        <v>6899494.5814368688</v>
      </c>
      <c r="L138" s="863" t="s">
        <v>335</v>
      </c>
      <c r="M138" s="1002">
        <v>27898.500651327096</v>
      </c>
      <c r="N138" s="1002">
        <v>29121.702589638575</v>
      </c>
      <c r="O138" s="1002">
        <v>30630.120968947114</v>
      </c>
      <c r="P138" s="1002">
        <v>32226.265091062574</v>
      </c>
      <c r="Q138" s="1004">
        <f t="shared" si="44"/>
        <v>3.7467768803823658</v>
      </c>
      <c r="R138" s="1004">
        <f t="shared" si="37"/>
        <v>3.9110532621056375</v>
      </c>
      <c r="S138" s="1004">
        <f t="shared" si="38"/>
        <v>4.1136342961250492</v>
      </c>
      <c r="T138" s="1004">
        <f t="shared" si="39"/>
        <v>4.3279969233229352</v>
      </c>
      <c r="V138" s="863" t="s">
        <v>335</v>
      </c>
      <c r="W138" s="1005">
        <f t="shared" ref="W138:X138" si="49">G138+G165+C191</f>
        <v>8745904.5508553311</v>
      </c>
      <c r="X138" s="1005">
        <f t="shared" si="49"/>
        <v>8986859.7599580362</v>
      </c>
      <c r="Y138" s="1005">
        <f t="shared" si="41"/>
        <v>9265372.2853798978</v>
      </c>
      <c r="Z138" s="1005">
        <f t="shared" si="42"/>
        <v>9557477.4187884629</v>
      </c>
    </row>
    <row r="139" spans="2:26" x14ac:dyDescent="0.3">
      <c r="B139" s="863" t="s">
        <v>336</v>
      </c>
      <c r="C139" s="1002">
        <v>8492463.0528909788</v>
      </c>
      <c r="D139" s="1002">
        <v>8865127.0398128908</v>
      </c>
      <c r="E139" s="1002">
        <v>9281598.5960752796</v>
      </c>
      <c r="F139" s="1002">
        <v>9727460.9928225465</v>
      </c>
      <c r="G139" s="1004">
        <f t="shared" si="43"/>
        <v>7632576.9353539972</v>
      </c>
      <c r="H139" s="1004">
        <f t="shared" si="34"/>
        <v>7967507.6301951101</v>
      </c>
      <c r="I139" s="1004">
        <f t="shared" si="35"/>
        <v>8341810.2529751044</v>
      </c>
      <c r="J139" s="1004">
        <f t="shared" si="36"/>
        <v>8742527.8097734675</v>
      </c>
      <c r="L139" s="863" t="s">
        <v>336</v>
      </c>
      <c r="M139" s="1002">
        <v>104307.49328845002</v>
      </c>
      <c r="N139" s="1002">
        <v>108004.92952460817</v>
      </c>
      <c r="O139" s="1002">
        <v>112233.18324940675</v>
      </c>
      <c r="P139" s="1002">
        <v>116848.63885229058</v>
      </c>
      <c r="Q139" s="1004">
        <f t="shared" si="44"/>
        <v>14.008527167398604</v>
      </c>
      <c r="R139" s="1004">
        <f t="shared" si="37"/>
        <v>14.505093946361562</v>
      </c>
      <c r="S139" s="1004">
        <f t="shared" si="38"/>
        <v>15.072949670884602</v>
      </c>
      <c r="T139" s="1004">
        <f t="shared" si="39"/>
        <v>15.692806722037412</v>
      </c>
      <c r="V139" s="863" t="s">
        <v>336</v>
      </c>
      <c r="W139" s="1005">
        <f t="shared" ref="W139:X139" si="50">G139+G166+C192</f>
        <v>15099257.894009283</v>
      </c>
      <c r="X139" s="1005">
        <f t="shared" si="50"/>
        <v>15665335.915765081</v>
      </c>
      <c r="Y139" s="1005">
        <f t="shared" si="41"/>
        <v>16305606.570839643</v>
      </c>
      <c r="Z139" s="1005">
        <f t="shared" si="42"/>
        <v>16996514.950591002</v>
      </c>
    </row>
    <row r="140" spans="2:26" x14ac:dyDescent="0.3">
      <c r="B140" s="863" t="s">
        <v>337</v>
      </c>
      <c r="C140" s="1002">
        <v>5376946.5274374168</v>
      </c>
      <c r="D140" s="1002">
        <v>5694020.0803620117</v>
      </c>
      <c r="E140" s="1002">
        <v>6050120.409151691</v>
      </c>
      <c r="F140" s="1002">
        <v>6440588.8255305747</v>
      </c>
      <c r="G140" s="1004">
        <f t="shared" si="43"/>
        <v>4832515.3482981473</v>
      </c>
      <c r="H140" s="1004">
        <f t="shared" si="34"/>
        <v>5117484.2992127081</v>
      </c>
      <c r="I140" s="1004">
        <f t="shared" si="35"/>
        <v>5437528.4535722425</v>
      </c>
      <c r="J140" s="1004">
        <f t="shared" si="36"/>
        <v>5788460.8285824731</v>
      </c>
      <c r="L140" s="863" t="s">
        <v>337</v>
      </c>
      <c r="M140" s="1002">
        <v>164053.02777536327</v>
      </c>
      <c r="N140" s="1002">
        <v>169601.59701693332</v>
      </c>
      <c r="O140" s="1002">
        <v>178460.51205446289</v>
      </c>
      <c r="P140" s="1002">
        <v>187827.82790764002</v>
      </c>
      <c r="Q140" s="1004">
        <f t="shared" si="44"/>
        <v>22.032370101445508</v>
      </c>
      <c r="R140" s="1004">
        <f t="shared" si="37"/>
        <v>22.777544589972244</v>
      </c>
      <c r="S140" s="1004">
        <f t="shared" si="38"/>
        <v>23.967299496973261</v>
      </c>
      <c r="T140" s="1004">
        <f t="shared" si="39"/>
        <v>25.225332783728181</v>
      </c>
      <c r="V140" s="863" t="s">
        <v>337</v>
      </c>
      <c r="W140" s="1005">
        <f t="shared" ref="W140:X140" si="51">G140+G167+C193</f>
        <v>16857843.326677311</v>
      </c>
      <c r="X140" s="1005">
        <f t="shared" si="51"/>
        <v>17531078.065993767</v>
      </c>
      <c r="Y140" s="1005">
        <f t="shared" si="41"/>
        <v>18471876.798794687</v>
      </c>
      <c r="Z140" s="1005">
        <f t="shared" si="42"/>
        <v>19477954.837544903</v>
      </c>
    </row>
    <row r="141" spans="2:26" x14ac:dyDescent="0.3">
      <c r="B141" s="863" t="s">
        <v>338</v>
      </c>
      <c r="C141" s="1002">
        <v>7339147.9655568693</v>
      </c>
      <c r="D141" s="1002">
        <v>7618642.5205186028</v>
      </c>
      <c r="E141" s="1002">
        <v>7926322.9819434825</v>
      </c>
      <c r="F141" s="1002">
        <v>8266160.8461866947</v>
      </c>
      <c r="G141" s="1004">
        <f t="shared" si="43"/>
        <v>6596038.2916226601</v>
      </c>
      <c r="H141" s="1004">
        <f t="shared" si="34"/>
        <v>6847233.2253506035</v>
      </c>
      <c r="I141" s="1004">
        <f t="shared" si="35"/>
        <v>7123760.1620831909</v>
      </c>
      <c r="J141" s="1004">
        <f t="shared" si="36"/>
        <v>7429188.4728368903</v>
      </c>
      <c r="L141" s="863" t="s">
        <v>338</v>
      </c>
      <c r="M141" s="1002">
        <v>25067.119491157093</v>
      </c>
      <c r="N141" s="1002">
        <v>25136.116415962231</v>
      </c>
      <c r="O141" s="1002">
        <v>25232.393981025329</v>
      </c>
      <c r="P141" s="1002">
        <v>25359.453980192669</v>
      </c>
      <c r="Q141" s="1004">
        <f t="shared" si="44"/>
        <v>3.3665215540098168</v>
      </c>
      <c r="R141" s="1004">
        <f t="shared" si="37"/>
        <v>3.3757878613970229</v>
      </c>
      <c r="S141" s="1004">
        <f t="shared" si="38"/>
        <v>3.3887179668312286</v>
      </c>
      <c r="T141" s="1004">
        <f t="shared" si="39"/>
        <v>3.4057821622606324</v>
      </c>
      <c r="V141" s="863" t="s">
        <v>338</v>
      </c>
      <c r="W141" s="1005">
        <f t="shared" ref="W141:X141" si="52">G141+G168+C194</f>
        <v>8625474.3040976543</v>
      </c>
      <c r="X141" s="1005">
        <f t="shared" si="52"/>
        <v>8881522.1390169337</v>
      </c>
      <c r="Y141" s="1005">
        <f t="shared" si="41"/>
        <v>9165008.9169527981</v>
      </c>
      <c r="Z141" s="1005">
        <f t="shared" si="42"/>
        <v>9479790.356382573</v>
      </c>
    </row>
    <row r="142" spans="2:26" x14ac:dyDescent="0.3">
      <c r="B142" s="863" t="s">
        <v>339</v>
      </c>
      <c r="C142" s="1002">
        <v>8148586.5190594615</v>
      </c>
      <c r="D142" s="1002">
        <v>8414061.8918793462</v>
      </c>
      <c r="E142" s="1002">
        <v>8765597.7584325317</v>
      </c>
      <c r="F142" s="1002">
        <v>9118846.0264943298</v>
      </c>
      <c r="G142" s="1004">
        <f t="shared" si="43"/>
        <v>7323518.8818322411</v>
      </c>
      <c r="H142" s="1004">
        <f t="shared" si="34"/>
        <v>7562114.1156142456</v>
      </c>
      <c r="I142" s="1004">
        <f t="shared" si="35"/>
        <v>7878055.9725635247</v>
      </c>
      <c r="J142" s="1004">
        <f t="shared" si="36"/>
        <v>8195536.8454822944</v>
      </c>
      <c r="L142" s="863" t="s">
        <v>339</v>
      </c>
      <c r="M142" s="1002">
        <v>17587.087849588719</v>
      </c>
      <c r="N142" s="1002">
        <v>17674.402088279854</v>
      </c>
      <c r="O142" s="1002">
        <v>17817.90584061934</v>
      </c>
      <c r="P142" s="1002">
        <v>17946.138275070574</v>
      </c>
      <c r="Q142" s="1004">
        <f t="shared" si="44"/>
        <v>2.3619510944921727</v>
      </c>
      <c r="R142" s="1004">
        <f t="shared" si="37"/>
        <v>2.3736774225463142</v>
      </c>
      <c r="S142" s="1004">
        <f t="shared" si="38"/>
        <v>2.3929500188852191</v>
      </c>
      <c r="T142" s="1004">
        <f t="shared" si="39"/>
        <v>2.4101716727196578</v>
      </c>
      <c r="V142" s="863" t="s">
        <v>339</v>
      </c>
      <c r="W142" s="1005">
        <f t="shared" ref="W142:X142" si="53">G142+G169+C195</f>
        <v>8728377.877203377</v>
      </c>
      <c r="X142" s="1005">
        <f t="shared" si="53"/>
        <v>8974837.5018969625</v>
      </c>
      <c r="Y142" s="1005">
        <f t="shared" si="41"/>
        <v>9303627.4128658399</v>
      </c>
      <c r="Z142" s="1005">
        <f t="shared" si="42"/>
        <v>9632548.9297613464</v>
      </c>
    </row>
    <row r="143" spans="2:26" x14ac:dyDescent="0.3">
      <c r="B143" s="863" t="s">
        <v>340</v>
      </c>
      <c r="C143" s="1002">
        <v>11007500.837321483</v>
      </c>
      <c r="D143" s="1002">
        <v>11295110.038319204</v>
      </c>
      <c r="E143" s="1002">
        <v>11611285.136725776</v>
      </c>
      <c r="F143" s="1002">
        <v>11978267.448006146</v>
      </c>
      <c r="G143" s="1004">
        <f t="shared" si="43"/>
        <v>9892959.967394786</v>
      </c>
      <c r="H143" s="1004">
        <f t="shared" si="34"/>
        <v>10151447.91609225</v>
      </c>
      <c r="I143" s="1004">
        <f t="shared" si="35"/>
        <v>10435609.383572498</v>
      </c>
      <c r="J143" s="1004">
        <f t="shared" si="36"/>
        <v>10765433.688643562</v>
      </c>
      <c r="L143" s="863" t="s">
        <v>340</v>
      </c>
      <c r="M143" s="1002">
        <v>23725.827848573761</v>
      </c>
      <c r="N143" s="1002">
        <v>24315.61387844017</v>
      </c>
      <c r="O143" s="1002">
        <v>25003.858455075213</v>
      </c>
      <c r="P143" s="1002">
        <v>25815.984753954181</v>
      </c>
      <c r="Q143" s="1004">
        <f t="shared" si="44"/>
        <v>3.1863856901119747</v>
      </c>
      <c r="R143" s="1004">
        <f t="shared" si="37"/>
        <v>3.265594128181597</v>
      </c>
      <c r="S143" s="1004">
        <f t="shared" si="38"/>
        <v>3.3580255781728732</v>
      </c>
      <c r="T143" s="1004">
        <f t="shared" si="39"/>
        <v>3.4670943800636826</v>
      </c>
      <c r="V143" s="863" t="s">
        <v>340</v>
      </c>
      <c r="W143" s="1005">
        <f t="shared" ref="W143:X143" si="54">G143+G170+C196</f>
        <v>11881412.824564323</v>
      </c>
      <c r="X143" s="1005">
        <f t="shared" si="54"/>
        <v>12183415.729680039</v>
      </c>
      <c r="Y143" s="1005">
        <f t="shared" si="41"/>
        <v>12518090.114567863</v>
      </c>
      <c r="Z143" s="1005">
        <f t="shared" si="42"/>
        <v>12907587.769059565</v>
      </c>
    </row>
    <row r="144" spans="2:26" x14ac:dyDescent="0.3">
      <c r="B144" s="863" t="s">
        <v>341</v>
      </c>
      <c r="C144" s="1002">
        <v>13654298.716924591</v>
      </c>
      <c r="D144" s="1002">
        <v>14287623.81735754</v>
      </c>
      <c r="E144" s="1002">
        <v>15064895.268020898</v>
      </c>
      <c r="F144" s="1002">
        <v>15749860.42578385</v>
      </c>
      <c r="G144" s="1004">
        <f t="shared" si="43"/>
        <v>12271762.008991597</v>
      </c>
      <c r="H144" s="1004">
        <f t="shared" si="34"/>
        <v>12840961.135798484</v>
      </c>
      <c r="I144" s="1004">
        <f t="shared" si="35"/>
        <v>13539531.634120844</v>
      </c>
      <c r="J144" s="1004">
        <f t="shared" si="36"/>
        <v>14155142.11509702</v>
      </c>
      <c r="L144" s="863" t="s">
        <v>341</v>
      </c>
      <c r="M144" s="1002">
        <v>94818.285380858899</v>
      </c>
      <c r="N144" s="1002">
        <v>96745.165726799736</v>
      </c>
      <c r="O144" s="1002">
        <v>99901.794798914896</v>
      </c>
      <c r="P144" s="1002">
        <v>102243.70414221192</v>
      </c>
      <c r="Q144" s="1004">
        <f t="shared" si="44"/>
        <v>12.734123741721582</v>
      </c>
      <c r="R144" s="1004">
        <f t="shared" si="37"/>
        <v>12.992904341498756</v>
      </c>
      <c r="S144" s="1004">
        <f t="shared" si="38"/>
        <v>13.4168405585435</v>
      </c>
      <c r="T144" s="1004">
        <f t="shared" si="39"/>
        <v>13.731359675290348</v>
      </c>
      <c r="V144" s="863" t="s">
        <v>341</v>
      </c>
      <c r="W144" s="1005">
        <f t="shared" ref="W144:X144" si="55">G144+G171+C197</f>
        <v>19437526.768037081</v>
      </c>
      <c r="X144" s="1005">
        <f t="shared" si="55"/>
        <v>20148970.866213314</v>
      </c>
      <c r="Y144" s="1005">
        <f t="shared" si="41"/>
        <v>21078831.571926475</v>
      </c>
      <c r="Z144" s="1005">
        <f t="shared" si="42"/>
        <v>21864846.541440148</v>
      </c>
    </row>
    <row r="145" spans="2:28" x14ac:dyDescent="0.3">
      <c r="B145" s="863" t="s">
        <v>342</v>
      </c>
      <c r="C145" s="1002">
        <v>12238952.290727377</v>
      </c>
      <c r="D145" s="1002">
        <v>12658667.357775262</v>
      </c>
      <c r="E145" s="1002">
        <v>13155090.989514437</v>
      </c>
      <c r="F145" s="1002">
        <v>13648200.73195032</v>
      </c>
      <c r="G145" s="1004">
        <f t="shared" si="43"/>
        <v>10999723.447169285</v>
      </c>
      <c r="H145" s="1004">
        <f t="shared" si="34"/>
        <v>11376941.166012315</v>
      </c>
      <c r="I145" s="1004">
        <f t="shared" si="35"/>
        <v>11823100.488482049</v>
      </c>
      <c r="J145" s="1004">
        <f t="shared" si="36"/>
        <v>12266281.462396707</v>
      </c>
      <c r="L145" s="863" t="s">
        <v>342</v>
      </c>
      <c r="M145" s="1002">
        <v>61328.818021257888</v>
      </c>
      <c r="N145" s="1002">
        <v>62092.575293192509</v>
      </c>
      <c r="O145" s="1002">
        <v>63192.363341484437</v>
      </c>
      <c r="P145" s="1002">
        <v>64203.081793824742</v>
      </c>
      <c r="Q145" s="1004">
        <f t="shared" si="44"/>
        <v>8.2364783805073714</v>
      </c>
      <c r="R145" s="1004">
        <f t="shared" si="37"/>
        <v>8.3390512077884118</v>
      </c>
      <c r="S145" s="1004">
        <f t="shared" si="38"/>
        <v>8.4867530676181087</v>
      </c>
      <c r="T145" s="1004">
        <f t="shared" si="39"/>
        <v>8.6224928543949417</v>
      </c>
      <c r="V145" s="863" t="s">
        <v>342</v>
      </c>
      <c r="W145" s="1005">
        <f t="shared" ref="W145:X145" si="56">G145+G172+C198</f>
        <v>15669269.595996255</v>
      </c>
      <c r="X145" s="1005">
        <f t="shared" si="56"/>
        <v>16104693.296107512</v>
      </c>
      <c r="Y145" s="1005">
        <f t="shared" si="41"/>
        <v>16633883.840346329</v>
      </c>
      <c r="Z145" s="1005">
        <f t="shared" si="42"/>
        <v>17153053.01065962</v>
      </c>
    </row>
    <row r="146" spans="2:28" x14ac:dyDescent="0.3">
      <c r="B146" s="863" t="s">
        <v>343</v>
      </c>
      <c r="C146" s="1002">
        <v>9467780.7679612152</v>
      </c>
      <c r="D146" s="1002">
        <v>9756987.7552131657</v>
      </c>
      <c r="E146" s="1002">
        <v>10102160.074584376</v>
      </c>
      <c r="F146" s="1002">
        <v>10457338.361897904</v>
      </c>
      <c r="G146" s="1004">
        <f t="shared" si="43"/>
        <v>8509140.9486826304</v>
      </c>
      <c r="H146" s="1004">
        <f t="shared" si="34"/>
        <v>8769064.9032167643</v>
      </c>
      <c r="I146" s="1004">
        <f t="shared" si="35"/>
        <v>9079287.5402947683</v>
      </c>
      <c r="J146" s="1004">
        <f t="shared" si="36"/>
        <v>9398503.0125086773</v>
      </c>
      <c r="L146" s="863" t="s">
        <v>343</v>
      </c>
      <c r="M146" s="1002">
        <v>50374.560074355191</v>
      </c>
      <c r="N146" s="1002">
        <v>51142.198948553545</v>
      </c>
      <c r="O146" s="1002">
        <v>52358.424899503072</v>
      </c>
      <c r="P146" s="1002">
        <v>53549.874459427374</v>
      </c>
      <c r="Q146" s="1004">
        <f t="shared" si="44"/>
        <v>6.7653183016861655</v>
      </c>
      <c r="R146" s="1004">
        <f t="shared" si="37"/>
        <v>6.8684124292980853</v>
      </c>
      <c r="S146" s="1004">
        <f t="shared" si="38"/>
        <v>7.0317519338575174</v>
      </c>
      <c r="T146" s="1004">
        <f t="shared" si="39"/>
        <v>7.1917639617818123</v>
      </c>
      <c r="V146" s="863" t="s">
        <v>343</v>
      </c>
      <c r="W146" s="1005">
        <f t="shared" ref="W146:X146" si="57">G146+G173+C199</f>
        <v>12240596.037991896</v>
      </c>
      <c r="X146" s="1005">
        <f t="shared" si="57"/>
        <v>12557713.61578647</v>
      </c>
      <c r="Y146" s="1005">
        <f t="shared" si="41"/>
        <v>12957759.900738824</v>
      </c>
      <c r="Z146" s="1005">
        <f t="shared" si="42"/>
        <v>13364637.926583774</v>
      </c>
    </row>
    <row r="147" spans="2:28" x14ac:dyDescent="0.3">
      <c r="B147" s="863" t="s">
        <v>344</v>
      </c>
      <c r="C147" s="1002">
        <v>12591749.534715766</v>
      </c>
      <c r="D147" s="1002">
        <v>13091148.866455751</v>
      </c>
      <c r="E147" s="1002">
        <v>13854940.309372075</v>
      </c>
      <c r="F147" s="1002">
        <v>14567757.682454381</v>
      </c>
      <c r="G147" s="1004">
        <f t="shared" si="43"/>
        <v>11316798.963489085</v>
      </c>
      <c r="H147" s="1004">
        <f t="shared" si="34"/>
        <v>11765632.687843323</v>
      </c>
      <c r="I147" s="1004">
        <f t="shared" si="35"/>
        <v>12452088.067668539</v>
      </c>
      <c r="J147" s="1004">
        <f t="shared" si="36"/>
        <v>13092730.647686068</v>
      </c>
      <c r="L147" s="863" t="s">
        <v>344</v>
      </c>
      <c r="M147" s="1002">
        <v>79558.721953379121</v>
      </c>
      <c r="N147" s="1002">
        <v>81778.968804780379</v>
      </c>
      <c r="O147" s="1002">
        <v>86620.145213721058</v>
      </c>
      <c r="P147" s="1002">
        <v>91001.026515745296</v>
      </c>
      <c r="Q147" s="1004">
        <f t="shared" si="44"/>
        <v>10.68475986481052</v>
      </c>
      <c r="R147" s="1004">
        <f t="shared" si="37"/>
        <v>10.982939672949286</v>
      </c>
      <c r="S147" s="1004">
        <f t="shared" si="38"/>
        <v>11.633111095047147</v>
      </c>
      <c r="T147" s="1004">
        <f t="shared" si="39"/>
        <v>12.221464748287039</v>
      </c>
      <c r="V147" s="863" t="s">
        <v>344</v>
      </c>
      <c r="W147" s="1005">
        <f t="shared" ref="W147:X147" si="58">G147+G174+C200</f>
        <v>17137000.133997668</v>
      </c>
      <c r="X147" s="1005">
        <f t="shared" si="58"/>
        <v>17750290.269561056</v>
      </c>
      <c r="Y147" s="1005">
        <f t="shared" si="41"/>
        <v>18791895.098461173</v>
      </c>
      <c r="Z147" s="1005">
        <f t="shared" si="42"/>
        <v>19752945.383793734</v>
      </c>
    </row>
    <row r="148" spans="2:28" x14ac:dyDescent="0.3">
      <c r="B148" s="863" t="s">
        <v>345</v>
      </c>
      <c r="C148" s="1002">
        <v>7847672.2157646706</v>
      </c>
      <c r="D148" s="1002">
        <v>8016631.9325270522</v>
      </c>
      <c r="E148" s="1002">
        <v>8198078.3385052271</v>
      </c>
      <c r="F148" s="1002">
        <v>8401628.8120817691</v>
      </c>
      <c r="G148" s="1004">
        <f t="shared" si="43"/>
        <v>7053073.01041169</v>
      </c>
      <c r="H148" s="1004">
        <f t="shared" si="34"/>
        <v>7204925.0737215793</v>
      </c>
      <c r="I148" s="1004">
        <f t="shared" si="35"/>
        <v>7367999.5133331185</v>
      </c>
      <c r="J148" s="1004">
        <f t="shared" si="36"/>
        <v>7550939.9206242422</v>
      </c>
      <c r="L148" s="863" t="s">
        <v>345</v>
      </c>
      <c r="M148" s="1002">
        <v>21096.488064718382</v>
      </c>
      <c r="N148" s="1002">
        <v>21486.901633659818</v>
      </c>
      <c r="O148" s="1002">
        <v>21917.074459053802</v>
      </c>
      <c r="P148" s="1002">
        <v>22415.680795305219</v>
      </c>
      <c r="Q148" s="1004">
        <f t="shared" si="44"/>
        <v>2.8332645802737551</v>
      </c>
      <c r="R148" s="1004">
        <f t="shared" si="37"/>
        <v>2.885697237934437</v>
      </c>
      <c r="S148" s="1004">
        <f t="shared" si="38"/>
        <v>2.9434695754839915</v>
      </c>
      <c r="T148" s="1004">
        <f t="shared" si="39"/>
        <v>3.0104325537611092</v>
      </c>
      <c r="V148" s="863" t="s">
        <v>345</v>
      </c>
      <c r="W148" s="1005">
        <f t="shared" ref="W148:X148" si="59">G148+G175+C201</f>
        <v>8700807.5321963057</v>
      </c>
      <c r="X148" s="1005">
        <f t="shared" si="59"/>
        <v>8877871.6827402133</v>
      </c>
      <c r="Y148" s="1005">
        <f t="shared" si="41"/>
        <v>9068724.4929481</v>
      </c>
      <c r="Z148" s="1005">
        <f t="shared" si="42"/>
        <v>9284199.5246065296</v>
      </c>
    </row>
    <row r="149" spans="2:28" x14ac:dyDescent="0.3">
      <c r="B149" s="863" t="s">
        <v>346</v>
      </c>
      <c r="C149" s="1002">
        <v>5563212.4412855804</v>
      </c>
      <c r="D149" s="1002">
        <v>5616617.2775544627</v>
      </c>
      <c r="E149" s="1002">
        <v>5673072.8977079038</v>
      </c>
      <c r="F149" s="1002">
        <v>5735098.8563744072</v>
      </c>
      <c r="G149" s="1004">
        <f t="shared" si="43"/>
        <v>4999921.306855266</v>
      </c>
      <c r="H149" s="1004">
        <f t="shared" si="34"/>
        <v>5047918.7510600388</v>
      </c>
      <c r="I149" s="1004">
        <f t="shared" si="35"/>
        <v>5098658.0785755794</v>
      </c>
      <c r="J149" s="1004">
        <f t="shared" si="36"/>
        <v>5154403.7319346499</v>
      </c>
      <c r="L149" s="863" t="s">
        <v>346</v>
      </c>
      <c r="M149" s="1002">
        <v>31635.528604989602</v>
      </c>
      <c r="N149" s="1002">
        <v>31714.570520944599</v>
      </c>
      <c r="O149" s="1002">
        <v>31837.632126135071</v>
      </c>
      <c r="P149" s="1002">
        <v>31984.218593659352</v>
      </c>
      <c r="Q149" s="1004">
        <f t="shared" si="44"/>
        <v>4.2486608387039491</v>
      </c>
      <c r="R149" s="1004">
        <f t="shared" si="37"/>
        <v>4.2592761913704811</v>
      </c>
      <c r="S149" s="1004">
        <f t="shared" si="38"/>
        <v>4.2758034013074226</v>
      </c>
      <c r="T149" s="1004">
        <f t="shared" si="39"/>
        <v>4.2954900072064675</v>
      </c>
      <c r="V149" s="863" t="s">
        <v>346</v>
      </c>
      <c r="W149" s="1005">
        <f t="shared" ref="W149:X149" si="60">G149+G176+C202</f>
        <v>8203056.8025164902</v>
      </c>
      <c r="X149" s="1005">
        <f t="shared" si="60"/>
        <v>8256839.6801718231</v>
      </c>
      <c r="Y149" s="1005">
        <f t="shared" si="41"/>
        <v>8316470.2179524023</v>
      </c>
      <c r="Z149" s="1005">
        <f t="shared" si="42"/>
        <v>8382807.6127079781</v>
      </c>
    </row>
    <row r="150" spans="2:28" x14ac:dyDescent="0.3">
      <c r="B150" s="863" t="s">
        <v>347</v>
      </c>
      <c r="C150" s="1002">
        <v>3934252.1561054769</v>
      </c>
      <c r="D150" s="1002">
        <v>4064220.6212022007</v>
      </c>
      <c r="E150" s="1002">
        <v>4232151.8958622059</v>
      </c>
      <c r="F150" s="1002">
        <v>4373394.6824529255</v>
      </c>
      <c r="G150" s="1004">
        <f t="shared" si="43"/>
        <v>3535897.8988239686</v>
      </c>
      <c r="H150" s="1004">
        <f t="shared" si="34"/>
        <v>3652706.6859617499</v>
      </c>
      <c r="I150" s="1004">
        <f t="shared" si="35"/>
        <v>3803634.439866811</v>
      </c>
      <c r="J150" s="1004">
        <f t="shared" si="36"/>
        <v>3930575.9912757943</v>
      </c>
      <c r="L150" s="863" t="s">
        <v>347</v>
      </c>
      <c r="M150" s="1002">
        <v>18649.284533687991</v>
      </c>
      <c r="N150" s="1002">
        <v>19146.638987581478</v>
      </c>
      <c r="O150" s="1002">
        <v>19842.576410717826</v>
      </c>
      <c r="P150" s="1002">
        <v>20380.134551619387</v>
      </c>
      <c r="Q150" s="1004">
        <f t="shared" si="44"/>
        <v>2.5046044230040279</v>
      </c>
      <c r="R150" s="1004">
        <f t="shared" si="37"/>
        <v>2.5713992731105937</v>
      </c>
      <c r="S150" s="1004">
        <f t="shared" si="38"/>
        <v>2.664863874659928</v>
      </c>
      <c r="T150" s="1004">
        <f t="shared" si="39"/>
        <v>2.7370580918102854</v>
      </c>
      <c r="V150" s="863" t="s">
        <v>347</v>
      </c>
      <c r="W150" s="1005">
        <f t="shared" ref="W150:X150" si="61">G150+G177+C203</f>
        <v>4997118.7511682957</v>
      </c>
      <c r="X150" s="1005">
        <f t="shared" si="61"/>
        <v>5153800.0264580343</v>
      </c>
      <c r="Y150" s="1005">
        <f t="shared" si="41"/>
        <v>5360183.9621618614</v>
      </c>
      <c r="Z150" s="1005">
        <f t="shared" si="42"/>
        <v>5529725.3741212599</v>
      </c>
    </row>
    <row r="151" spans="2:28" x14ac:dyDescent="0.3">
      <c r="B151" s="863" t="s">
        <v>348</v>
      </c>
      <c r="C151" s="1002">
        <v>6640531.2545250673</v>
      </c>
      <c r="D151" s="1002">
        <v>6727737.0145277902</v>
      </c>
      <c r="E151" s="1002">
        <v>6837552.6060180273</v>
      </c>
      <c r="F151" s="1002">
        <v>6918085.156413896</v>
      </c>
      <c r="G151" s="1004">
        <f t="shared" si="43"/>
        <v>5968158.5161011154</v>
      </c>
      <c r="H151" s="1004">
        <f t="shared" si="34"/>
        <v>6046534.4440599913</v>
      </c>
      <c r="I151" s="1004">
        <f t="shared" si="35"/>
        <v>6145230.8935506148</v>
      </c>
      <c r="J151" s="1004">
        <f t="shared" si="36"/>
        <v>6217609.2934174826</v>
      </c>
      <c r="L151" s="863" t="s">
        <v>348</v>
      </c>
      <c r="M151" s="1002">
        <v>21441.949946787721</v>
      </c>
      <c r="N151" s="1002">
        <v>21593.443476988632</v>
      </c>
      <c r="O151" s="1002">
        <v>21807.238685563272</v>
      </c>
      <c r="P151" s="1002">
        <v>21933.313477535703</v>
      </c>
      <c r="Q151" s="1004">
        <f t="shared" si="44"/>
        <v>2.8796602131060598</v>
      </c>
      <c r="R151" s="1004">
        <f t="shared" si="37"/>
        <v>2.9000058389724193</v>
      </c>
      <c r="S151" s="1004">
        <f t="shared" si="38"/>
        <v>2.9287185986520647</v>
      </c>
      <c r="T151" s="1004">
        <f t="shared" si="39"/>
        <v>2.9456504804641019</v>
      </c>
      <c r="V151" s="863" t="s">
        <v>348</v>
      </c>
      <c r="W151" s="1005">
        <f t="shared" ref="W151:X151" si="62">G151+G178+C204</f>
        <v>7414507.1534345131</v>
      </c>
      <c r="X151" s="1005">
        <f t="shared" si="62"/>
        <v>7505258.7611688599</v>
      </c>
      <c r="Y151" s="1005">
        <f t="shared" si="41"/>
        <v>7621360.3378586583</v>
      </c>
      <c r="Z151" s="1005">
        <f t="shared" si="42"/>
        <v>7703630.6897009406</v>
      </c>
    </row>
    <row r="152" spans="2:28" x14ac:dyDescent="0.3">
      <c r="B152" s="863" t="s">
        <v>349</v>
      </c>
      <c r="C152" s="1002">
        <v>4756359.3007935211</v>
      </c>
      <c r="D152" s="1002">
        <v>4911001.4095966052</v>
      </c>
      <c r="E152" s="1002">
        <v>5080776.3990684003</v>
      </c>
      <c r="F152" s="1002">
        <v>5266917.3392260866</v>
      </c>
      <c r="G152" s="1004">
        <f t="shared" si="43"/>
        <v>4274764.3492113687</v>
      </c>
      <c r="H152" s="1004">
        <f t="shared" si="34"/>
        <v>4413748.5032234509</v>
      </c>
      <c r="I152" s="1004">
        <f t="shared" si="35"/>
        <v>4566333.2905545272</v>
      </c>
      <c r="J152" s="1004">
        <f t="shared" si="36"/>
        <v>4733626.9293639446</v>
      </c>
      <c r="L152" s="863" t="s">
        <v>349</v>
      </c>
      <c r="M152" s="1002">
        <v>28569.013520082284</v>
      </c>
      <c r="N152" s="1002">
        <v>28747.839053341268</v>
      </c>
      <c r="O152" s="1002">
        <v>28983.184605121347</v>
      </c>
      <c r="P152" s="1002">
        <v>29273.050670459517</v>
      </c>
      <c r="Q152" s="1004">
        <f t="shared" si="44"/>
        <v>3.8368269567663558</v>
      </c>
      <c r="R152" s="1004">
        <f t="shared" si="37"/>
        <v>3.8608432787189457</v>
      </c>
      <c r="S152" s="1004">
        <f t="shared" si="38"/>
        <v>3.89245025585836</v>
      </c>
      <c r="T152" s="1004">
        <f t="shared" si="39"/>
        <v>3.9313793540772926</v>
      </c>
      <c r="V152" s="863" t="s">
        <v>349</v>
      </c>
      <c r="W152" s="1005">
        <f t="shared" ref="W152:X152" si="63">G152+G179+C205</f>
        <v>6580593.8660675688</v>
      </c>
      <c r="X152" s="1005">
        <f t="shared" si="63"/>
        <v>6731526.5465739751</v>
      </c>
      <c r="Y152" s="1005">
        <f t="shared" si="41"/>
        <v>6900325.673293205</v>
      </c>
      <c r="Z152" s="1005">
        <f t="shared" si="42"/>
        <v>7087942.7216851581</v>
      </c>
    </row>
    <row r="153" spans="2:28" ht="15" thickBot="1" x14ac:dyDescent="0.35">
      <c r="B153" s="877" t="s">
        <v>350</v>
      </c>
      <c r="C153" s="1002">
        <v>6469689.6868498456</v>
      </c>
      <c r="D153" s="1002">
        <v>6540448.9743249267</v>
      </c>
      <c r="E153" s="1002">
        <v>6619680.6139313187</v>
      </c>
      <c r="F153" s="1002">
        <v>6692390.0410001092</v>
      </c>
      <c r="G153" s="1004">
        <f t="shared" si="43"/>
        <v>5814615.1446532141</v>
      </c>
      <c r="H153" s="1004">
        <f t="shared" si="34"/>
        <v>5878209.8523582472</v>
      </c>
      <c r="I153" s="1004">
        <f t="shared" si="35"/>
        <v>5949419.0623652497</v>
      </c>
      <c r="J153" s="1004">
        <f t="shared" si="36"/>
        <v>6014766.4524653619</v>
      </c>
      <c r="L153" s="877" t="s">
        <v>350</v>
      </c>
      <c r="M153" s="1002">
        <v>30455.925308076952</v>
      </c>
      <c r="N153" s="1002">
        <v>30728.898499220122</v>
      </c>
      <c r="O153" s="1002">
        <v>31118.403219009386</v>
      </c>
      <c r="P153" s="1002">
        <v>31444.797204494098</v>
      </c>
      <c r="Q153" s="1004">
        <f t="shared" si="44"/>
        <v>4.0902397674022231</v>
      </c>
      <c r="R153" s="1004">
        <f t="shared" si="37"/>
        <v>4.1269001476255873</v>
      </c>
      <c r="S153" s="1004">
        <f t="shared" si="38"/>
        <v>4.1792107465766035</v>
      </c>
      <c r="T153" s="1004">
        <f t="shared" si="39"/>
        <v>4.2230455552637789</v>
      </c>
      <c r="V153" s="877" t="s">
        <v>350</v>
      </c>
      <c r="W153" s="1005">
        <f t="shared" ref="W153:X153" si="64">G153+G180+C206</f>
        <v>8067633.6644707713</v>
      </c>
      <c r="X153" s="1005">
        <f t="shared" si="64"/>
        <v>8152154.6386357872</v>
      </c>
      <c r="Y153" s="1005">
        <f t="shared" si="41"/>
        <v>8252611.71542479</v>
      </c>
      <c r="Z153" s="1005">
        <f t="shared" si="42"/>
        <v>8342036.2546699056</v>
      </c>
    </row>
    <row r="154" spans="2:28" ht="15" thickTop="1" x14ac:dyDescent="0.3">
      <c r="B154" s="879" t="s">
        <v>351</v>
      </c>
      <c r="C154" s="1002">
        <f>SUM(C133:C153)</f>
        <v>178783830.61039606</v>
      </c>
      <c r="D154" s="1002">
        <f t="shared" ref="D154" si="65">SUM(D133:D153)</f>
        <v>184065802.21728694</v>
      </c>
      <c r="E154" s="1002">
        <f t="shared" ref="E154" si="66">SUM(E133:E153)</f>
        <v>190523811.86573789</v>
      </c>
      <c r="F154" s="1002">
        <f t="shared" ref="F154" si="67">SUM(F133:F153)</f>
        <v>196960248.34168214</v>
      </c>
      <c r="G154" s="1002">
        <f t="shared" ref="G154" si="68">SUM(G133:G153)</f>
        <v>160681457.59746557</v>
      </c>
      <c r="H154" s="1002">
        <f t="shared" ref="H154" si="69">SUM(H133:H153)</f>
        <v>165428614.50693563</v>
      </c>
      <c r="I154" s="1002">
        <f t="shared" ref="I154" si="70">SUM(I133:I153)</f>
        <v>171232732.25040698</v>
      </c>
      <c r="J154" s="1002">
        <f t="shared" ref="J154" si="71">SUM(J133:J153)</f>
        <v>177017461.16664764</v>
      </c>
      <c r="L154" s="879" t="s">
        <v>351</v>
      </c>
      <c r="M154" s="1002">
        <f t="shared" ref="M154:P154" si="72">SUM(M133:M153)</f>
        <v>1162660.4260271224</v>
      </c>
      <c r="N154" s="1002">
        <f t="shared" si="72"/>
        <v>1184990.3009772294</v>
      </c>
      <c r="O154" s="1002">
        <f t="shared" si="72"/>
        <v>1220179.5724307685</v>
      </c>
      <c r="P154" s="1002">
        <f t="shared" si="72"/>
        <v>1254282.3024561969</v>
      </c>
      <c r="Q154" s="1002">
        <f t="shared" ref="Q154" si="73">SUM(Q133:Q153)</f>
        <v>156.14563873584774</v>
      </c>
      <c r="R154" s="1002">
        <f t="shared" ref="R154" si="74">SUM(R133:R153)</f>
        <v>159.1445475392465</v>
      </c>
      <c r="S154" s="1002">
        <f t="shared" ref="S154" si="75">SUM(S133:S153)</f>
        <v>163.87047709250183</v>
      </c>
      <c r="T154" s="1002">
        <f t="shared" ref="T154" si="76">SUM(T133:T153)</f>
        <v>168.45048381093167</v>
      </c>
      <c r="V154" s="879" t="s">
        <v>351</v>
      </c>
      <c r="W154" s="1002">
        <f t="shared" ref="W154" si="77">SUM(W133:W153)</f>
        <v>248981248.37265724</v>
      </c>
      <c r="X154" s="1002">
        <f t="shared" ref="X154" si="78">SUM(X133:X153)</f>
        <v>255296079.22144619</v>
      </c>
      <c r="Y154" s="1002">
        <f t="shared" ref="Y154" si="79">SUM(Y133:Y153)</f>
        <v>263589040.7453267</v>
      </c>
      <c r="Z154" s="1002">
        <f t="shared" ref="Z154" si="80">SUM(Z133:Z153)</f>
        <v>271766384.60602176</v>
      </c>
    </row>
    <row r="158" spans="2:28" ht="15" customHeight="1" x14ac:dyDescent="0.3">
      <c r="C158" s="1213" t="s">
        <v>1527</v>
      </c>
      <c r="D158" s="1213"/>
      <c r="E158" s="1213"/>
      <c r="F158" s="1213"/>
      <c r="G158" s="1213" t="s">
        <v>1525</v>
      </c>
      <c r="H158" s="1213"/>
      <c r="I158" s="1213"/>
      <c r="J158" s="1213"/>
      <c r="M158" s="1213" t="s">
        <v>1530</v>
      </c>
      <c r="N158" s="1213"/>
      <c r="O158" s="1213"/>
      <c r="P158" s="1213"/>
      <c r="S158" s="1213" t="s">
        <v>1531</v>
      </c>
      <c r="T158" s="1213"/>
      <c r="U158" s="1213"/>
      <c r="V158" s="1213"/>
      <c r="Y158" s="1214" t="s">
        <v>1532</v>
      </c>
      <c r="Z158" s="1215"/>
      <c r="AA158" s="1215"/>
      <c r="AB158" s="1216"/>
    </row>
    <row r="159" spans="2:28" x14ac:dyDescent="0.3">
      <c r="B159" s="885" t="s">
        <v>322</v>
      </c>
      <c r="C159" s="994">
        <v>2010</v>
      </c>
      <c r="D159" s="994">
        <v>2015</v>
      </c>
      <c r="E159" s="994">
        <v>2020</v>
      </c>
      <c r="F159" s="994">
        <v>2025</v>
      </c>
      <c r="G159" s="994">
        <v>2010</v>
      </c>
      <c r="H159" s="994">
        <v>2015</v>
      </c>
      <c r="I159" s="994">
        <v>2020</v>
      </c>
      <c r="J159" s="994">
        <v>2025</v>
      </c>
      <c r="L159" s="885" t="s">
        <v>322</v>
      </c>
      <c r="M159" s="1001">
        <v>2010</v>
      </c>
      <c r="N159" s="1001">
        <v>2015</v>
      </c>
      <c r="O159" s="1001">
        <v>2020</v>
      </c>
      <c r="P159" s="1001">
        <v>2025</v>
      </c>
      <c r="R159" s="885" t="s">
        <v>322</v>
      </c>
      <c r="S159" s="1010">
        <v>2010</v>
      </c>
      <c r="T159" s="1010">
        <v>2015</v>
      </c>
      <c r="U159" s="1010">
        <v>2020</v>
      </c>
      <c r="V159" s="1010">
        <v>2025</v>
      </c>
      <c r="X159" s="885" t="s">
        <v>322</v>
      </c>
      <c r="Y159" s="1008">
        <v>2010</v>
      </c>
      <c r="Z159" s="1008">
        <v>2015</v>
      </c>
      <c r="AA159" s="1008">
        <v>2020</v>
      </c>
      <c r="AB159" s="1008">
        <v>2025</v>
      </c>
    </row>
    <row r="160" spans="2:28" x14ac:dyDescent="0.3">
      <c r="B160" s="860" t="s">
        <v>403</v>
      </c>
      <c r="C160" s="1002">
        <v>170008.89317499998</v>
      </c>
      <c r="D160" s="1002">
        <v>175166.71871819106</v>
      </c>
      <c r="E160" s="1002">
        <v>180445.90486239837</v>
      </c>
      <c r="F160" s="1002">
        <v>186331.89401168696</v>
      </c>
      <c r="G160" s="1004">
        <f>C160*1.03557175</f>
        <v>176056.40702079778</v>
      </c>
      <c r="H160" s="1004">
        <f t="shared" ref="H160:H180" si="81">D160*1.03557175</f>
        <v>181397.70544475486</v>
      </c>
      <c r="I160" s="1004">
        <f t="shared" ref="I160:I180" si="82">E160*1.03557175</f>
        <v>186864.68147868736</v>
      </c>
      <c r="J160" s="1004">
        <f t="shared" ref="J160:J180" si="83">F160*1.03557175</f>
        <v>192960.04556249717</v>
      </c>
      <c r="L160" s="860" t="s">
        <v>403</v>
      </c>
      <c r="M160" s="1002">
        <f>M106+M133</f>
        <v>247000.4873455317</v>
      </c>
      <c r="N160" s="1002">
        <f t="shared" ref="N160:P160" si="84">N106+N133</f>
        <v>254540.45615609089</v>
      </c>
      <c r="O160" s="1002">
        <f t="shared" si="84"/>
        <v>263175.48303685791</v>
      </c>
      <c r="P160" s="1002">
        <f t="shared" si="84"/>
        <v>272844.09996385348</v>
      </c>
      <c r="R160" s="860" t="s">
        <v>403</v>
      </c>
      <c r="S160" s="1011">
        <v>247000.4873455317</v>
      </c>
      <c r="T160" s="1011">
        <v>254540.45615609089</v>
      </c>
      <c r="U160" s="1011">
        <v>263175.48303685791</v>
      </c>
      <c r="V160" s="1011">
        <v>272844.09996385348</v>
      </c>
      <c r="X160" s="860" t="s">
        <v>403</v>
      </c>
      <c r="Y160" s="1009">
        <v>11927619.738679294</v>
      </c>
      <c r="Z160" s="1009">
        <v>12259836.627556968</v>
      </c>
      <c r="AA160" s="1009">
        <v>12654639.114391109</v>
      </c>
      <c r="AB160" s="1009">
        <v>13096266.444935665</v>
      </c>
    </row>
    <row r="161" spans="2:28" x14ac:dyDescent="0.3">
      <c r="B161" s="863" t="s">
        <v>325</v>
      </c>
      <c r="C161" s="1002">
        <v>541327.25170000002</v>
      </c>
      <c r="D161" s="1002">
        <v>542726.3444957186</v>
      </c>
      <c r="E161" s="1002">
        <v>544612.07826386113</v>
      </c>
      <c r="F161" s="1002">
        <v>546315.32166734466</v>
      </c>
      <c r="G161" s="1004">
        <f t="shared" ref="G161:G180" si="85">C161*1.03557175</f>
        <v>560583.20936565939</v>
      </c>
      <c r="H161" s="1004">
        <f t="shared" si="81"/>
        <v>562032.07034053409</v>
      </c>
      <c r="I161" s="1004">
        <f t="shared" si="82"/>
        <v>563984.88295884361</v>
      </c>
      <c r="J161" s="1004">
        <f t="shared" si="83"/>
        <v>565748.71371086501</v>
      </c>
      <c r="L161" s="863" t="s">
        <v>325</v>
      </c>
      <c r="M161" s="1002">
        <f t="shared" ref="M161:P161" si="86">M107+M134</f>
        <v>454906.81425486109</v>
      </c>
      <c r="N161" s="1002">
        <f t="shared" si="86"/>
        <v>462180.73229339567</v>
      </c>
      <c r="O161" s="1002">
        <f t="shared" si="86"/>
        <v>470387.00159511511</v>
      </c>
      <c r="P161" s="1002">
        <f t="shared" si="86"/>
        <v>478972.04504183086</v>
      </c>
      <c r="R161" s="863" t="s">
        <v>325</v>
      </c>
      <c r="S161" s="1011">
        <v>454906.81425486109</v>
      </c>
      <c r="T161" s="1011">
        <v>462180.73229339567</v>
      </c>
      <c r="U161" s="1011">
        <v>470387.00159511511</v>
      </c>
      <c r="V161" s="1011">
        <v>478972.04504183086</v>
      </c>
      <c r="X161" s="863" t="s">
        <v>325</v>
      </c>
      <c r="Y161" s="1009">
        <v>20504255.027459841</v>
      </c>
      <c r="Z161" s="1009">
        <v>20846775.298969623</v>
      </c>
      <c r="AA161" s="1009">
        <v>21233841.810929827</v>
      </c>
      <c r="AB161" s="1009">
        <v>21639983.784174193</v>
      </c>
    </row>
    <row r="162" spans="2:28" x14ac:dyDescent="0.3">
      <c r="B162" s="863" t="s">
        <v>328</v>
      </c>
      <c r="C162" s="1002">
        <v>1229096.5870500002</v>
      </c>
      <c r="D162" s="1002">
        <v>1236566.5526603705</v>
      </c>
      <c r="E162" s="1002">
        <v>1245964.2513314816</v>
      </c>
      <c r="F162" s="1002">
        <v>1252470.3504114817</v>
      </c>
      <c r="G162" s="1004">
        <f t="shared" si="85"/>
        <v>1272817.7035703959</v>
      </c>
      <c r="H162" s="1004">
        <f t="shared" si="81"/>
        <v>1280553.3889299668</v>
      </c>
      <c r="I162" s="1004">
        <f t="shared" si="82"/>
        <v>1290285.3801887822</v>
      </c>
      <c r="J162" s="1004">
        <f t="shared" si="83"/>
        <v>1297022.9125987312</v>
      </c>
      <c r="L162" s="863" t="s">
        <v>328</v>
      </c>
      <c r="M162" s="1002">
        <f t="shared" ref="M162:P162" si="87">M108+M135</f>
        <v>385533.31989022496</v>
      </c>
      <c r="N162" s="1002">
        <f t="shared" si="87"/>
        <v>394580.23629936471</v>
      </c>
      <c r="O162" s="1002">
        <f t="shared" si="87"/>
        <v>406749.78862732882</v>
      </c>
      <c r="P162" s="1002">
        <f t="shared" si="87"/>
        <v>416528.49131918931</v>
      </c>
      <c r="R162" s="863" t="s">
        <v>328</v>
      </c>
      <c r="S162" s="1011">
        <v>385533.31989022496</v>
      </c>
      <c r="T162" s="1011">
        <v>394580.23629936471</v>
      </c>
      <c r="U162" s="1011">
        <v>406749.78862732882</v>
      </c>
      <c r="V162" s="1011">
        <v>416528.49131918931</v>
      </c>
      <c r="X162" s="863" t="s">
        <v>328</v>
      </c>
      <c r="Y162" s="1009">
        <v>20877340.510647193</v>
      </c>
      <c r="Z162" s="1009">
        <v>21326475.089307155</v>
      </c>
      <c r="AA162" s="1009">
        <v>21952623.603871293</v>
      </c>
      <c r="AB162" s="1009">
        <v>22461148.172832694</v>
      </c>
    </row>
    <row r="163" spans="2:28" x14ac:dyDescent="0.3">
      <c r="B163" s="863" t="s">
        <v>331</v>
      </c>
      <c r="C163" s="1002">
        <v>316517.41027500003</v>
      </c>
      <c r="D163" s="1002">
        <v>318060.26147591748</v>
      </c>
      <c r="E163" s="1002">
        <v>323578.92154073785</v>
      </c>
      <c r="F163" s="1002">
        <v>327554.73040464078</v>
      </c>
      <c r="G163" s="1004">
        <f t="shared" si="85"/>
        <v>327776.48846394976</v>
      </c>
      <c r="H163" s="1004">
        <f t="shared" si="81"/>
        <v>329374.22158207343</v>
      </c>
      <c r="I163" s="1004">
        <f t="shared" si="82"/>
        <v>335089.19004305458</v>
      </c>
      <c r="J163" s="1004">
        <f t="shared" si="83"/>
        <v>339206.42538591201</v>
      </c>
      <c r="L163" s="863" t="s">
        <v>331</v>
      </c>
      <c r="M163" s="1002">
        <f t="shared" ref="M163:P163" si="88">M109+M136</f>
        <v>171766.46790624916</v>
      </c>
      <c r="N163" s="1002">
        <f t="shared" si="88"/>
        <v>175877.64595799756</v>
      </c>
      <c r="O163" s="1002">
        <f t="shared" si="88"/>
        <v>182325.12148225645</v>
      </c>
      <c r="P163" s="1002">
        <f t="shared" si="88"/>
        <v>188344.97861478897</v>
      </c>
      <c r="R163" s="863" t="s">
        <v>331</v>
      </c>
      <c r="S163" s="1011">
        <v>171766.46790624916</v>
      </c>
      <c r="T163" s="1011">
        <v>175877.64595799756</v>
      </c>
      <c r="U163" s="1011">
        <v>182325.12148225645</v>
      </c>
      <c r="V163" s="1011">
        <v>188344.97861478897</v>
      </c>
      <c r="X163" s="863" t="s">
        <v>331</v>
      </c>
      <c r="Y163" s="1009">
        <v>7419156.9307699017</v>
      </c>
      <c r="Z163" s="1009">
        <v>7595960.330441488</v>
      </c>
      <c r="AA163" s="1009">
        <v>7871098.1127152331</v>
      </c>
      <c r="AB163" s="1009">
        <v>8128639.064113291</v>
      </c>
    </row>
    <row r="164" spans="2:28" x14ac:dyDescent="0.3">
      <c r="B164" s="863" t="s">
        <v>333</v>
      </c>
      <c r="C164" s="1002">
        <v>58171.764875000008</v>
      </c>
      <c r="D164" s="1002">
        <v>56604.442712564771</v>
      </c>
      <c r="E164" s="1002">
        <v>56664.724334196901</v>
      </c>
      <c r="F164" s="1002">
        <v>56544.161090932648</v>
      </c>
      <c r="G164" s="1004">
        <f t="shared" si="85"/>
        <v>60241.036352192285</v>
      </c>
      <c r="H164" s="1004">
        <f t="shared" si="81"/>
        <v>58617.961797625438</v>
      </c>
      <c r="I164" s="1004">
        <f t="shared" si="82"/>
        <v>58680.38774203186</v>
      </c>
      <c r="J164" s="1004">
        <f t="shared" si="83"/>
        <v>58555.535853219029</v>
      </c>
      <c r="L164" s="863" t="s">
        <v>333</v>
      </c>
      <c r="M164" s="1002">
        <f t="shared" ref="M164:P164" si="89">M110+M137</f>
        <v>186694.88866288343</v>
      </c>
      <c r="N164" s="1002">
        <f t="shared" si="89"/>
        <v>185516.81953535287</v>
      </c>
      <c r="O164" s="1002">
        <f t="shared" si="89"/>
        <v>186916.71127764357</v>
      </c>
      <c r="P164" s="1002">
        <f t="shared" si="89"/>
        <v>188209.91510527098</v>
      </c>
      <c r="R164" s="863" t="s">
        <v>333</v>
      </c>
      <c r="S164" s="1011">
        <v>186694.88866288343</v>
      </c>
      <c r="T164" s="1011">
        <v>185516.81953535287</v>
      </c>
      <c r="U164" s="1011">
        <v>186916.71127764357</v>
      </c>
      <c r="V164" s="1011">
        <v>188209.91510527098</v>
      </c>
      <c r="X164" s="863" t="s">
        <v>333</v>
      </c>
      <c r="Y164" s="1009">
        <v>9866495.0818169005</v>
      </c>
      <c r="Z164" s="1009">
        <v>9804863.3794431034</v>
      </c>
      <c r="AA164" s="1009">
        <v>9865209.1929066312</v>
      </c>
      <c r="AB164" s="1009">
        <v>9922647.8378690537</v>
      </c>
    </row>
    <row r="165" spans="2:28" x14ac:dyDescent="0.3">
      <c r="B165" s="863" t="s">
        <v>335</v>
      </c>
      <c r="C165" s="1002">
        <v>504812.77135</v>
      </c>
      <c r="D165" s="1002">
        <v>507505.79093593749</v>
      </c>
      <c r="E165" s="1002">
        <v>510438.19004062499</v>
      </c>
      <c r="F165" s="1002">
        <v>513250.89938593749</v>
      </c>
      <c r="G165" s="1004">
        <f t="shared" si="85"/>
        <v>522769.84504926932</v>
      </c>
      <c r="H165" s="1004">
        <f t="shared" si="81"/>
        <v>525558.66005466285</v>
      </c>
      <c r="I165" s="1004">
        <f t="shared" si="82"/>
        <v>528595.36972720257</v>
      </c>
      <c r="J165" s="1004">
        <f t="shared" si="83"/>
        <v>531508.13206616917</v>
      </c>
      <c r="L165" s="863" t="s">
        <v>335</v>
      </c>
      <c r="M165" s="1002">
        <f t="shared" ref="M165:P165" si="90">M111+M138</f>
        <v>163499.12984951836</v>
      </c>
      <c r="N165" s="1002">
        <f t="shared" si="90"/>
        <v>167889.31789225427</v>
      </c>
      <c r="O165" s="1002">
        <f t="shared" si="90"/>
        <v>172903.83924788982</v>
      </c>
      <c r="P165" s="1002">
        <f t="shared" si="90"/>
        <v>178086.89081625576</v>
      </c>
      <c r="R165" s="863" t="s">
        <v>335</v>
      </c>
      <c r="S165" s="1011">
        <v>163499.12984951836</v>
      </c>
      <c r="T165" s="1011">
        <v>167889.31789225427</v>
      </c>
      <c r="U165" s="1011">
        <v>172903.83924788982</v>
      </c>
      <c r="V165" s="1011">
        <v>178086.89081625576</v>
      </c>
      <c r="X165" s="863" t="s">
        <v>335</v>
      </c>
      <c r="Y165" s="1009">
        <v>8745904.5508553311</v>
      </c>
      <c r="Z165" s="1009">
        <v>8986859.7599580362</v>
      </c>
      <c r="AA165" s="1009">
        <v>9265372.2853798978</v>
      </c>
      <c r="AB165" s="1009">
        <v>9557477.4187884629</v>
      </c>
    </row>
    <row r="166" spans="2:28" x14ac:dyDescent="0.3">
      <c r="B166" s="863" t="s">
        <v>336</v>
      </c>
      <c r="C166" s="1002">
        <v>468872.25967499998</v>
      </c>
      <c r="D166" s="1002">
        <v>468444.40074947203</v>
      </c>
      <c r="E166" s="1002">
        <v>468872.25967499998</v>
      </c>
      <c r="F166" s="1002">
        <v>469238.99589688121</v>
      </c>
      <c r="G166" s="1004">
        <f t="shared" si="85"/>
        <v>485550.86647809413</v>
      </c>
      <c r="H166" s="1004">
        <f t="shared" si="81"/>
        <v>485107.78786183201</v>
      </c>
      <c r="I166" s="1004">
        <f t="shared" si="82"/>
        <v>485550.86647809413</v>
      </c>
      <c r="J166" s="1004">
        <f t="shared" si="83"/>
        <v>485930.64814917604</v>
      </c>
      <c r="L166" s="863" t="s">
        <v>336</v>
      </c>
      <c r="M166" s="1002">
        <f t="shared" ref="M166:P166" si="91">M112+M139</f>
        <v>267174.84812021378</v>
      </c>
      <c r="N166" s="1002">
        <f t="shared" si="91"/>
        <v>275123.77118042257</v>
      </c>
      <c r="O166" s="1002">
        <f t="shared" si="91"/>
        <v>284160.84274854057</v>
      </c>
      <c r="P166" s="1002">
        <f t="shared" si="91"/>
        <v>293844.29942309088</v>
      </c>
      <c r="R166" s="863" t="s">
        <v>336</v>
      </c>
      <c r="S166" s="1011">
        <v>267174.84812021378</v>
      </c>
      <c r="T166" s="1011">
        <v>275123.77118042257</v>
      </c>
      <c r="U166" s="1011">
        <v>284160.84274854057</v>
      </c>
      <c r="V166" s="1011">
        <v>293844.29942309088</v>
      </c>
      <c r="X166" s="863" t="s">
        <v>336</v>
      </c>
      <c r="Y166" s="1009">
        <v>15099257.894009283</v>
      </c>
      <c r="Z166" s="1009">
        <v>15665335.915765081</v>
      </c>
      <c r="AA166" s="1009">
        <v>16305606.570839643</v>
      </c>
      <c r="AB166" s="1009">
        <v>16996514.950591002</v>
      </c>
    </row>
    <row r="167" spans="2:28" x14ac:dyDescent="0.3">
      <c r="B167" s="863" t="s">
        <v>337</v>
      </c>
      <c r="C167" s="1002">
        <v>583969.8456</v>
      </c>
      <c r="D167" s="1002">
        <v>592106.14920916036</v>
      </c>
      <c r="E167" s="1002">
        <v>600900.5361984733</v>
      </c>
      <c r="F167" s="1002">
        <v>609994.05199694657</v>
      </c>
      <c r="G167" s="1004">
        <f t="shared" si="85"/>
        <v>604742.67495522171</v>
      </c>
      <c r="H167" s="1004">
        <f t="shared" si="81"/>
        <v>613168.40112229122</v>
      </c>
      <c r="I167" s="1004">
        <f t="shared" si="82"/>
        <v>622275.61984699126</v>
      </c>
      <c r="J167" s="1004">
        <f t="shared" si="83"/>
        <v>631692.60791606887</v>
      </c>
      <c r="L167" s="863" t="s">
        <v>337</v>
      </c>
      <c r="M167" s="1002">
        <f t="shared" ref="M167:P167" si="92">M113+M140</f>
        <v>282524.41931470926</v>
      </c>
      <c r="N167" s="1002">
        <f t="shared" si="92"/>
        <v>294271.91715962358</v>
      </c>
      <c r="O167" s="1002">
        <f t="shared" si="92"/>
        <v>310112.87051546352</v>
      </c>
      <c r="P167" s="1002">
        <f t="shared" si="92"/>
        <v>327026.51723508455</v>
      </c>
      <c r="R167" s="863" t="s">
        <v>337</v>
      </c>
      <c r="S167" s="1011">
        <v>282524.41931470926</v>
      </c>
      <c r="T167" s="1011">
        <v>294271.91715962358</v>
      </c>
      <c r="U167" s="1011">
        <v>310112.87051546352</v>
      </c>
      <c r="V167" s="1011">
        <v>327026.51723508455</v>
      </c>
      <c r="X167" s="863" t="s">
        <v>337</v>
      </c>
      <c r="Y167" s="1009">
        <v>16857843.326677311</v>
      </c>
      <c r="Z167" s="1009">
        <v>17531078.065993767</v>
      </c>
      <c r="AA167" s="1009">
        <v>18471876.798794687</v>
      </c>
      <c r="AB167" s="1009">
        <v>19477954.837544903</v>
      </c>
    </row>
    <row r="168" spans="2:28" x14ac:dyDescent="0.3">
      <c r="B168" s="863" t="s">
        <v>338</v>
      </c>
      <c r="C168" s="1002">
        <v>379338.63795</v>
      </c>
      <c r="D168" s="1002">
        <v>379787.10450390138</v>
      </c>
      <c r="E168" s="1002">
        <v>380555.90431058948</v>
      </c>
      <c r="F168" s="1002">
        <v>381709.10402062157</v>
      </c>
      <c r="G168" s="1004">
        <f t="shared" si="85"/>
        <v>392832.37714449788</v>
      </c>
      <c r="H168" s="1004">
        <f t="shared" si="81"/>
        <v>393296.796438538</v>
      </c>
      <c r="I168" s="1004">
        <f t="shared" si="82"/>
        <v>394092.94379974966</v>
      </c>
      <c r="J168" s="1004">
        <f t="shared" si="83"/>
        <v>395287.16484156705</v>
      </c>
      <c r="L168" s="863" t="s">
        <v>338</v>
      </c>
      <c r="M168" s="1002">
        <f t="shared" ref="M168:P168" si="93">M114+M141</f>
        <v>205469.52551121431</v>
      </c>
      <c r="N168" s="1002">
        <f t="shared" si="93"/>
        <v>211618.31645339687</v>
      </c>
      <c r="O168" s="1002">
        <f t="shared" si="93"/>
        <v>218433.9540459984</v>
      </c>
      <c r="P168" s="1002">
        <f t="shared" si="93"/>
        <v>226011.03864147511</v>
      </c>
      <c r="R168" s="863" t="s">
        <v>338</v>
      </c>
      <c r="S168" s="1011">
        <v>205469.52551121431</v>
      </c>
      <c r="T168" s="1011">
        <v>211618.31645339687</v>
      </c>
      <c r="U168" s="1011">
        <v>218433.9540459984</v>
      </c>
      <c r="V168" s="1011">
        <v>226011.03864147511</v>
      </c>
      <c r="X168" s="863" t="s">
        <v>338</v>
      </c>
      <c r="Y168" s="1009">
        <v>8625474.3040976543</v>
      </c>
      <c r="Z168" s="1009">
        <v>8881522.1390169337</v>
      </c>
      <c r="AA168" s="1009">
        <v>9165008.9169527981</v>
      </c>
      <c r="AB168" s="1009">
        <v>9479790.356382573</v>
      </c>
    </row>
    <row r="169" spans="2:28" x14ac:dyDescent="0.3">
      <c r="B169" s="863" t="s">
        <v>339</v>
      </c>
      <c r="C169" s="1002">
        <v>286234.32817499997</v>
      </c>
      <c r="D169" s="1002">
        <v>288422.46850048151</v>
      </c>
      <c r="E169" s="1002">
        <v>291911.66523570876</v>
      </c>
      <c r="F169" s="1002">
        <v>294986.88947692601</v>
      </c>
      <c r="G169" s="1004">
        <f t="shared" si="85"/>
        <v>296416.18413825898</v>
      </c>
      <c r="H169" s="1004">
        <f t="shared" si="81"/>
        <v>298682.16044436349</v>
      </c>
      <c r="I169" s="1004">
        <f t="shared" si="82"/>
        <v>302295.47401355708</v>
      </c>
      <c r="J169" s="1004">
        <f t="shared" si="83"/>
        <v>305480.08936267684</v>
      </c>
      <c r="L169" s="863" t="s">
        <v>339</v>
      </c>
      <c r="M169" s="1002">
        <f t="shared" ref="M169:P169" si="94">M115+M142</f>
        <v>180405.99361071619</v>
      </c>
      <c r="N169" s="1002">
        <f t="shared" si="94"/>
        <v>185931.70319884759</v>
      </c>
      <c r="O169" s="1002">
        <f t="shared" si="94"/>
        <v>193334.29589141495</v>
      </c>
      <c r="P169" s="1002">
        <f t="shared" si="94"/>
        <v>200726.63116467412</v>
      </c>
      <c r="R169" s="863" t="s">
        <v>339</v>
      </c>
      <c r="S169" s="1011">
        <v>180405.99361071619</v>
      </c>
      <c r="T169" s="1011">
        <v>185931.70319884759</v>
      </c>
      <c r="U169" s="1011">
        <v>193334.29589141495</v>
      </c>
      <c r="V169" s="1011">
        <v>200726.63116467412</v>
      </c>
      <c r="X169" s="863" t="s">
        <v>339</v>
      </c>
      <c r="Y169" s="1009">
        <v>8728377.877203377</v>
      </c>
      <c r="Z169" s="1009">
        <v>8974837.5018969625</v>
      </c>
      <c r="AA169" s="1009">
        <v>9303627.4128658399</v>
      </c>
      <c r="AB169" s="1009">
        <v>9632548.9297613464</v>
      </c>
    </row>
    <row r="170" spans="2:28" x14ac:dyDescent="0.3">
      <c r="B170" s="863" t="s">
        <v>340</v>
      </c>
      <c r="C170" s="1002">
        <v>411298.262475</v>
      </c>
      <c r="D170" s="1002">
        <v>416288.33043589554</v>
      </c>
      <c r="E170" s="1002">
        <v>421639.12620119308</v>
      </c>
      <c r="F170" s="1002">
        <v>428011.98407896323</v>
      </c>
      <c r="G170" s="1004">
        <f t="shared" si="85"/>
        <v>425928.86144319503</v>
      </c>
      <c r="H170" s="1004">
        <f t="shared" si="81"/>
        <v>431096.43485407857</v>
      </c>
      <c r="I170" s="1004">
        <f t="shared" si="82"/>
        <v>436637.56778864033</v>
      </c>
      <c r="J170" s="1004">
        <f t="shared" si="83"/>
        <v>443237.11937362404</v>
      </c>
      <c r="L170" s="863" t="s">
        <v>340</v>
      </c>
      <c r="M170" s="1002">
        <f t="shared" ref="M170:P170" si="95">M116+M143</f>
        <v>263285.48749519174</v>
      </c>
      <c r="N170" s="1002">
        <f t="shared" si="95"/>
        <v>270273.47450931161</v>
      </c>
      <c r="O170" s="1002">
        <f t="shared" si="95"/>
        <v>278030.39789113682</v>
      </c>
      <c r="P170" s="1002">
        <f t="shared" si="95"/>
        <v>287073.02446287527</v>
      </c>
      <c r="R170" s="863" t="s">
        <v>340</v>
      </c>
      <c r="S170" s="1011">
        <v>263285.48749519174</v>
      </c>
      <c r="T170" s="1011">
        <v>270273.47450931161</v>
      </c>
      <c r="U170" s="1011">
        <v>278030.39789113682</v>
      </c>
      <c r="V170" s="1011">
        <v>287073.02446287527</v>
      </c>
      <c r="X170" s="863" t="s">
        <v>340</v>
      </c>
      <c r="Y170" s="1009">
        <v>11881412.824564323</v>
      </c>
      <c r="Z170" s="1009">
        <v>12183415.729680039</v>
      </c>
      <c r="AA170" s="1009">
        <v>12518090.114567863</v>
      </c>
      <c r="AB170" s="1009">
        <v>12907587.769059565</v>
      </c>
    </row>
    <row r="171" spans="2:28" x14ac:dyDescent="0.3">
      <c r="B171" s="863" t="s">
        <v>341</v>
      </c>
      <c r="C171" s="1002">
        <v>658883.82334999996</v>
      </c>
      <c r="D171" s="1002">
        <v>670910.9958386349</v>
      </c>
      <c r="E171" s="1002">
        <v>686885.54801584734</v>
      </c>
      <c r="F171" s="1002">
        <v>697802.51996706985</v>
      </c>
      <c r="G171" s="1004">
        <f t="shared" si="85"/>
        <v>682321.47399325029</v>
      </c>
      <c r="H171" s="1004">
        <f t="shared" si="81"/>
        <v>694776.47405485786</v>
      </c>
      <c r="I171" s="1004">
        <f t="shared" si="82"/>
        <v>711319.26900848001</v>
      </c>
      <c r="J171" s="1004">
        <f t="shared" si="83"/>
        <v>722624.57675670844</v>
      </c>
      <c r="L171" s="863" t="s">
        <v>341</v>
      </c>
      <c r="M171" s="1002">
        <f t="shared" ref="M171:P171" si="96">M117+M144</f>
        <v>444943.4850712925</v>
      </c>
      <c r="N171" s="1002">
        <f t="shared" si="96"/>
        <v>461535.22062918026</v>
      </c>
      <c r="O171" s="1002">
        <f t="shared" si="96"/>
        <v>483073.8000217519</v>
      </c>
      <c r="P171" s="1002">
        <f t="shared" si="96"/>
        <v>501182.33678860561</v>
      </c>
      <c r="R171" s="863" t="s">
        <v>341</v>
      </c>
      <c r="S171" s="1011">
        <v>444943.4850712925</v>
      </c>
      <c r="T171" s="1011">
        <v>461535.22062918026</v>
      </c>
      <c r="U171" s="1011">
        <v>483073.8000217519</v>
      </c>
      <c r="V171" s="1011">
        <v>501182.33678860561</v>
      </c>
      <c r="X171" s="863" t="s">
        <v>341</v>
      </c>
      <c r="Y171" s="1009">
        <v>19437526.768037081</v>
      </c>
      <c r="Z171" s="1009">
        <v>20148970.866213314</v>
      </c>
      <c r="AA171" s="1009">
        <v>21078831.571926475</v>
      </c>
      <c r="AB171" s="1009">
        <v>21864846.541440148</v>
      </c>
    </row>
    <row r="172" spans="2:28" x14ac:dyDescent="0.3">
      <c r="B172" s="863" t="s">
        <v>342</v>
      </c>
      <c r="C172" s="1002">
        <v>623062.51849999989</v>
      </c>
      <c r="D172" s="1002">
        <v>630639.22404393204</v>
      </c>
      <c r="E172" s="1002">
        <v>640095.42243597121</v>
      </c>
      <c r="F172" s="1002">
        <v>648494.4061009502</v>
      </c>
      <c r="G172" s="1004">
        <f t="shared" si="85"/>
        <v>645225.9426424522</v>
      </c>
      <c r="H172" s="1004">
        <f t="shared" si="81"/>
        <v>653072.16486181668</v>
      </c>
      <c r="I172" s="1004">
        <f t="shared" si="82"/>
        <v>662864.73677900794</v>
      </c>
      <c r="J172" s="1004">
        <f t="shared" si="83"/>
        <v>671562.48699117161</v>
      </c>
      <c r="L172" s="863" t="s">
        <v>342</v>
      </c>
      <c r="M172" s="1002">
        <f t="shared" ref="M172:P172" si="97">M118+M145</f>
        <v>372435.31514209014</v>
      </c>
      <c r="N172" s="1002">
        <f t="shared" si="97"/>
        <v>382778.82254244003</v>
      </c>
      <c r="O172" s="1002">
        <f t="shared" si="97"/>
        <v>395311.06840655953</v>
      </c>
      <c r="P172" s="1002">
        <f t="shared" si="97"/>
        <v>407555.27227288444</v>
      </c>
      <c r="R172" s="863" t="s">
        <v>342</v>
      </c>
      <c r="S172" s="1011">
        <v>372435.31514209014</v>
      </c>
      <c r="T172" s="1011">
        <v>382778.82254244003</v>
      </c>
      <c r="U172" s="1011">
        <v>395311.06840655953</v>
      </c>
      <c r="V172" s="1011">
        <v>407555.27227288444</v>
      </c>
      <c r="X172" s="863" t="s">
        <v>342</v>
      </c>
      <c r="Y172" s="1009">
        <v>15669269.595996255</v>
      </c>
      <c r="Z172" s="1009">
        <v>16104693.296107512</v>
      </c>
      <c r="AA172" s="1009">
        <v>16633883.840346329</v>
      </c>
      <c r="AB172" s="1009">
        <v>17153053.01065962</v>
      </c>
    </row>
    <row r="173" spans="2:28" x14ac:dyDescent="0.3">
      <c r="B173" s="863" t="s">
        <v>343</v>
      </c>
      <c r="C173" s="1002">
        <v>306081.96870000003</v>
      </c>
      <c r="D173" s="1002">
        <v>311765.94673610595</v>
      </c>
      <c r="E173" s="1002">
        <v>319082.55676130624</v>
      </c>
      <c r="F173" s="1002">
        <v>325975.89182637096</v>
      </c>
      <c r="G173" s="1004">
        <f t="shared" si="85"/>
        <v>316969.83997010422</v>
      </c>
      <c r="H173" s="1004">
        <f t="shared" si="81"/>
        <v>322856.00705191598</v>
      </c>
      <c r="I173" s="1004">
        <f t="shared" si="82"/>
        <v>330432.88169978024</v>
      </c>
      <c r="J173" s="1004">
        <f t="shared" si="83"/>
        <v>337571.42475644563</v>
      </c>
      <c r="L173" s="863" t="s">
        <v>343</v>
      </c>
      <c r="M173" s="1002">
        <f t="shared" ref="M173:P173" si="98">M119+M146</f>
        <v>275243.2812026192</v>
      </c>
      <c r="N173" s="1002">
        <f t="shared" si="98"/>
        <v>282711.94694955717</v>
      </c>
      <c r="O173" s="1002">
        <f t="shared" si="98"/>
        <v>292038.0770968346</v>
      </c>
      <c r="P173" s="1002">
        <f t="shared" si="98"/>
        <v>301505.66087438364</v>
      </c>
      <c r="R173" s="863" t="s">
        <v>343</v>
      </c>
      <c r="S173" s="1011">
        <v>275243.2812026192</v>
      </c>
      <c r="T173" s="1011">
        <v>282711.94694955717</v>
      </c>
      <c r="U173" s="1011">
        <v>292038.0770968346</v>
      </c>
      <c r="V173" s="1011">
        <v>301505.66087438364</v>
      </c>
      <c r="X173" s="863" t="s">
        <v>343</v>
      </c>
      <c r="Y173" s="1009">
        <v>12240596.037991896</v>
      </c>
      <c r="Z173" s="1009">
        <v>12557713.61578647</v>
      </c>
      <c r="AA173" s="1009">
        <v>12957759.900738824</v>
      </c>
      <c r="AB173" s="1009">
        <v>13364637.926583774</v>
      </c>
    </row>
    <row r="174" spans="2:28" x14ac:dyDescent="0.3">
      <c r="B174" s="863" t="s">
        <v>344</v>
      </c>
      <c r="C174" s="1002">
        <v>357838.308525</v>
      </c>
      <c r="D174" s="1002">
        <v>371275.61385983409</v>
      </c>
      <c r="E174" s="1002">
        <v>394094.82156808843</v>
      </c>
      <c r="F174" s="1002">
        <v>413584.96714383882</v>
      </c>
      <c r="G174" s="1004">
        <f t="shared" si="85"/>
        <v>370567.24337627413</v>
      </c>
      <c r="H174" s="1004">
        <f t="shared" si="81"/>
        <v>384482.53717715258</v>
      </c>
      <c r="I174" s="1004">
        <f t="shared" si="82"/>
        <v>408113.46403720306</v>
      </c>
      <c r="J174" s="1004">
        <f t="shared" si="83"/>
        <v>428296.9081988376</v>
      </c>
      <c r="L174" s="863" t="s">
        <v>344</v>
      </c>
      <c r="M174" s="1002">
        <f t="shared" ref="M174:P174" si="99">M120+M147</f>
        <v>354364.58359448402</v>
      </c>
      <c r="N174" s="1002">
        <f t="shared" si="99"/>
        <v>368073.09199237055</v>
      </c>
      <c r="O174" s="1002">
        <f t="shared" si="99"/>
        <v>390722.98357768997</v>
      </c>
      <c r="P174" s="1002">
        <f t="shared" si="99"/>
        <v>411544.49015030812</v>
      </c>
      <c r="R174" s="863" t="s">
        <v>344</v>
      </c>
      <c r="S174" s="1011">
        <v>354364.58359448402</v>
      </c>
      <c r="T174" s="1011">
        <v>368073.09199237055</v>
      </c>
      <c r="U174" s="1011">
        <v>390722.98357768997</v>
      </c>
      <c r="V174" s="1011">
        <v>411544.49015030812</v>
      </c>
      <c r="X174" s="863" t="s">
        <v>344</v>
      </c>
      <c r="Y174" s="1009">
        <v>17137000.133997668</v>
      </c>
      <c r="Z174" s="1009">
        <v>17750290.269561056</v>
      </c>
      <c r="AA174" s="1009">
        <v>18791895.098461173</v>
      </c>
      <c r="AB174" s="1009">
        <v>19752945.383793734</v>
      </c>
    </row>
    <row r="175" spans="2:28" x14ac:dyDescent="0.3">
      <c r="B175" s="863" t="s">
        <v>345</v>
      </c>
      <c r="C175" s="1002">
        <v>299770.73995000002</v>
      </c>
      <c r="D175" s="1002">
        <v>300445.89927421173</v>
      </c>
      <c r="E175" s="1002">
        <v>301182.43671880628</v>
      </c>
      <c r="F175" s="1002">
        <v>302348.62100608106</v>
      </c>
      <c r="G175" s="1004">
        <f t="shared" si="85"/>
        <v>310434.10976881639</v>
      </c>
      <c r="H175" s="1004">
        <f t="shared" si="81"/>
        <v>311133.28569171915</v>
      </c>
      <c r="I175" s="1004">
        <f t="shared" si="82"/>
        <v>311896.02306215843</v>
      </c>
      <c r="J175" s="1004">
        <f t="shared" si="83"/>
        <v>313103.69056535407</v>
      </c>
      <c r="L175" s="863" t="s">
        <v>345</v>
      </c>
      <c r="M175" s="1002">
        <f t="shared" ref="M175:P175" si="100">M121+M148</f>
        <v>205462.5193948512</v>
      </c>
      <c r="N175" s="1002">
        <f t="shared" si="100"/>
        <v>209142.47860198678</v>
      </c>
      <c r="O175" s="1002">
        <f t="shared" si="100"/>
        <v>213106.11399518812</v>
      </c>
      <c r="P175" s="1002">
        <f t="shared" si="100"/>
        <v>217610.47857779317</v>
      </c>
      <c r="R175" s="863" t="s">
        <v>345</v>
      </c>
      <c r="S175" s="1011">
        <v>205462.5193948512</v>
      </c>
      <c r="T175" s="1011">
        <v>209142.47860198678</v>
      </c>
      <c r="U175" s="1011">
        <v>213106.11399518812</v>
      </c>
      <c r="V175" s="1011">
        <v>217610.47857779317</v>
      </c>
      <c r="X175" s="863" t="s">
        <v>345</v>
      </c>
      <c r="Y175" s="1009">
        <v>8700807.5321963057</v>
      </c>
      <c r="Z175" s="1009">
        <v>8877871.6827402133</v>
      </c>
      <c r="AA175" s="1009">
        <v>9068724.4929481</v>
      </c>
      <c r="AB175" s="1009">
        <v>9284199.5246065296</v>
      </c>
    </row>
    <row r="176" spans="2:28" x14ac:dyDescent="0.3">
      <c r="B176" s="863" t="s">
        <v>346</v>
      </c>
      <c r="C176" s="1002">
        <v>1055538.5902249999</v>
      </c>
      <c r="D176" s="1002">
        <v>1055837.0992146148</v>
      </c>
      <c r="E176" s="1002">
        <v>1056135.6082042297</v>
      </c>
      <c r="F176" s="1002">
        <v>1056493.8189917672</v>
      </c>
      <c r="G176" s="1004">
        <f t="shared" si="85"/>
        <v>1093085.945071836</v>
      </c>
      <c r="H176" s="1004">
        <f t="shared" si="81"/>
        <v>1093395.0725486022</v>
      </c>
      <c r="I176" s="1004">
        <f t="shared" si="82"/>
        <v>1093704.2000253685</v>
      </c>
      <c r="J176" s="1004">
        <f t="shared" si="83"/>
        <v>1094075.1529974875</v>
      </c>
      <c r="L176" s="863" t="s">
        <v>346</v>
      </c>
      <c r="M176" s="1002">
        <f t="shared" ref="M176:P176" si="101">M122+M149</f>
        <v>136795.23650740131</v>
      </c>
      <c r="N176" s="1002">
        <f t="shared" si="101"/>
        <v>137975.24133687609</v>
      </c>
      <c r="O176" s="1002">
        <f t="shared" si="101"/>
        <v>139262.01585845283</v>
      </c>
      <c r="P176" s="1002">
        <f t="shared" si="101"/>
        <v>140690.65401210581</v>
      </c>
      <c r="R176" s="863" t="s">
        <v>346</v>
      </c>
      <c r="S176" s="1011">
        <v>136795.23650740131</v>
      </c>
      <c r="T176" s="1011">
        <v>137975.24133687609</v>
      </c>
      <c r="U176" s="1011">
        <v>139262.01585845283</v>
      </c>
      <c r="V176" s="1011">
        <v>140690.65401210581</v>
      </c>
      <c r="X176" s="863" t="s">
        <v>346</v>
      </c>
      <c r="Y176" s="1009">
        <v>8203056.8025164902</v>
      </c>
      <c r="Z176" s="1009">
        <v>8256839.6801718231</v>
      </c>
      <c r="AA176" s="1009">
        <v>8316470.2179524023</v>
      </c>
      <c r="AB176" s="1009">
        <v>8382807.6127079781</v>
      </c>
    </row>
    <row r="177" spans="2:28" x14ac:dyDescent="0.3">
      <c r="B177" s="863" t="s">
        <v>347</v>
      </c>
      <c r="C177" s="1002">
        <v>248067.77029999997</v>
      </c>
      <c r="D177" s="1002">
        <v>255429.64645931317</v>
      </c>
      <c r="E177" s="1002">
        <v>265185.62868669553</v>
      </c>
      <c r="F177" s="1002">
        <v>272487.65219430689</v>
      </c>
      <c r="G177" s="1004">
        <f t="shared" si="85"/>
        <v>256891.97500816899</v>
      </c>
      <c r="H177" s="1004">
        <f t="shared" si="81"/>
        <v>264515.72598575224</v>
      </c>
      <c r="I177" s="1004">
        <f t="shared" si="82"/>
        <v>274618.74557393149</v>
      </c>
      <c r="J177" s="1004">
        <f t="shared" si="83"/>
        <v>282180.5148362497</v>
      </c>
      <c r="L177" s="863" t="s">
        <v>347</v>
      </c>
      <c r="M177" s="1002">
        <f t="shared" ref="M177:P177" si="102">M123+M150</f>
        <v>118755.03680776636</v>
      </c>
      <c r="N177" s="1002">
        <f t="shared" si="102"/>
        <v>122697.80511040057</v>
      </c>
      <c r="O177" s="1002">
        <f t="shared" si="102"/>
        <v>127915.23345006147</v>
      </c>
      <c r="P177" s="1002">
        <f t="shared" si="102"/>
        <v>132177.14700030597</v>
      </c>
      <c r="R177" s="863" t="s">
        <v>347</v>
      </c>
      <c r="S177" s="1011">
        <v>118755.03680776636</v>
      </c>
      <c r="T177" s="1011">
        <v>122697.80511040057</v>
      </c>
      <c r="U177" s="1011">
        <v>127915.23345006147</v>
      </c>
      <c r="V177" s="1011">
        <v>132177.14700030597</v>
      </c>
      <c r="X177" s="863" t="s">
        <v>347</v>
      </c>
      <c r="Y177" s="1009">
        <v>4997118.7511682957</v>
      </c>
      <c r="Z177" s="1009">
        <v>5153800.0264580343</v>
      </c>
      <c r="AA177" s="1009">
        <v>5360183.9621618614</v>
      </c>
      <c r="AB177" s="1009">
        <v>5529725.3741212599</v>
      </c>
    </row>
    <row r="178" spans="2:28" x14ac:dyDescent="0.3">
      <c r="B178" s="863" t="s">
        <v>348</v>
      </c>
      <c r="C178" s="1002">
        <v>90999.664875000002</v>
      </c>
      <c r="D178" s="1002">
        <v>93653.04989440224</v>
      </c>
      <c r="E178" s="1002">
        <v>97249.860698480828</v>
      </c>
      <c r="F178" s="1002">
        <v>99018.784044749016</v>
      </c>
      <c r="G178" s="1004">
        <f t="shared" si="85"/>
        <v>94236.68220401727</v>
      </c>
      <c r="H178" s="1004">
        <f t="shared" si="81"/>
        <v>96984.45277198343</v>
      </c>
      <c r="I178" s="1004">
        <f t="shared" si="82"/>
        <v>100709.208430782</v>
      </c>
      <c r="J178" s="1004">
        <f t="shared" si="83"/>
        <v>102541.05547609281</v>
      </c>
      <c r="L178" s="863" t="s">
        <v>348</v>
      </c>
      <c r="M178" s="1002">
        <f t="shared" ref="M178:P178" si="103">M124+M151</f>
        <v>148894.85321037786</v>
      </c>
      <c r="N178" s="1002">
        <f t="shared" si="103"/>
        <v>150980.03722032128</v>
      </c>
      <c r="O178" s="1002">
        <f t="shared" si="103"/>
        <v>153648.25284071837</v>
      </c>
      <c r="P178" s="1002">
        <f t="shared" si="103"/>
        <v>155517.26162514457</v>
      </c>
      <c r="R178" s="863" t="s">
        <v>348</v>
      </c>
      <c r="S178" s="1011">
        <v>148894.85321037786</v>
      </c>
      <c r="T178" s="1011">
        <v>150980.03722032128</v>
      </c>
      <c r="U178" s="1011">
        <v>153648.25284071837</v>
      </c>
      <c r="V178" s="1011">
        <v>155517.26162514457</v>
      </c>
      <c r="X178" s="863" t="s">
        <v>348</v>
      </c>
      <c r="Y178" s="1009">
        <v>7414507.1534345131</v>
      </c>
      <c r="Z178" s="1009">
        <v>7505258.7611688599</v>
      </c>
      <c r="AA178" s="1009">
        <v>7621360.3378586583</v>
      </c>
      <c r="AB178" s="1009">
        <v>7703630.6897009406</v>
      </c>
    </row>
    <row r="179" spans="2:28" x14ac:dyDescent="0.3">
      <c r="B179" s="863" t="s">
        <v>349</v>
      </c>
      <c r="C179" s="1002">
        <v>320866.639425</v>
      </c>
      <c r="D179" s="1002">
        <v>321358.57754600421</v>
      </c>
      <c r="E179" s="1002">
        <v>322280.96152288711</v>
      </c>
      <c r="F179" s="1002">
        <v>323633.79135564872</v>
      </c>
      <c r="G179" s="1004">
        <f t="shared" si="85"/>
        <v>332280.42730596621</v>
      </c>
      <c r="H179" s="1004">
        <f t="shared" si="81"/>
        <v>332789.86452682625</v>
      </c>
      <c r="I179" s="1004">
        <f t="shared" si="82"/>
        <v>333745.05931593885</v>
      </c>
      <c r="J179" s="1004">
        <f t="shared" si="83"/>
        <v>335146.01167330396</v>
      </c>
      <c r="L179" s="863" t="s">
        <v>349</v>
      </c>
      <c r="M179" s="1002">
        <f t="shared" ref="M179:P179" si="104">M125+M152</f>
        <v>133057.97038138175</v>
      </c>
      <c r="N179" s="1002">
        <f t="shared" si="104"/>
        <v>136246.90603468739</v>
      </c>
      <c r="O179" s="1002">
        <f t="shared" si="104"/>
        <v>139801.59856125893</v>
      </c>
      <c r="P179" s="1002">
        <f t="shared" si="104"/>
        <v>143743.41381048266</v>
      </c>
      <c r="R179" s="863" t="s">
        <v>349</v>
      </c>
      <c r="S179" s="1011">
        <v>133057.97038138175</v>
      </c>
      <c r="T179" s="1011">
        <v>136246.90603468739</v>
      </c>
      <c r="U179" s="1011">
        <v>139801.59856125893</v>
      </c>
      <c r="V179" s="1011">
        <v>143743.41381048266</v>
      </c>
      <c r="X179" s="863" t="s">
        <v>349</v>
      </c>
      <c r="Y179" s="1009">
        <v>6580593.8660675688</v>
      </c>
      <c r="Z179" s="1009">
        <v>6731526.5465739751</v>
      </c>
      <c r="AA179" s="1009">
        <v>6900325.673293205</v>
      </c>
      <c r="AB179" s="1009">
        <v>7087942.7216851581</v>
      </c>
    </row>
    <row r="180" spans="2:28" ht="15" thickBot="1" x14ac:dyDescent="0.35">
      <c r="B180" s="877" t="s">
        <v>350</v>
      </c>
      <c r="C180" s="1002">
        <v>290413.96789999999</v>
      </c>
      <c r="D180" s="1002">
        <v>293075.72272757051</v>
      </c>
      <c r="E180" s="1002">
        <v>295974.07798425842</v>
      </c>
      <c r="F180" s="1002">
        <v>298103.4818463148</v>
      </c>
      <c r="G180" s="1004">
        <f t="shared" si="85"/>
        <v>300744.50096264679</v>
      </c>
      <c r="H180" s="1004">
        <f t="shared" si="81"/>
        <v>303500.93906750495</v>
      </c>
      <c r="I180" s="1004">
        <f t="shared" si="82"/>
        <v>306502.39389279491</v>
      </c>
      <c r="J180" s="1004">
        <f t="shared" si="83"/>
        <v>308707.54437668144</v>
      </c>
      <c r="L180" s="877" t="s">
        <v>350</v>
      </c>
      <c r="M180" s="1002">
        <f t="shared" ref="M180:P180" si="105">M126+M153</f>
        <v>154087.10300612196</v>
      </c>
      <c r="N180" s="1002">
        <f t="shared" si="105"/>
        <v>155810.3227301946</v>
      </c>
      <c r="O180" s="1002">
        <f t="shared" si="105"/>
        <v>157821.99339014982</v>
      </c>
      <c r="P180" s="1002">
        <f t="shared" si="105"/>
        <v>159619.74169906855</v>
      </c>
      <c r="R180" s="877" t="s">
        <v>350</v>
      </c>
      <c r="S180" s="1011">
        <v>154087.10300612196</v>
      </c>
      <c r="T180" s="1011">
        <v>155810.3227301946</v>
      </c>
      <c r="U180" s="1011">
        <v>157821.99339014982</v>
      </c>
      <c r="V180" s="1011">
        <v>159619.74169906855</v>
      </c>
      <c r="X180" s="877" t="s">
        <v>350</v>
      </c>
      <c r="Y180" s="1009">
        <v>8067633.6644707713</v>
      </c>
      <c r="Z180" s="1009">
        <v>8152154.6386357872</v>
      </c>
      <c r="AA180" s="1009">
        <v>8252611.71542479</v>
      </c>
      <c r="AB180" s="1009">
        <v>8342036.2546699056</v>
      </c>
    </row>
    <row r="181" spans="2:28" ht="15" thickTop="1" x14ac:dyDescent="0.3">
      <c r="B181" s="879" t="s">
        <v>351</v>
      </c>
      <c r="C181" s="1002">
        <f>SUM(C160:C180)</f>
        <v>9201172.0040500015</v>
      </c>
      <c r="D181" s="1002">
        <f t="shared" ref="D181" si="106">SUM(D160:D180)</f>
        <v>9286070.3399922326</v>
      </c>
      <c r="E181" s="1002">
        <f t="shared" ref="E181" si="107">SUM(E160:E180)</f>
        <v>9403750.484590834</v>
      </c>
      <c r="F181" s="1002">
        <f t="shared" ref="F181" si="108">SUM(F160:F180)</f>
        <v>9504352.3169194572</v>
      </c>
      <c r="G181" s="1002">
        <f t="shared" ref="G181" si="109">SUM(G160:G180)</f>
        <v>9528473.7942850664</v>
      </c>
      <c r="H181" s="1002">
        <f t="shared" ref="H181" si="110">SUM(H160:H180)</f>
        <v>9616392.1126088556</v>
      </c>
      <c r="I181" s="1002">
        <f t="shared" ref="I181" si="111">SUM(I160:I180)</f>
        <v>9738258.3458910789</v>
      </c>
      <c r="J181" s="1002">
        <f t="shared" ref="J181" si="112">SUM(J160:J180)</f>
        <v>9842438.7614488397</v>
      </c>
      <c r="L181" s="879" t="s">
        <v>351</v>
      </c>
      <c r="M181" s="1002">
        <f>SUM(M160:M180)</f>
        <v>5152300.7662797002</v>
      </c>
      <c r="N181" s="1002">
        <f t="shared" ref="N181:P181" si="113">SUM(N160:N180)</f>
        <v>5285756.2637840742</v>
      </c>
      <c r="O181" s="1002">
        <f t="shared" si="113"/>
        <v>5459231.4435583111</v>
      </c>
      <c r="P181" s="1002">
        <f t="shared" si="113"/>
        <v>5628814.3885994721</v>
      </c>
      <c r="R181" s="879" t="s">
        <v>351</v>
      </c>
      <c r="S181" s="1011">
        <v>5152300.7662797002</v>
      </c>
      <c r="T181" s="1011">
        <v>5285756.2637840742</v>
      </c>
      <c r="U181" s="1011">
        <v>5459231.4435583111</v>
      </c>
      <c r="V181" s="1011">
        <v>5628814.3885994721</v>
      </c>
      <c r="X181" s="879" t="s">
        <v>351</v>
      </c>
      <c r="Y181" s="866">
        <v>248981248.37265724</v>
      </c>
      <c r="Z181" s="866">
        <v>255296079.22144619</v>
      </c>
      <c r="AA181" s="866">
        <v>263589040.7453267</v>
      </c>
      <c r="AB181" s="866">
        <v>271766384.60602176</v>
      </c>
    </row>
    <row r="184" spans="2:28" x14ac:dyDescent="0.3">
      <c r="C184" s="1213" t="s">
        <v>1528</v>
      </c>
      <c r="D184" s="1213"/>
      <c r="E184" s="1213"/>
      <c r="F184" s="1213"/>
      <c r="G184" s="1213" t="s">
        <v>1525</v>
      </c>
      <c r="H184" s="1213"/>
      <c r="I184" s="1213"/>
      <c r="J184" s="1213"/>
    </row>
    <row r="185" spans="2:28" x14ac:dyDescent="0.3">
      <c r="B185" s="885" t="s">
        <v>322</v>
      </c>
      <c r="C185" s="994">
        <v>2010</v>
      </c>
      <c r="D185" s="994">
        <v>2015</v>
      </c>
      <c r="E185" s="994">
        <v>2020</v>
      </c>
      <c r="F185" s="994">
        <v>2025</v>
      </c>
      <c r="G185" s="994">
        <v>2010</v>
      </c>
      <c r="H185" s="994">
        <v>2015</v>
      </c>
      <c r="I185" s="994">
        <v>2020</v>
      </c>
      <c r="J185" s="994">
        <v>2025</v>
      </c>
      <c r="R185" s="1015"/>
      <c r="S185" s="1015"/>
      <c r="T185" s="1015"/>
      <c r="U185" s="1015"/>
      <c r="V185" s="1015"/>
      <c r="W185" s="1015"/>
      <c r="X185" s="1015"/>
      <c r="Y185" s="1015"/>
      <c r="Z185" s="1015"/>
      <c r="AA185" s="1015"/>
    </row>
    <row r="186" spans="2:28" x14ac:dyDescent="0.3">
      <c r="B186" s="860" t="s">
        <v>403</v>
      </c>
      <c r="C186" s="1002">
        <v>4466059.8137001712</v>
      </c>
      <c r="D186" s="1002">
        <v>4567150.8709535906</v>
      </c>
      <c r="E186" s="1002">
        <v>4715394.604741022</v>
      </c>
      <c r="F186" s="1002">
        <v>4879912.5318540558</v>
      </c>
      <c r="G186" s="1004"/>
      <c r="H186" s="1004"/>
      <c r="I186" s="1004"/>
      <c r="J186" s="1004"/>
      <c r="R186" s="1015"/>
      <c r="S186" s="1015"/>
      <c r="T186" s="1015"/>
      <c r="U186" s="1015"/>
      <c r="V186" s="1015"/>
      <c r="W186" s="1015"/>
      <c r="X186" s="1015"/>
      <c r="Y186" s="1015"/>
      <c r="Z186" s="1015"/>
      <c r="AA186" s="1015"/>
      <c r="AB186" s="1012"/>
    </row>
    <row r="187" spans="2:28" x14ac:dyDescent="0.3">
      <c r="B187" s="863" t="s">
        <v>325</v>
      </c>
      <c r="C187" s="1002">
        <v>7730700.3229269208</v>
      </c>
      <c r="D187" s="1002">
        <v>7776619.5738617023</v>
      </c>
      <c r="E187" s="1002">
        <v>7836007.0113830501</v>
      </c>
      <c r="F187" s="1002">
        <v>7897336.024849602</v>
      </c>
      <c r="G187" s="1004"/>
      <c r="H187" s="1004"/>
      <c r="I187" s="1004"/>
      <c r="J187" s="1004"/>
      <c r="R187" s="1015"/>
      <c r="S187" s="885" t="s">
        <v>154</v>
      </c>
      <c r="T187" s="1213" t="s">
        <v>1531</v>
      </c>
      <c r="U187" s="1213"/>
      <c r="V187" s="1213"/>
      <c r="W187" s="1213"/>
      <c r="X187" s="1214" t="s">
        <v>1532</v>
      </c>
      <c r="Y187" s="1215"/>
      <c r="Z187" s="1215"/>
      <c r="AA187" s="1215"/>
      <c r="AB187" s="1014"/>
    </row>
    <row r="188" spans="2:28" x14ac:dyDescent="0.3">
      <c r="B188" s="863" t="s">
        <v>328</v>
      </c>
      <c r="C188" s="1002">
        <v>8078402.8899815986</v>
      </c>
      <c r="D188" s="1002">
        <v>8235222.9924206398</v>
      </c>
      <c r="E188" s="1002">
        <v>8507497.8896912877</v>
      </c>
      <c r="F188" s="1002">
        <v>8718538.5893740505</v>
      </c>
      <c r="G188" s="1004"/>
      <c r="H188" s="1004"/>
      <c r="I188" s="1004"/>
      <c r="J188" s="1004"/>
      <c r="R188" s="1015"/>
      <c r="S188" s="885" t="s">
        <v>322</v>
      </c>
      <c r="T188" s="1008">
        <v>2010</v>
      </c>
      <c r="U188" s="1008">
        <v>2015</v>
      </c>
      <c r="V188" s="1008">
        <v>2020</v>
      </c>
      <c r="W188" s="1008">
        <v>2025</v>
      </c>
      <c r="X188" s="1008">
        <v>2010</v>
      </c>
      <c r="Y188" s="1008">
        <v>2015</v>
      </c>
      <c r="Z188" s="1008">
        <v>2020</v>
      </c>
      <c r="AA188" s="1013">
        <v>2025</v>
      </c>
      <c r="AB188" s="1014"/>
    </row>
    <row r="189" spans="2:28" x14ac:dyDescent="0.3">
      <c r="B189" s="863" t="s">
        <v>331</v>
      </c>
      <c r="C189" s="1002">
        <v>1415722.742161904</v>
      </c>
      <c r="D189" s="1002">
        <v>1424691.7768090821</v>
      </c>
      <c r="E189" s="1002">
        <v>1451094.0799421514</v>
      </c>
      <c r="F189" s="1002">
        <v>1472447.3368636658</v>
      </c>
      <c r="G189" s="1004"/>
      <c r="H189" s="1004"/>
      <c r="I189" s="1004"/>
      <c r="J189" s="1004"/>
      <c r="R189" s="1015"/>
      <c r="S189" s="860" t="s">
        <v>403</v>
      </c>
      <c r="T189" s="1011">
        <v>247000.4873455317</v>
      </c>
      <c r="U189" s="1011">
        <v>254540.45615609089</v>
      </c>
      <c r="V189" s="1011">
        <v>263175.48303685791</v>
      </c>
      <c r="W189" s="1011">
        <v>272844.09996385348</v>
      </c>
      <c r="X189" s="1009">
        <v>11927619.738679294</v>
      </c>
      <c r="Y189" s="1009">
        <v>12259836.627556968</v>
      </c>
      <c r="Z189" s="1009">
        <v>12654639.114391109</v>
      </c>
      <c r="AA189" s="1009">
        <v>13096266.444935665</v>
      </c>
      <c r="AB189" s="1014"/>
    </row>
    <row r="190" spans="2:28" x14ac:dyDescent="0.3">
      <c r="B190" s="863" t="s">
        <v>333</v>
      </c>
      <c r="C190" s="1002">
        <v>3222200.3221845599</v>
      </c>
      <c r="D190" s="1002">
        <v>3167432.539375158</v>
      </c>
      <c r="E190" s="1002">
        <v>3155110.6727384408</v>
      </c>
      <c r="F190" s="1002">
        <v>3144717.8047501529</v>
      </c>
      <c r="G190" s="1004"/>
      <c r="H190" s="1004"/>
      <c r="I190" s="1004"/>
      <c r="J190" s="1004"/>
      <c r="R190" s="1015"/>
      <c r="S190" s="863" t="s">
        <v>325</v>
      </c>
      <c r="T190" s="1011">
        <v>454906.81425486109</v>
      </c>
      <c r="U190" s="1011">
        <v>462180.73229339567</v>
      </c>
      <c r="V190" s="1011">
        <v>470387.00159511511</v>
      </c>
      <c r="W190" s="1011">
        <v>478972.04504183086</v>
      </c>
      <c r="X190" s="1009">
        <v>20504255.027459841</v>
      </c>
      <c r="Y190" s="1009">
        <v>20846775.298969623</v>
      </c>
      <c r="Z190" s="1009">
        <v>21233841.810929827</v>
      </c>
      <c r="AA190" s="1009">
        <v>21639983.784174193</v>
      </c>
      <c r="AB190" s="1014"/>
    </row>
    <row r="191" spans="2:28" x14ac:dyDescent="0.3">
      <c r="B191" s="863" t="s">
        <v>335</v>
      </c>
      <c r="C191" s="1002">
        <v>1847448.480876524</v>
      </c>
      <c r="D191" s="1002">
        <v>1925934.6068918351</v>
      </c>
      <c r="E191" s="1002">
        <v>2023494.9527310969</v>
      </c>
      <c r="F191" s="1002">
        <v>2126474.7052854248</v>
      </c>
      <c r="G191" s="1004"/>
      <c r="H191" s="1004"/>
      <c r="I191" s="1004"/>
      <c r="J191" s="1004"/>
      <c r="R191" s="1015"/>
      <c r="S191" s="863" t="s">
        <v>328</v>
      </c>
      <c r="T191" s="1011">
        <v>385533.31989022496</v>
      </c>
      <c r="U191" s="1011">
        <v>394580.23629936471</v>
      </c>
      <c r="V191" s="1011">
        <v>406749.78862732882</v>
      </c>
      <c r="W191" s="1011">
        <v>416528.49131918931</v>
      </c>
      <c r="X191" s="1009">
        <v>20877340.510647193</v>
      </c>
      <c r="Y191" s="1009">
        <v>21326475.089307155</v>
      </c>
      <c r="Z191" s="1009">
        <v>21952623.603871293</v>
      </c>
      <c r="AA191" s="1032">
        <v>22461148.172832694</v>
      </c>
      <c r="AB191" s="1014"/>
    </row>
    <row r="192" spans="2:28" x14ac:dyDescent="0.3">
      <c r="B192" s="863" t="s">
        <v>336</v>
      </c>
      <c r="C192" s="1002">
        <v>6981130.0921771917</v>
      </c>
      <c r="D192" s="1002">
        <v>7212720.497708139</v>
      </c>
      <c r="E192" s="1002">
        <v>7478245.4513864443</v>
      </c>
      <c r="F192" s="1002">
        <v>7768056.4926683595</v>
      </c>
      <c r="G192" s="1004"/>
      <c r="H192" s="1004"/>
      <c r="I192" s="1004"/>
      <c r="J192" s="1004"/>
      <c r="R192" s="1015"/>
      <c r="S192" s="863" t="s">
        <v>331</v>
      </c>
      <c r="T192" s="1011">
        <v>171766.46790624916</v>
      </c>
      <c r="U192" s="1011">
        <v>175877.64595799756</v>
      </c>
      <c r="V192" s="1011">
        <v>182325.12148225645</v>
      </c>
      <c r="W192" s="1011">
        <v>188344.97861478897</v>
      </c>
      <c r="X192" s="1009">
        <v>7419156.9307699017</v>
      </c>
      <c r="Y192" s="1009">
        <v>7595960.330441488</v>
      </c>
      <c r="Z192" s="1009">
        <v>7871098.1127152331</v>
      </c>
      <c r="AA192" s="1009">
        <v>8128639.064113291</v>
      </c>
      <c r="AB192" s="1014"/>
    </row>
    <row r="193" spans="2:28" x14ac:dyDescent="0.3">
      <c r="B193" s="863" t="s">
        <v>337</v>
      </c>
      <c r="C193" s="1002">
        <v>11420585.303423943</v>
      </c>
      <c r="D193" s="1002">
        <v>11800425.365658768</v>
      </c>
      <c r="E193" s="1002">
        <v>12412072.725375455</v>
      </c>
      <c r="F193" s="1002">
        <v>13057801.401046362</v>
      </c>
      <c r="G193" s="1004"/>
      <c r="H193" s="1004"/>
      <c r="I193" s="1004"/>
      <c r="J193" s="1004"/>
      <c r="R193" s="1015"/>
      <c r="S193" s="863" t="s">
        <v>333</v>
      </c>
      <c r="T193" s="1011">
        <v>186694.88866288343</v>
      </c>
      <c r="U193" s="1011">
        <v>185516.81953535287</v>
      </c>
      <c r="V193" s="1011">
        <v>186916.71127764357</v>
      </c>
      <c r="W193" s="1011">
        <v>188209.91510527098</v>
      </c>
      <c r="X193" s="1009">
        <v>9866495.0818169005</v>
      </c>
      <c r="Y193" s="1009">
        <v>9804863.3794431034</v>
      </c>
      <c r="Z193" s="1009">
        <v>9865209.1929066312</v>
      </c>
      <c r="AA193" s="1009">
        <v>9922647.8378690537</v>
      </c>
      <c r="AB193" s="1014"/>
    </row>
    <row r="194" spans="2:28" x14ac:dyDescent="0.3">
      <c r="B194" s="863" t="s">
        <v>338</v>
      </c>
      <c r="C194" s="1002">
        <v>1636603.6353304968</v>
      </c>
      <c r="D194" s="1002">
        <v>1640992.1172277923</v>
      </c>
      <c r="E194" s="1002">
        <v>1647155.8110698576</v>
      </c>
      <c r="F194" s="1002">
        <v>1655314.7187041161</v>
      </c>
      <c r="G194" s="1004"/>
      <c r="H194" s="1004"/>
      <c r="I194" s="1004"/>
      <c r="J194" s="1004"/>
      <c r="R194" s="1015"/>
      <c r="S194" s="863" t="s">
        <v>335</v>
      </c>
      <c r="T194" s="1011">
        <v>163499.12984951836</v>
      </c>
      <c r="U194" s="1011">
        <v>167889.31789225427</v>
      </c>
      <c r="V194" s="1011">
        <v>172903.83924788982</v>
      </c>
      <c r="W194" s="1011">
        <v>178086.89081625576</v>
      </c>
      <c r="X194" s="1009">
        <v>8745904.5508553311</v>
      </c>
      <c r="Y194" s="1009">
        <v>8986859.7599580362</v>
      </c>
      <c r="Z194" s="1009">
        <v>9265372.2853798978</v>
      </c>
      <c r="AA194" s="1009">
        <v>9557477.4187884629</v>
      </c>
      <c r="AB194" s="1014"/>
    </row>
    <row r="195" spans="2:28" x14ac:dyDescent="0.3">
      <c r="B195" s="863" t="s">
        <v>339</v>
      </c>
      <c r="C195" s="1002">
        <v>1108442.8112328777</v>
      </c>
      <c r="D195" s="1002">
        <v>1114041.2258383529</v>
      </c>
      <c r="E195" s="1002">
        <v>1123275.9662887582</v>
      </c>
      <c r="F195" s="1002">
        <v>1131531.9949163762</v>
      </c>
      <c r="G195" s="1004"/>
      <c r="H195" s="1004"/>
      <c r="I195" s="1004"/>
      <c r="J195" s="1004"/>
      <c r="R195" s="1015"/>
      <c r="S195" s="863" t="s">
        <v>336</v>
      </c>
      <c r="T195" s="1011">
        <v>267174.84812021378</v>
      </c>
      <c r="U195" s="1011">
        <v>275123.77118042257</v>
      </c>
      <c r="V195" s="1011">
        <v>284160.84274854057</v>
      </c>
      <c r="W195" s="1011">
        <v>293844.29942309088</v>
      </c>
      <c r="X195" s="1009">
        <v>15099257.894009283</v>
      </c>
      <c r="Y195" s="1009">
        <v>15665335.915765081</v>
      </c>
      <c r="Z195" s="1009">
        <v>16305606.570839643</v>
      </c>
      <c r="AA195" s="1009">
        <v>16996514.950591002</v>
      </c>
      <c r="AB195" s="1014"/>
    </row>
    <row r="196" spans="2:28" x14ac:dyDescent="0.3">
      <c r="B196" s="863" t="s">
        <v>340</v>
      </c>
      <c r="C196" s="1002">
        <v>1562523.9957263423</v>
      </c>
      <c r="D196" s="1002">
        <v>1600871.3787337088</v>
      </c>
      <c r="E196" s="1002">
        <v>1645843.1632067251</v>
      </c>
      <c r="F196" s="1002">
        <v>1698916.9610423807</v>
      </c>
      <c r="G196" s="1004"/>
      <c r="H196" s="1004"/>
      <c r="I196" s="1004"/>
      <c r="J196" s="1004"/>
      <c r="R196" s="1015"/>
      <c r="S196" s="863" t="s">
        <v>337</v>
      </c>
      <c r="T196" s="1011">
        <v>282524.41931470926</v>
      </c>
      <c r="U196" s="1011">
        <v>294271.91715962358</v>
      </c>
      <c r="V196" s="1011">
        <v>310112.87051546352</v>
      </c>
      <c r="W196" s="1011">
        <v>327026.51723508455</v>
      </c>
      <c r="X196" s="1009">
        <v>16857843.326677311</v>
      </c>
      <c r="Y196" s="1009">
        <v>17531078.065993767</v>
      </c>
      <c r="Z196" s="1009">
        <v>18471876.798794687</v>
      </c>
      <c r="AA196" s="1009">
        <v>19477954.837544903</v>
      </c>
      <c r="AB196" s="1014"/>
    </row>
    <row r="197" spans="2:28" x14ac:dyDescent="0.3">
      <c r="B197" s="863" t="s">
        <v>341</v>
      </c>
      <c r="C197" s="1002">
        <v>6483443.2850522343</v>
      </c>
      <c r="D197" s="1002">
        <v>6613233.2563599739</v>
      </c>
      <c r="E197" s="1002">
        <v>6827980.6687971484</v>
      </c>
      <c r="F197" s="1002">
        <v>6987079.8495864198</v>
      </c>
      <c r="G197" s="1004"/>
      <c r="H197" s="1004"/>
      <c r="I197" s="1004"/>
      <c r="J197" s="1004"/>
      <c r="R197" s="1015"/>
      <c r="S197" s="863" t="s">
        <v>338</v>
      </c>
      <c r="T197" s="1011">
        <v>205469.52551121431</v>
      </c>
      <c r="U197" s="1011">
        <v>211618.31645339687</v>
      </c>
      <c r="V197" s="1011">
        <v>218433.9540459984</v>
      </c>
      <c r="W197" s="1011">
        <v>226011.03864147511</v>
      </c>
      <c r="X197" s="1009">
        <v>8625474.3040976543</v>
      </c>
      <c r="Y197" s="1009">
        <v>8881522.1390169337</v>
      </c>
      <c r="Z197" s="1009">
        <v>9165008.9169527981</v>
      </c>
      <c r="AA197" s="1009">
        <v>9479790.356382573</v>
      </c>
      <c r="AB197" s="1014"/>
    </row>
    <row r="198" spans="2:28" x14ac:dyDescent="0.3">
      <c r="B198" s="863" t="s">
        <v>342</v>
      </c>
      <c r="C198" s="1002">
        <v>4024320.2061845176</v>
      </c>
      <c r="D198" s="1002">
        <v>4074679.96523338</v>
      </c>
      <c r="E198" s="1002">
        <v>4147918.6150852721</v>
      </c>
      <c r="F198" s="1002">
        <v>4215209.0612717438</v>
      </c>
      <c r="G198" s="1004"/>
      <c r="H198" s="1004"/>
      <c r="I198" s="1004"/>
      <c r="J198" s="1004"/>
      <c r="R198" s="1015"/>
      <c r="S198" s="863" t="s">
        <v>339</v>
      </c>
      <c r="T198" s="1011">
        <v>180405.99361071619</v>
      </c>
      <c r="U198" s="1011">
        <v>185931.70319884759</v>
      </c>
      <c r="V198" s="1011">
        <v>193334.29589141495</v>
      </c>
      <c r="W198" s="1011">
        <v>200726.63116467412</v>
      </c>
      <c r="X198" s="1009">
        <v>8728377.877203377</v>
      </c>
      <c r="Y198" s="1009">
        <v>8974837.5018969625</v>
      </c>
      <c r="Z198" s="1009">
        <v>9303627.4128658399</v>
      </c>
      <c r="AA198" s="1009">
        <v>9632548.9297613464</v>
      </c>
      <c r="AB198" s="1014"/>
    </row>
    <row r="199" spans="2:28" x14ac:dyDescent="0.3">
      <c r="B199" s="863" t="s">
        <v>343</v>
      </c>
      <c r="C199" s="1002">
        <v>3414485.2493391605</v>
      </c>
      <c r="D199" s="1002">
        <v>3465792.7055177884</v>
      </c>
      <c r="E199" s="1002">
        <v>3548039.4787442754</v>
      </c>
      <c r="F199" s="1002">
        <v>3628563.4893186521</v>
      </c>
      <c r="G199" s="1004"/>
      <c r="H199" s="1004"/>
      <c r="I199" s="1004"/>
      <c r="J199" s="1004"/>
      <c r="R199" s="1015"/>
      <c r="S199" s="863" t="s">
        <v>340</v>
      </c>
      <c r="T199" s="1011">
        <v>263285.48749519174</v>
      </c>
      <c r="U199" s="1011">
        <v>270273.47450931161</v>
      </c>
      <c r="V199" s="1011">
        <v>278030.39789113682</v>
      </c>
      <c r="W199" s="1011">
        <v>287073.02446287527</v>
      </c>
      <c r="X199" s="1009">
        <v>11881412.824564323</v>
      </c>
      <c r="Y199" s="1009">
        <v>12183415.729680039</v>
      </c>
      <c r="Z199" s="1009">
        <v>12518090.114567863</v>
      </c>
      <c r="AA199" s="1009">
        <v>12907587.769059565</v>
      </c>
      <c r="AB199" s="1014"/>
    </row>
    <row r="200" spans="2:28" x14ac:dyDescent="0.3">
      <c r="B200" s="863" t="s">
        <v>344</v>
      </c>
      <c r="C200" s="1002">
        <v>5449633.9271323076</v>
      </c>
      <c r="D200" s="1002">
        <v>5600175.0445405813</v>
      </c>
      <c r="E200" s="1002">
        <v>5931693.5667554326</v>
      </c>
      <c r="F200" s="1002">
        <v>6231917.8279088289</v>
      </c>
      <c r="G200" s="1004"/>
      <c r="H200" s="1004"/>
      <c r="I200" s="1004"/>
      <c r="J200" s="1004"/>
      <c r="R200" s="1015"/>
      <c r="S200" s="863" t="s">
        <v>341</v>
      </c>
      <c r="T200" s="1011">
        <v>444943.4850712925</v>
      </c>
      <c r="U200" s="1011">
        <v>461535.22062918026</v>
      </c>
      <c r="V200" s="1011">
        <v>483073.8000217519</v>
      </c>
      <c r="W200" s="1033">
        <v>501182.33678860561</v>
      </c>
      <c r="X200" s="1009">
        <v>19437526.768037081</v>
      </c>
      <c r="Y200" s="1009">
        <v>20148970.866213314</v>
      </c>
      <c r="Z200" s="1009">
        <v>21078831.571926475</v>
      </c>
      <c r="AA200" s="1032">
        <v>21864846.541440148</v>
      </c>
      <c r="AB200" s="1014"/>
    </row>
    <row r="201" spans="2:28" x14ac:dyDescent="0.3">
      <c r="B201" s="863" t="s">
        <v>345</v>
      </c>
      <c r="C201" s="1002">
        <v>1337300.412015799</v>
      </c>
      <c r="D201" s="1002">
        <v>1361813.3233269139</v>
      </c>
      <c r="E201" s="1002">
        <v>1388828.956552824</v>
      </c>
      <c r="F201" s="1002">
        <v>1420155.913416934</v>
      </c>
      <c r="G201" s="1004"/>
      <c r="H201" s="1004"/>
      <c r="I201" s="1004"/>
      <c r="J201" s="1004"/>
      <c r="R201" s="1015"/>
      <c r="S201" s="863" t="s">
        <v>342</v>
      </c>
      <c r="T201" s="1011">
        <v>372435.31514209014</v>
      </c>
      <c r="U201" s="1011">
        <v>382778.82254244003</v>
      </c>
      <c r="V201" s="1011">
        <v>395311.06840655953</v>
      </c>
      <c r="W201" s="1011">
        <v>407555.27227288444</v>
      </c>
      <c r="X201" s="1009">
        <v>15669269.595996255</v>
      </c>
      <c r="Y201" s="1009">
        <v>16104693.296107512</v>
      </c>
      <c r="Z201" s="1009">
        <v>16633883.840346329</v>
      </c>
      <c r="AA201" s="1009">
        <v>17153053.01065962</v>
      </c>
      <c r="AB201" s="1014"/>
    </row>
    <row r="202" spans="2:28" x14ac:dyDescent="0.3">
      <c r="B202" s="863" t="s">
        <v>346</v>
      </c>
      <c r="C202" s="1002">
        <v>2110049.5505893887</v>
      </c>
      <c r="D202" s="1002">
        <v>2115525.8565631821</v>
      </c>
      <c r="E202" s="1002">
        <v>2124107.9393514548</v>
      </c>
      <c r="F202" s="1002">
        <v>2134328.727775841</v>
      </c>
      <c r="G202" s="1004"/>
      <c r="H202" s="1004"/>
      <c r="I202" s="1004"/>
      <c r="J202" s="1004"/>
      <c r="R202" s="1015"/>
      <c r="S202" s="863" t="s">
        <v>343</v>
      </c>
      <c r="T202" s="1011">
        <v>275243.2812026192</v>
      </c>
      <c r="U202" s="1011">
        <v>282711.94694955717</v>
      </c>
      <c r="V202" s="1011">
        <v>292038.0770968346</v>
      </c>
      <c r="W202" s="1011">
        <v>301505.66087438364</v>
      </c>
      <c r="X202" s="1009">
        <v>12240596.037991896</v>
      </c>
      <c r="Y202" s="1009">
        <v>12557713.61578647</v>
      </c>
      <c r="Z202" s="1009">
        <v>12957759.900738824</v>
      </c>
      <c r="AA202" s="1009">
        <v>13364637.926583774</v>
      </c>
      <c r="AB202" s="1014"/>
    </row>
    <row r="203" spans="2:28" x14ac:dyDescent="0.3">
      <c r="B203" s="863" t="s">
        <v>347</v>
      </c>
      <c r="C203" s="1002">
        <v>1204328.8773361575</v>
      </c>
      <c r="D203" s="1002">
        <v>1236577.6145105315</v>
      </c>
      <c r="E203" s="1002">
        <v>1281930.7767211194</v>
      </c>
      <c r="F203" s="1002">
        <v>1316968.8680092162</v>
      </c>
      <c r="G203" s="1004"/>
      <c r="H203" s="1004"/>
      <c r="I203" s="1004"/>
      <c r="J203" s="1004"/>
      <c r="R203" s="1015"/>
      <c r="S203" s="863" t="s">
        <v>344</v>
      </c>
      <c r="T203" s="1011">
        <v>354364.58359448402</v>
      </c>
      <c r="U203" s="1011">
        <v>368073.09199237055</v>
      </c>
      <c r="V203" s="1011">
        <v>390722.98357768997</v>
      </c>
      <c r="W203" s="1011">
        <v>411544.49015030812</v>
      </c>
      <c r="X203" s="1009">
        <v>17137000.133997668</v>
      </c>
      <c r="Y203" s="1009">
        <v>17750290.269561056</v>
      </c>
      <c r="Z203" s="1009">
        <v>18791895.098461173</v>
      </c>
      <c r="AA203" s="1009">
        <v>19752945.383793734</v>
      </c>
      <c r="AB203" s="1014"/>
    </row>
    <row r="204" spans="2:28" x14ac:dyDescent="0.3">
      <c r="B204" s="863" t="s">
        <v>348</v>
      </c>
      <c r="C204" s="1002">
        <v>1352111.9551293808</v>
      </c>
      <c r="D204" s="1002">
        <v>1361739.8643368853</v>
      </c>
      <c r="E204" s="1002">
        <v>1375420.2358772613</v>
      </c>
      <c r="F204" s="1002">
        <v>1383480.3408073653</v>
      </c>
      <c r="G204" s="1004"/>
      <c r="H204" s="1004"/>
      <c r="I204" s="1004"/>
      <c r="J204" s="1004"/>
      <c r="R204" s="1015"/>
      <c r="S204" s="863" t="s">
        <v>345</v>
      </c>
      <c r="T204" s="1011">
        <v>205462.5193948512</v>
      </c>
      <c r="U204" s="1011">
        <v>209142.47860198678</v>
      </c>
      <c r="V204" s="1011">
        <v>213106.11399518812</v>
      </c>
      <c r="W204" s="1011">
        <v>217610.47857779317</v>
      </c>
      <c r="X204" s="1009">
        <v>8700807.5321963057</v>
      </c>
      <c r="Y204" s="1009">
        <v>8877871.6827402133</v>
      </c>
      <c r="Z204" s="1009">
        <v>9068724.4929481</v>
      </c>
      <c r="AA204" s="1009">
        <v>9284199.5246065296</v>
      </c>
      <c r="AB204" s="1014"/>
    </row>
    <row r="205" spans="2:28" x14ac:dyDescent="0.3">
      <c r="B205" s="863" t="s">
        <v>349</v>
      </c>
      <c r="C205" s="1002">
        <v>1973549.0895502332</v>
      </c>
      <c r="D205" s="1002">
        <v>1984988.1788236981</v>
      </c>
      <c r="E205" s="1002">
        <v>2000247.3234227395</v>
      </c>
      <c r="F205" s="1002">
        <v>2019169.7806479097</v>
      </c>
      <c r="G205" s="1004"/>
      <c r="H205" s="1004"/>
      <c r="I205" s="1004"/>
      <c r="J205" s="1004"/>
      <c r="R205" s="1015"/>
      <c r="S205" s="863" t="s">
        <v>346</v>
      </c>
      <c r="T205" s="1011">
        <v>136795.23650740131</v>
      </c>
      <c r="U205" s="1011">
        <v>137975.24133687609</v>
      </c>
      <c r="V205" s="1011">
        <v>139262.01585845283</v>
      </c>
      <c r="W205" s="1011">
        <v>140690.65401210581</v>
      </c>
      <c r="X205" s="1009">
        <v>8203056.8025164902</v>
      </c>
      <c r="Y205" s="1009">
        <v>8256839.6801718231</v>
      </c>
      <c r="Z205" s="1009">
        <v>8316470.2179524023</v>
      </c>
      <c r="AA205" s="1009">
        <v>8382807.6127079781</v>
      </c>
      <c r="AB205" s="1014"/>
    </row>
    <row r="206" spans="2:28" ht="15" thickBot="1" x14ac:dyDescent="0.35">
      <c r="B206" s="877" t="s">
        <v>350</v>
      </c>
      <c r="C206" s="1002">
        <v>1952274.0188549107</v>
      </c>
      <c r="D206" s="1002">
        <v>1970443.847210035</v>
      </c>
      <c r="E206" s="1002">
        <v>1996690.2591667452</v>
      </c>
      <c r="F206" s="1002">
        <v>2018562.2578278624</v>
      </c>
      <c r="G206" s="1004"/>
      <c r="H206" s="1004"/>
      <c r="I206" s="1004"/>
      <c r="J206" s="1004"/>
      <c r="R206" s="1015"/>
      <c r="S206" s="863" t="s">
        <v>347</v>
      </c>
      <c r="T206" s="1011">
        <v>118755.03680776636</v>
      </c>
      <c r="U206" s="1011">
        <v>122697.80511040057</v>
      </c>
      <c r="V206" s="1011">
        <v>127915.23345006147</v>
      </c>
      <c r="W206" s="1033">
        <v>132177.14700030597</v>
      </c>
      <c r="X206" s="1009">
        <v>4997118.7511682957</v>
      </c>
      <c r="Y206" s="1009">
        <v>5153800.0264580343</v>
      </c>
      <c r="Z206" s="1009">
        <v>5360183.9621618614</v>
      </c>
      <c r="AA206" s="1032">
        <v>5529725.3741212599</v>
      </c>
      <c r="AB206" s="1014"/>
    </row>
    <row r="207" spans="2:28" ht="15" thickTop="1" x14ac:dyDescent="0.3">
      <c r="B207" s="879" t="s">
        <v>351</v>
      </c>
      <c r="C207" s="1002">
        <f>SUM(C186:C206)</f>
        <v>78771316.980906621</v>
      </c>
      <c r="D207" s="1002">
        <f t="shared" ref="D207" si="114">SUM(D186:D206)</f>
        <v>80251072.60190174</v>
      </c>
      <c r="E207" s="1002">
        <f t="shared" ref="E207" si="115">SUM(E186:E206)</f>
        <v>82618050.149028569</v>
      </c>
      <c r="F207" s="1002">
        <f t="shared" ref="F207" si="116">SUM(F186:F206)</f>
        <v>84906484.677925318</v>
      </c>
      <c r="G207" s="1002">
        <f t="shared" ref="G207" si="117">SUM(G186:G206)</f>
        <v>0</v>
      </c>
      <c r="H207" s="1002">
        <f t="shared" ref="H207" si="118">SUM(H186:H206)</f>
        <v>0</v>
      </c>
      <c r="I207" s="1002">
        <f t="shared" ref="I207" si="119">SUM(I186:I206)</f>
        <v>0</v>
      </c>
      <c r="J207" s="1002">
        <f t="shared" ref="J207" si="120">SUM(J186:J206)</f>
        <v>0</v>
      </c>
      <c r="R207" s="1015"/>
      <c r="S207" s="863" t="s">
        <v>348</v>
      </c>
      <c r="T207" s="1011">
        <v>148894.85321037786</v>
      </c>
      <c r="U207" s="1011">
        <v>150980.03722032128</v>
      </c>
      <c r="V207" s="1011">
        <v>153648.25284071837</v>
      </c>
      <c r="W207" s="1011">
        <v>155517.26162514457</v>
      </c>
      <c r="X207" s="1009">
        <v>7414507.1534345131</v>
      </c>
      <c r="Y207" s="1009">
        <v>7505258.7611688599</v>
      </c>
      <c r="Z207" s="1009">
        <v>7621360.3378586583</v>
      </c>
      <c r="AA207" s="1009">
        <v>7703630.6897009406</v>
      </c>
      <c r="AB207" s="1014"/>
    </row>
    <row r="208" spans="2:28" x14ac:dyDescent="0.3">
      <c r="R208" s="1015"/>
      <c r="S208" s="863" t="s">
        <v>349</v>
      </c>
      <c r="T208" s="1011">
        <v>133057.97038138175</v>
      </c>
      <c r="U208" s="1011">
        <v>136246.90603468739</v>
      </c>
      <c r="V208" s="1011">
        <v>139801.59856125893</v>
      </c>
      <c r="W208" s="1011">
        <v>143743.41381048266</v>
      </c>
      <c r="X208" s="1009">
        <v>6580593.8660675688</v>
      </c>
      <c r="Y208" s="1009">
        <v>6731526.5465739751</v>
      </c>
      <c r="Z208" s="1009">
        <v>6900325.673293205</v>
      </c>
      <c r="AA208" s="1009">
        <v>7087942.7216851581</v>
      </c>
      <c r="AB208" s="1014"/>
    </row>
    <row r="209" spans="3:28" ht="15" thickBot="1" x14ac:dyDescent="0.35">
      <c r="R209" s="1015"/>
      <c r="S209" s="877" t="s">
        <v>350</v>
      </c>
      <c r="T209" s="1011">
        <v>154087.10300612196</v>
      </c>
      <c r="U209" s="1011">
        <v>155810.3227301946</v>
      </c>
      <c r="V209" s="1011">
        <v>157821.99339014982</v>
      </c>
      <c r="W209" s="1011">
        <v>159619.74169906855</v>
      </c>
      <c r="X209" s="1009">
        <v>8067633.6644707713</v>
      </c>
      <c r="Y209" s="1009">
        <v>8152154.6386357872</v>
      </c>
      <c r="Z209" s="1009">
        <v>8252611.71542479</v>
      </c>
      <c r="AA209" s="1009">
        <v>8342036.2546699056</v>
      </c>
      <c r="AB209" s="1014"/>
    </row>
    <row r="210" spans="3:28" ht="15" thickTop="1" x14ac:dyDescent="0.3">
      <c r="R210" s="1015"/>
      <c r="S210" s="879" t="s">
        <v>351</v>
      </c>
      <c r="T210" s="1011">
        <v>5152300.7662797002</v>
      </c>
      <c r="U210" s="1011">
        <v>5285756.2637840742</v>
      </c>
      <c r="V210" s="1011">
        <v>5459231.4435583111</v>
      </c>
      <c r="W210" s="1011">
        <v>5628814.3885994721</v>
      </c>
      <c r="X210" s="866">
        <v>248981248.37265724</v>
      </c>
      <c r="Y210" s="866">
        <v>255296079.22144619</v>
      </c>
      <c r="Z210" s="866">
        <v>263589040.7453267</v>
      </c>
      <c r="AA210" s="866">
        <v>271766384.60602176</v>
      </c>
      <c r="AB210" s="1014"/>
    </row>
    <row r="211" spans="3:28" x14ac:dyDescent="0.3">
      <c r="R211" s="1015"/>
      <c r="S211" s="1015"/>
      <c r="T211" s="1015"/>
      <c r="U211" s="1015"/>
      <c r="V211" s="1015"/>
      <c r="W211" s="1015"/>
      <c r="X211" s="1015"/>
      <c r="Y211" s="1015"/>
      <c r="Z211" s="1015"/>
      <c r="AA211" s="1015"/>
      <c r="AB211" s="1014"/>
    </row>
    <row r="212" spans="3:28" x14ac:dyDescent="0.3">
      <c r="R212" s="1015"/>
      <c r="S212" s="1015"/>
      <c r="T212" s="1015"/>
      <c r="U212" s="1015"/>
      <c r="V212" s="1015"/>
      <c r="W212" s="1015"/>
      <c r="X212" s="1015"/>
      <c r="Y212" s="1015"/>
      <c r="Z212" s="1015"/>
      <c r="AA212" s="1015"/>
      <c r="AB212" s="1012"/>
    </row>
    <row r="213" spans="3:28" x14ac:dyDescent="0.3">
      <c r="S213" s="1015"/>
      <c r="T213" s="1015"/>
      <c r="U213" s="1015"/>
      <c r="V213" s="1015"/>
      <c r="W213" s="1015"/>
      <c r="X213" s="1015"/>
      <c r="Y213" s="1015"/>
      <c r="Z213" s="1015"/>
      <c r="AA213" s="1015"/>
      <c r="AB213" s="1012"/>
    </row>
    <row r="222" spans="3:28" ht="28.8" x14ac:dyDescent="0.3">
      <c r="C222" s="882" t="s">
        <v>207</v>
      </c>
      <c r="D222" s="858" t="s">
        <v>1346</v>
      </c>
      <c r="E222" s="858" t="s">
        <v>1360</v>
      </c>
      <c r="F222" s="858" t="s">
        <v>1347</v>
      </c>
      <c r="G222" s="858" t="s">
        <v>212</v>
      </c>
      <c r="H222" s="858" t="s">
        <v>163</v>
      </c>
    </row>
    <row r="223" spans="3:28" x14ac:dyDescent="0.3">
      <c r="C223" s="857" t="s">
        <v>351</v>
      </c>
      <c r="D223" s="884">
        <f>D217</f>
        <v>0</v>
      </c>
      <c r="E223" s="884">
        <f>E217</f>
        <v>0</v>
      </c>
      <c r="F223" s="884">
        <f>F217</f>
        <v>0</v>
      </c>
      <c r="G223" s="884">
        <f>SUM(G217:I217)</f>
        <v>0</v>
      </c>
      <c r="H223" s="884">
        <f>J217</f>
        <v>0</v>
      </c>
    </row>
  </sheetData>
  <mergeCells count="33">
    <mergeCell ref="X187:AA187"/>
    <mergeCell ref="C184:F184"/>
    <mergeCell ref="G184:J184"/>
    <mergeCell ref="Q104:T104"/>
    <mergeCell ref="W104:Z104"/>
    <mergeCell ref="C158:F158"/>
    <mergeCell ref="G158:J158"/>
    <mergeCell ref="C131:F131"/>
    <mergeCell ref="G131:J131"/>
    <mergeCell ref="W131:Z131"/>
    <mergeCell ref="C104:F104"/>
    <mergeCell ref="G104:J104"/>
    <mergeCell ref="M131:P131"/>
    <mergeCell ref="Q131:T131"/>
    <mergeCell ref="M104:P104"/>
    <mergeCell ref="C50:F50"/>
    <mergeCell ref="I50:P50"/>
    <mergeCell ref="D76:G76"/>
    <mergeCell ref="J76:O76"/>
    <mergeCell ref="T187:W187"/>
    <mergeCell ref="B2:J2"/>
    <mergeCell ref="B3:B4"/>
    <mergeCell ref="C3:C4"/>
    <mergeCell ref="D3:D4"/>
    <mergeCell ref="E3:E4"/>
    <mergeCell ref="F3:H3"/>
    <mergeCell ref="I3:I4"/>
    <mergeCell ref="J3:J4"/>
    <mergeCell ref="L5:O5"/>
    <mergeCell ref="M158:P158"/>
    <mergeCell ref="S158:V158"/>
    <mergeCell ref="Y158:AB158"/>
    <mergeCell ref="Y6:AB6"/>
  </mergeCells>
  <pageMargins left="0.7" right="0.7" top="0.75" bottom="0.75" header="0.3" footer="0.3"/>
  <pageSetup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8"/>
  <sheetViews>
    <sheetView workbookViewId="0">
      <selection activeCell="H5" sqref="H5"/>
    </sheetView>
  </sheetViews>
  <sheetFormatPr defaultRowHeight="13.2" x14ac:dyDescent="0.25"/>
  <cols>
    <col min="1" max="1" width="11.88671875" customWidth="1"/>
    <col min="2" max="2" width="9.88671875" customWidth="1"/>
    <col min="3" max="3" width="9.6640625" customWidth="1"/>
    <col min="4" max="4" width="11.5546875" customWidth="1"/>
    <col min="5" max="5" width="12.88671875" customWidth="1"/>
    <col min="6" max="6" width="11.109375" customWidth="1"/>
    <col min="11" max="12" width="9.109375" bestFit="1" customWidth="1"/>
  </cols>
  <sheetData>
    <row r="2" spans="1:12" ht="15" x14ac:dyDescent="0.25">
      <c r="A2" s="1229" t="s">
        <v>1564</v>
      </c>
      <c r="B2" s="1230"/>
      <c r="C2" s="1230"/>
      <c r="D2" s="1230"/>
      <c r="E2" s="1230"/>
      <c r="F2" s="1230"/>
    </row>
    <row r="3" spans="1:12" x14ac:dyDescent="0.25">
      <c r="A3" s="1223" t="s">
        <v>322</v>
      </c>
      <c r="B3" s="1228" t="s">
        <v>1558</v>
      </c>
      <c r="C3" s="1228"/>
      <c r="D3" s="1228"/>
      <c r="E3" s="1228"/>
      <c r="F3" s="1228"/>
    </row>
    <row r="4" spans="1:12" ht="26.4" x14ac:dyDescent="0.25">
      <c r="A4" s="1223"/>
      <c r="B4" s="1056" t="s">
        <v>213</v>
      </c>
      <c r="C4" s="1056" t="s">
        <v>1561</v>
      </c>
      <c r="D4" s="1057" t="s">
        <v>1054</v>
      </c>
      <c r="E4" s="1058" t="s">
        <v>1349</v>
      </c>
      <c r="F4" s="1057" t="s">
        <v>409</v>
      </c>
      <c r="J4" s="1231" t="s">
        <v>1562</v>
      </c>
      <c r="K4" s="1232"/>
      <c r="L4" s="1233"/>
    </row>
    <row r="5" spans="1:12" ht="14.4" x14ac:dyDescent="0.3">
      <c r="A5" s="860" t="s">
        <v>403</v>
      </c>
      <c r="B5" s="954">
        <f>'Charts &amp; Tables'!F5</f>
        <v>37946.602499999994</v>
      </c>
      <c r="C5" s="954">
        <v>84846.086702400004</v>
      </c>
      <c r="D5" s="1052">
        <f>K5-C5</f>
        <v>1523.6088440000021</v>
      </c>
      <c r="E5" s="954">
        <f>'Charts &amp; Tables'!H5</f>
        <v>20944.182400000005</v>
      </c>
      <c r="F5" s="954">
        <f>SUM(B5:E5)</f>
        <v>145260.4804464</v>
      </c>
      <c r="J5" s="837"/>
      <c r="K5" s="1050">
        <v>86369.695546400006</v>
      </c>
      <c r="L5" s="837"/>
    </row>
    <row r="6" spans="1:12" ht="14.4" x14ac:dyDescent="0.3">
      <c r="A6" s="863" t="s">
        <v>325</v>
      </c>
      <c r="B6" s="954">
        <f>'Charts &amp; Tables'!F6</f>
        <v>166837.16649999999</v>
      </c>
      <c r="C6" s="954">
        <v>195159.15290400002</v>
      </c>
      <c r="D6" s="1052">
        <f t="shared" ref="D6:D25" si="0">K6-C6</f>
        <v>22668.909484000003</v>
      </c>
      <c r="E6" s="954">
        <f>'Charts &amp; Tables'!H6</f>
        <v>86592.899200000014</v>
      </c>
      <c r="F6" s="954">
        <f t="shared" ref="F6:F25" si="1">SUM(B6:E6)</f>
        <v>471258.128088</v>
      </c>
      <c r="G6" s="384"/>
      <c r="J6" s="837"/>
      <c r="K6" s="954">
        <v>217828.06238800002</v>
      </c>
      <c r="L6" s="837"/>
    </row>
    <row r="7" spans="1:12" ht="14.4" x14ac:dyDescent="0.3">
      <c r="A7" s="863" t="s">
        <v>328</v>
      </c>
      <c r="B7" s="954">
        <f>'Charts &amp; Tables'!F7</f>
        <v>77961.870500000005</v>
      </c>
      <c r="C7" s="954">
        <v>95210.380593199981</v>
      </c>
      <c r="D7" s="1052">
        <f t="shared" si="0"/>
        <v>17208.575971999991</v>
      </c>
      <c r="E7" s="954">
        <f>'Charts &amp; Tables'!H7</f>
        <v>23711.446400000004</v>
      </c>
      <c r="F7" s="954">
        <f t="shared" si="1"/>
        <v>214092.27346520001</v>
      </c>
      <c r="J7" s="837"/>
      <c r="K7" s="954">
        <v>112418.95656519997</v>
      </c>
      <c r="L7" s="837"/>
    </row>
    <row r="8" spans="1:12" ht="14.4" x14ac:dyDescent="0.3">
      <c r="A8" s="863" t="s">
        <v>331</v>
      </c>
      <c r="B8" s="954">
        <f>'Charts &amp; Tables'!F8</f>
        <v>75827.284499999994</v>
      </c>
      <c r="C8" s="954">
        <v>30227.090116399995</v>
      </c>
      <c r="D8" s="1052">
        <f t="shared" si="0"/>
        <v>99732.072624000008</v>
      </c>
      <c r="E8" s="954">
        <f>'Charts &amp; Tables'!H8</f>
        <v>20582.972800000003</v>
      </c>
      <c r="F8" s="954">
        <f t="shared" si="1"/>
        <v>226369.4200404</v>
      </c>
      <c r="J8" s="837"/>
      <c r="K8" s="954">
        <v>129959.1627404</v>
      </c>
      <c r="L8" s="837"/>
    </row>
    <row r="9" spans="1:12" ht="14.4" x14ac:dyDescent="0.3">
      <c r="A9" s="863" t="s">
        <v>333</v>
      </c>
      <c r="B9" s="954">
        <f>'Charts &amp; Tables'!F9</f>
        <v>22539.174000000003</v>
      </c>
      <c r="C9" s="954">
        <v>32504.888731200001</v>
      </c>
      <c r="D9" s="1052">
        <f t="shared" si="0"/>
        <v>5.6074120000012044</v>
      </c>
      <c r="E9" s="954">
        <f>'Charts &amp; Tables'!H9</f>
        <v>21896.950400000002</v>
      </c>
      <c r="F9" s="954">
        <f t="shared" si="1"/>
        <v>76946.620543199999</v>
      </c>
      <c r="J9" s="837"/>
      <c r="K9" s="954">
        <v>32510.496143200002</v>
      </c>
      <c r="L9" s="837"/>
    </row>
    <row r="10" spans="1:12" ht="14.4" x14ac:dyDescent="0.3">
      <c r="A10" s="863" t="s">
        <v>335</v>
      </c>
      <c r="B10" s="954">
        <f>'Charts &amp; Tables'!F10</f>
        <v>34772.178</v>
      </c>
      <c r="C10" s="954">
        <v>40639.464886400005</v>
      </c>
      <c r="D10" s="1052">
        <f t="shared" si="0"/>
        <v>59.002831999991031</v>
      </c>
      <c r="E10" s="954">
        <f>'Charts &amp; Tables'!H10</f>
        <v>6815.2128000000012</v>
      </c>
      <c r="F10" s="954">
        <f t="shared" si="1"/>
        <v>82285.858518399997</v>
      </c>
      <c r="J10" s="837"/>
      <c r="K10" s="954">
        <v>40698.467718399996</v>
      </c>
      <c r="L10" s="837"/>
    </row>
    <row r="11" spans="1:12" ht="14.4" x14ac:dyDescent="0.3">
      <c r="A11" s="863" t="s">
        <v>336</v>
      </c>
      <c r="B11" s="954">
        <f>'Charts &amp; Tables'!F11</f>
        <v>112229.36249999999</v>
      </c>
      <c r="C11" s="954">
        <v>36170.632535599994</v>
      </c>
      <c r="D11" s="1052">
        <f t="shared" si="0"/>
        <v>126022.01305200002</v>
      </c>
      <c r="E11" s="954">
        <f>'Charts &amp; Tables'!H11</f>
        <v>19283.440000000002</v>
      </c>
      <c r="F11" s="954">
        <f t="shared" si="1"/>
        <v>293705.4480876</v>
      </c>
      <c r="J11" s="837"/>
      <c r="K11" s="954">
        <v>162192.64558760001</v>
      </c>
      <c r="L11" s="837"/>
    </row>
    <row r="12" spans="1:12" ht="14.4" x14ac:dyDescent="0.3">
      <c r="A12" s="863" t="s">
        <v>337</v>
      </c>
      <c r="B12" s="954">
        <f>'Charts &amp; Tables'!F12</f>
        <v>76845.582500000004</v>
      </c>
      <c r="C12" s="954">
        <v>9064.4207856000012</v>
      </c>
      <c r="D12" s="1052">
        <f t="shared" si="0"/>
        <v>56666.648440000004</v>
      </c>
      <c r="E12" s="954">
        <f>'Charts &amp; Tables'!H12</f>
        <v>10686.140800000001</v>
      </c>
      <c r="F12" s="954">
        <f t="shared" si="1"/>
        <v>153262.7925256</v>
      </c>
      <c r="J12" s="837"/>
      <c r="K12" s="954">
        <v>65731.069225600004</v>
      </c>
      <c r="L12" s="837"/>
    </row>
    <row r="13" spans="1:12" ht="14.4" x14ac:dyDescent="0.3">
      <c r="A13" s="863" t="s">
        <v>338</v>
      </c>
      <c r="B13" s="954">
        <f>'Charts &amp; Tables'!F13</f>
        <v>114940.1395</v>
      </c>
      <c r="C13" s="954">
        <v>131772.91051040002</v>
      </c>
      <c r="D13" s="1052">
        <f t="shared" si="0"/>
        <v>334.08746399998199</v>
      </c>
      <c r="E13" s="954">
        <f>'Charts &amp; Tables'!H13</f>
        <v>25802.438399999999</v>
      </c>
      <c r="F13" s="954">
        <f t="shared" si="1"/>
        <v>272849.57587439998</v>
      </c>
      <c r="J13" s="837"/>
      <c r="K13" s="954">
        <v>132106.9979744</v>
      </c>
      <c r="L13" s="837"/>
    </row>
    <row r="14" spans="1:12" ht="14.4" x14ac:dyDescent="0.3">
      <c r="A14" s="863" t="s">
        <v>339</v>
      </c>
      <c r="B14" s="954">
        <f>'Charts &amp; Tables'!F14</f>
        <v>16168.502500000002</v>
      </c>
      <c r="C14" s="954">
        <v>17524.687573200004</v>
      </c>
      <c r="D14" s="1052">
        <f t="shared" si="0"/>
        <v>9682.3575879999989</v>
      </c>
      <c r="E14" s="954">
        <f>'Charts &amp; Tables'!H14</f>
        <v>8298.1792000000023</v>
      </c>
      <c r="F14" s="954">
        <f t="shared" si="1"/>
        <v>51673.726861200004</v>
      </c>
      <c r="J14" s="837"/>
      <c r="K14" s="954">
        <v>27207.045161200003</v>
      </c>
      <c r="L14" s="837"/>
    </row>
    <row r="15" spans="1:12" ht="14.4" x14ac:dyDescent="0.3">
      <c r="A15" s="863" t="s">
        <v>340</v>
      </c>
      <c r="B15" s="954">
        <f>'Charts &amp; Tables'!F15</f>
        <v>70080.870999999999</v>
      </c>
      <c r="C15" s="954">
        <v>84207.195322799991</v>
      </c>
      <c r="D15" s="1052">
        <f t="shared" si="0"/>
        <v>43.109212000010302</v>
      </c>
      <c r="E15" s="954">
        <f>'Charts &amp; Tables'!H15</f>
        <v>20757.116800000003</v>
      </c>
      <c r="F15" s="954">
        <f t="shared" si="1"/>
        <v>175088.2923348</v>
      </c>
      <c r="J15" s="837"/>
      <c r="K15" s="954">
        <v>84250.304534800001</v>
      </c>
      <c r="L15" s="837"/>
    </row>
    <row r="16" spans="1:12" ht="14.4" x14ac:dyDescent="0.3">
      <c r="A16" s="1035" t="s">
        <v>341</v>
      </c>
      <c r="B16" s="954">
        <f>'Charts &amp; Tables'!F16</f>
        <v>197132.77750000003</v>
      </c>
      <c r="C16" s="954">
        <v>190952.07597400001</v>
      </c>
      <c r="D16" s="1052">
        <f t="shared" si="0"/>
        <v>6668.8558040000207</v>
      </c>
      <c r="E16" s="954">
        <f>'Charts &amp; Tables'!H16</f>
        <v>31407.497599999999</v>
      </c>
      <c r="F16" s="954">
        <f t="shared" si="1"/>
        <v>426161.20687800006</v>
      </c>
      <c r="J16" s="837"/>
      <c r="K16" s="954">
        <v>197620.93177800003</v>
      </c>
      <c r="L16" s="837"/>
    </row>
    <row r="17" spans="1:13" ht="14.4" x14ac:dyDescent="0.3">
      <c r="A17" s="863" t="s">
        <v>342</v>
      </c>
      <c r="B17" s="954">
        <f>'Charts &amp; Tables'!F17</f>
        <v>99977.147000000026</v>
      </c>
      <c r="C17" s="954">
        <v>153487.57062119999</v>
      </c>
      <c r="D17" s="1052">
        <f t="shared" si="0"/>
        <v>122.8987560000096</v>
      </c>
      <c r="E17" s="954">
        <f>'Charts &amp; Tables'!H17</f>
        <v>64421.347200000011</v>
      </c>
      <c r="F17" s="954">
        <f t="shared" si="1"/>
        <v>318008.96357720002</v>
      </c>
      <c r="J17" s="837"/>
      <c r="K17" s="954">
        <v>153610.4693772</v>
      </c>
      <c r="L17" s="837"/>
    </row>
    <row r="18" spans="1:13" ht="14.4" x14ac:dyDescent="0.3">
      <c r="A18" s="863" t="s">
        <v>343</v>
      </c>
      <c r="B18" s="954">
        <f>'Charts &amp; Tables'!F18</f>
        <v>101477.8955</v>
      </c>
      <c r="C18" s="954">
        <v>101153.9837296</v>
      </c>
      <c r="D18" s="1052">
        <f t="shared" si="0"/>
        <v>4539.3607359999878</v>
      </c>
      <c r="E18" s="954">
        <f>'Charts &amp; Tables'!H18</f>
        <v>19766.307200000003</v>
      </c>
      <c r="F18" s="954">
        <f t="shared" si="1"/>
        <v>226937.54716560003</v>
      </c>
      <c r="J18" s="837"/>
      <c r="K18" s="954">
        <v>105693.34446559999</v>
      </c>
      <c r="L18" s="837"/>
    </row>
    <row r="19" spans="1:13" ht="14.4" x14ac:dyDescent="0.3">
      <c r="A19" s="863" t="s">
        <v>344</v>
      </c>
      <c r="B19" s="954">
        <f>'Charts &amp; Tables'!F19</f>
        <v>91930.809500000018</v>
      </c>
      <c r="C19" s="954">
        <v>139857.79142319999</v>
      </c>
      <c r="D19" s="1052">
        <f t="shared" si="0"/>
        <v>56.038403999991715</v>
      </c>
      <c r="E19" s="954">
        <f>'Charts &amp; Tables'!H19</f>
        <v>88560.502400000012</v>
      </c>
      <c r="F19" s="954">
        <f t="shared" si="1"/>
        <v>320405.14172720001</v>
      </c>
      <c r="J19" s="837"/>
      <c r="K19" s="954">
        <v>139913.82982719998</v>
      </c>
      <c r="L19" s="837"/>
    </row>
    <row r="20" spans="1:13" ht="14.4" x14ac:dyDescent="0.3">
      <c r="A20" s="863" t="s">
        <v>345</v>
      </c>
      <c r="B20" s="954">
        <f>'Charts &amp; Tables'!F20</f>
        <v>104048.74100000001</v>
      </c>
      <c r="C20" s="954">
        <v>119978.115816</v>
      </c>
      <c r="D20" s="1052">
        <f t="shared" si="0"/>
        <v>26905.041379999981</v>
      </c>
      <c r="E20" s="954">
        <f>'Charts &amp; Tables'!H20</f>
        <v>50443.353600000009</v>
      </c>
      <c r="F20" s="954">
        <f t="shared" si="1"/>
        <v>301375.251796</v>
      </c>
      <c r="J20" s="837"/>
      <c r="K20" s="954">
        <v>146883.15719599999</v>
      </c>
      <c r="L20" s="837"/>
    </row>
    <row r="21" spans="1:13" ht="14.4" x14ac:dyDescent="0.3">
      <c r="A21" s="863" t="s">
        <v>346</v>
      </c>
      <c r="B21" s="954">
        <f>'Charts &amp; Tables'!F21</f>
        <v>7506.5125000000007</v>
      </c>
      <c r="C21" s="954">
        <v>14300.707829600004</v>
      </c>
      <c r="D21" s="1052">
        <f t="shared" si="0"/>
        <v>40.609091999998782</v>
      </c>
      <c r="E21" s="954">
        <f>'Charts &amp; Tables'!H21</f>
        <v>2479.5776000000005</v>
      </c>
      <c r="F21" s="954">
        <f t="shared" si="1"/>
        <v>24327.407021600004</v>
      </c>
      <c r="J21" s="837"/>
      <c r="K21" s="954">
        <v>14341.316921600002</v>
      </c>
      <c r="L21" s="837"/>
    </row>
    <row r="22" spans="1:13" ht="14.4" x14ac:dyDescent="0.3">
      <c r="A22" s="863" t="s">
        <v>347</v>
      </c>
      <c r="B22" s="954">
        <f>'Charts &amp; Tables'!F22</f>
        <v>46273.167000000001</v>
      </c>
      <c r="C22" s="954">
        <v>71276.231809199991</v>
      </c>
      <c r="D22" s="1052">
        <f t="shared" si="0"/>
        <v>16725.409924000007</v>
      </c>
      <c r="E22" s="954">
        <f>'Charts &amp; Tables'!H22</f>
        <v>33212.150400000006</v>
      </c>
      <c r="F22" s="954">
        <f t="shared" si="1"/>
        <v>167486.95913320003</v>
      </c>
      <c r="J22" s="837"/>
      <c r="K22" s="954">
        <v>88001.641733199998</v>
      </c>
      <c r="L22" s="837"/>
    </row>
    <row r="23" spans="1:13" ht="14.4" x14ac:dyDescent="0.3">
      <c r="A23" s="863" t="s">
        <v>348</v>
      </c>
      <c r="B23" s="954">
        <f>'Charts &amp; Tables'!F23</f>
        <v>15610.903</v>
      </c>
      <c r="C23" s="954">
        <v>26895.915942</v>
      </c>
      <c r="D23" s="1052">
        <f t="shared" si="0"/>
        <v>1062.836728000002</v>
      </c>
      <c r="E23" s="954">
        <f>'Charts &amp; Tables'!H23</f>
        <v>3522.5440000000003</v>
      </c>
      <c r="F23" s="954">
        <f t="shared" si="1"/>
        <v>47092.199670000002</v>
      </c>
      <c r="J23" s="837"/>
      <c r="K23" s="954">
        <v>27958.752670000002</v>
      </c>
      <c r="L23" s="837"/>
    </row>
    <row r="24" spans="1:13" ht="14.4" x14ac:dyDescent="0.3">
      <c r="A24" s="1035" t="s">
        <v>349</v>
      </c>
      <c r="B24" s="954">
        <f>'Charts &amp; Tables'!F24</f>
        <v>43599.707999999999</v>
      </c>
      <c r="C24" s="954">
        <v>10201.578937999995</v>
      </c>
      <c r="D24" s="1052">
        <f t="shared" si="0"/>
        <v>114239.4118</v>
      </c>
      <c r="E24" s="954">
        <f>'Charts &amp; Tables'!H24</f>
        <v>22937.728000000003</v>
      </c>
      <c r="F24" s="954">
        <f t="shared" si="1"/>
        <v>190978.42673800001</v>
      </c>
      <c r="J24" s="837"/>
      <c r="K24" s="954">
        <v>124440.99073799999</v>
      </c>
      <c r="L24" s="837"/>
    </row>
    <row r="25" spans="1:13" ht="15" thickBot="1" x14ac:dyDescent="0.35">
      <c r="A25" s="877" t="s">
        <v>350</v>
      </c>
      <c r="B25" s="1051">
        <f>'Charts &amp; Tables'!F25</f>
        <v>11292.907999999999</v>
      </c>
      <c r="C25" s="1051">
        <v>5334.9524939999974</v>
      </c>
      <c r="D25" s="1053">
        <f t="shared" si="0"/>
        <v>18410.455088000002</v>
      </c>
      <c r="E25" s="1051">
        <f>'Charts &amp; Tables'!H25</f>
        <v>873.83360000000016</v>
      </c>
      <c r="F25" s="1051">
        <f t="shared" si="1"/>
        <v>35912.149181999994</v>
      </c>
      <c r="J25" s="837"/>
      <c r="K25" s="1051">
        <v>23745.407582</v>
      </c>
      <c r="L25" s="837"/>
    </row>
    <row r="26" spans="1:13" ht="15" thickTop="1" x14ac:dyDescent="0.3">
      <c r="A26" s="879" t="s">
        <v>351</v>
      </c>
      <c r="B26" s="1050">
        <f>SUM(B5:B25)</f>
        <v>1524999.3030000003</v>
      </c>
      <c r="C26" s="1050">
        <f t="shared" ref="C26:F26" si="2">SUM(C5:C25)</f>
        <v>1590765.8352379997</v>
      </c>
      <c r="D26" s="1054">
        <f t="shared" si="2"/>
        <v>522716.9106360001</v>
      </c>
      <c r="E26" s="1050">
        <f t="shared" si="2"/>
        <v>582995.8208000001</v>
      </c>
      <c r="F26" s="1050">
        <f t="shared" si="2"/>
        <v>4221477.869674</v>
      </c>
      <c r="K26" s="1050">
        <f>SUM(K5:K25)</f>
        <v>2113482.7458739998</v>
      </c>
      <c r="L26" s="837">
        <f>C26+D26</f>
        <v>2113482.7458739998</v>
      </c>
      <c r="M26" s="384" t="s">
        <v>1559</v>
      </c>
    </row>
    <row r="28" spans="1:13" ht="14.4" x14ac:dyDescent="0.3">
      <c r="A28" s="1059" t="s">
        <v>1563</v>
      </c>
    </row>
  </sheetData>
  <mergeCells count="4">
    <mergeCell ref="A3:A4"/>
    <mergeCell ref="B3:F3"/>
    <mergeCell ref="A2:F2"/>
    <mergeCell ref="J4:L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E78"/>
  <sheetViews>
    <sheetView topLeftCell="A4" zoomScale="80" zoomScaleNormal="80" workbookViewId="0">
      <selection activeCell="C22" sqref="C22"/>
    </sheetView>
  </sheetViews>
  <sheetFormatPr defaultColWidth="8.88671875" defaultRowHeight="13.2" x14ac:dyDescent="0.25"/>
  <cols>
    <col min="1" max="1" width="45.6640625" customWidth="1"/>
    <col min="2" max="2" width="15.88671875" customWidth="1"/>
    <col min="3" max="3" width="10.109375" customWidth="1"/>
    <col min="4" max="4" width="8" customWidth="1"/>
    <col min="5" max="5" width="91.33203125" customWidth="1"/>
  </cols>
  <sheetData>
    <row r="1" spans="1:5" ht="14.4" thickBot="1" x14ac:dyDescent="0.3">
      <c r="A1" s="410" t="s">
        <v>266</v>
      </c>
      <c r="C1" s="91"/>
      <c r="D1" s="91"/>
      <c r="E1" s="91"/>
    </row>
    <row r="2" spans="1:5" ht="39.6" x14ac:dyDescent="0.25">
      <c r="A2" s="93" t="s">
        <v>265</v>
      </c>
      <c r="B2" s="101" t="s">
        <v>282</v>
      </c>
      <c r="C2" s="101" t="s">
        <v>283</v>
      </c>
      <c r="D2" s="94" t="s">
        <v>425</v>
      </c>
      <c r="E2" s="102" t="s">
        <v>430</v>
      </c>
    </row>
    <row r="3" spans="1:5" x14ac:dyDescent="0.25">
      <c r="A3" s="98" t="s">
        <v>511</v>
      </c>
      <c r="B3" s="1"/>
      <c r="C3" s="1"/>
      <c r="D3" s="1"/>
      <c r="E3" s="96"/>
    </row>
    <row r="4" spans="1:5" x14ac:dyDescent="0.25">
      <c r="A4" s="103" t="s">
        <v>519</v>
      </c>
      <c r="B4" s="90"/>
      <c r="C4" s="90"/>
      <c r="D4" s="1"/>
      <c r="E4" s="96" t="s">
        <v>234</v>
      </c>
    </row>
    <row r="5" spans="1:5" x14ac:dyDescent="0.25">
      <c r="A5" s="103" t="s">
        <v>520</v>
      </c>
      <c r="B5" s="90"/>
      <c r="C5" s="90"/>
      <c r="D5" s="1"/>
      <c r="E5" s="96" t="s">
        <v>234</v>
      </c>
    </row>
    <row r="6" spans="1:5" x14ac:dyDescent="0.25">
      <c r="A6" s="103" t="s">
        <v>521</v>
      </c>
      <c r="B6" s="90"/>
      <c r="C6" s="90"/>
      <c r="D6" s="1"/>
      <c r="E6" s="96" t="s">
        <v>234</v>
      </c>
    </row>
    <row r="7" spans="1:5" x14ac:dyDescent="0.25">
      <c r="A7" s="103" t="s">
        <v>522</v>
      </c>
      <c r="B7" s="90"/>
      <c r="C7" s="90"/>
      <c r="D7" s="1"/>
      <c r="E7" s="96" t="s">
        <v>234</v>
      </c>
    </row>
    <row r="8" spans="1:5" x14ac:dyDescent="0.25">
      <c r="A8" s="98" t="s">
        <v>301</v>
      </c>
      <c r="B8" s="24"/>
      <c r="C8" s="24"/>
      <c r="D8" s="1"/>
      <c r="E8" s="96"/>
    </row>
    <row r="9" spans="1:5" x14ac:dyDescent="0.25">
      <c r="A9" s="98" t="s">
        <v>507</v>
      </c>
      <c r="B9" s="24">
        <f>IF('Prac. Rec. Assumptions'!B56='Prac. Rec. Assumptions'!V1,'Energy Content Assumptions'!B62,IF('Prac. Rec. Assumptions'!B56='Prac. Rec. Assumptions'!V2,'Energy Content Assumptions'!B63,0))</f>
        <v>0</v>
      </c>
      <c r="C9" s="25">
        <v>0.5</v>
      </c>
      <c r="D9" s="1" t="s">
        <v>424</v>
      </c>
      <c r="E9" s="96" t="s">
        <v>90</v>
      </c>
    </row>
    <row r="10" spans="1:5" x14ac:dyDescent="0.25">
      <c r="A10" s="98" t="s">
        <v>504</v>
      </c>
      <c r="B10" s="1"/>
      <c r="C10" s="1"/>
      <c r="D10" s="1"/>
      <c r="E10" s="96"/>
    </row>
    <row r="11" spans="1:5" x14ac:dyDescent="0.25">
      <c r="A11" s="103" t="s">
        <v>527</v>
      </c>
      <c r="B11" s="24">
        <v>7866</v>
      </c>
      <c r="C11" s="25">
        <v>0.85</v>
      </c>
      <c r="D11" s="1" t="s">
        <v>424</v>
      </c>
      <c r="E11" s="104" t="s">
        <v>313</v>
      </c>
    </row>
    <row r="12" spans="1:5" x14ac:dyDescent="0.25">
      <c r="A12" s="103" t="s">
        <v>520</v>
      </c>
      <c r="B12" s="24">
        <v>7800</v>
      </c>
      <c r="C12" s="25">
        <v>0.85</v>
      </c>
      <c r="D12" s="1" t="s">
        <v>424</v>
      </c>
      <c r="E12" s="96" t="s">
        <v>268</v>
      </c>
    </row>
    <row r="13" spans="1:5" x14ac:dyDescent="0.25">
      <c r="A13" s="103" t="s">
        <v>521</v>
      </c>
      <c r="B13" s="24">
        <v>7866</v>
      </c>
      <c r="C13" s="25">
        <v>0.85</v>
      </c>
      <c r="D13" s="1" t="s">
        <v>424</v>
      </c>
      <c r="E13" s="104" t="s">
        <v>313</v>
      </c>
    </row>
    <row r="14" spans="1:5" x14ac:dyDescent="0.25">
      <c r="A14" s="103" t="s">
        <v>528</v>
      </c>
      <c r="B14" s="24">
        <v>7866</v>
      </c>
      <c r="C14" s="25">
        <v>0.35</v>
      </c>
      <c r="D14" s="1" t="s">
        <v>424</v>
      </c>
      <c r="E14" s="104" t="s">
        <v>313</v>
      </c>
    </row>
    <row r="15" spans="1:5" x14ac:dyDescent="0.25">
      <c r="A15" s="103" t="s">
        <v>529</v>
      </c>
      <c r="B15" s="24">
        <v>7800</v>
      </c>
      <c r="C15" s="25">
        <v>0.85</v>
      </c>
      <c r="D15" s="1" t="s">
        <v>424</v>
      </c>
      <c r="E15" s="96" t="s">
        <v>268</v>
      </c>
    </row>
    <row r="16" spans="1:5" x14ac:dyDescent="0.25">
      <c r="A16" s="103" t="s">
        <v>530</v>
      </c>
      <c r="B16" s="24">
        <v>7800</v>
      </c>
      <c r="C16" s="25">
        <v>0.85</v>
      </c>
      <c r="D16" s="1" t="s">
        <v>424</v>
      </c>
      <c r="E16" s="96" t="s">
        <v>268</v>
      </c>
    </row>
    <row r="17" spans="1:5" x14ac:dyDescent="0.25">
      <c r="A17" s="103" t="s">
        <v>522</v>
      </c>
      <c r="B17" s="24">
        <v>7481</v>
      </c>
      <c r="C17" s="25">
        <v>0.85</v>
      </c>
      <c r="D17" s="1" t="s">
        <v>424</v>
      </c>
      <c r="E17" s="104" t="s">
        <v>314</v>
      </c>
    </row>
    <row r="18" spans="1:5" x14ac:dyDescent="0.25">
      <c r="A18" s="149" t="s">
        <v>205</v>
      </c>
      <c r="B18" s="24">
        <v>7800</v>
      </c>
      <c r="C18" s="25">
        <v>0.5</v>
      </c>
      <c r="D18" s="1" t="s">
        <v>424</v>
      </c>
      <c r="E18" s="96" t="s">
        <v>580</v>
      </c>
    </row>
    <row r="19" spans="1:5" x14ac:dyDescent="0.25">
      <c r="A19" s="98" t="s">
        <v>302</v>
      </c>
      <c r="B19" s="24">
        <v>8168</v>
      </c>
      <c r="C19" s="125">
        <v>0.9</v>
      </c>
      <c r="D19" s="1" t="s">
        <v>424</v>
      </c>
      <c r="E19" s="104" t="s">
        <v>224</v>
      </c>
    </row>
    <row r="20" spans="1:5" x14ac:dyDescent="0.25">
      <c r="A20" s="98" t="s">
        <v>518</v>
      </c>
      <c r="B20" s="1"/>
      <c r="C20" s="1"/>
      <c r="D20" s="1"/>
      <c r="E20" s="96"/>
    </row>
    <row r="21" spans="1:5" x14ac:dyDescent="0.25">
      <c r="A21" s="103" t="s">
        <v>559</v>
      </c>
      <c r="B21" s="24">
        <v>8850</v>
      </c>
      <c r="C21" s="125">
        <v>0.5</v>
      </c>
      <c r="D21" s="1" t="s">
        <v>424</v>
      </c>
      <c r="E21" s="96" t="s">
        <v>267</v>
      </c>
    </row>
    <row r="22" spans="1:5" x14ac:dyDescent="0.25">
      <c r="A22" s="103" t="s">
        <v>560</v>
      </c>
      <c r="B22" s="24">
        <v>7800</v>
      </c>
      <c r="C22" s="90">
        <f>(2600/7800)</f>
        <v>0.33333333333333331</v>
      </c>
      <c r="D22" s="1" t="s">
        <v>424</v>
      </c>
      <c r="E22" s="96" t="s">
        <v>268</v>
      </c>
    </row>
    <row r="23" spans="1:5" x14ac:dyDescent="0.25">
      <c r="A23" s="103" t="s">
        <v>561</v>
      </c>
      <c r="B23" s="24">
        <v>7800</v>
      </c>
      <c r="C23" s="90">
        <f>(2600/7800)</f>
        <v>0.33333333333333331</v>
      </c>
      <c r="D23" s="1" t="s">
        <v>424</v>
      </c>
      <c r="E23" s="96" t="s">
        <v>268</v>
      </c>
    </row>
    <row r="24" spans="1:5" x14ac:dyDescent="0.25">
      <c r="A24" s="103" t="s">
        <v>562</v>
      </c>
      <c r="B24" s="24">
        <v>8850</v>
      </c>
      <c r="C24" s="125">
        <v>0.5</v>
      </c>
      <c r="D24" s="1" t="s">
        <v>424</v>
      </c>
      <c r="E24" s="96" t="s">
        <v>267</v>
      </c>
    </row>
    <row r="25" spans="1:5" x14ac:dyDescent="0.25">
      <c r="A25" s="98" t="str">
        <f>'Bioenergy Calculator'!B34</f>
        <v>Solid wastes - Landfilled</v>
      </c>
      <c r="B25" s="1" t="s">
        <v>154</v>
      </c>
      <c r="C25" s="1" t="s">
        <v>154</v>
      </c>
      <c r="D25" s="1"/>
      <c r="E25" s="96"/>
    </row>
    <row r="26" spans="1:5" x14ac:dyDescent="0.25">
      <c r="A26" s="103" t="str">
        <f>'Bioenergy Calculator'!B35</f>
        <v>Food waste, Landfilled</v>
      </c>
      <c r="B26" s="24">
        <f>2000/0.25</f>
        <v>8000</v>
      </c>
      <c r="C26" s="125">
        <v>0.3</v>
      </c>
      <c r="D26" s="1" t="s">
        <v>424</v>
      </c>
      <c r="E26" s="96" t="s">
        <v>580</v>
      </c>
    </row>
    <row r="27" spans="1:5" x14ac:dyDescent="0.25">
      <c r="A27" s="103" t="str">
        <f>'Bioenergy Calculator'!B36</f>
        <v>Waste paper, Landfilled</v>
      </c>
      <c r="B27" s="24">
        <v>7261</v>
      </c>
      <c r="C27" s="125">
        <v>0.9</v>
      </c>
      <c r="D27" s="1" t="s">
        <v>424</v>
      </c>
      <c r="E27" s="104" t="s">
        <v>263</v>
      </c>
    </row>
    <row r="28" spans="1:5" x14ac:dyDescent="0.25">
      <c r="A28" s="639" t="str">
        <f>'Bioenergy Calculator'!B37</f>
        <v>Other Biomass, Landfilled</v>
      </c>
      <c r="B28" s="126">
        <v>7261</v>
      </c>
      <c r="C28" s="125">
        <v>0.5</v>
      </c>
      <c r="D28" s="1" t="s">
        <v>424</v>
      </c>
      <c r="E28" s="392" t="s">
        <v>583</v>
      </c>
    </row>
    <row r="29" spans="1:5" x14ac:dyDescent="0.25">
      <c r="A29" s="639" t="s">
        <v>1313</v>
      </c>
      <c r="B29" s="24">
        <v>8850</v>
      </c>
      <c r="C29" s="125">
        <v>0.8</v>
      </c>
      <c r="D29" s="1" t="s">
        <v>424</v>
      </c>
      <c r="E29" s="96" t="s">
        <v>267</v>
      </c>
    </row>
    <row r="30" spans="1:5" x14ac:dyDescent="0.25">
      <c r="A30" s="105" t="s">
        <v>280</v>
      </c>
      <c r="B30" s="1"/>
      <c r="C30" s="1"/>
      <c r="D30" s="1"/>
      <c r="E30" s="96"/>
    </row>
    <row r="31" spans="1:5" x14ac:dyDescent="0.25">
      <c r="A31" s="103" t="s">
        <v>219</v>
      </c>
      <c r="B31" s="24">
        <f>2000/0.25</f>
        <v>8000</v>
      </c>
      <c r="C31" s="125">
        <v>0.25</v>
      </c>
      <c r="D31" s="1" t="s">
        <v>424</v>
      </c>
      <c r="E31" s="96" t="s">
        <v>585</v>
      </c>
    </row>
    <row r="32" spans="1:5" x14ac:dyDescent="0.25">
      <c r="A32" s="103" t="s">
        <v>565</v>
      </c>
      <c r="B32" s="24">
        <v>8850</v>
      </c>
      <c r="C32" s="125">
        <v>0.8</v>
      </c>
      <c r="D32" s="1" t="s">
        <v>424</v>
      </c>
      <c r="E32" s="96" t="s">
        <v>267</v>
      </c>
    </row>
    <row r="33" spans="1:5" x14ac:dyDescent="0.25">
      <c r="A33" s="106" t="s">
        <v>281</v>
      </c>
      <c r="B33" s="24">
        <v>7945</v>
      </c>
      <c r="C33" s="125">
        <v>0.9</v>
      </c>
      <c r="D33" s="1" t="s">
        <v>424</v>
      </c>
      <c r="E33" s="104" t="s">
        <v>263</v>
      </c>
    </row>
    <row r="34" spans="1:5" x14ac:dyDescent="0.25">
      <c r="A34" s="106" t="s">
        <v>556</v>
      </c>
      <c r="B34" s="24">
        <v>7261</v>
      </c>
      <c r="C34" s="125">
        <v>0.9</v>
      </c>
      <c r="D34" s="1" t="s">
        <v>424</v>
      </c>
      <c r="E34" s="104" t="s">
        <v>263</v>
      </c>
    </row>
    <row r="35" spans="1:5" x14ac:dyDescent="0.25">
      <c r="A35" s="106" t="s">
        <v>557</v>
      </c>
      <c r="B35" s="24">
        <v>7979</v>
      </c>
      <c r="C35" s="125">
        <v>0.9</v>
      </c>
      <c r="D35" s="1" t="s">
        <v>424</v>
      </c>
      <c r="E35" s="104" t="s">
        <v>263</v>
      </c>
    </row>
    <row r="36" spans="1:5" x14ac:dyDescent="0.25">
      <c r="A36" s="106" t="s">
        <v>558</v>
      </c>
      <c r="B36" s="24">
        <v>7261</v>
      </c>
      <c r="C36" s="125">
        <v>0.9</v>
      </c>
      <c r="D36" s="1" t="s">
        <v>424</v>
      </c>
      <c r="E36" s="104" t="s">
        <v>263</v>
      </c>
    </row>
    <row r="37" spans="1:5" x14ac:dyDescent="0.25">
      <c r="A37" s="98" t="s">
        <v>510</v>
      </c>
      <c r="B37" s="1"/>
      <c r="C37" s="1"/>
      <c r="D37" s="1"/>
      <c r="E37" s="96"/>
    </row>
    <row r="38" spans="1:5" x14ac:dyDescent="0.25">
      <c r="A38" s="103" t="s">
        <v>525</v>
      </c>
      <c r="B38" s="90"/>
      <c r="C38" s="24"/>
      <c r="D38" s="1"/>
      <c r="E38" s="96" t="s">
        <v>234</v>
      </c>
    </row>
    <row r="39" spans="1:5" x14ac:dyDescent="0.25">
      <c r="A39" s="98" t="s">
        <v>508</v>
      </c>
      <c r="B39" s="24">
        <v>15000</v>
      </c>
      <c r="C39" s="125">
        <v>0.85</v>
      </c>
      <c r="D39" s="1"/>
      <c r="E39" s="96" t="s">
        <v>581</v>
      </c>
    </row>
    <row r="40" spans="1:5" x14ac:dyDescent="0.25">
      <c r="A40" s="98" t="s">
        <v>509</v>
      </c>
      <c r="B40" s="24">
        <v>15000</v>
      </c>
      <c r="C40" s="125">
        <v>0.05</v>
      </c>
      <c r="D40" s="1"/>
      <c r="E40" s="96" t="s">
        <v>580</v>
      </c>
    </row>
    <row r="41" spans="1:5" x14ac:dyDescent="0.25">
      <c r="A41" s="98" t="s">
        <v>505</v>
      </c>
      <c r="B41" s="1"/>
      <c r="C41" s="1"/>
      <c r="D41" s="1"/>
      <c r="E41" s="96"/>
    </row>
    <row r="42" spans="1:5" x14ac:dyDescent="0.25">
      <c r="A42" s="103" t="s">
        <v>535</v>
      </c>
      <c r="B42" s="24">
        <v>7382</v>
      </c>
      <c r="C42" s="1"/>
      <c r="D42" s="1" t="s">
        <v>424</v>
      </c>
      <c r="E42" s="104" t="s">
        <v>264</v>
      </c>
    </row>
    <row r="43" spans="1:5" x14ac:dyDescent="0.25">
      <c r="A43" s="107" t="s">
        <v>536</v>
      </c>
      <c r="B43" s="2"/>
      <c r="C43" s="25">
        <v>0.08</v>
      </c>
      <c r="D43" s="1"/>
      <c r="E43" s="96" t="s">
        <v>104</v>
      </c>
    </row>
    <row r="44" spans="1:5" x14ac:dyDescent="0.25">
      <c r="A44" s="107" t="s">
        <v>537</v>
      </c>
      <c r="B44" s="2"/>
      <c r="C44" s="25">
        <v>0.12</v>
      </c>
      <c r="D44" s="1"/>
      <c r="E44" s="96" t="s">
        <v>104</v>
      </c>
    </row>
    <row r="45" spans="1:5" x14ac:dyDescent="0.25">
      <c r="A45" s="103" t="s">
        <v>539</v>
      </c>
      <c r="B45" s="24">
        <v>7382</v>
      </c>
      <c r="C45" s="1"/>
      <c r="D45" s="1" t="s">
        <v>424</v>
      </c>
      <c r="E45" s="104" t="s">
        <v>264</v>
      </c>
    </row>
    <row r="46" spans="1:5" x14ac:dyDescent="0.25">
      <c r="A46" s="107" t="s">
        <v>540</v>
      </c>
      <c r="B46" s="2"/>
      <c r="C46" s="25">
        <v>0.12</v>
      </c>
      <c r="D46" s="1"/>
      <c r="E46" s="96" t="s">
        <v>104</v>
      </c>
    </row>
    <row r="47" spans="1:5" x14ac:dyDescent="0.25">
      <c r="A47" s="107" t="s">
        <v>541</v>
      </c>
      <c r="B47" s="2"/>
      <c r="C47" s="25">
        <v>0.12</v>
      </c>
      <c r="D47" s="1"/>
      <c r="E47" s="96" t="s">
        <v>104</v>
      </c>
    </row>
    <row r="48" spans="1:5" x14ac:dyDescent="0.25">
      <c r="A48" s="107" t="s">
        <v>542</v>
      </c>
      <c r="B48" s="2"/>
      <c r="C48" s="25">
        <v>0.12</v>
      </c>
      <c r="D48" s="1"/>
      <c r="E48" s="96" t="s">
        <v>104</v>
      </c>
    </row>
    <row r="49" spans="1:5" x14ac:dyDescent="0.25">
      <c r="A49" s="107" t="s">
        <v>543</v>
      </c>
      <c r="B49" s="2"/>
      <c r="C49" s="25">
        <v>0.12</v>
      </c>
      <c r="D49" s="1"/>
      <c r="E49" s="96" t="s">
        <v>104</v>
      </c>
    </row>
    <row r="50" spans="1:5" x14ac:dyDescent="0.25">
      <c r="A50" s="103" t="s">
        <v>545</v>
      </c>
      <c r="B50" s="24">
        <v>7382</v>
      </c>
      <c r="C50" s="25">
        <v>0.14000000000000001</v>
      </c>
      <c r="D50" s="1"/>
      <c r="E50" s="96" t="s">
        <v>104</v>
      </c>
    </row>
    <row r="51" spans="1:5" x14ac:dyDescent="0.25">
      <c r="A51" s="103" t="s">
        <v>546</v>
      </c>
      <c r="B51" s="24">
        <v>7382</v>
      </c>
      <c r="C51" s="25">
        <v>0.25</v>
      </c>
      <c r="D51" s="1" t="s">
        <v>424</v>
      </c>
      <c r="E51" s="104" t="s">
        <v>264</v>
      </c>
    </row>
    <row r="52" spans="1:5" x14ac:dyDescent="0.25">
      <c r="A52" s="103" t="s">
        <v>547</v>
      </c>
      <c r="B52" s="24">
        <v>7382</v>
      </c>
      <c r="C52" s="25">
        <v>0.25</v>
      </c>
      <c r="D52" s="1" t="s">
        <v>424</v>
      </c>
      <c r="E52" s="104" t="s">
        <v>264</v>
      </c>
    </row>
    <row r="53" spans="1:5" x14ac:dyDescent="0.25">
      <c r="A53" s="103" t="s">
        <v>548</v>
      </c>
      <c r="B53" s="24">
        <v>7382</v>
      </c>
      <c r="C53" s="1"/>
      <c r="D53" s="1" t="s">
        <v>424</v>
      </c>
      <c r="E53" s="104" t="s">
        <v>264</v>
      </c>
    </row>
    <row r="54" spans="1:5" x14ac:dyDescent="0.25">
      <c r="A54" s="107" t="s">
        <v>549</v>
      </c>
      <c r="B54" s="2"/>
      <c r="C54" s="25">
        <v>0.11</v>
      </c>
      <c r="D54" s="1"/>
      <c r="E54" s="96" t="s">
        <v>104</v>
      </c>
    </row>
    <row r="55" spans="1:5" x14ac:dyDescent="0.25">
      <c r="A55" s="107" t="s">
        <v>550</v>
      </c>
      <c r="B55" s="2"/>
      <c r="C55" s="25">
        <v>0.1</v>
      </c>
      <c r="D55" s="1"/>
      <c r="E55" s="96" t="s">
        <v>104</v>
      </c>
    </row>
    <row r="56" spans="1:5" x14ac:dyDescent="0.25">
      <c r="A56" s="103" t="s">
        <v>551</v>
      </c>
      <c r="B56" s="24">
        <v>6000</v>
      </c>
      <c r="C56" s="26">
        <v>0.26</v>
      </c>
      <c r="D56" s="1" t="s">
        <v>424</v>
      </c>
      <c r="E56" s="104" t="s">
        <v>262</v>
      </c>
    </row>
    <row r="57" spans="1:5" x14ac:dyDescent="0.25">
      <c r="A57" s="103" t="s">
        <v>552</v>
      </c>
      <c r="B57" s="24">
        <v>7382</v>
      </c>
      <c r="C57" s="26">
        <v>0.25</v>
      </c>
      <c r="D57" s="1" t="s">
        <v>424</v>
      </c>
      <c r="E57" s="104" t="s">
        <v>264</v>
      </c>
    </row>
    <row r="58" spans="1:5" s="301" customFormat="1" ht="26.4" x14ac:dyDescent="0.25">
      <c r="A58" s="389" t="s">
        <v>305</v>
      </c>
      <c r="B58" s="390">
        <f>1800/0.3</f>
        <v>6000</v>
      </c>
      <c r="C58" s="391">
        <v>0.25</v>
      </c>
      <c r="D58" s="374" t="s">
        <v>424</v>
      </c>
      <c r="E58" s="97" t="s">
        <v>233</v>
      </c>
    </row>
    <row r="59" spans="1:5" x14ac:dyDescent="0.25">
      <c r="A59" s="98" t="s">
        <v>304</v>
      </c>
      <c r="B59" s="24">
        <v>619</v>
      </c>
      <c r="C59" s="124">
        <v>1</v>
      </c>
      <c r="D59" s="1" t="s">
        <v>271</v>
      </c>
      <c r="E59" s="104" t="s">
        <v>260</v>
      </c>
    </row>
    <row r="60" spans="1:5" ht="13.8" thickBot="1" x14ac:dyDescent="0.3">
      <c r="A60" s="108" t="s">
        <v>512</v>
      </c>
      <c r="B60" s="100">
        <v>506</v>
      </c>
      <c r="C60" s="127">
        <v>1</v>
      </c>
      <c r="D60" s="109" t="s">
        <v>271</v>
      </c>
      <c r="E60" s="110" t="s">
        <v>260</v>
      </c>
    </row>
    <row r="62" spans="1:5" x14ac:dyDescent="0.25">
      <c r="A62" s="289" t="s">
        <v>410</v>
      </c>
      <c r="B62" s="58">
        <v>8437</v>
      </c>
      <c r="D62" t="s">
        <v>424</v>
      </c>
      <c r="E62" s="76" t="s">
        <v>312</v>
      </c>
    </row>
    <row r="63" spans="1:5" x14ac:dyDescent="0.25">
      <c r="A63" s="289" t="s">
        <v>411</v>
      </c>
      <c r="B63" s="58">
        <v>8044</v>
      </c>
      <c r="D63" t="s">
        <v>424</v>
      </c>
      <c r="E63" s="76" t="s">
        <v>313</v>
      </c>
    </row>
    <row r="65" spans="1:5" x14ac:dyDescent="0.25">
      <c r="A65" s="289" t="s">
        <v>167</v>
      </c>
      <c r="B65" s="58">
        <f>8000*2000/1000000</f>
        <v>16</v>
      </c>
      <c r="D65" t="s">
        <v>161</v>
      </c>
      <c r="E65" t="s">
        <v>160</v>
      </c>
    </row>
    <row r="66" spans="1:5" x14ac:dyDescent="0.25">
      <c r="A66" s="64" t="s">
        <v>159</v>
      </c>
      <c r="B66" s="267">
        <f>B59/B65</f>
        <v>38.6875</v>
      </c>
      <c r="D66" t="s">
        <v>164</v>
      </c>
    </row>
    <row r="67" spans="1:5" x14ac:dyDescent="0.25">
      <c r="A67" s="64" t="s">
        <v>158</v>
      </c>
      <c r="B67" s="267">
        <f>B60/B65</f>
        <v>31.625</v>
      </c>
      <c r="D67" t="s">
        <v>164</v>
      </c>
    </row>
    <row r="68" spans="1:5" x14ac:dyDescent="0.25">
      <c r="A68" s="64"/>
      <c r="B68" s="267"/>
    </row>
    <row r="69" spans="1:5" x14ac:dyDescent="0.25">
      <c r="A69" s="64" t="s">
        <v>236</v>
      </c>
      <c r="B69" s="58">
        <v>3412</v>
      </c>
    </row>
    <row r="71" spans="1:5" x14ac:dyDescent="0.25">
      <c r="A71" s="120" t="s">
        <v>582</v>
      </c>
    </row>
    <row r="72" spans="1:5" x14ac:dyDescent="0.25">
      <c r="A72" t="s">
        <v>235</v>
      </c>
    </row>
    <row r="74" spans="1:5" x14ac:dyDescent="0.25">
      <c r="B74" s="265"/>
      <c r="D74" s="265"/>
    </row>
    <row r="76" spans="1:5" x14ac:dyDescent="0.25">
      <c r="B76" s="267"/>
      <c r="D76" s="267"/>
    </row>
    <row r="77" spans="1:5" x14ac:dyDescent="0.25">
      <c r="D77" s="268"/>
    </row>
    <row r="78" spans="1:5" x14ac:dyDescent="0.25">
      <c r="B78" s="265"/>
      <c r="D78" s="265"/>
    </row>
  </sheetData>
  <phoneticPr fontId="0" type="noConversion"/>
  <hyperlinks>
    <hyperlink ref="E62" r:id="rId1"/>
    <hyperlink ref="E13" r:id="rId2"/>
    <hyperlink ref="E63" r:id="rId3"/>
    <hyperlink ref="E17" r:id="rId4"/>
    <hyperlink ref="E59" r:id="rId5"/>
    <hyperlink ref="E60" r:id="rId6"/>
    <hyperlink ref="E56" r:id="rId7"/>
    <hyperlink ref="E19" r:id="rId8"/>
    <hyperlink ref="E42" r:id="rId9"/>
    <hyperlink ref="E14" r:id="rId10"/>
    <hyperlink ref="E11" r:id="rId11"/>
    <hyperlink ref="E45" r:id="rId12"/>
    <hyperlink ref="E51" r:id="rId13"/>
    <hyperlink ref="E52" r:id="rId14"/>
    <hyperlink ref="E53" r:id="rId15"/>
    <hyperlink ref="E57" r:id="rId16"/>
    <hyperlink ref="E28" r:id="rId17" display="http://www.vt.tuwien.ac.at/biobib/biobib.html"/>
  </hyperlinks>
  <pageMargins left="0.75" right="0.75" top="1" bottom="1" header="0.5" footer="0.5"/>
  <pageSetup paperSize="5" scale="50" orientation="landscape" r:id="rId18"/>
  <headerFooter alignWithMargins="0">
    <oddFooter>&amp;L&amp;"Arial,Italic" 7/02/07&amp;C&amp;"Arial,Italic"&amp;A&amp;R&amp;"Arial,Italic"NJAES Report 2007-1 ©2007
New Jersey Agricultural Experiment Station</oddFooter>
  </headerFooter>
  <colBreaks count="1" manualBreakCount="1">
    <brk id="5" max="1048575" man="1"/>
  </colBreaks>
  <legacyDrawing r:id="rId1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2:G46"/>
  <sheetViews>
    <sheetView zoomScale="80" zoomScaleNormal="80" workbookViewId="0">
      <selection activeCell="G33" sqref="G33"/>
    </sheetView>
  </sheetViews>
  <sheetFormatPr defaultColWidth="8.88671875" defaultRowHeight="13.2" x14ac:dyDescent="0.25"/>
  <cols>
    <col min="1" max="1" width="57.6640625" bestFit="1" customWidth="1"/>
    <col min="2" max="5" width="8.88671875" customWidth="1"/>
    <col min="6" max="6" width="17.44140625" customWidth="1"/>
    <col min="7" max="7" width="89.109375" customWidth="1"/>
  </cols>
  <sheetData>
    <row r="2" spans="1:7" ht="14.4" thickBot="1" x14ac:dyDescent="0.3">
      <c r="A2" s="551" t="s">
        <v>427</v>
      </c>
      <c r="E2" s="353"/>
      <c r="F2" s="353"/>
    </row>
    <row r="3" spans="1:7" x14ac:dyDescent="0.25">
      <c r="A3" s="93" t="s">
        <v>119</v>
      </c>
      <c r="B3" s="94">
        <v>2010</v>
      </c>
      <c r="C3" s="94">
        <v>2015</v>
      </c>
      <c r="D3" s="94">
        <v>2020</v>
      </c>
      <c r="E3" s="112">
        <v>2025</v>
      </c>
      <c r="F3" s="112" t="s">
        <v>315</v>
      </c>
      <c r="G3" s="95" t="s">
        <v>426</v>
      </c>
    </row>
    <row r="4" spans="1:7" ht="39.6" x14ac:dyDescent="0.25">
      <c r="A4" s="635" t="s">
        <v>428</v>
      </c>
      <c r="B4" s="536">
        <v>0.25</v>
      </c>
      <c r="C4" s="536">
        <v>0.25</v>
      </c>
      <c r="D4" s="536">
        <v>0.25</v>
      </c>
      <c r="E4" s="536">
        <v>0.25</v>
      </c>
      <c r="F4" s="519" t="s">
        <v>285</v>
      </c>
      <c r="G4" s="574" t="s">
        <v>999</v>
      </c>
    </row>
    <row r="5" spans="1:7" ht="39.6" x14ac:dyDescent="0.25">
      <c r="A5" s="635" t="s">
        <v>306</v>
      </c>
      <c r="B5" s="536">
        <v>0.24</v>
      </c>
      <c r="C5" s="536">
        <v>0.24</v>
      </c>
      <c r="D5" s="536">
        <v>0.24</v>
      </c>
      <c r="E5" s="536">
        <v>0.24</v>
      </c>
      <c r="F5" s="519" t="s">
        <v>285</v>
      </c>
      <c r="G5" s="574" t="s">
        <v>1000</v>
      </c>
    </row>
    <row r="6" spans="1:7" ht="52.8" x14ac:dyDescent="0.25">
      <c r="A6" s="635" t="s">
        <v>429</v>
      </c>
      <c r="B6" s="536">
        <v>0.35</v>
      </c>
      <c r="C6" s="536">
        <v>0.35</v>
      </c>
      <c r="D6" s="536">
        <v>0.35</v>
      </c>
      <c r="E6" s="536">
        <v>0.35</v>
      </c>
      <c r="F6" s="114" t="s">
        <v>285</v>
      </c>
      <c r="G6" s="574" t="s">
        <v>1001</v>
      </c>
    </row>
    <row r="7" spans="1:7" ht="39.6" x14ac:dyDescent="0.25">
      <c r="A7" s="635" t="s">
        <v>317</v>
      </c>
      <c r="B7" s="572">
        <v>0.39</v>
      </c>
      <c r="C7" s="572">
        <v>0.39</v>
      </c>
      <c r="D7" s="572">
        <v>0.39</v>
      </c>
      <c r="E7" s="572">
        <v>0.39</v>
      </c>
      <c r="F7" s="115" t="s">
        <v>285</v>
      </c>
      <c r="G7" s="574" t="s">
        <v>1061</v>
      </c>
    </row>
    <row r="8" spans="1:7" ht="15.75" customHeight="1" x14ac:dyDescent="0.25">
      <c r="A8" s="635" t="s">
        <v>120</v>
      </c>
      <c r="B8" s="536">
        <v>0.26250000000000001</v>
      </c>
      <c r="C8" s="536">
        <v>0.26250000000000001</v>
      </c>
      <c r="D8" s="536">
        <v>0.26250000000000001</v>
      </c>
      <c r="E8" s="536">
        <v>0.26250000000000001</v>
      </c>
      <c r="F8" s="533" t="s">
        <v>285</v>
      </c>
      <c r="G8" s="575" t="s">
        <v>580</v>
      </c>
    </row>
    <row r="9" spans="1:7" ht="38.25" customHeight="1" x14ac:dyDescent="0.25">
      <c r="A9" s="635" t="s">
        <v>121</v>
      </c>
      <c r="B9" s="536">
        <v>0.35</v>
      </c>
      <c r="C9" s="536">
        <v>0.35</v>
      </c>
      <c r="D9" s="536">
        <v>0.35</v>
      </c>
      <c r="E9" s="536">
        <v>0.35</v>
      </c>
      <c r="F9" s="115" t="s">
        <v>285</v>
      </c>
      <c r="G9" s="574" t="s">
        <v>1060</v>
      </c>
    </row>
    <row r="10" spans="1:7" ht="79.2" x14ac:dyDescent="0.25">
      <c r="A10" s="635" t="s">
        <v>358</v>
      </c>
      <c r="B10" s="514">
        <v>0.22500000000000001</v>
      </c>
      <c r="C10" s="514">
        <v>0.22500000000000001</v>
      </c>
      <c r="D10" s="514">
        <v>0.22500000000000001</v>
      </c>
      <c r="E10" s="514">
        <v>0.22500000000000001</v>
      </c>
      <c r="F10" s="634" t="s">
        <v>285</v>
      </c>
      <c r="G10" s="576" t="s">
        <v>1002</v>
      </c>
    </row>
    <row r="11" spans="1:7" x14ac:dyDescent="0.25">
      <c r="A11" s="635" t="s">
        <v>370</v>
      </c>
      <c r="B11" s="514">
        <v>0.189</v>
      </c>
      <c r="C11" s="514">
        <v>0.189</v>
      </c>
      <c r="D11" s="514">
        <v>0.189</v>
      </c>
      <c r="E11" s="514">
        <v>0.189</v>
      </c>
      <c r="F11" s="533" t="s">
        <v>285</v>
      </c>
      <c r="G11" s="575" t="s">
        <v>586</v>
      </c>
    </row>
    <row r="12" spans="1:7" ht="13.8" thickBot="1" x14ac:dyDescent="0.3">
      <c r="A12" s="636" t="s">
        <v>318</v>
      </c>
      <c r="B12" s="535">
        <v>0.21</v>
      </c>
      <c r="C12" s="535">
        <v>0.21</v>
      </c>
      <c r="D12" s="535">
        <v>0.21</v>
      </c>
      <c r="E12" s="535">
        <v>0.21</v>
      </c>
      <c r="F12" s="534" t="s">
        <v>285</v>
      </c>
      <c r="G12" s="532" t="s">
        <v>580</v>
      </c>
    </row>
    <row r="13" spans="1:7" x14ac:dyDescent="0.25">
      <c r="G13" s="515"/>
    </row>
    <row r="14" spans="1:7" ht="14.4" thickBot="1" x14ac:dyDescent="0.3">
      <c r="A14" s="399" t="s">
        <v>284</v>
      </c>
      <c r="G14" s="515"/>
    </row>
    <row r="15" spans="1:7" x14ac:dyDescent="0.25">
      <c r="A15" s="93" t="s">
        <v>276</v>
      </c>
      <c r="B15" s="94">
        <v>2010</v>
      </c>
      <c r="C15" s="94">
        <v>2015</v>
      </c>
      <c r="D15" s="94">
        <v>2020</v>
      </c>
      <c r="E15" s="112">
        <v>2025</v>
      </c>
      <c r="F15" s="112" t="s">
        <v>315</v>
      </c>
      <c r="G15" s="518" t="s">
        <v>426</v>
      </c>
    </row>
    <row r="16" spans="1:7" x14ac:dyDescent="0.25">
      <c r="A16" s="635" t="s">
        <v>352</v>
      </c>
      <c r="B16" s="573">
        <v>2.8</v>
      </c>
      <c r="C16" s="573">
        <v>2.8</v>
      </c>
      <c r="D16" s="573">
        <v>2.9</v>
      </c>
      <c r="E16" s="573">
        <v>3</v>
      </c>
      <c r="F16" s="113" t="s">
        <v>308</v>
      </c>
      <c r="G16" s="574" t="s">
        <v>286</v>
      </c>
    </row>
    <row r="17" spans="1:7" x14ac:dyDescent="0.25">
      <c r="A17" s="635" t="s">
        <v>353</v>
      </c>
      <c r="B17" s="573">
        <v>2.5</v>
      </c>
      <c r="C17" s="573">
        <v>2.5</v>
      </c>
      <c r="D17" s="573">
        <v>2.5</v>
      </c>
      <c r="E17" s="573">
        <v>2.5</v>
      </c>
      <c r="F17" s="526" t="s">
        <v>308</v>
      </c>
      <c r="G17" s="575" t="s">
        <v>286</v>
      </c>
    </row>
    <row r="18" spans="1:7" ht="79.2" x14ac:dyDescent="0.25">
      <c r="A18" s="635" t="s">
        <v>354</v>
      </c>
      <c r="B18" s="573">
        <v>2.8</v>
      </c>
      <c r="C18" s="573">
        <v>2.8</v>
      </c>
      <c r="D18" s="573">
        <v>2.9</v>
      </c>
      <c r="E18" s="573">
        <v>3</v>
      </c>
      <c r="F18" s="113" t="s">
        <v>308</v>
      </c>
      <c r="G18" s="574" t="s">
        <v>1005</v>
      </c>
    </row>
    <row r="19" spans="1:7" x14ac:dyDescent="0.25">
      <c r="A19" s="635" t="s">
        <v>355</v>
      </c>
      <c r="B19" s="573">
        <v>2.7</v>
      </c>
      <c r="C19" s="573">
        <v>2.7</v>
      </c>
      <c r="D19" s="573">
        <v>2.7</v>
      </c>
      <c r="E19" s="573">
        <v>2.7</v>
      </c>
      <c r="F19" s="113" t="s">
        <v>308</v>
      </c>
      <c r="G19" s="575" t="s">
        <v>286</v>
      </c>
    </row>
    <row r="20" spans="1:7" ht="39.6" x14ac:dyDescent="0.25">
      <c r="A20" s="635" t="s">
        <v>319</v>
      </c>
      <c r="B20" s="522">
        <v>2.5000000000000001E-2</v>
      </c>
      <c r="C20" s="522">
        <v>2.5000000000000001E-2</v>
      </c>
      <c r="D20" s="522">
        <v>2.5000000000000001E-2</v>
      </c>
      <c r="E20" s="522">
        <v>2.5000000000000001E-2</v>
      </c>
      <c r="F20" s="113" t="s">
        <v>309</v>
      </c>
      <c r="G20" s="574" t="s">
        <v>1003</v>
      </c>
    </row>
    <row r="21" spans="1:7" x14ac:dyDescent="0.25">
      <c r="A21" s="635" t="s">
        <v>360</v>
      </c>
      <c r="B21" s="522">
        <v>0.13</v>
      </c>
      <c r="C21" s="522">
        <v>0.13</v>
      </c>
      <c r="D21" s="522">
        <v>0.13</v>
      </c>
      <c r="E21" s="522">
        <v>0.13</v>
      </c>
      <c r="F21" s="113" t="s">
        <v>309</v>
      </c>
      <c r="G21" s="574" t="s">
        <v>286</v>
      </c>
    </row>
    <row r="22" spans="1:7" x14ac:dyDescent="0.25">
      <c r="A22" s="635" t="s">
        <v>361</v>
      </c>
      <c r="B22" s="522">
        <v>0.125</v>
      </c>
      <c r="C22" s="522">
        <v>0.125</v>
      </c>
      <c r="D22" s="522">
        <v>0.125</v>
      </c>
      <c r="E22" s="522">
        <v>0.125</v>
      </c>
      <c r="F22" s="526" t="s">
        <v>309</v>
      </c>
      <c r="G22" s="574" t="s">
        <v>286</v>
      </c>
    </row>
    <row r="23" spans="1:7" x14ac:dyDescent="0.25">
      <c r="A23" s="635" t="s">
        <v>990</v>
      </c>
      <c r="B23" s="523" t="s">
        <v>176</v>
      </c>
      <c r="C23" s="522"/>
      <c r="D23" s="522"/>
      <c r="E23" s="522"/>
      <c r="F23" s="526" t="s">
        <v>310</v>
      </c>
      <c r="G23" s="574" t="s">
        <v>175</v>
      </c>
    </row>
    <row r="24" spans="1:7" x14ac:dyDescent="0.25">
      <c r="A24" s="635" t="s">
        <v>989</v>
      </c>
      <c r="B24" s="523" t="s">
        <v>176</v>
      </c>
      <c r="C24" s="522"/>
      <c r="D24" s="522"/>
      <c r="E24" s="522"/>
      <c r="F24" s="526" t="s">
        <v>310</v>
      </c>
      <c r="G24" s="527" t="s">
        <v>175</v>
      </c>
    </row>
    <row r="25" spans="1:7" x14ac:dyDescent="0.25">
      <c r="A25" s="635" t="s">
        <v>991</v>
      </c>
      <c r="B25" s="523" t="s">
        <v>176</v>
      </c>
      <c r="C25" s="523"/>
      <c r="D25" s="523"/>
      <c r="E25" s="523"/>
      <c r="F25" s="528" t="s">
        <v>310</v>
      </c>
      <c r="G25" s="527" t="s">
        <v>175</v>
      </c>
    </row>
    <row r="26" spans="1:7" x14ac:dyDescent="0.25">
      <c r="A26" s="635" t="s">
        <v>992</v>
      </c>
      <c r="B26" s="523" t="s">
        <v>176</v>
      </c>
      <c r="C26" s="523"/>
      <c r="D26" s="523"/>
      <c r="E26" s="523"/>
      <c r="F26" s="528" t="s">
        <v>310</v>
      </c>
      <c r="G26" s="527" t="s">
        <v>175</v>
      </c>
    </row>
    <row r="27" spans="1:7" x14ac:dyDescent="0.25">
      <c r="A27" s="635" t="s">
        <v>356</v>
      </c>
      <c r="B27" s="522">
        <v>45.6</v>
      </c>
      <c r="C27" s="522">
        <v>45.6</v>
      </c>
      <c r="D27" s="522">
        <v>45.6</v>
      </c>
      <c r="E27" s="522">
        <v>45.6</v>
      </c>
      <c r="F27" s="526" t="s">
        <v>310</v>
      </c>
      <c r="G27" s="520" t="s">
        <v>359</v>
      </c>
    </row>
    <row r="28" spans="1:7" x14ac:dyDescent="0.25">
      <c r="A28" s="635" t="s">
        <v>357</v>
      </c>
      <c r="B28" s="522">
        <v>41.4</v>
      </c>
      <c r="C28" s="522">
        <v>41.4</v>
      </c>
      <c r="D28" s="522">
        <v>41.4</v>
      </c>
      <c r="E28" s="522">
        <v>41.4</v>
      </c>
      <c r="F28" s="526" t="s">
        <v>310</v>
      </c>
      <c r="G28" s="520" t="s">
        <v>359</v>
      </c>
    </row>
    <row r="29" spans="1:7" s="301" customFormat="1" ht="26.4" x14ac:dyDescent="0.25">
      <c r="A29" s="637" t="s">
        <v>252</v>
      </c>
      <c r="B29" s="524">
        <f>900*1000/124340</f>
        <v>7.2382177899308351</v>
      </c>
      <c r="C29" s="524">
        <f>900*1000/124340</f>
        <v>7.2382177899308351</v>
      </c>
      <c r="D29" s="524">
        <f>900*1000/124340</f>
        <v>7.2382177899308351</v>
      </c>
      <c r="E29" s="524">
        <f>900*1000/124340</f>
        <v>7.2382177899308351</v>
      </c>
      <c r="F29" s="529" t="s">
        <v>226</v>
      </c>
      <c r="G29" s="530" t="s">
        <v>253</v>
      </c>
    </row>
    <row r="30" spans="1:7" s="301" customFormat="1" ht="27" thickBot="1" x14ac:dyDescent="0.3">
      <c r="A30" s="638" t="s">
        <v>225</v>
      </c>
      <c r="B30" s="525">
        <f>600*1000/124340</f>
        <v>4.8254785266205564</v>
      </c>
      <c r="C30" s="525">
        <f>600*1000/124340</f>
        <v>4.8254785266205564</v>
      </c>
      <c r="D30" s="525">
        <f>600*1000/124340</f>
        <v>4.8254785266205564</v>
      </c>
      <c r="E30" s="525">
        <f>600*1000/124340</f>
        <v>4.8254785266205564</v>
      </c>
      <c r="F30" s="531" t="s">
        <v>226</v>
      </c>
      <c r="G30" s="532" t="s">
        <v>177</v>
      </c>
    </row>
    <row r="31" spans="1:7" x14ac:dyDescent="0.25">
      <c r="A31" s="80"/>
      <c r="G31" s="515"/>
    </row>
    <row r="32" spans="1:7" ht="14.4" thickBot="1" x14ac:dyDescent="0.3">
      <c r="A32" s="399" t="s">
        <v>223</v>
      </c>
      <c r="G32" s="515"/>
    </row>
    <row r="33" spans="1:7" x14ac:dyDescent="0.25">
      <c r="A33" s="93" t="s">
        <v>276</v>
      </c>
      <c r="B33" s="94">
        <v>2010</v>
      </c>
      <c r="C33" s="94">
        <v>2015</v>
      </c>
      <c r="D33" s="94">
        <v>2020</v>
      </c>
      <c r="E33" s="112">
        <v>2025</v>
      </c>
      <c r="F33" s="112" t="s">
        <v>315</v>
      </c>
      <c r="G33" s="518" t="s">
        <v>426</v>
      </c>
    </row>
    <row r="34" spans="1:7" x14ac:dyDescent="0.25">
      <c r="A34" s="98" t="s">
        <v>131</v>
      </c>
      <c r="B34" s="24">
        <f>84530/124340</f>
        <v>0.67982949975872609</v>
      </c>
      <c r="C34" s="24">
        <f>84530/124340</f>
        <v>0.67982949975872609</v>
      </c>
      <c r="D34" s="24">
        <f>84530/124340</f>
        <v>0.67982949975872609</v>
      </c>
      <c r="E34" s="24">
        <f>84530/124340</f>
        <v>0.67982949975872609</v>
      </c>
      <c r="F34" s="113" t="s">
        <v>138</v>
      </c>
      <c r="G34" s="97" t="s">
        <v>135</v>
      </c>
    </row>
    <row r="35" spans="1:7" x14ac:dyDescent="0.25">
      <c r="A35" s="98" t="s">
        <v>132</v>
      </c>
      <c r="B35" s="24">
        <f>130030/124340</f>
        <v>1.045761621360785</v>
      </c>
      <c r="C35" s="24">
        <f>130030/124340</f>
        <v>1.045761621360785</v>
      </c>
      <c r="D35" s="24">
        <f>130030/124340</f>
        <v>1.045761621360785</v>
      </c>
      <c r="E35" s="24">
        <f>130030/124340</f>
        <v>1.045761621360785</v>
      </c>
      <c r="F35" s="113" t="s">
        <v>139</v>
      </c>
      <c r="G35" s="97" t="s">
        <v>135</v>
      </c>
    </row>
    <row r="36" spans="1:7" x14ac:dyDescent="0.25">
      <c r="A36" s="98" t="s">
        <v>133</v>
      </c>
      <c r="B36" s="24">
        <f>128763/124340</f>
        <v>1.0355718192054046</v>
      </c>
      <c r="C36" s="24">
        <f>128763/124340</f>
        <v>1.0355718192054046</v>
      </c>
      <c r="D36" s="24">
        <f>128763/124340</f>
        <v>1.0355718192054046</v>
      </c>
      <c r="E36" s="24">
        <f>128763/124340</f>
        <v>1.0355718192054046</v>
      </c>
      <c r="F36" s="113" t="s">
        <v>140</v>
      </c>
      <c r="G36" s="516" t="s">
        <v>136</v>
      </c>
    </row>
    <row r="37" spans="1:7" ht="13.8" thickBot="1" x14ac:dyDescent="0.3">
      <c r="A37" s="99" t="s">
        <v>134</v>
      </c>
      <c r="B37" s="100">
        <f>111750/124340</f>
        <v>0.89874537558307865</v>
      </c>
      <c r="C37" s="100">
        <f>111750/124340</f>
        <v>0.89874537558307865</v>
      </c>
      <c r="D37" s="100">
        <f>111750/124340</f>
        <v>0.89874537558307865</v>
      </c>
      <c r="E37" s="100">
        <f>111750/124340</f>
        <v>0.89874537558307865</v>
      </c>
      <c r="F37" s="657" t="s">
        <v>141</v>
      </c>
      <c r="G37" s="517" t="s">
        <v>137</v>
      </c>
    </row>
    <row r="38" spans="1:7" x14ac:dyDescent="0.25">
      <c r="A38" s="80"/>
    </row>
    <row r="39" spans="1:7" ht="13.8" x14ac:dyDescent="0.25">
      <c r="A39" s="396" t="s">
        <v>307</v>
      </c>
    </row>
    <row r="40" spans="1:7" x14ac:dyDescent="0.25">
      <c r="A40" s="3" t="s">
        <v>230</v>
      </c>
    </row>
    <row r="41" spans="1:7" x14ac:dyDescent="0.25">
      <c r="A41" s="64" t="s">
        <v>227</v>
      </c>
    </row>
    <row r="42" spans="1:7" x14ac:dyDescent="0.25">
      <c r="A42" s="64" t="s">
        <v>228</v>
      </c>
    </row>
    <row r="43" spans="1:7" x14ac:dyDescent="0.25">
      <c r="A43" s="64" t="s">
        <v>229</v>
      </c>
    </row>
    <row r="44" spans="1:7" x14ac:dyDescent="0.25">
      <c r="A44" s="121" t="s">
        <v>231</v>
      </c>
    </row>
    <row r="45" spans="1:7" x14ac:dyDescent="0.25">
      <c r="A45" s="121" t="s">
        <v>232</v>
      </c>
    </row>
    <row r="46" spans="1:7" x14ac:dyDescent="0.25">
      <c r="A46" s="121" t="s">
        <v>178</v>
      </c>
    </row>
  </sheetData>
  <phoneticPr fontId="0" type="noConversion"/>
  <hyperlinks>
    <hyperlink ref="G36" r:id="rId1"/>
  </hyperlinks>
  <pageMargins left="0.75" right="0.75" top="1" bottom="1" header="0.5" footer="0.5"/>
  <pageSetup paperSize="5" scale="50" orientation="landscape" r:id="rId2"/>
  <headerFooter alignWithMargins="0">
    <oddFooter>&amp;L&amp;"Arial,Italic" 7/02/07&amp;C&amp;"Arial,Italic"&amp;A&amp;R&amp;"Arial,Italic"NJAES Report 2007-1 ©2007
New Jersey Agricultural Experiment Station</oddFooter>
  </headerFooter>
  <colBreaks count="1" manualBreakCount="1">
    <brk id="7" max="1048575" man="1"/>
  </colBreaks>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D57"/>
  <sheetViews>
    <sheetView zoomScale="75" workbookViewId="0">
      <pane xSplit="2" ySplit="5" topLeftCell="C15" activePane="bottomRight" state="frozen"/>
      <selection activeCell="K23" sqref="K23"/>
      <selection pane="topRight" activeCell="K23" sqref="K23"/>
      <selection pane="bottomLeft" activeCell="K23" sqref="K23"/>
      <selection pane="bottomRight" activeCell="C29" sqref="C29"/>
    </sheetView>
  </sheetViews>
  <sheetFormatPr defaultColWidth="8.88671875" defaultRowHeight="13.2" x14ac:dyDescent="0.25"/>
  <cols>
    <col min="1" max="1" width="28.44140625" bestFit="1" customWidth="1"/>
    <col min="2" max="2" width="44.109375" customWidth="1"/>
    <col min="3" max="3" width="12.44140625" customWidth="1"/>
    <col min="4" max="4" width="38.6640625" customWidth="1"/>
    <col min="5" max="5" width="2" customWidth="1"/>
    <col min="6" max="9" width="8.88671875" customWidth="1"/>
    <col min="10" max="10" width="2" customWidth="1"/>
    <col min="11" max="11" width="11.44140625" customWidth="1"/>
    <col min="12" max="12" width="10.44140625" customWidth="1"/>
    <col min="13" max="14" width="11.33203125" customWidth="1"/>
    <col min="15" max="15" width="2" customWidth="1"/>
    <col min="16" max="16" width="9.44140625" customWidth="1"/>
    <col min="17" max="17" width="9.33203125" customWidth="1"/>
    <col min="18" max="19" width="9.6640625" customWidth="1"/>
    <col min="20" max="20" width="8.88671875" customWidth="1"/>
    <col min="21" max="21" width="9" customWidth="1"/>
    <col min="22" max="23" width="8.88671875" customWidth="1"/>
    <col min="24" max="24" width="7.88671875" customWidth="1"/>
    <col min="25" max="25" width="8.6640625" customWidth="1"/>
    <col min="26" max="27" width="9" customWidth="1"/>
    <col min="28" max="28" width="10.33203125" customWidth="1"/>
    <col min="29" max="29" width="10.109375" customWidth="1"/>
    <col min="30" max="32" width="10.44140625" customWidth="1"/>
    <col min="33" max="33" width="12" customWidth="1"/>
    <col min="34" max="35" width="10.44140625" customWidth="1"/>
    <col min="36" max="36" width="8.88671875" customWidth="1"/>
    <col min="37" max="37" width="10.6640625" customWidth="1"/>
    <col min="38" max="39" width="11.33203125" customWidth="1"/>
    <col min="40" max="40" width="10.44140625" customWidth="1"/>
    <col min="41" max="41" width="10.109375" customWidth="1"/>
    <col min="42" max="44" width="10.6640625" customWidth="1"/>
    <col min="45" max="45" width="10.33203125" customWidth="1"/>
    <col min="46" max="47" width="8.44140625" customWidth="1"/>
    <col min="48" max="48" width="9" customWidth="1"/>
    <col min="49" max="49" width="8.88671875" customWidth="1"/>
    <col min="50" max="51" width="9.6640625" customWidth="1"/>
    <col min="52" max="52" width="9.44140625" customWidth="1"/>
    <col min="53" max="53" width="8.88671875" customWidth="1"/>
    <col min="54" max="55" width="8" customWidth="1"/>
    <col min="56" max="56" width="8.88671875" customWidth="1"/>
    <col min="57" max="57" width="9" customWidth="1"/>
    <col min="58" max="59" width="9.44140625" customWidth="1"/>
    <col min="60" max="60" width="9.6640625" customWidth="1"/>
    <col min="61" max="61" width="9.44140625" customWidth="1"/>
    <col min="62" max="63" width="9.33203125" customWidth="1"/>
    <col min="64" max="64" width="10.109375" customWidth="1"/>
    <col min="65" max="65" width="11.88671875" customWidth="1"/>
    <col min="66" max="67" width="11.33203125" customWidth="1"/>
    <col min="68" max="76" width="14.6640625" customWidth="1"/>
    <col min="77" max="80" width="8.88671875" customWidth="1"/>
    <col min="81" max="81" width="32" bestFit="1" customWidth="1"/>
  </cols>
  <sheetData>
    <row r="1" spans="1:82" ht="13.8" x14ac:dyDescent="0.25">
      <c r="A1" s="353"/>
      <c r="E1" s="83"/>
      <c r="F1" s="396" t="s">
        <v>364</v>
      </c>
      <c r="J1" s="83"/>
      <c r="K1" s="80" t="s">
        <v>365</v>
      </c>
      <c r="O1" s="83"/>
    </row>
    <row r="2" spans="1:82" ht="13.8" x14ac:dyDescent="0.25">
      <c r="C2" s="1089" t="s">
        <v>432</v>
      </c>
      <c r="D2" s="1089"/>
      <c r="E2" s="83"/>
      <c r="F2" s="317" t="str">
        <f>'Bioenergy Calculator'!B3</f>
        <v>None</v>
      </c>
      <c r="G2" s="318"/>
      <c r="H2" s="319"/>
      <c r="I2" s="318"/>
      <c r="J2" s="116"/>
      <c r="K2" s="317" t="str">
        <f>'Bioenergy Calculator'!B4</f>
        <v>None</v>
      </c>
      <c r="L2" s="318"/>
      <c r="M2" s="319"/>
      <c r="N2" s="322"/>
      <c r="O2" s="84"/>
      <c r="P2" s="54"/>
      <c r="Q2" s="67"/>
      <c r="R2" s="67"/>
      <c r="S2" s="67"/>
      <c r="T2" s="67"/>
      <c r="U2" s="67"/>
      <c r="V2" s="67"/>
      <c r="W2" s="67"/>
      <c r="X2" s="67"/>
      <c r="Y2" s="67"/>
      <c r="Z2" s="67"/>
      <c r="AA2" s="67"/>
      <c r="AB2" s="67"/>
      <c r="AC2" s="67"/>
      <c r="AD2" s="67"/>
      <c r="AE2" s="67"/>
      <c r="AF2" s="67"/>
      <c r="AG2" s="67"/>
      <c r="AH2" s="67"/>
      <c r="AI2" s="67"/>
      <c r="AJ2" s="55"/>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row>
    <row r="3" spans="1:82" ht="13.8" thickBot="1" x14ac:dyDescent="0.3">
      <c r="B3" s="51"/>
      <c r="E3" s="83"/>
      <c r="J3" s="83"/>
      <c r="O3" s="83"/>
      <c r="BH3" t="s">
        <v>22</v>
      </c>
    </row>
    <row r="4" spans="1:82" ht="37.5" customHeight="1" x14ac:dyDescent="0.25">
      <c r="A4" s="1095" t="s">
        <v>567</v>
      </c>
      <c r="B4" s="1097" t="s">
        <v>506</v>
      </c>
      <c r="C4" s="1099" t="s">
        <v>316</v>
      </c>
      <c r="D4" s="1090"/>
      <c r="E4" s="235"/>
      <c r="F4" s="1103" t="s">
        <v>1153</v>
      </c>
      <c r="G4" s="1104"/>
      <c r="H4" s="1105"/>
      <c r="I4" s="1106"/>
      <c r="J4" s="236"/>
      <c r="K4" s="1103" t="s">
        <v>1152</v>
      </c>
      <c r="L4" s="1104"/>
      <c r="M4" s="1105"/>
      <c r="N4" s="1106"/>
      <c r="O4" s="236"/>
      <c r="P4" s="1107" t="s">
        <v>1142</v>
      </c>
      <c r="Q4" s="1091"/>
      <c r="R4" s="1091"/>
      <c r="S4" s="1091"/>
      <c r="T4" s="1090" t="s">
        <v>273</v>
      </c>
      <c r="U4" s="1091"/>
      <c r="V4" s="1091"/>
      <c r="W4" s="1091"/>
      <c r="X4" s="1090" t="s">
        <v>995</v>
      </c>
      <c r="Y4" s="1091"/>
      <c r="Z4" s="1091"/>
      <c r="AA4" s="1091"/>
      <c r="AB4" s="1090" t="s">
        <v>1143</v>
      </c>
      <c r="AC4" s="1091"/>
      <c r="AD4" s="1091"/>
      <c r="AE4" s="1091"/>
      <c r="AF4" s="1090" t="s">
        <v>1144</v>
      </c>
      <c r="AG4" s="1091"/>
      <c r="AH4" s="1091"/>
      <c r="AI4" s="1091"/>
      <c r="AJ4" s="1090" t="s">
        <v>1145</v>
      </c>
      <c r="AK4" s="1091"/>
      <c r="AL4" s="1091"/>
      <c r="AM4" s="1091"/>
      <c r="AN4" s="1090" t="s">
        <v>1146</v>
      </c>
      <c r="AO4" s="1091"/>
      <c r="AP4" s="1091"/>
      <c r="AQ4" s="1091"/>
      <c r="AR4" s="1090" t="s">
        <v>1147</v>
      </c>
      <c r="AS4" s="1107"/>
      <c r="AT4" s="1107"/>
      <c r="AU4" s="1091"/>
      <c r="AV4" s="1090" t="s">
        <v>1148</v>
      </c>
      <c r="AW4" s="1107"/>
      <c r="AX4" s="1107"/>
      <c r="AY4" s="1091"/>
      <c r="AZ4" s="1090" t="s">
        <v>1149</v>
      </c>
      <c r="BA4" s="1091"/>
      <c r="BB4" s="1091"/>
      <c r="BC4" s="1091"/>
      <c r="BD4" s="1090" t="s">
        <v>1150</v>
      </c>
      <c r="BE4" s="1091"/>
      <c r="BF4" s="1091"/>
      <c r="BG4" s="1091"/>
      <c r="BH4" s="1090" t="s">
        <v>996</v>
      </c>
      <c r="BI4" s="1091"/>
      <c r="BJ4" s="1091"/>
      <c r="BK4" s="1091"/>
      <c r="BL4" s="1090" t="s">
        <v>1151</v>
      </c>
      <c r="BM4" s="1091"/>
      <c r="BN4" s="1091"/>
      <c r="BO4" s="1108"/>
      <c r="BZ4" s="55"/>
    </row>
    <row r="5" spans="1:82" x14ac:dyDescent="0.25">
      <c r="A5" s="1096"/>
      <c r="B5" s="1098"/>
      <c r="C5" s="22" t="s">
        <v>363</v>
      </c>
      <c r="D5" s="22" t="s">
        <v>315</v>
      </c>
      <c r="E5" s="329"/>
      <c r="F5" s="330">
        <v>2010</v>
      </c>
      <c r="G5" s="156">
        <v>2015</v>
      </c>
      <c r="H5" s="156">
        <v>2020</v>
      </c>
      <c r="I5" s="260">
        <v>2025</v>
      </c>
      <c r="J5" s="340"/>
      <c r="K5" s="330">
        <v>2010</v>
      </c>
      <c r="L5" s="156">
        <v>2015</v>
      </c>
      <c r="M5" s="321">
        <v>2020</v>
      </c>
      <c r="N5" s="260">
        <v>2025</v>
      </c>
      <c r="O5" s="341"/>
      <c r="P5" s="22">
        <v>2010</v>
      </c>
      <c r="Q5" s="22">
        <v>2015</v>
      </c>
      <c r="R5" s="22">
        <v>2020</v>
      </c>
      <c r="S5" s="22">
        <v>2025</v>
      </c>
      <c r="T5" s="324">
        <v>2010</v>
      </c>
      <c r="U5" s="22">
        <v>2015</v>
      </c>
      <c r="V5" s="22">
        <v>2020</v>
      </c>
      <c r="W5" s="22">
        <v>2025</v>
      </c>
      <c r="X5" s="324">
        <v>2010</v>
      </c>
      <c r="Y5" s="22">
        <v>2015</v>
      </c>
      <c r="Z5" s="22">
        <v>2020</v>
      </c>
      <c r="AA5" s="22">
        <v>2025</v>
      </c>
      <c r="AB5" s="324">
        <v>2010</v>
      </c>
      <c r="AC5" s="22">
        <v>2015</v>
      </c>
      <c r="AD5" s="22">
        <v>2020</v>
      </c>
      <c r="AE5" s="22">
        <v>2025</v>
      </c>
      <c r="AF5" s="22">
        <v>2010</v>
      </c>
      <c r="AG5" s="22">
        <v>2015</v>
      </c>
      <c r="AH5" s="22">
        <v>2020</v>
      </c>
      <c r="AI5" s="22">
        <v>2025</v>
      </c>
      <c r="AJ5" s="324">
        <v>2010</v>
      </c>
      <c r="AK5" s="22">
        <v>2015</v>
      </c>
      <c r="AL5" s="22">
        <v>2020</v>
      </c>
      <c r="AM5" s="22">
        <v>2025</v>
      </c>
      <c r="AN5" s="324">
        <v>2010</v>
      </c>
      <c r="AO5" s="22">
        <v>2015</v>
      </c>
      <c r="AP5" s="22">
        <v>2020</v>
      </c>
      <c r="AQ5" s="22">
        <v>2025</v>
      </c>
      <c r="AR5" s="324">
        <v>2010</v>
      </c>
      <c r="AS5" s="22">
        <v>2015</v>
      </c>
      <c r="AT5" s="22">
        <v>2020</v>
      </c>
      <c r="AU5" s="22">
        <v>2025</v>
      </c>
      <c r="AV5" s="324">
        <v>2010</v>
      </c>
      <c r="AW5" s="22">
        <v>2015</v>
      </c>
      <c r="AX5" s="22">
        <v>2020</v>
      </c>
      <c r="AY5" s="22">
        <v>2025</v>
      </c>
      <c r="AZ5" s="324">
        <v>2010</v>
      </c>
      <c r="BA5" s="22">
        <v>2015</v>
      </c>
      <c r="BB5" s="22">
        <v>2020</v>
      </c>
      <c r="BC5" s="22">
        <v>2025</v>
      </c>
      <c r="BD5" s="324">
        <v>2010</v>
      </c>
      <c r="BE5" s="22">
        <v>2015</v>
      </c>
      <c r="BF5" s="22">
        <v>2020</v>
      </c>
      <c r="BG5" s="22">
        <v>2025</v>
      </c>
      <c r="BH5" s="324">
        <v>2010</v>
      </c>
      <c r="BI5" s="22">
        <v>2015</v>
      </c>
      <c r="BJ5" s="22">
        <v>2020</v>
      </c>
      <c r="BK5" s="22">
        <v>2025</v>
      </c>
      <c r="BL5" s="324">
        <v>2010</v>
      </c>
      <c r="BM5" s="22">
        <v>2015</v>
      </c>
      <c r="BN5" s="22">
        <v>2020</v>
      </c>
      <c r="BO5" s="327">
        <v>2025</v>
      </c>
      <c r="BZ5" s="51"/>
    </row>
    <row r="6" spans="1:82" x14ac:dyDescent="0.25">
      <c r="A6" s="1092" t="s">
        <v>513</v>
      </c>
      <c r="B6" s="1" t="s">
        <v>511</v>
      </c>
      <c r="C6" s="51"/>
      <c r="D6" s="51"/>
      <c r="E6" s="84"/>
      <c r="F6" s="331"/>
      <c r="G6" s="144"/>
      <c r="H6" s="144"/>
      <c r="I6" s="332"/>
      <c r="J6" s="338"/>
      <c r="K6" s="331"/>
      <c r="L6" s="144"/>
      <c r="M6" s="144"/>
      <c r="N6" s="332"/>
      <c r="O6" s="84"/>
      <c r="P6" s="70"/>
      <c r="Q6" s="52"/>
      <c r="R6" s="52"/>
      <c r="S6" s="62"/>
      <c r="T6" s="52"/>
      <c r="U6" s="52"/>
      <c r="V6" s="52"/>
      <c r="W6" s="62"/>
      <c r="X6" s="91"/>
      <c r="Y6" s="52"/>
      <c r="Z6" s="52"/>
      <c r="AA6" s="62"/>
      <c r="AB6" s="52"/>
      <c r="AC6" s="52"/>
      <c r="AD6" s="52"/>
      <c r="AE6" s="62"/>
      <c r="AF6" s="68"/>
      <c r="AG6" s="51"/>
      <c r="AH6" s="51"/>
      <c r="AI6" s="65"/>
      <c r="AJ6" s="52"/>
      <c r="AK6" s="52"/>
      <c r="AL6" s="52"/>
      <c r="AM6" s="62"/>
      <c r="AN6" s="52"/>
      <c r="AO6" s="52"/>
      <c r="AP6" s="52"/>
      <c r="AQ6" s="62"/>
      <c r="AR6" s="52"/>
      <c r="AS6" s="52"/>
      <c r="AT6" s="52"/>
      <c r="AU6" s="62"/>
      <c r="AV6" s="52"/>
      <c r="AW6" s="52"/>
      <c r="AX6" s="52"/>
      <c r="AY6" s="62"/>
      <c r="AZ6" s="52"/>
      <c r="BA6" s="52"/>
      <c r="BB6" s="52"/>
      <c r="BC6" s="62"/>
      <c r="BD6" s="52"/>
      <c r="BE6" s="52"/>
      <c r="BF6" s="52"/>
      <c r="BG6" s="62"/>
      <c r="BH6" s="91"/>
      <c r="BI6" s="91"/>
      <c r="BJ6" s="91"/>
      <c r="BK6" s="147"/>
      <c r="BL6" s="52"/>
      <c r="BM6" s="52"/>
      <c r="BN6" s="52"/>
      <c r="BO6" s="328"/>
      <c r="BY6" s="52"/>
      <c r="BZ6" s="52"/>
    </row>
    <row r="7" spans="1:82" ht="12.75" customHeight="1" x14ac:dyDescent="0.25">
      <c r="A7" s="1100"/>
      <c r="B7" s="11" t="s">
        <v>519</v>
      </c>
      <c r="C7" s="31" t="s">
        <v>431</v>
      </c>
      <c r="D7" s="31"/>
      <c r="E7" s="118"/>
      <c r="F7" s="172" t="str">
        <f>IF($F$2='Bioenergy Calculator'!$X$9,AF7,IF($F$2='Bioenergy Calculator'!$X$10,AJ7,IF($F$2='Bioenergy Calculator'!$X$11,AN7,IF($F$2='Bioenergy Calculator'!$X$12,P7,IF($F$2='Bioenergy Calculator'!$X$13,AR7,IF($F$2='Bioenergy Calculator'!$X$14,AV7,IF($F$2='Bioenergy Calculator'!$X$15,AZ7,"NA")))))))</f>
        <v>NA</v>
      </c>
      <c r="G7" s="51" t="str">
        <f>IF($F$2='Bioenergy Calculator'!$X$9,AG7,IF($F$2='Bioenergy Calculator'!$X$10,AK7,IF($F$2='Bioenergy Calculator'!$X$11,AO7,IF($F$2='Bioenergy Calculator'!$X$12,Q7,IF($F$2='Bioenergy Calculator'!$X$13,AS7,IF($F$2='Bioenergy Calculator'!$X$14,AW7,IF($F$2='Bioenergy Calculator'!$X$15,BA7,"NA")))))))</f>
        <v>NA</v>
      </c>
      <c r="H7" s="51" t="str">
        <f>IF($F$2='Bioenergy Calculator'!$X$9,AH7,IF($F$2='Bioenergy Calculator'!$X$10,AL7,IF($F$2='Bioenergy Calculator'!$X$11,AP7,IF($F$2='Bioenergy Calculator'!$X$12,R7,IF($F$2='Bioenergy Calculator'!$X$13,AT7,IF($F$2='Bioenergy Calculator'!$X$14,AX7,IF($F$2='Bioenergy Calculator'!$X$15,BB7,"NA")))))))</f>
        <v>NA</v>
      </c>
      <c r="I7" s="140" t="str">
        <f>IF($F$2='Bioenergy Calculator'!$X$9,AI7,IF($F$2='Bioenergy Calculator'!$X$10,AM7,IF($F$2='Bioenergy Calculator'!$X$11,AQ7,IF($F$2='Bioenergy Calculator'!$X$12,S7,IF($F$2='Bioenergy Calculator'!$X$13,AU7,IF($F$2='Bioenergy Calculator'!$X$14,AY7,IF($F$2='Bioenergy Calculator'!$X$15,BC7,"NA")))))))</f>
        <v>NA</v>
      </c>
      <c r="J7" s="84"/>
      <c r="K7" s="172" t="str">
        <f>IF($K$2='Bioenergy Calculator'!$X$21,X7,IF($K$2='Bioenergy Calculator'!$X$22,BH7,IF($K$2='Bioenergy Calculator'!$X$23,BD7,IF($K$2='Bioenergy Calculator'!$X$19,T7,IF($K$2='Bioenergy Calculator'!$X$20,AB7,IF($K$2='Bioenergy Calculator'!$X$24,'Conversion Tables'!BL7,"NA"))))))</f>
        <v>NA</v>
      </c>
      <c r="L7" s="51" t="str">
        <f>IF($K$2='Bioenergy Calculator'!$X$21,Y7,IF($K$2='Bioenergy Calculator'!$X$22,BI7,IF($K$2='Bioenergy Calculator'!$X$23,BE7,IF($K$2='Bioenergy Calculator'!$X$19,U7,IF($K$2='Bioenergy Calculator'!$X$20,AC7,IF($K$2='Bioenergy Calculator'!$X$24,'Conversion Tables'!BM7,"NA"))))))</f>
        <v>NA</v>
      </c>
      <c r="M7" s="51" t="str">
        <f>IF($K$2='Bioenergy Calculator'!$X$21,Z7,IF($K$2='Bioenergy Calculator'!$X$22,BJ7,IF($K$2='Bioenergy Calculator'!$X$23,BF7,IF($K$2='Bioenergy Calculator'!$X$19,V7,IF($K$2='Bioenergy Calculator'!$X$20,AD7,IF($K$2='Bioenergy Calculator'!$X$24,'Conversion Tables'!BN7,"NA"))))))</f>
        <v>NA</v>
      </c>
      <c r="N7" s="140" t="str">
        <f>IF($K$2='Bioenergy Calculator'!$X$21,AA7,IF($K$2='Bioenergy Calculator'!$X$22,BK7,IF($K$2='Bioenergy Calculator'!$X$23,BG7,IF($K$2='Bioenergy Calculator'!$X$19,W7,IF($K$2='Bioenergy Calculator'!$X$20,AE7,IF($K$2='Bioenergy Calculator'!$X$24,'Conversion Tables'!BO7,"NA"))))))</f>
        <v>NA</v>
      </c>
      <c r="O7" s="84"/>
      <c r="P7" s="68" t="s">
        <v>431</v>
      </c>
      <c r="Q7" s="51" t="s">
        <v>431</v>
      </c>
      <c r="R7" s="51" t="s">
        <v>431</v>
      </c>
      <c r="S7" s="65" t="s">
        <v>431</v>
      </c>
      <c r="T7" s="74">
        <f>'Technology Assumptions'!B16</f>
        <v>2.8</v>
      </c>
      <c r="U7" s="74">
        <f>'Technology Assumptions'!C16</f>
        <v>2.8</v>
      </c>
      <c r="V7" s="74">
        <f>'Technology Assumptions'!D16</f>
        <v>2.9</v>
      </c>
      <c r="W7" s="75">
        <f>'Technology Assumptions'!E16</f>
        <v>3</v>
      </c>
      <c r="X7" s="91" t="s">
        <v>431</v>
      </c>
      <c r="Y7" s="91" t="s">
        <v>431</v>
      </c>
      <c r="Z7" s="91" t="s">
        <v>431</v>
      </c>
      <c r="AA7" s="147" t="s">
        <v>431</v>
      </c>
      <c r="AB7" s="51" t="s">
        <v>431</v>
      </c>
      <c r="AC7" s="51" t="s">
        <v>431</v>
      </c>
      <c r="AD7" s="51" t="s">
        <v>431</v>
      </c>
      <c r="AE7" s="65" t="s">
        <v>431</v>
      </c>
      <c r="AF7" s="68" t="s">
        <v>431</v>
      </c>
      <c r="AG7" s="51" t="s">
        <v>431</v>
      </c>
      <c r="AH7" s="51" t="s">
        <v>431</v>
      </c>
      <c r="AI7" s="65" t="s">
        <v>431</v>
      </c>
      <c r="AJ7" s="51" t="s">
        <v>431</v>
      </c>
      <c r="AK7" s="51" t="s">
        <v>431</v>
      </c>
      <c r="AL7" s="51" t="s">
        <v>431</v>
      </c>
      <c r="AM7" s="65" t="s">
        <v>431</v>
      </c>
      <c r="AN7" s="51" t="s">
        <v>431</v>
      </c>
      <c r="AO7" s="51" t="s">
        <v>431</v>
      </c>
      <c r="AP7" s="51" t="s">
        <v>431</v>
      </c>
      <c r="AQ7" s="65" t="s">
        <v>431</v>
      </c>
      <c r="AR7" s="51" t="s">
        <v>431</v>
      </c>
      <c r="AS7" s="51" t="s">
        <v>431</v>
      </c>
      <c r="AT7" s="51" t="s">
        <v>431</v>
      </c>
      <c r="AU7" s="65" t="s">
        <v>431</v>
      </c>
      <c r="AV7" s="51" t="s">
        <v>431</v>
      </c>
      <c r="AW7" s="51" t="s">
        <v>431</v>
      </c>
      <c r="AX7" s="51" t="s">
        <v>431</v>
      </c>
      <c r="AY7" s="65" t="s">
        <v>431</v>
      </c>
      <c r="AZ7" s="51" t="s">
        <v>431</v>
      </c>
      <c r="BA7" s="51" t="s">
        <v>431</v>
      </c>
      <c r="BB7" s="51" t="s">
        <v>431</v>
      </c>
      <c r="BC7" s="65" t="s">
        <v>431</v>
      </c>
      <c r="BD7" s="51" t="s">
        <v>431</v>
      </c>
      <c r="BE7" s="51" t="s">
        <v>431</v>
      </c>
      <c r="BF7" s="51" t="s">
        <v>431</v>
      </c>
      <c r="BG7" s="65" t="s">
        <v>431</v>
      </c>
      <c r="BH7" s="52" t="s">
        <v>431</v>
      </c>
      <c r="BI7" s="52" t="s">
        <v>431</v>
      </c>
      <c r="BJ7" s="52" t="s">
        <v>431</v>
      </c>
      <c r="BK7" s="62" t="s">
        <v>431</v>
      </c>
      <c r="BL7" s="51" t="s">
        <v>431</v>
      </c>
      <c r="BM7" s="51" t="s">
        <v>431</v>
      </c>
      <c r="BN7" s="51" t="s">
        <v>431</v>
      </c>
      <c r="BO7" s="140" t="s">
        <v>431</v>
      </c>
      <c r="BZ7" s="53"/>
      <c r="CD7" s="57"/>
    </row>
    <row r="8" spans="1:82" x14ac:dyDescent="0.25">
      <c r="A8" s="1100"/>
      <c r="B8" s="11" t="s">
        <v>520</v>
      </c>
      <c r="C8" s="31" t="s">
        <v>431</v>
      </c>
      <c r="D8" s="31"/>
      <c r="E8" s="118"/>
      <c r="F8" s="172" t="str">
        <f>IF($F$2='Bioenergy Calculator'!$X$9,AF8,IF($F$2='Bioenergy Calculator'!$X$10,AJ8,IF($F$2='Bioenergy Calculator'!$X$11,AN8,IF($F$2='Bioenergy Calculator'!$X$12,P8,IF($F$2='Bioenergy Calculator'!$X$13,AR8,IF($F$2='Bioenergy Calculator'!$X$14,AV8,IF($F$2='Bioenergy Calculator'!$X$15,AZ8,"NA")))))))</f>
        <v>NA</v>
      </c>
      <c r="G8" s="51" t="str">
        <f>IF($F$2='Bioenergy Calculator'!$X$9,AG8,IF($F$2='Bioenergy Calculator'!$X$10,AK8,IF($F$2='Bioenergy Calculator'!$X$11,AO8,IF($F$2='Bioenergy Calculator'!$X$12,Q8,IF($F$2='Bioenergy Calculator'!$X$13,AS8,IF($F$2='Bioenergy Calculator'!$X$14,AW8,IF($F$2='Bioenergy Calculator'!$X$15,BA8,"NA")))))))</f>
        <v>NA</v>
      </c>
      <c r="H8" s="51" t="str">
        <f>IF($F$2='Bioenergy Calculator'!$X$9,AH8,IF($F$2='Bioenergy Calculator'!$X$10,AL8,IF($F$2='Bioenergy Calculator'!$X$11,AP8,IF($F$2='Bioenergy Calculator'!$X$12,R8,IF($F$2='Bioenergy Calculator'!$X$13,AT8,IF($F$2='Bioenergy Calculator'!$X$14,AX8,IF($F$2='Bioenergy Calculator'!$X$15,BB8,"NA")))))))</f>
        <v>NA</v>
      </c>
      <c r="I8" s="140" t="str">
        <f>IF($F$2='Bioenergy Calculator'!$X$9,AI8,IF($F$2='Bioenergy Calculator'!$X$10,AM8,IF($F$2='Bioenergy Calculator'!$X$11,AQ8,IF($F$2='Bioenergy Calculator'!$X$12,S8,IF($F$2='Bioenergy Calculator'!$X$13,AU8,IF($F$2='Bioenergy Calculator'!$X$14,AY8,IF($F$2='Bioenergy Calculator'!$X$15,BC8,"NA")))))))</f>
        <v>NA</v>
      </c>
      <c r="J8" s="84"/>
      <c r="K8" s="172" t="str">
        <f>IF($K$2='Bioenergy Calculator'!$X$21,X8,IF($K$2='Bioenergy Calculator'!$X$22,BH8,IF($K$2='Bioenergy Calculator'!$X$23,BD8,IF($K$2='Bioenergy Calculator'!$X$19,T8,IF($K$2='Bioenergy Calculator'!$X$20,AB8,IF($K$2='Bioenergy Calculator'!$X$24,'Conversion Tables'!BL8,"NA"))))))</f>
        <v>NA</v>
      </c>
      <c r="L8" s="51" t="str">
        <f>IF($K$2='Bioenergy Calculator'!$X$21,Y8,IF($K$2='Bioenergy Calculator'!$X$22,BI8,IF($K$2='Bioenergy Calculator'!$X$23,BE8,IF($K$2='Bioenergy Calculator'!$X$19,U8,IF($K$2='Bioenergy Calculator'!$X$20,AC8,IF($K$2='Bioenergy Calculator'!$X$24,'Conversion Tables'!BM8,"NA"))))))</f>
        <v>NA</v>
      </c>
      <c r="M8" s="51" t="str">
        <f>IF($K$2='Bioenergy Calculator'!$X$21,Z8,IF($K$2='Bioenergy Calculator'!$X$22,BJ8,IF($K$2='Bioenergy Calculator'!$X$23,BF8,IF($K$2='Bioenergy Calculator'!$X$19,V8,IF($K$2='Bioenergy Calculator'!$X$20,AD8,IF($K$2='Bioenergy Calculator'!$X$24,'Conversion Tables'!BN8,"NA"))))))</f>
        <v>NA</v>
      </c>
      <c r="N8" s="140" t="str">
        <f>IF($K$2='Bioenergy Calculator'!$X$21,AA8,IF($K$2='Bioenergy Calculator'!$X$22,BK8,IF($K$2='Bioenergy Calculator'!$X$23,BG8,IF($K$2='Bioenergy Calculator'!$X$19,W8,IF($K$2='Bioenergy Calculator'!$X$20,AE8,IF($K$2='Bioenergy Calculator'!$X$24,'Conversion Tables'!BO8,"NA"))))))</f>
        <v>NA</v>
      </c>
      <c r="O8" s="84"/>
      <c r="P8" s="68" t="s">
        <v>431</v>
      </c>
      <c r="Q8" s="51" t="s">
        <v>431</v>
      </c>
      <c r="R8" s="51" t="s">
        <v>431</v>
      </c>
      <c r="S8" s="65" t="s">
        <v>431</v>
      </c>
      <c r="T8" s="74">
        <f>'Technology Assumptions'!B17</f>
        <v>2.5</v>
      </c>
      <c r="U8" s="74">
        <f>'Technology Assumptions'!C17</f>
        <v>2.5</v>
      </c>
      <c r="V8" s="74">
        <f>'Technology Assumptions'!D17</f>
        <v>2.5</v>
      </c>
      <c r="W8" s="75">
        <f>'Technology Assumptions'!E17</f>
        <v>2.5</v>
      </c>
      <c r="X8" s="91" t="s">
        <v>431</v>
      </c>
      <c r="Y8" s="91" t="s">
        <v>431</v>
      </c>
      <c r="Z8" s="91" t="s">
        <v>431</v>
      </c>
      <c r="AA8" s="147" t="s">
        <v>431</v>
      </c>
      <c r="AB8" s="51" t="s">
        <v>431</v>
      </c>
      <c r="AC8" s="51" t="s">
        <v>431</v>
      </c>
      <c r="AD8" s="51" t="s">
        <v>431</v>
      </c>
      <c r="AE8" s="65" t="s">
        <v>431</v>
      </c>
      <c r="AF8" s="68" t="s">
        <v>431</v>
      </c>
      <c r="AG8" s="51" t="s">
        <v>431</v>
      </c>
      <c r="AH8" s="51" t="s">
        <v>431</v>
      </c>
      <c r="AI8" s="65" t="s">
        <v>431</v>
      </c>
      <c r="AJ8" s="51" t="s">
        <v>431</v>
      </c>
      <c r="AK8" s="51" t="s">
        <v>431</v>
      </c>
      <c r="AL8" s="51" t="s">
        <v>431</v>
      </c>
      <c r="AM8" s="65" t="s">
        <v>431</v>
      </c>
      <c r="AN8" s="51" t="s">
        <v>431</v>
      </c>
      <c r="AO8" s="51" t="s">
        <v>431</v>
      </c>
      <c r="AP8" s="51" t="s">
        <v>431</v>
      </c>
      <c r="AQ8" s="65" t="s">
        <v>431</v>
      </c>
      <c r="AR8" s="51" t="s">
        <v>431</v>
      </c>
      <c r="AS8" s="51" t="s">
        <v>431</v>
      </c>
      <c r="AT8" s="51" t="s">
        <v>431</v>
      </c>
      <c r="AU8" s="65" t="s">
        <v>431</v>
      </c>
      <c r="AV8" s="51" t="s">
        <v>431</v>
      </c>
      <c r="AW8" s="51" t="s">
        <v>431</v>
      </c>
      <c r="AX8" s="51" t="s">
        <v>431</v>
      </c>
      <c r="AY8" s="65" t="s">
        <v>431</v>
      </c>
      <c r="AZ8" s="51" t="s">
        <v>431</v>
      </c>
      <c r="BA8" s="51" t="s">
        <v>431</v>
      </c>
      <c r="BB8" s="51" t="s">
        <v>431</v>
      </c>
      <c r="BC8" s="65" t="s">
        <v>431</v>
      </c>
      <c r="BD8" s="51" t="s">
        <v>431</v>
      </c>
      <c r="BE8" s="51" t="s">
        <v>431</v>
      </c>
      <c r="BF8" s="51" t="s">
        <v>431</v>
      </c>
      <c r="BG8" s="65" t="s">
        <v>431</v>
      </c>
      <c r="BH8" s="52" t="s">
        <v>431</v>
      </c>
      <c r="BI8" s="52" t="s">
        <v>431</v>
      </c>
      <c r="BJ8" s="52" t="s">
        <v>431</v>
      </c>
      <c r="BK8" s="62" t="s">
        <v>431</v>
      </c>
      <c r="BL8" s="51" t="s">
        <v>431</v>
      </c>
      <c r="BM8" s="51" t="s">
        <v>431</v>
      </c>
      <c r="BN8" s="51" t="s">
        <v>431</v>
      </c>
      <c r="BO8" s="140" t="s">
        <v>431</v>
      </c>
      <c r="BZ8" s="54"/>
    </row>
    <row r="9" spans="1:82" x14ac:dyDescent="0.25">
      <c r="A9" s="1100"/>
      <c r="B9" s="11" t="s">
        <v>521</v>
      </c>
      <c r="C9" s="31" t="s">
        <v>431</v>
      </c>
      <c r="D9" s="31"/>
      <c r="E9" s="118"/>
      <c r="F9" s="172" t="str">
        <f>IF($F$2='Bioenergy Calculator'!$X$9,AF9,IF($F$2='Bioenergy Calculator'!$X$10,AJ9,IF($F$2='Bioenergy Calculator'!$X$11,AN9,IF($F$2='Bioenergy Calculator'!$X$12,P9,IF($F$2='Bioenergy Calculator'!$X$13,AR9,IF($F$2='Bioenergy Calculator'!$X$14,AV9,IF($F$2='Bioenergy Calculator'!$X$15,AZ9,"NA")))))))</f>
        <v>NA</v>
      </c>
      <c r="G9" s="51" t="str">
        <f>IF($F$2='Bioenergy Calculator'!$X$9,AG9,IF($F$2='Bioenergy Calculator'!$X$10,AK9,IF($F$2='Bioenergy Calculator'!$X$11,AO9,IF($F$2='Bioenergy Calculator'!$X$12,Q9,IF($F$2='Bioenergy Calculator'!$X$13,AS9,IF($F$2='Bioenergy Calculator'!$X$14,AW9,IF($F$2='Bioenergy Calculator'!$X$15,BA9,"NA")))))))</f>
        <v>NA</v>
      </c>
      <c r="H9" s="51" t="str">
        <f>IF($F$2='Bioenergy Calculator'!$X$9,AH9,IF($F$2='Bioenergy Calculator'!$X$10,AL9,IF($F$2='Bioenergy Calculator'!$X$11,AP9,IF($F$2='Bioenergy Calculator'!$X$12,R9,IF($F$2='Bioenergy Calculator'!$X$13,AT9,IF($F$2='Bioenergy Calculator'!$X$14,AX9,IF($F$2='Bioenergy Calculator'!$X$15,BB9,"NA")))))))</f>
        <v>NA</v>
      </c>
      <c r="I9" s="140" t="str">
        <f>IF($F$2='Bioenergy Calculator'!$X$9,AI9,IF($F$2='Bioenergy Calculator'!$X$10,AM9,IF($F$2='Bioenergy Calculator'!$X$11,AQ9,IF($F$2='Bioenergy Calculator'!$X$12,S9,IF($F$2='Bioenergy Calculator'!$X$13,AU9,IF($F$2='Bioenergy Calculator'!$X$14,AY9,IF($F$2='Bioenergy Calculator'!$X$15,BC9,"NA")))))))</f>
        <v>NA</v>
      </c>
      <c r="J9" s="84"/>
      <c r="K9" s="172" t="str">
        <f>IF($K$2='Bioenergy Calculator'!$X$21,X9,IF($K$2='Bioenergy Calculator'!$X$22,BH9,IF($K$2='Bioenergy Calculator'!$X$23,BD9,IF($K$2='Bioenergy Calculator'!$X$19,T9,IF($K$2='Bioenergy Calculator'!$X$20,AB9,IF($K$2='Bioenergy Calculator'!$X$24,'Conversion Tables'!BL9,"NA"))))))</f>
        <v>NA</v>
      </c>
      <c r="L9" s="51" t="str">
        <f>IF($K$2='Bioenergy Calculator'!$X$21,Y9,IF($K$2='Bioenergy Calculator'!$X$22,BI9,IF($K$2='Bioenergy Calculator'!$X$23,BE9,IF($K$2='Bioenergy Calculator'!$X$19,U9,IF($K$2='Bioenergy Calculator'!$X$20,AC9,IF($K$2='Bioenergy Calculator'!$X$24,'Conversion Tables'!BM9,"NA"))))))</f>
        <v>NA</v>
      </c>
      <c r="M9" s="51" t="str">
        <f>IF($K$2='Bioenergy Calculator'!$X$21,Z9,IF($K$2='Bioenergy Calculator'!$X$22,BJ9,IF($K$2='Bioenergy Calculator'!$X$23,BF9,IF($K$2='Bioenergy Calculator'!$X$19,V9,IF($K$2='Bioenergy Calculator'!$X$20,AD9,IF($K$2='Bioenergy Calculator'!$X$24,'Conversion Tables'!BN9,"NA"))))))</f>
        <v>NA</v>
      </c>
      <c r="N9" s="140" t="str">
        <f>IF($K$2='Bioenergy Calculator'!$X$21,AA9,IF($K$2='Bioenergy Calculator'!$X$22,BK9,IF($K$2='Bioenergy Calculator'!$X$23,BG9,IF($K$2='Bioenergy Calculator'!$X$19,W9,IF($K$2='Bioenergy Calculator'!$X$20,AE9,IF($K$2='Bioenergy Calculator'!$X$24,'Conversion Tables'!BO9,"NA"))))))</f>
        <v>NA</v>
      </c>
      <c r="O9" s="84"/>
      <c r="P9" s="68" t="s">
        <v>431</v>
      </c>
      <c r="Q9" s="51" t="s">
        <v>431</v>
      </c>
      <c r="R9" s="51" t="s">
        <v>431</v>
      </c>
      <c r="S9" s="65" t="s">
        <v>431</v>
      </c>
      <c r="T9" s="74">
        <f>'Technology Assumptions'!B18</f>
        <v>2.8</v>
      </c>
      <c r="U9" s="74">
        <f>'Technology Assumptions'!C18</f>
        <v>2.8</v>
      </c>
      <c r="V9" s="74">
        <f>'Technology Assumptions'!D18</f>
        <v>2.9</v>
      </c>
      <c r="W9" s="75">
        <f>'Technology Assumptions'!E18</f>
        <v>3</v>
      </c>
      <c r="X9" s="91" t="s">
        <v>431</v>
      </c>
      <c r="Y9" s="91" t="s">
        <v>431</v>
      </c>
      <c r="Z9" s="91" t="s">
        <v>431</v>
      </c>
      <c r="AA9" s="147" t="s">
        <v>431</v>
      </c>
      <c r="AB9" s="51" t="s">
        <v>431</v>
      </c>
      <c r="AC9" s="51" t="s">
        <v>431</v>
      </c>
      <c r="AD9" s="51" t="s">
        <v>431</v>
      </c>
      <c r="AE9" s="65" t="s">
        <v>431</v>
      </c>
      <c r="AF9" s="68" t="s">
        <v>431</v>
      </c>
      <c r="AG9" s="51" t="s">
        <v>431</v>
      </c>
      <c r="AH9" s="51" t="s">
        <v>431</v>
      </c>
      <c r="AI9" s="65" t="s">
        <v>431</v>
      </c>
      <c r="AJ9" s="51" t="s">
        <v>431</v>
      </c>
      <c r="AK9" s="51" t="s">
        <v>431</v>
      </c>
      <c r="AL9" s="51" t="s">
        <v>431</v>
      </c>
      <c r="AM9" s="65" t="s">
        <v>431</v>
      </c>
      <c r="AN9" s="51" t="s">
        <v>431</v>
      </c>
      <c r="AO9" s="51" t="s">
        <v>431</v>
      </c>
      <c r="AP9" s="51" t="s">
        <v>431</v>
      </c>
      <c r="AQ9" s="65" t="s">
        <v>431</v>
      </c>
      <c r="AR9" s="51" t="s">
        <v>431</v>
      </c>
      <c r="AS9" s="51" t="s">
        <v>431</v>
      </c>
      <c r="AT9" s="51" t="s">
        <v>431</v>
      </c>
      <c r="AU9" s="65" t="s">
        <v>431</v>
      </c>
      <c r="AV9" s="51" t="s">
        <v>431</v>
      </c>
      <c r="AW9" s="51" t="s">
        <v>431</v>
      </c>
      <c r="AX9" s="51" t="s">
        <v>431</v>
      </c>
      <c r="AY9" s="65" t="s">
        <v>431</v>
      </c>
      <c r="AZ9" s="51" t="s">
        <v>431</v>
      </c>
      <c r="BA9" s="51" t="s">
        <v>431</v>
      </c>
      <c r="BB9" s="51" t="s">
        <v>431</v>
      </c>
      <c r="BC9" s="65" t="s">
        <v>431</v>
      </c>
      <c r="BD9" s="51" t="s">
        <v>431</v>
      </c>
      <c r="BE9" s="51" t="s">
        <v>431</v>
      </c>
      <c r="BF9" s="51" t="s">
        <v>431</v>
      </c>
      <c r="BG9" s="65" t="s">
        <v>431</v>
      </c>
      <c r="BH9" s="52" t="s">
        <v>431</v>
      </c>
      <c r="BI9" s="52" t="s">
        <v>431</v>
      </c>
      <c r="BJ9" s="52" t="s">
        <v>431</v>
      </c>
      <c r="BK9" s="62" t="s">
        <v>431</v>
      </c>
      <c r="BL9" s="51" t="s">
        <v>431</v>
      </c>
      <c r="BM9" s="51" t="s">
        <v>431</v>
      </c>
      <c r="BN9" s="51" t="s">
        <v>431</v>
      </c>
      <c r="BO9" s="140" t="s">
        <v>431</v>
      </c>
      <c r="BZ9" s="51"/>
    </row>
    <row r="10" spans="1:82" x14ac:dyDescent="0.25">
      <c r="A10" s="1100"/>
      <c r="B10" s="11" t="s">
        <v>522</v>
      </c>
      <c r="C10" s="31" t="s">
        <v>431</v>
      </c>
      <c r="D10" s="31"/>
      <c r="E10" s="118"/>
      <c r="F10" s="172" t="str">
        <f>IF($F$2='Bioenergy Calculator'!$X$9,AF10,IF($F$2='Bioenergy Calculator'!$X$10,AJ10,IF($F$2='Bioenergy Calculator'!$X$11,AN10,IF($F$2='Bioenergy Calculator'!$X$12,P10,IF($F$2='Bioenergy Calculator'!$X$13,AR10,IF($F$2='Bioenergy Calculator'!$X$14,AV10,IF($F$2='Bioenergy Calculator'!$X$15,AZ10,"NA")))))))</f>
        <v>NA</v>
      </c>
      <c r="G10" s="51" t="str">
        <f>IF($F$2='Bioenergy Calculator'!$X$9,AG10,IF($F$2='Bioenergy Calculator'!$X$10,AK10,IF($F$2='Bioenergy Calculator'!$X$11,AO10,IF($F$2='Bioenergy Calculator'!$X$12,Q10,IF($F$2='Bioenergy Calculator'!$X$13,AS10,IF($F$2='Bioenergy Calculator'!$X$14,AW10,IF($F$2='Bioenergy Calculator'!$X$15,BA10,"NA")))))))</f>
        <v>NA</v>
      </c>
      <c r="H10" s="51" t="str">
        <f>IF($F$2='Bioenergy Calculator'!$X$9,AH10,IF($F$2='Bioenergy Calculator'!$X$10,AL10,IF($F$2='Bioenergy Calculator'!$X$11,AP10,IF($F$2='Bioenergy Calculator'!$X$12,R10,IF($F$2='Bioenergy Calculator'!$X$13,AT10,IF($F$2='Bioenergy Calculator'!$X$14,AX10,IF($F$2='Bioenergy Calculator'!$X$15,BB10,"NA")))))))</f>
        <v>NA</v>
      </c>
      <c r="I10" s="140" t="str">
        <f>IF($F$2='Bioenergy Calculator'!$X$9,AI10,IF($F$2='Bioenergy Calculator'!$X$10,AM10,IF($F$2='Bioenergy Calculator'!$X$11,AQ10,IF($F$2='Bioenergy Calculator'!$X$12,S10,IF($F$2='Bioenergy Calculator'!$X$13,AU10,IF($F$2='Bioenergy Calculator'!$X$14,AY10,IF($F$2='Bioenergy Calculator'!$X$15,BC10,"NA")))))))</f>
        <v>NA</v>
      </c>
      <c r="J10" s="84"/>
      <c r="K10" s="172" t="str">
        <f>IF($K$2='Bioenergy Calculator'!$X$21,X10,IF($K$2='Bioenergy Calculator'!$X$22,BH10,IF($K$2='Bioenergy Calculator'!$X$23,BD10,IF($K$2='Bioenergy Calculator'!$X$19,T10,IF($K$2='Bioenergy Calculator'!$X$20,AB10,IF($K$2='Bioenergy Calculator'!$X$24,'Conversion Tables'!BL10,"NA"))))))</f>
        <v>NA</v>
      </c>
      <c r="L10" s="51" t="str">
        <f>IF($K$2='Bioenergy Calculator'!$X$21,Y10,IF($K$2='Bioenergy Calculator'!$X$22,BI10,IF($K$2='Bioenergy Calculator'!$X$23,BE10,IF($K$2='Bioenergy Calculator'!$X$19,U10,IF($K$2='Bioenergy Calculator'!$X$20,AC10,IF($K$2='Bioenergy Calculator'!$X$24,'Conversion Tables'!BM10,"NA"))))))</f>
        <v>NA</v>
      </c>
      <c r="M10" s="51" t="str">
        <f>IF($K$2='Bioenergy Calculator'!$X$21,Z10,IF($K$2='Bioenergy Calculator'!$X$22,BJ10,IF($K$2='Bioenergy Calculator'!$X$23,BF10,IF($K$2='Bioenergy Calculator'!$X$19,V10,IF($K$2='Bioenergy Calculator'!$X$20,AD10,IF($K$2='Bioenergy Calculator'!$X$24,'Conversion Tables'!BN10,"NA"))))))</f>
        <v>NA</v>
      </c>
      <c r="N10" s="140" t="str">
        <f>IF($K$2='Bioenergy Calculator'!$X$21,AA10,IF($K$2='Bioenergy Calculator'!$X$22,BK10,IF($K$2='Bioenergy Calculator'!$X$23,BG10,IF($K$2='Bioenergy Calculator'!$X$19,W10,IF($K$2='Bioenergy Calculator'!$X$20,AE10,IF($K$2='Bioenergy Calculator'!$X$24,'Conversion Tables'!BO10,"NA"))))))</f>
        <v>NA</v>
      </c>
      <c r="O10" s="84"/>
      <c r="P10" s="68" t="s">
        <v>431</v>
      </c>
      <c r="Q10" s="51" t="s">
        <v>431</v>
      </c>
      <c r="R10" s="51" t="s">
        <v>431</v>
      </c>
      <c r="S10" s="65" t="s">
        <v>431</v>
      </c>
      <c r="T10" s="74">
        <f>'Technology Assumptions'!B19</f>
        <v>2.7</v>
      </c>
      <c r="U10" s="74">
        <f>'Technology Assumptions'!C19</f>
        <v>2.7</v>
      </c>
      <c r="V10" s="74">
        <f>'Technology Assumptions'!D19</f>
        <v>2.7</v>
      </c>
      <c r="W10" s="75">
        <f>'Technology Assumptions'!E19</f>
        <v>2.7</v>
      </c>
      <c r="X10" s="91" t="s">
        <v>431</v>
      </c>
      <c r="Y10" s="91" t="s">
        <v>431</v>
      </c>
      <c r="Z10" s="91" t="s">
        <v>431</v>
      </c>
      <c r="AA10" s="147" t="s">
        <v>431</v>
      </c>
      <c r="AB10" s="51" t="s">
        <v>431</v>
      </c>
      <c r="AC10" s="51" t="s">
        <v>431</v>
      </c>
      <c r="AD10" s="51" t="s">
        <v>431</v>
      </c>
      <c r="AE10" s="65" t="s">
        <v>431</v>
      </c>
      <c r="AF10" s="68" t="s">
        <v>431</v>
      </c>
      <c r="AG10" s="51" t="s">
        <v>431</v>
      </c>
      <c r="AH10" s="51" t="s">
        <v>431</v>
      </c>
      <c r="AI10" s="65" t="s">
        <v>431</v>
      </c>
      <c r="AJ10" s="51" t="s">
        <v>431</v>
      </c>
      <c r="AK10" s="51" t="s">
        <v>431</v>
      </c>
      <c r="AL10" s="51" t="s">
        <v>431</v>
      </c>
      <c r="AM10" s="65" t="s">
        <v>431</v>
      </c>
      <c r="AN10" s="51" t="s">
        <v>431</v>
      </c>
      <c r="AO10" s="51" t="s">
        <v>431</v>
      </c>
      <c r="AP10" s="51" t="s">
        <v>431</v>
      </c>
      <c r="AQ10" s="65" t="s">
        <v>431</v>
      </c>
      <c r="AR10" s="51" t="s">
        <v>431</v>
      </c>
      <c r="AS10" s="51" t="s">
        <v>431</v>
      </c>
      <c r="AT10" s="51" t="s">
        <v>431</v>
      </c>
      <c r="AU10" s="65" t="s">
        <v>431</v>
      </c>
      <c r="AV10" s="51" t="s">
        <v>431</v>
      </c>
      <c r="AW10" s="51" t="s">
        <v>431</v>
      </c>
      <c r="AX10" s="51" t="s">
        <v>431</v>
      </c>
      <c r="AY10" s="65" t="s">
        <v>431</v>
      </c>
      <c r="AZ10" s="51" t="s">
        <v>431</v>
      </c>
      <c r="BA10" s="51" t="s">
        <v>431</v>
      </c>
      <c r="BB10" s="51" t="s">
        <v>431</v>
      </c>
      <c r="BC10" s="65" t="s">
        <v>431</v>
      </c>
      <c r="BD10" s="51" t="s">
        <v>431</v>
      </c>
      <c r="BE10" s="51" t="s">
        <v>431</v>
      </c>
      <c r="BF10" s="51" t="s">
        <v>431</v>
      </c>
      <c r="BG10" s="65" t="s">
        <v>431</v>
      </c>
      <c r="BH10" s="52" t="s">
        <v>431</v>
      </c>
      <c r="BI10" s="52" t="s">
        <v>431</v>
      </c>
      <c r="BJ10" s="52" t="s">
        <v>431</v>
      </c>
      <c r="BK10" s="62" t="s">
        <v>431</v>
      </c>
      <c r="BL10" s="51" t="s">
        <v>431</v>
      </c>
      <c r="BM10" s="51" t="s">
        <v>431</v>
      </c>
      <c r="BN10" s="51" t="s">
        <v>431</v>
      </c>
      <c r="BO10" s="140" t="s">
        <v>431</v>
      </c>
      <c r="BZ10" s="51"/>
    </row>
    <row r="11" spans="1:82" x14ac:dyDescent="0.25">
      <c r="A11" s="1101"/>
      <c r="B11" s="129" t="s">
        <v>301</v>
      </c>
      <c r="C11" s="31" t="s">
        <v>431</v>
      </c>
      <c r="D11" s="31"/>
      <c r="E11" s="118"/>
      <c r="F11" s="172" t="str">
        <f>IF($F$2='Bioenergy Calculator'!$X$9,AF11,IF($F$2='Bioenergy Calculator'!$X$10,AJ11,IF($F$2='Bioenergy Calculator'!$X$11,AN11,IF($F$2='Bioenergy Calculator'!$X$12,P11,IF($F$2='Bioenergy Calculator'!$X$13,AR11,IF($F$2='Bioenergy Calculator'!$X$14,AV11,IF($F$2='Bioenergy Calculator'!$X$15,AZ11,"NA")))))))</f>
        <v>NA</v>
      </c>
      <c r="G11" s="51" t="str">
        <f>IF($F$2='Bioenergy Calculator'!$X$9,AG11,IF($F$2='Bioenergy Calculator'!$X$10,AK11,IF($F$2='Bioenergy Calculator'!$X$11,AO11,IF($F$2='Bioenergy Calculator'!$X$12,Q11,IF($F$2='Bioenergy Calculator'!$X$13,AS11,IF($F$2='Bioenergy Calculator'!$X$14,AW11,IF($F$2='Bioenergy Calculator'!$X$15,BA11,"NA")))))))</f>
        <v>NA</v>
      </c>
      <c r="H11" s="51" t="str">
        <f>IF($F$2='Bioenergy Calculator'!$X$9,AH11,IF($F$2='Bioenergy Calculator'!$X$10,AL11,IF($F$2='Bioenergy Calculator'!$X$11,AP11,IF($F$2='Bioenergy Calculator'!$X$12,R11,IF($F$2='Bioenergy Calculator'!$X$13,AT11,IF($F$2='Bioenergy Calculator'!$X$14,AX11,IF($F$2='Bioenergy Calculator'!$X$15,BB11,"NA")))))))</f>
        <v>NA</v>
      </c>
      <c r="I11" s="140" t="str">
        <f>IF($F$2='Bioenergy Calculator'!$X$9,AI11,IF($F$2='Bioenergy Calculator'!$X$10,AM11,IF($F$2='Bioenergy Calculator'!$X$11,AQ11,IF($F$2='Bioenergy Calculator'!$X$12,S11,IF($F$2='Bioenergy Calculator'!$X$13,AU11,IF($F$2='Bioenergy Calculator'!$X$14,AY11,IF($F$2='Bioenergy Calculator'!$X$15,BC11,"NA")))))))</f>
        <v>NA</v>
      </c>
      <c r="J11" s="84"/>
      <c r="K11" s="172" t="str">
        <f>IF($K$2='Bioenergy Calculator'!$X$21,X11,IF($K$2='Bioenergy Calculator'!$X$22,BH11,IF($K$2='Bioenergy Calculator'!$X$23,BD11,IF($K$2='Bioenergy Calculator'!$X$19,T11,IF($K$2='Bioenergy Calculator'!$X$20,AB11,IF($K$2='Bioenergy Calculator'!$X$24,'Conversion Tables'!BL11,"NA"))))))</f>
        <v>NA</v>
      </c>
      <c r="L11" s="51" t="str">
        <f>IF($K$2='Bioenergy Calculator'!$X$21,Y11,IF($K$2='Bioenergy Calculator'!$X$22,BI11,IF($K$2='Bioenergy Calculator'!$X$23,BE11,IF($K$2='Bioenergy Calculator'!$X$19,U11,IF($K$2='Bioenergy Calculator'!$X$20,AC11,IF($K$2='Bioenergy Calculator'!$X$24,'Conversion Tables'!BM11,"NA"))))))</f>
        <v>NA</v>
      </c>
      <c r="M11" s="51" t="str">
        <f>IF($K$2='Bioenergy Calculator'!$X$21,Z11,IF($K$2='Bioenergy Calculator'!$X$22,BJ11,IF($K$2='Bioenergy Calculator'!$X$23,BF11,IF($K$2='Bioenergy Calculator'!$X$19,V11,IF($K$2='Bioenergy Calculator'!$X$20,AD11,IF($K$2='Bioenergy Calculator'!$X$24,'Conversion Tables'!BN11,"NA"))))))</f>
        <v>NA</v>
      </c>
      <c r="N11" s="140" t="str">
        <f>IF($K$2='Bioenergy Calculator'!$X$21,AA11,IF($K$2='Bioenergy Calculator'!$X$22,BK11,IF($K$2='Bioenergy Calculator'!$X$23,BG11,IF($K$2='Bioenergy Calculator'!$X$19,W11,IF($K$2='Bioenergy Calculator'!$X$20,AE11,IF($K$2='Bioenergy Calculator'!$X$24,'Conversion Tables'!BO11,"NA"))))))</f>
        <v>NA</v>
      </c>
      <c r="O11" s="84"/>
      <c r="P11" s="68" t="s">
        <v>431</v>
      </c>
      <c r="Q11" s="51" t="s">
        <v>431</v>
      </c>
      <c r="R11" s="51" t="s">
        <v>431</v>
      </c>
      <c r="S11" s="65" t="s">
        <v>431</v>
      </c>
      <c r="T11" s="51" t="s">
        <v>431</v>
      </c>
      <c r="U11" s="51" t="s">
        <v>431</v>
      </c>
      <c r="V11" s="51" t="s">
        <v>431</v>
      </c>
      <c r="W11" s="65" t="s">
        <v>431</v>
      </c>
      <c r="X11" s="91" t="s">
        <v>431</v>
      </c>
      <c r="Y11" s="91" t="s">
        <v>431</v>
      </c>
      <c r="Z11" s="91" t="s">
        <v>431</v>
      </c>
      <c r="AA11" s="147" t="s">
        <v>431</v>
      </c>
      <c r="AB11" s="51" t="s">
        <v>431</v>
      </c>
      <c r="AC11" s="51" t="s">
        <v>431</v>
      </c>
      <c r="AD11" s="51" t="s">
        <v>431</v>
      </c>
      <c r="AE11" s="65" t="s">
        <v>431</v>
      </c>
      <c r="AF11" s="68" t="s">
        <v>431</v>
      </c>
      <c r="AG11" s="51" t="s">
        <v>431</v>
      </c>
      <c r="AH11" s="51" t="s">
        <v>431</v>
      </c>
      <c r="AI11" s="65" t="s">
        <v>431</v>
      </c>
      <c r="AJ11" s="51" t="s">
        <v>431</v>
      </c>
      <c r="AK11" s="51" t="s">
        <v>431</v>
      </c>
      <c r="AL11" s="51" t="s">
        <v>431</v>
      </c>
      <c r="AM11" s="65" t="s">
        <v>431</v>
      </c>
      <c r="AN11" s="51" t="s">
        <v>431</v>
      </c>
      <c r="AO11" s="51" t="s">
        <v>431</v>
      </c>
      <c r="AP11" s="51" t="s">
        <v>431</v>
      </c>
      <c r="AQ11" s="65" t="s">
        <v>431</v>
      </c>
      <c r="AR11" s="51" t="s">
        <v>431</v>
      </c>
      <c r="AS11" s="51" t="s">
        <v>431</v>
      </c>
      <c r="AT11" s="51" t="s">
        <v>431</v>
      </c>
      <c r="AU11" s="65" t="s">
        <v>431</v>
      </c>
      <c r="AV11" s="51" t="s">
        <v>431</v>
      </c>
      <c r="AW11" s="51" t="s">
        <v>431</v>
      </c>
      <c r="AX11" s="51" t="s">
        <v>431</v>
      </c>
      <c r="AY11" s="65" t="s">
        <v>431</v>
      </c>
      <c r="AZ11" s="51" t="s">
        <v>431</v>
      </c>
      <c r="BA11" s="51" t="s">
        <v>431</v>
      </c>
      <c r="BB11" s="51" t="s">
        <v>431</v>
      </c>
      <c r="BC11" s="65" t="s">
        <v>431</v>
      </c>
      <c r="BD11" s="51" t="s">
        <v>431</v>
      </c>
      <c r="BE11" s="51" t="s">
        <v>431</v>
      </c>
      <c r="BF11" s="51" t="s">
        <v>431</v>
      </c>
      <c r="BG11" s="65" t="s">
        <v>431</v>
      </c>
      <c r="BH11" s="52" t="s">
        <v>431</v>
      </c>
      <c r="BI11" s="52" t="s">
        <v>431</v>
      </c>
      <c r="BJ11" s="52" t="s">
        <v>431</v>
      </c>
      <c r="BK11" s="62" t="s">
        <v>431</v>
      </c>
      <c r="BL11" s="51" t="s">
        <v>431</v>
      </c>
      <c r="BM11" s="51" t="s">
        <v>431</v>
      </c>
      <c r="BN11" s="51" t="s">
        <v>431</v>
      </c>
      <c r="BO11" s="140" t="s">
        <v>431</v>
      </c>
      <c r="BZ11" s="51"/>
    </row>
    <row r="12" spans="1:82" x14ac:dyDescent="0.25">
      <c r="A12" s="1092" t="s">
        <v>514</v>
      </c>
      <c r="B12" s="1" t="s">
        <v>507</v>
      </c>
      <c r="C12" s="32">
        <f>'Energy Content Assumptions'!B9*2000/1000000</f>
        <v>0</v>
      </c>
      <c r="D12" s="51"/>
      <c r="E12" s="84"/>
      <c r="F12" s="333" t="str">
        <f>IF($F$2='Bioenergy Calculator'!$X$9,AF12,IF($F$2='Bioenergy Calculator'!$X$10,AJ12,IF($F$2='Bioenergy Calculator'!$X$11,AN12,IF($F$2='Bioenergy Calculator'!$X$12,P12,IF($F$2='Bioenergy Calculator'!$X$13,AR12,IF($F$2='Bioenergy Calculator'!$X$14,AV12,IF($F$2='Bioenergy Calculator'!$X$15,AZ12,"NA")))))))</f>
        <v>NA</v>
      </c>
      <c r="G12" s="66" t="str">
        <f>IF($F$2='Bioenergy Calculator'!$X$9,AG12,IF($F$2='Bioenergy Calculator'!$X$10,AK12,IF($F$2='Bioenergy Calculator'!$X$11,AO12,IF($F$2='Bioenergy Calculator'!$X$12,Q12,IF($F$2='Bioenergy Calculator'!$X$13,AS12,IF($F$2='Bioenergy Calculator'!$X$14,AW12,IF($F$2='Bioenergy Calculator'!$X$15,BA12,"NA")))))))</f>
        <v>NA</v>
      </c>
      <c r="H12" s="66" t="str">
        <f>IF($F$2='Bioenergy Calculator'!$X$9,AH12,IF($F$2='Bioenergy Calculator'!$X$10,AL12,IF($F$2='Bioenergy Calculator'!$X$11,AP12,IF($F$2='Bioenergy Calculator'!$X$12,R12,IF($F$2='Bioenergy Calculator'!$X$13,AT12,IF($F$2='Bioenergy Calculator'!$X$14,AX12,IF($F$2='Bioenergy Calculator'!$X$15,BB12,"NA")))))))</f>
        <v>NA</v>
      </c>
      <c r="I12" s="334" t="str">
        <f>IF($F$2='Bioenergy Calculator'!$X$9,AI12,IF($F$2='Bioenergy Calculator'!$X$10,AM12,IF($F$2='Bioenergy Calculator'!$X$11,AQ12,IF($F$2='Bioenergy Calculator'!$X$12,S12,IF($F$2='Bioenergy Calculator'!$X$13,AU12,IF($F$2='Bioenergy Calculator'!$X$14,AY12,IF($F$2='Bioenergy Calculator'!$X$15,BC12,"NA")))))))</f>
        <v>NA</v>
      </c>
      <c r="J12" s="117"/>
      <c r="K12" s="333" t="str">
        <f>IF($K$2='Bioenergy Calculator'!$X$21,X12,IF($K$2='Bioenergy Calculator'!$X$22,BH12,IF($K$2='Bioenergy Calculator'!$X$23,BD12,IF($K$2='Bioenergy Calculator'!$X$19,T12,IF($K$2='Bioenergy Calculator'!$X$20,AB12,IF($K$2='Bioenergy Calculator'!$X$24,'Conversion Tables'!BL12,"NA"))))))</f>
        <v>NA</v>
      </c>
      <c r="L12" s="66" t="str">
        <f>IF($K$2='Bioenergy Calculator'!$X$21,Y12,IF($K$2='Bioenergy Calculator'!$X$22,BI12,IF($K$2='Bioenergy Calculator'!$X$23,BE12,IF($K$2='Bioenergy Calculator'!$X$19,U12,IF($K$2='Bioenergy Calculator'!$X$20,AC12,IF($K$2='Bioenergy Calculator'!$X$24,'Conversion Tables'!BM12,"NA"))))))</f>
        <v>NA</v>
      </c>
      <c r="M12" s="66" t="str">
        <f>IF($K$2='Bioenergy Calculator'!$X$21,Z12,IF($K$2='Bioenergy Calculator'!$X$22,BJ12,IF($K$2='Bioenergy Calculator'!$X$23,BF12,IF($K$2='Bioenergy Calculator'!$X$19,V12,IF($K$2='Bioenergy Calculator'!$X$20,AD12,IF($K$2='Bioenergy Calculator'!$X$24,'Conversion Tables'!BN12,"NA"))))))</f>
        <v>NA</v>
      </c>
      <c r="N12" s="334" t="str">
        <f>IF($K$2='Bioenergy Calculator'!$X$21,AA12,IF($K$2='Bioenergy Calculator'!$X$22,BK12,IF($K$2='Bioenergy Calculator'!$X$23,BG12,IF($K$2='Bioenergy Calculator'!$X$19,W12,IF($K$2='Bioenergy Calculator'!$X$20,AE12,IF($K$2='Bioenergy Calculator'!$X$24,'Conversion Tables'!BO12,"NA"))))))</f>
        <v>NA</v>
      </c>
      <c r="O12" s="84"/>
      <c r="P12" s="68" t="s">
        <v>431</v>
      </c>
      <c r="Q12" s="51" t="s">
        <v>431</v>
      </c>
      <c r="R12" s="51" t="s">
        <v>431</v>
      </c>
      <c r="S12" s="65" t="s">
        <v>431</v>
      </c>
      <c r="T12" s="51" t="s">
        <v>431</v>
      </c>
      <c r="U12" s="51" t="s">
        <v>431</v>
      </c>
      <c r="V12" s="51" t="s">
        <v>431</v>
      </c>
      <c r="W12" s="65" t="s">
        <v>431</v>
      </c>
      <c r="X12" s="252">
        <f>'Fuel Yields Eth. and DA Hydrol.'!I14</f>
        <v>58.347480916030534</v>
      </c>
      <c r="Y12" s="252">
        <f>'Fuel Yields Eth. and DA Hydrol.'!J14</f>
        <v>70</v>
      </c>
      <c r="Z12" s="252">
        <f>'Fuel Yields Eth. and DA Hydrol.'!K14</f>
        <v>80</v>
      </c>
      <c r="AA12" s="255">
        <f>'Fuel Yields Eth. and DA Hydrol.'!L14</f>
        <v>90</v>
      </c>
      <c r="AB12" s="51" t="s">
        <v>431</v>
      </c>
      <c r="AC12" s="51" t="s">
        <v>431</v>
      </c>
      <c r="AD12" s="51" t="s">
        <v>431</v>
      </c>
      <c r="AE12" s="65" t="s">
        <v>431</v>
      </c>
      <c r="AF12" s="668">
        <f>('Energy Content Assumptions'!$B$69/'Technology Assumptions'!B$4)/1000</f>
        <v>13.648</v>
      </c>
      <c r="AG12" s="66">
        <f>('Energy Content Assumptions'!$B$69/'Technology Assumptions'!C$4)/1000</f>
        <v>13.648</v>
      </c>
      <c r="AH12" s="66">
        <f>('Energy Content Assumptions'!$B$69/'Technology Assumptions'!D$4)/1000</f>
        <v>13.648</v>
      </c>
      <c r="AI12" s="69">
        <f>('Energy Content Assumptions'!$B$69/'Technology Assumptions'!E$4)/1000</f>
        <v>13.648</v>
      </c>
      <c r="AJ12" s="66" t="s">
        <v>431</v>
      </c>
      <c r="AK12" s="66" t="s">
        <v>431</v>
      </c>
      <c r="AL12" s="66" t="s">
        <v>431</v>
      </c>
      <c r="AM12" s="69" t="s">
        <v>431</v>
      </c>
      <c r="AN12" s="66">
        <f>('Energy Content Assumptions'!$B$69/'Technology Assumptions'!B$7)/1000</f>
        <v>8.7487179487179496</v>
      </c>
      <c r="AO12" s="66">
        <f>('Energy Content Assumptions'!$B$69/'Technology Assumptions'!C$7)/1000</f>
        <v>8.7487179487179496</v>
      </c>
      <c r="AP12" s="66">
        <f>('Energy Content Assumptions'!$B$69/'Technology Assumptions'!D$7)/1000</f>
        <v>8.7487179487179496</v>
      </c>
      <c r="AQ12" s="69">
        <f>('Energy Content Assumptions'!$B$69/'Technology Assumptions'!E$7)/1000</f>
        <v>8.7487179487179496</v>
      </c>
      <c r="AR12" s="66">
        <f>('Energy Content Assumptions'!$B$69/'Technology Assumptions'!B$6)/1000</f>
        <v>9.7485714285714291</v>
      </c>
      <c r="AS12" s="66">
        <f>(3412/'Technology Assumptions'!C$6)/1000</f>
        <v>9.7485714285714291</v>
      </c>
      <c r="AT12" s="66">
        <f>(3412/'Technology Assumptions'!D$6)/1000</f>
        <v>9.7485714285714291</v>
      </c>
      <c r="AU12" s="69">
        <f>(3412/'Technology Assumptions'!E$6)/1000</f>
        <v>9.7485714285714291</v>
      </c>
      <c r="AV12" s="51" t="s">
        <v>431</v>
      </c>
      <c r="AW12" s="51" t="s">
        <v>431</v>
      </c>
      <c r="AX12" s="51" t="s">
        <v>431</v>
      </c>
      <c r="AY12" s="65" t="s">
        <v>431</v>
      </c>
      <c r="AZ12" s="88">
        <f>('Energy Content Assumptions'!$B$69/'Technology Assumptions'!B$11)/1000</f>
        <v>18.052910052910054</v>
      </c>
      <c r="BA12" s="88">
        <f>('Energy Content Assumptions'!$B$69/'Technology Assumptions'!C$11)/1000</f>
        <v>18.052910052910054</v>
      </c>
      <c r="BB12" s="88">
        <f>('Energy Content Assumptions'!$B$69/'Technology Assumptions'!D$11)/1000</f>
        <v>18.052910052910054</v>
      </c>
      <c r="BC12" s="89">
        <f>('Energy Content Assumptions'!$B$69/'Technology Assumptions'!E$11)/1000</f>
        <v>18.052910052910054</v>
      </c>
      <c r="BD12" s="316">
        <f>'Technology Assumptions'!B$27</f>
        <v>45.6</v>
      </c>
      <c r="BE12" s="316">
        <f>'Technology Assumptions'!C$27</f>
        <v>45.6</v>
      </c>
      <c r="BF12" s="316">
        <f>'Technology Assumptions'!D$27</f>
        <v>45.6</v>
      </c>
      <c r="BG12" s="326">
        <f>'Technology Assumptions'!E$27</f>
        <v>45.6</v>
      </c>
      <c r="BH12" s="252">
        <f>'Fuel Yields Eth. and DA Hydrol.'!$F$14</f>
        <v>69.612776688147932</v>
      </c>
      <c r="BI12" s="252">
        <f>'Fuel Yields Eth. and DA Hydrol.'!$F$14</f>
        <v>69.612776688147932</v>
      </c>
      <c r="BJ12" s="252">
        <f>'Fuel Yields Eth. and DA Hydrol.'!$F$14</f>
        <v>69.612776688147932</v>
      </c>
      <c r="BK12" s="255">
        <f>'Fuel Yields Eth. and DA Hydrol.'!$F$14</f>
        <v>69.612776688147932</v>
      </c>
      <c r="BL12" s="51" t="s">
        <v>431</v>
      </c>
      <c r="BM12" s="51" t="s">
        <v>431</v>
      </c>
      <c r="BN12" s="51" t="s">
        <v>431</v>
      </c>
      <c r="BO12" s="140" t="s">
        <v>431</v>
      </c>
    </row>
    <row r="13" spans="1:82" x14ac:dyDescent="0.25">
      <c r="A13" s="1093"/>
      <c r="B13" s="1" t="s">
        <v>504</v>
      </c>
      <c r="C13" s="51"/>
      <c r="D13" s="51"/>
      <c r="E13" s="84"/>
      <c r="F13" s="333"/>
      <c r="G13" s="66"/>
      <c r="H13" s="66"/>
      <c r="I13" s="334"/>
      <c r="J13" s="117"/>
      <c r="K13" s="333"/>
      <c r="L13" s="66"/>
      <c r="M13" s="66"/>
      <c r="N13" s="334"/>
      <c r="O13" s="84"/>
      <c r="P13" s="68"/>
      <c r="Q13" s="51"/>
      <c r="R13" s="51"/>
      <c r="S13" s="65"/>
      <c r="T13" s="51"/>
      <c r="U13" s="51"/>
      <c r="V13" s="51"/>
      <c r="W13" s="65"/>
      <c r="X13" s="253"/>
      <c r="Y13" s="253"/>
      <c r="Z13" s="253"/>
      <c r="AA13" s="256"/>
      <c r="AB13" s="51"/>
      <c r="AC13" s="51"/>
      <c r="AD13" s="51"/>
      <c r="AE13" s="65"/>
      <c r="AF13" s="68"/>
      <c r="AG13" s="51"/>
      <c r="AH13" s="51"/>
      <c r="AI13" s="65"/>
      <c r="AJ13" s="51"/>
      <c r="AK13" s="51"/>
      <c r="AL13" s="51"/>
      <c r="AM13" s="65"/>
      <c r="AN13" s="66"/>
      <c r="AO13" s="66"/>
      <c r="AP13" s="66"/>
      <c r="AQ13" s="69"/>
      <c r="AR13" s="51"/>
      <c r="AS13" s="51"/>
      <c r="AT13" s="51"/>
      <c r="AU13" s="65"/>
      <c r="AV13" s="74"/>
      <c r="AW13" s="74"/>
      <c r="AX13" s="74"/>
      <c r="AY13" s="75"/>
      <c r="AZ13" s="51"/>
      <c r="BA13" s="51"/>
      <c r="BB13" s="51"/>
      <c r="BC13" s="65"/>
      <c r="BD13" s="474"/>
      <c r="BE13" s="474"/>
      <c r="BF13" s="474"/>
      <c r="BG13" s="679"/>
      <c r="BH13" s="252"/>
      <c r="BI13" s="252"/>
      <c r="BJ13" s="252"/>
      <c r="BK13" s="255"/>
      <c r="BL13" s="51"/>
      <c r="BM13" s="51"/>
      <c r="BN13" s="51"/>
      <c r="BO13" s="140"/>
    </row>
    <row r="14" spans="1:82" ht="12.75" customHeight="1" x14ac:dyDescent="0.25">
      <c r="A14" s="1093"/>
      <c r="B14" s="11" t="s">
        <v>527</v>
      </c>
      <c r="C14" s="32">
        <f>'Energy Content Assumptions'!B11*2000/1000000</f>
        <v>15.731999999999999</v>
      </c>
      <c r="D14" s="32" t="s">
        <v>261</v>
      </c>
      <c r="E14" s="119"/>
      <c r="F14" s="333" t="str">
        <f>IF($F$2='Bioenergy Calculator'!$X$9,AF14,IF($F$2='Bioenergy Calculator'!$X$10,AJ14,IF($F$2='Bioenergy Calculator'!$X$11,AN14,IF($F$2='Bioenergy Calculator'!$X$12,P14,IF($F$2='Bioenergy Calculator'!$X$13,AR14,IF($F$2='Bioenergy Calculator'!$X$14,AV14,IF($F$2='Bioenergy Calculator'!$X$15,AZ14,"NA")))))))</f>
        <v>NA</v>
      </c>
      <c r="G14" s="66" t="str">
        <f>IF($F$2='Bioenergy Calculator'!$X$9,AG14,IF($F$2='Bioenergy Calculator'!$X$10,AK14,IF($F$2='Bioenergy Calculator'!$X$11,AO14,IF($F$2='Bioenergy Calculator'!$X$12,Q14,IF($F$2='Bioenergy Calculator'!$X$13,AS14,IF($F$2='Bioenergy Calculator'!$X$14,AW14,IF($F$2='Bioenergy Calculator'!$X$15,BA14,"NA")))))))</f>
        <v>NA</v>
      </c>
      <c r="H14" s="66" t="str">
        <f>IF($F$2='Bioenergy Calculator'!$X$9,AH14,IF($F$2='Bioenergy Calculator'!$X$10,AL14,IF($F$2='Bioenergy Calculator'!$X$11,AP14,IF($F$2='Bioenergy Calculator'!$X$12,R14,IF($F$2='Bioenergy Calculator'!$X$13,AT14,IF($F$2='Bioenergy Calculator'!$X$14,AX14,IF($F$2='Bioenergy Calculator'!$X$15,BB14,"NA")))))))</f>
        <v>NA</v>
      </c>
      <c r="I14" s="334" t="str">
        <f>IF($F$2='Bioenergy Calculator'!$X$9,AI14,IF($F$2='Bioenergy Calculator'!$X$10,AM14,IF($F$2='Bioenergy Calculator'!$X$11,AQ14,IF($F$2='Bioenergy Calculator'!$X$12,S14,IF($F$2='Bioenergy Calculator'!$X$13,AU14,IF($F$2='Bioenergy Calculator'!$X$14,AY14,IF($F$2='Bioenergy Calculator'!$X$15,BC14,"NA")))))))</f>
        <v>NA</v>
      </c>
      <c r="J14" s="117"/>
      <c r="K14" s="333" t="str">
        <f>IF($K$2='Bioenergy Calculator'!$X$21,X14,IF($K$2='Bioenergy Calculator'!$X$22,BH14,IF($K$2='Bioenergy Calculator'!$X$23,BD14,IF($K$2='Bioenergy Calculator'!$X$19,T14,IF($K$2='Bioenergy Calculator'!$X$20,AB14,IF($K$2='Bioenergy Calculator'!$X$24,'Conversion Tables'!BL14,"NA"))))))</f>
        <v>NA</v>
      </c>
      <c r="L14" s="66" t="str">
        <f>IF($K$2='Bioenergy Calculator'!$X$21,Y14,IF($K$2='Bioenergy Calculator'!$X$22,BI14,IF($K$2='Bioenergy Calculator'!$X$23,BE14,IF($K$2='Bioenergy Calculator'!$X$19,U14,IF($K$2='Bioenergy Calculator'!$X$20,AC14,IF($K$2='Bioenergy Calculator'!$X$24,'Conversion Tables'!BM14,"NA"))))))</f>
        <v>NA</v>
      </c>
      <c r="M14" s="66" t="str">
        <f>IF($K$2='Bioenergy Calculator'!$X$21,Z14,IF($K$2='Bioenergy Calculator'!$X$22,BJ14,IF($K$2='Bioenergy Calculator'!$X$23,BF14,IF($K$2='Bioenergy Calculator'!$X$19,V14,IF($K$2='Bioenergy Calculator'!$X$20,AD14,IF($K$2='Bioenergy Calculator'!$X$24,'Conversion Tables'!BN14,"NA"))))))</f>
        <v>NA</v>
      </c>
      <c r="N14" s="334" t="str">
        <f>IF($K$2='Bioenergy Calculator'!$X$21,AA14,IF($K$2='Bioenergy Calculator'!$X$22,BK14,IF($K$2='Bioenergy Calculator'!$X$23,BG14,IF($K$2='Bioenergy Calculator'!$X$19,W14,IF($K$2='Bioenergy Calculator'!$X$20,AE14,IF($K$2='Bioenergy Calculator'!$X$24,'Conversion Tables'!BO14,"NA"))))))</f>
        <v>NA</v>
      </c>
      <c r="O14" s="84"/>
      <c r="P14" s="68" t="s">
        <v>431</v>
      </c>
      <c r="Q14" s="51" t="s">
        <v>431</v>
      </c>
      <c r="R14" s="51" t="s">
        <v>431</v>
      </c>
      <c r="S14" s="65" t="s">
        <v>431</v>
      </c>
      <c r="T14" s="51" t="s">
        <v>431</v>
      </c>
      <c r="U14" s="51" t="s">
        <v>431</v>
      </c>
      <c r="V14" s="51" t="s">
        <v>431</v>
      </c>
      <c r="W14" s="65" t="s">
        <v>431</v>
      </c>
      <c r="X14" s="252">
        <f>'Fuel Yields Eth. and DA Hydrol.'!I15</f>
        <v>69.44274809160305</v>
      </c>
      <c r="Y14" s="252">
        <f>'Fuel Yields Eth. and DA Hydrol.'!J15</f>
        <v>83.311092271623536</v>
      </c>
      <c r="Z14" s="252">
        <f>'Fuel Yields Eth. and DA Hydrol.'!K15</f>
        <v>95.212676881855472</v>
      </c>
      <c r="AA14" s="255">
        <f>'Fuel Yields Eth. and DA Hydrol.'!L15</f>
        <v>107.11426149208741</v>
      </c>
      <c r="AB14" s="51" t="s">
        <v>431</v>
      </c>
      <c r="AC14" s="51" t="s">
        <v>431</v>
      </c>
      <c r="AD14" s="51" t="s">
        <v>431</v>
      </c>
      <c r="AE14" s="65" t="s">
        <v>431</v>
      </c>
      <c r="AF14" s="668">
        <f>('Energy Content Assumptions'!$B$69/'Technology Assumptions'!B$4)/1000</f>
        <v>13.648</v>
      </c>
      <c r="AG14" s="66">
        <f>('Energy Content Assumptions'!$B$69/'Technology Assumptions'!C$4)/1000</f>
        <v>13.648</v>
      </c>
      <c r="AH14" s="66">
        <f>('Energy Content Assumptions'!$B$69/'Technology Assumptions'!D$4)/1000</f>
        <v>13.648</v>
      </c>
      <c r="AI14" s="69">
        <f>('Energy Content Assumptions'!$B$69/'Technology Assumptions'!E$4)/1000</f>
        <v>13.648</v>
      </c>
      <c r="AJ14" s="66" t="s">
        <v>431</v>
      </c>
      <c r="AK14" s="66" t="s">
        <v>431</v>
      </c>
      <c r="AL14" s="66" t="s">
        <v>431</v>
      </c>
      <c r="AM14" s="69" t="s">
        <v>431</v>
      </c>
      <c r="AN14" s="66">
        <f>('Energy Content Assumptions'!$B$69/'Technology Assumptions'!B$7)/1000</f>
        <v>8.7487179487179496</v>
      </c>
      <c r="AO14" s="66">
        <f>('Energy Content Assumptions'!$B$69/'Technology Assumptions'!C$7)/1000</f>
        <v>8.7487179487179496</v>
      </c>
      <c r="AP14" s="66">
        <f>('Energy Content Assumptions'!$B$69/'Technology Assumptions'!D$7)/1000</f>
        <v>8.7487179487179496</v>
      </c>
      <c r="AQ14" s="69">
        <f>('Energy Content Assumptions'!$B$69/'Technology Assumptions'!E$7)/1000</f>
        <v>8.7487179487179496</v>
      </c>
      <c r="AR14" s="66">
        <f>('Energy Content Assumptions'!$B$69/'Technology Assumptions'!B$6)/1000</f>
        <v>9.7485714285714291</v>
      </c>
      <c r="AS14" s="66">
        <f>('Energy Content Assumptions'!$B$69/'Technology Assumptions'!C$6)/1000</f>
        <v>9.7485714285714291</v>
      </c>
      <c r="AT14" s="66">
        <f>('Energy Content Assumptions'!$B$69/'Technology Assumptions'!D$6)/1000</f>
        <v>9.7485714285714291</v>
      </c>
      <c r="AU14" s="69">
        <f>('Energy Content Assumptions'!$B$69/'Technology Assumptions'!E$6)/1000</f>
        <v>9.7485714285714291</v>
      </c>
      <c r="AV14" s="51" t="s">
        <v>431</v>
      </c>
      <c r="AW14" s="51" t="s">
        <v>431</v>
      </c>
      <c r="AX14" s="51" t="s">
        <v>431</v>
      </c>
      <c r="AY14" s="65" t="s">
        <v>431</v>
      </c>
      <c r="AZ14" s="88">
        <f>('Energy Content Assumptions'!$B$69/'Technology Assumptions'!B$11)/1000</f>
        <v>18.052910052910054</v>
      </c>
      <c r="BA14" s="88">
        <f>('Energy Content Assumptions'!$B$69/'Technology Assumptions'!C$11)/1000</f>
        <v>18.052910052910054</v>
      </c>
      <c r="BB14" s="88">
        <f>('Energy Content Assumptions'!$B$69/'Technology Assumptions'!D$11)/1000</f>
        <v>18.052910052910054</v>
      </c>
      <c r="BC14" s="89">
        <f>('Energy Content Assumptions'!$B$69/'Technology Assumptions'!E$11)/1000</f>
        <v>18.052910052910054</v>
      </c>
      <c r="BD14" s="316">
        <f>'Technology Assumptions'!B$28</f>
        <v>41.4</v>
      </c>
      <c r="BE14" s="316">
        <f>'Technology Assumptions'!C$28</f>
        <v>41.4</v>
      </c>
      <c r="BF14" s="316">
        <f>'Technology Assumptions'!D$28</f>
        <v>41.4</v>
      </c>
      <c r="BG14" s="326">
        <f>'Technology Assumptions'!E$28</f>
        <v>41.4</v>
      </c>
      <c r="BH14" s="252">
        <f>'Fuel Yields Eth. and DA Hydrol.'!$F$15</f>
        <v>71.417203698514982</v>
      </c>
      <c r="BI14" s="252">
        <f>'Fuel Yields Eth. and DA Hydrol.'!$F$15</f>
        <v>71.417203698514982</v>
      </c>
      <c r="BJ14" s="252">
        <f>'Fuel Yields Eth. and DA Hydrol.'!$F$15</f>
        <v>71.417203698514982</v>
      </c>
      <c r="BK14" s="255">
        <f>'Fuel Yields Eth. and DA Hydrol.'!$F$15</f>
        <v>71.417203698514982</v>
      </c>
      <c r="BL14" s="51" t="s">
        <v>431</v>
      </c>
      <c r="BM14" s="51" t="s">
        <v>431</v>
      </c>
      <c r="BN14" s="51" t="s">
        <v>431</v>
      </c>
      <c r="BO14" s="140" t="s">
        <v>431</v>
      </c>
    </row>
    <row r="15" spans="1:82" x14ac:dyDescent="0.25">
      <c r="A15" s="1093"/>
      <c r="B15" s="11" t="s">
        <v>520</v>
      </c>
      <c r="C15" s="32">
        <f>'Energy Content Assumptions'!B12*2000/1000000</f>
        <v>15.6</v>
      </c>
      <c r="D15" s="32" t="s">
        <v>261</v>
      </c>
      <c r="E15" s="119"/>
      <c r="F15" s="333" t="str">
        <f>IF($F$2='Bioenergy Calculator'!$X$9,AF15,IF($F$2='Bioenergy Calculator'!$X$10,AJ15,IF($F$2='Bioenergy Calculator'!$X$11,AN15,IF($F$2='Bioenergy Calculator'!$X$12,P15,IF($F$2='Bioenergy Calculator'!$X$13,AR15,IF($F$2='Bioenergy Calculator'!$X$14,AV15,IF($F$2='Bioenergy Calculator'!$X$15,AZ15,"NA")))))))</f>
        <v>NA</v>
      </c>
      <c r="G15" s="66" t="str">
        <f>IF($F$2='Bioenergy Calculator'!$X$9,AG15,IF($F$2='Bioenergy Calculator'!$X$10,AK15,IF($F$2='Bioenergy Calculator'!$X$11,AO15,IF($F$2='Bioenergy Calculator'!$X$12,Q15,IF($F$2='Bioenergy Calculator'!$X$13,AS15,IF($F$2='Bioenergy Calculator'!$X$14,AW15,IF($F$2='Bioenergy Calculator'!$X$15,BA15,"NA")))))))</f>
        <v>NA</v>
      </c>
      <c r="H15" s="66" t="str">
        <f>IF($F$2='Bioenergy Calculator'!$X$9,AH15,IF($F$2='Bioenergy Calculator'!$X$10,AL15,IF($F$2='Bioenergy Calculator'!$X$11,AP15,IF($F$2='Bioenergy Calculator'!$X$12,R15,IF($F$2='Bioenergy Calculator'!$X$13,AT15,IF($F$2='Bioenergy Calculator'!$X$14,AX15,IF($F$2='Bioenergy Calculator'!$X$15,BB15,"NA")))))))</f>
        <v>NA</v>
      </c>
      <c r="I15" s="334" t="str">
        <f>IF($F$2='Bioenergy Calculator'!$X$9,AI15,IF($F$2='Bioenergy Calculator'!$X$10,AM15,IF($F$2='Bioenergy Calculator'!$X$11,AQ15,IF($F$2='Bioenergy Calculator'!$X$12,S15,IF($F$2='Bioenergy Calculator'!$X$13,AU15,IF($F$2='Bioenergy Calculator'!$X$14,AY15,IF($F$2='Bioenergy Calculator'!$X$15,BC15,"NA")))))))</f>
        <v>NA</v>
      </c>
      <c r="J15" s="117"/>
      <c r="K15" s="333" t="str">
        <f>IF($K$2='Bioenergy Calculator'!$X$21,X15,IF($K$2='Bioenergy Calculator'!$X$22,BH15,IF($K$2='Bioenergy Calculator'!$X$23,BD15,IF($K$2='Bioenergy Calculator'!$X$19,T15,IF($K$2='Bioenergy Calculator'!$X$20,AB15,IF($K$2='Bioenergy Calculator'!$X$24,'Conversion Tables'!BL15,"NA"))))))</f>
        <v>NA</v>
      </c>
      <c r="L15" s="66" t="str">
        <f>IF($K$2='Bioenergy Calculator'!$X$21,Y15,IF($K$2='Bioenergy Calculator'!$X$22,BI15,IF($K$2='Bioenergy Calculator'!$X$23,BE15,IF($K$2='Bioenergy Calculator'!$X$19,U15,IF($K$2='Bioenergy Calculator'!$X$20,AC15,IF($K$2='Bioenergy Calculator'!$X$24,'Conversion Tables'!BM15,"NA"))))))</f>
        <v>NA</v>
      </c>
      <c r="M15" s="66" t="str">
        <f>IF($K$2='Bioenergy Calculator'!$X$21,Z15,IF($K$2='Bioenergy Calculator'!$X$22,BJ15,IF($K$2='Bioenergy Calculator'!$X$23,BF15,IF($K$2='Bioenergy Calculator'!$X$19,V15,IF($K$2='Bioenergy Calculator'!$X$20,AD15,IF($K$2='Bioenergy Calculator'!$X$24,'Conversion Tables'!BN15,"NA"))))))</f>
        <v>NA</v>
      </c>
      <c r="N15" s="334" t="str">
        <f>IF($K$2='Bioenergy Calculator'!$X$21,AA15,IF($K$2='Bioenergy Calculator'!$X$22,BK15,IF($K$2='Bioenergy Calculator'!$X$23,BG15,IF($K$2='Bioenergy Calculator'!$X$19,W15,IF($K$2='Bioenergy Calculator'!$X$20,AE15,IF($K$2='Bioenergy Calculator'!$X$24,'Conversion Tables'!BO15,"NA"))))))</f>
        <v>NA</v>
      </c>
      <c r="O15" s="84"/>
      <c r="P15" s="68" t="s">
        <v>431</v>
      </c>
      <c r="Q15" s="51" t="s">
        <v>431</v>
      </c>
      <c r="R15" s="51" t="s">
        <v>431</v>
      </c>
      <c r="S15" s="65" t="s">
        <v>431</v>
      </c>
      <c r="T15" s="51" t="s">
        <v>431</v>
      </c>
      <c r="U15" s="51" t="s">
        <v>431</v>
      </c>
      <c r="V15" s="51" t="s">
        <v>431</v>
      </c>
      <c r="W15" s="65" t="s">
        <v>431</v>
      </c>
      <c r="X15" s="252">
        <f>'Fuel Yields Eth. and DA Hydrol.'!I15</f>
        <v>69.44274809160305</v>
      </c>
      <c r="Y15" s="252">
        <f>'Fuel Yields Eth. and DA Hydrol.'!J15</f>
        <v>83.311092271623536</v>
      </c>
      <c r="Z15" s="252">
        <f>'Fuel Yields Eth. and DA Hydrol.'!K15</f>
        <v>95.212676881855472</v>
      </c>
      <c r="AA15" s="255">
        <f>'Fuel Yields Eth. and DA Hydrol.'!L15</f>
        <v>107.11426149208741</v>
      </c>
      <c r="AB15" s="51" t="s">
        <v>431</v>
      </c>
      <c r="AC15" s="51" t="s">
        <v>431</v>
      </c>
      <c r="AD15" s="51" t="s">
        <v>431</v>
      </c>
      <c r="AE15" s="65" t="s">
        <v>431</v>
      </c>
      <c r="AF15" s="668">
        <f>('Energy Content Assumptions'!$B$69/'Technology Assumptions'!B$4)/1000</f>
        <v>13.648</v>
      </c>
      <c r="AG15" s="66">
        <f>('Energy Content Assumptions'!$B$69/'Technology Assumptions'!C$4)/1000</f>
        <v>13.648</v>
      </c>
      <c r="AH15" s="66">
        <f>('Energy Content Assumptions'!$B$69/'Technology Assumptions'!D$4)/1000</f>
        <v>13.648</v>
      </c>
      <c r="AI15" s="69">
        <f>('Energy Content Assumptions'!$B$69/'Technology Assumptions'!E$4)/1000</f>
        <v>13.648</v>
      </c>
      <c r="AJ15" s="66" t="s">
        <v>431</v>
      </c>
      <c r="AK15" s="66" t="s">
        <v>431</v>
      </c>
      <c r="AL15" s="66" t="s">
        <v>431</v>
      </c>
      <c r="AM15" s="69" t="s">
        <v>431</v>
      </c>
      <c r="AN15" s="66">
        <f>('Energy Content Assumptions'!$B$69/'Technology Assumptions'!B$7)/1000</f>
        <v>8.7487179487179496</v>
      </c>
      <c r="AO15" s="66">
        <f>('Energy Content Assumptions'!$B$69/'Technology Assumptions'!C$7)/1000</f>
        <v>8.7487179487179496</v>
      </c>
      <c r="AP15" s="66">
        <f>('Energy Content Assumptions'!$B$69/'Technology Assumptions'!D$7)/1000</f>
        <v>8.7487179487179496</v>
      </c>
      <c r="AQ15" s="69">
        <f>('Energy Content Assumptions'!$B$69/'Technology Assumptions'!E$7)/1000</f>
        <v>8.7487179487179496</v>
      </c>
      <c r="AR15" s="66">
        <f>('Energy Content Assumptions'!$B$69/'Technology Assumptions'!B$6)/1000</f>
        <v>9.7485714285714291</v>
      </c>
      <c r="AS15" s="66">
        <f>('Energy Content Assumptions'!$B$69/'Technology Assumptions'!C$6)/1000</f>
        <v>9.7485714285714291</v>
      </c>
      <c r="AT15" s="66">
        <f>('Energy Content Assumptions'!$B$69/'Technology Assumptions'!D$6)/1000</f>
        <v>9.7485714285714291</v>
      </c>
      <c r="AU15" s="69">
        <f>('Energy Content Assumptions'!$B$69/'Technology Assumptions'!E$6)/1000</f>
        <v>9.7485714285714291</v>
      </c>
      <c r="AV15" s="51" t="s">
        <v>431</v>
      </c>
      <c r="AW15" s="51" t="s">
        <v>431</v>
      </c>
      <c r="AX15" s="51" t="s">
        <v>431</v>
      </c>
      <c r="AY15" s="65" t="s">
        <v>431</v>
      </c>
      <c r="AZ15" s="88">
        <f>('Energy Content Assumptions'!$B$69/'Technology Assumptions'!B$11)/1000</f>
        <v>18.052910052910054</v>
      </c>
      <c r="BA15" s="88">
        <f>('Energy Content Assumptions'!$B$69/'Technology Assumptions'!C$11)/1000</f>
        <v>18.052910052910054</v>
      </c>
      <c r="BB15" s="88">
        <f>('Energy Content Assumptions'!$B$69/'Technology Assumptions'!D$11)/1000</f>
        <v>18.052910052910054</v>
      </c>
      <c r="BC15" s="89">
        <f>('Energy Content Assumptions'!$B$69/'Technology Assumptions'!E$11)/1000</f>
        <v>18.052910052910054</v>
      </c>
      <c r="BD15" s="316">
        <f>'Technology Assumptions'!B$28</f>
        <v>41.4</v>
      </c>
      <c r="BE15" s="316">
        <f>'Technology Assumptions'!C$28</f>
        <v>41.4</v>
      </c>
      <c r="BF15" s="316">
        <f>'Technology Assumptions'!D$28</f>
        <v>41.4</v>
      </c>
      <c r="BG15" s="326">
        <f>'Technology Assumptions'!E$28</f>
        <v>41.4</v>
      </c>
      <c r="BH15" s="252">
        <f>'Fuel Yields Eth. and DA Hydrol.'!$F$15</f>
        <v>71.417203698514982</v>
      </c>
      <c r="BI15" s="252">
        <f>'Fuel Yields Eth. and DA Hydrol.'!$F$15</f>
        <v>71.417203698514982</v>
      </c>
      <c r="BJ15" s="252">
        <f>'Fuel Yields Eth. and DA Hydrol.'!$F$15</f>
        <v>71.417203698514982</v>
      </c>
      <c r="BK15" s="255">
        <f>'Fuel Yields Eth. and DA Hydrol.'!$F$15</f>
        <v>71.417203698514982</v>
      </c>
      <c r="BL15" s="51" t="s">
        <v>431</v>
      </c>
      <c r="BM15" s="51" t="s">
        <v>431</v>
      </c>
      <c r="BN15" s="51" t="s">
        <v>431</v>
      </c>
      <c r="BO15" s="140" t="s">
        <v>431</v>
      </c>
    </row>
    <row r="16" spans="1:82" x14ac:dyDescent="0.25">
      <c r="A16" s="1093"/>
      <c r="B16" s="11" t="s">
        <v>521</v>
      </c>
      <c r="C16" s="32">
        <f>'Energy Content Assumptions'!B13*2000/1000000</f>
        <v>15.731999999999999</v>
      </c>
      <c r="D16" s="32" t="s">
        <v>261</v>
      </c>
      <c r="E16" s="119"/>
      <c r="F16" s="333" t="str">
        <f>IF($F$2='Bioenergy Calculator'!$X$9,AF16,IF($F$2='Bioenergy Calculator'!$X$10,AJ16,IF($F$2='Bioenergy Calculator'!$X$11,AN16,IF($F$2='Bioenergy Calculator'!$X$12,P16,IF($F$2='Bioenergy Calculator'!$X$13,AR16,IF($F$2='Bioenergy Calculator'!$X$14,AV16,IF($F$2='Bioenergy Calculator'!$X$15,AZ16,"NA")))))))</f>
        <v>NA</v>
      </c>
      <c r="G16" s="66" t="str">
        <f>IF($F$2='Bioenergy Calculator'!$X$9,AG16,IF($F$2='Bioenergy Calculator'!$X$10,AK16,IF($F$2='Bioenergy Calculator'!$X$11,AO16,IF($F$2='Bioenergy Calculator'!$X$12,Q16,IF($F$2='Bioenergy Calculator'!$X$13,AS16,IF($F$2='Bioenergy Calculator'!$X$14,AW16,IF($F$2='Bioenergy Calculator'!$X$15,BA16,"NA")))))))</f>
        <v>NA</v>
      </c>
      <c r="H16" s="66" t="str">
        <f>IF($F$2='Bioenergy Calculator'!$X$9,AH16,IF($F$2='Bioenergy Calculator'!$X$10,AL16,IF($F$2='Bioenergy Calculator'!$X$11,AP16,IF($F$2='Bioenergy Calculator'!$X$12,R16,IF($F$2='Bioenergy Calculator'!$X$13,AT16,IF($F$2='Bioenergy Calculator'!$X$14,AX16,IF($F$2='Bioenergy Calculator'!$X$15,BB16,"NA")))))))</f>
        <v>NA</v>
      </c>
      <c r="I16" s="334" t="str">
        <f>IF($F$2='Bioenergy Calculator'!$X$9,AI16,IF($F$2='Bioenergy Calculator'!$X$10,AM16,IF($F$2='Bioenergy Calculator'!$X$11,AQ16,IF($F$2='Bioenergy Calculator'!$X$12,S16,IF($F$2='Bioenergy Calculator'!$X$13,AU16,IF($F$2='Bioenergy Calculator'!$X$14,AY16,IF($F$2='Bioenergy Calculator'!$X$15,BC16,"NA")))))))</f>
        <v>NA</v>
      </c>
      <c r="J16" s="117"/>
      <c r="K16" s="333" t="str">
        <f>IF($K$2='Bioenergy Calculator'!$X$21,X16,IF($K$2='Bioenergy Calculator'!$X$22,BH16,IF($K$2='Bioenergy Calculator'!$X$23,BD16,IF($K$2='Bioenergy Calculator'!$X$19,T16,IF($K$2='Bioenergy Calculator'!$X$20,AB16,IF($K$2='Bioenergy Calculator'!$X$24,'Conversion Tables'!BL16,"NA"))))))</f>
        <v>NA</v>
      </c>
      <c r="L16" s="66" t="str">
        <f>IF($K$2='Bioenergy Calculator'!$X$21,Y16,IF($K$2='Bioenergy Calculator'!$X$22,BI16,IF($K$2='Bioenergy Calculator'!$X$23,BE16,IF($K$2='Bioenergy Calculator'!$X$19,U16,IF($K$2='Bioenergy Calculator'!$X$20,AC16,IF($K$2='Bioenergy Calculator'!$X$24,'Conversion Tables'!BM16,"NA"))))))</f>
        <v>NA</v>
      </c>
      <c r="M16" s="66" t="str">
        <f>IF($K$2='Bioenergy Calculator'!$X$21,Z16,IF($K$2='Bioenergy Calculator'!$X$22,BJ16,IF($K$2='Bioenergy Calculator'!$X$23,BF16,IF($K$2='Bioenergy Calculator'!$X$19,V16,IF($K$2='Bioenergy Calculator'!$X$20,AD16,IF($K$2='Bioenergy Calculator'!$X$24,'Conversion Tables'!BN16,"NA"))))))</f>
        <v>NA</v>
      </c>
      <c r="N16" s="334" t="str">
        <f>IF($K$2='Bioenergy Calculator'!$X$21,AA16,IF($K$2='Bioenergy Calculator'!$X$22,BK16,IF($K$2='Bioenergy Calculator'!$X$23,BG16,IF($K$2='Bioenergy Calculator'!$X$19,W16,IF($K$2='Bioenergy Calculator'!$X$20,AE16,IF($K$2='Bioenergy Calculator'!$X$24,'Conversion Tables'!BO16,"NA"))))))</f>
        <v>NA</v>
      </c>
      <c r="O16" s="84"/>
      <c r="P16" s="68" t="s">
        <v>431</v>
      </c>
      <c r="Q16" s="51" t="s">
        <v>431</v>
      </c>
      <c r="R16" s="51" t="s">
        <v>431</v>
      </c>
      <c r="S16" s="65" t="s">
        <v>431</v>
      </c>
      <c r="T16" s="51" t="s">
        <v>431</v>
      </c>
      <c r="U16" s="51" t="s">
        <v>431</v>
      </c>
      <c r="V16" s="51" t="s">
        <v>431</v>
      </c>
      <c r="W16" s="65" t="s">
        <v>431</v>
      </c>
      <c r="X16" s="252">
        <f>'Fuel Yields Eth. and DA Hydrol.'!I14</f>
        <v>58.347480916030534</v>
      </c>
      <c r="Y16" s="252">
        <f>'Fuel Yields Eth. and DA Hydrol.'!J14</f>
        <v>70</v>
      </c>
      <c r="Z16" s="252">
        <f>'Fuel Yields Eth. and DA Hydrol.'!K14</f>
        <v>80</v>
      </c>
      <c r="AA16" s="255">
        <f>'Fuel Yields Eth. and DA Hydrol.'!L14</f>
        <v>90</v>
      </c>
      <c r="AB16" s="51" t="s">
        <v>431</v>
      </c>
      <c r="AC16" s="51" t="s">
        <v>431</v>
      </c>
      <c r="AD16" s="51" t="s">
        <v>431</v>
      </c>
      <c r="AE16" s="65" t="s">
        <v>431</v>
      </c>
      <c r="AF16" s="668">
        <f>('Energy Content Assumptions'!$B$69/'Technology Assumptions'!B$4)/1000</f>
        <v>13.648</v>
      </c>
      <c r="AG16" s="66">
        <f>('Energy Content Assumptions'!$B$69/'Technology Assumptions'!C$4)/1000</f>
        <v>13.648</v>
      </c>
      <c r="AH16" s="66">
        <f>('Energy Content Assumptions'!$B$69/'Technology Assumptions'!D$4)/1000</f>
        <v>13.648</v>
      </c>
      <c r="AI16" s="69">
        <f>('Energy Content Assumptions'!$B$69/'Technology Assumptions'!E$4)/1000</f>
        <v>13.648</v>
      </c>
      <c r="AJ16" s="66" t="s">
        <v>431</v>
      </c>
      <c r="AK16" s="66" t="s">
        <v>431</v>
      </c>
      <c r="AL16" s="66" t="s">
        <v>431</v>
      </c>
      <c r="AM16" s="69" t="s">
        <v>431</v>
      </c>
      <c r="AN16" s="66">
        <f>('Energy Content Assumptions'!$B$69/'Technology Assumptions'!B$7)/1000</f>
        <v>8.7487179487179496</v>
      </c>
      <c r="AO16" s="66">
        <f>('Energy Content Assumptions'!$B$69/'Technology Assumptions'!C$7)/1000</f>
        <v>8.7487179487179496</v>
      </c>
      <c r="AP16" s="66">
        <f>('Energy Content Assumptions'!$B$69/'Technology Assumptions'!D$7)/1000</f>
        <v>8.7487179487179496</v>
      </c>
      <c r="AQ16" s="69">
        <f>('Energy Content Assumptions'!$B$69/'Technology Assumptions'!E$7)/1000</f>
        <v>8.7487179487179496</v>
      </c>
      <c r="AR16" s="66">
        <f>('Energy Content Assumptions'!$B$69/'Technology Assumptions'!B$6)/1000</f>
        <v>9.7485714285714291</v>
      </c>
      <c r="AS16" s="66">
        <f>('Energy Content Assumptions'!$B$69/'Technology Assumptions'!C$6)/1000</f>
        <v>9.7485714285714291</v>
      </c>
      <c r="AT16" s="66">
        <f>('Energy Content Assumptions'!$B$69/'Technology Assumptions'!D$6)/1000</f>
        <v>9.7485714285714291</v>
      </c>
      <c r="AU16" s="69">
        <f>('Energy Content Assumptions'!$B$69/'Technology Assumptions'!E$6)/1000</f>
        <v>9.7485714285714291</v>
      </c>
      <c r="AV16" s="51" t="s">
        <v>431</v>
      </c>
      <c r="AW16" s="51" t="s">
        <v>431</v>
      </c>
      <c r="AX16" s="51" t="s">
        <v>431</v>
      </c>
      <c r="AY16" s="65" t="s">
        <v>431</v>
      </c>
      <c r="AZ16" s="88">
        <f>('Energy Content Assumptions'!$B$69/'Technology Assumptions'!B$11)/1000</f>
        <v>18.052910052910054</v>
      </c>
      <c r="BA16" s="88">
        <f>('Energy Content Assumptions'!$B$69/'Technology Assumptions'!C$11)/1000</f>
        <v>18.052910052910054</v>
      </c>
      <c r="BB16" s="88">
        <f>('Energy Content Assumptions'!$B$69/'Technology Assumptions'!D$11)/1000</f>
        <v>18.052910052910054</v>
      </c>
      <c r="BC16" s="89">
        <f>('Energy Content Assumptions'!$B$69/'Technology Assumptions'!E$11)/1000</f>
        <v>18.052910052910054</v>
      </c>
      <c r="BD16" s="316">
        <f>'Technology Assumptions'!B$28</f>
        <v>41.4</v>
      </c>
      <c r="BE16" s="316">
        <f>'Technology Assumptions'!C$28</f>
        <v>41.4</v>
      </c>
      <c r="BF16" s="316">
        <f>'Technology Assumptions'!D$28</f>
        <v>41.4</v>
      </c>
      <c r="BG16" s="326">
        <f>'Technology Assumptions'!E$28</f>
        <v>41.4</v>
      </c>
      <c r="BH16" s="252">
        <f>'Fuel Yields Eth. and DA Hydrol.'!$F$14</f>
        <v>69.612776688147932</v>
      </c>
      <c r="BI16" s="252">
        <f>'Fuel Yields Eth. and DA Hydrol.'!$F$14</f>
        <v>69.612776688147932</v>
      </c>
      <c r="BJ16" s="252">
        <f>'Fuel Yields Eth. and DA Hydrol.'!$F$14</f>
        <v>69.612776688147932</v>
      </c>
      <c r="BK16" s="255">
        <f>'Fuel Yields Eth. and DA Hydrol.'!$F$14</f>
        <v>69.612776688147932</v>
      </c>
      <c r="BL16" s="51" t="s">
        <v>431</v>
      </c>
      <c r="BM16" s="51" t="s">
        <v>431</v>
      </c>
      <c r="BN16" s="51" t="s">
        <v>431</v>
      </c>
      <c r="BO16" s="140" t="s">
        <v>431</v>
      </c>
    </row>
    <row r="17" spans="1:67" x14ac:dyDescent="0.25">
      <c r="A17" s="1093"/>
      <c r="B17" s="11" t="s">
        <v>528</v>
      </c>
      <c r="C17" s="32">
        <f>'Energy Content Assumptions'!B14*2000/1000000</f>
        <v>15.731999999999999</v>
      </c>
      <c r="D17" s="32" t="s">
        <v>261</v>
      </c>
      <c r="E17" s="119"/>
      <c r="F17" s="333" t="str">
        <f>IF($F$2='Bioenergy Calculator'!$X$9,AF17,IF($F$2='Bioenergy Calculator'!$X$10,AJ17,IF($F$2='Bioenergy Calculator'!$X$11,AN17,IF($F$2='Bioenergy Calculator'!$X$12,P17,IF($F$2='Bioenergy Calculator'!$X$13,AR17,IF($F$2='Bioenergy Calculator'!$X$14,AV17,IF($F$2='Bioenergy Calculator'!$X$15,AZ17,"NA")))))))</f>
        <v>NA</v>
      </c>
      <c r="G17" s="66" t="str">
        <f>IF($F$2='Bioenergy Calculator'!$X$9,AG17,IF($F$2='Bioenergy Calculator'!$X$10,AK17,IF($F$2='Bioenergy Calculator'!$X$11,AO17,IF($F$2='Bioenergy Calculator'!$X$12,Q17,IF($F$2='Bioenergy Calculator'!$X$13,AS17,IF($F$2='Bioenergy Calculator'!$X$14,AW17,IF($F$2='Bioenergy Calculator'!$X$15,BA17,"NA")))))))</f>
        <v>NA</v>
      </c>
      <c r="H17" s="66" t="str">
        <f>IF($F$2='Bioenergy Calculator'!$X$9,AH17,IF($F$2='Bioenergy Calculator'!$X$10,AL17,IF($F$2='Bioenergy Calculator'!$X$11,AP17,IF($F$2='Bioenergy Calculator'!$X$12,R17,IF($F$2='Bioenergy Calculator'!$X$13,AT17,IF($F$2='Bioenergy Calculator'!$X$14,AX17,IF($F$2='Bioenergy Calculator'!$X$15,BB17,"NA")))))))</f>
        <v>NA</v>
      </c>
      <c r="I17" s="334" t="str">
        <f>IF($F$2='Bioenergy Calculator'!$X$9,AI17,IF($F$2='Bioenergy Calculator'!$X$10,AM17,IF($F$2='Bioenergy Calculator'!$X$11,AQ17,IF($F$2='Bioenergy Calculator'!$X$12,S17,IF($F$2='Bioenergy Calculator'!$X$13,AU17,IF($F$2='Bioenergy Calculator'!$X$14,AY17,IF($F$2='Bioenergy Calculator'!$X$15,BC17,"NA")))))))</f>
        <v>NA</v>
      </c>
      <c r="J17" s="117"/>
      <c r="K17" s="333" t="str">
        <f>IF($K$2='Bioenergy Calculator'!$X$21,X17,IF($K$2='Bioenergy Calculator'!$X$22,BH17,IF($K$2='Bioenergy Calculator'!$X$23,BD17,IF($K$2='Bioenergy Calculator'!$X$19,T17,IF($K$2='Bioenergy Calculator'!$X$20,AB17,IF($K$2='Bioenergy Calculator'!$X$24,'Conversion Tables'!BL17,"NA"))))))</f>
        <v>NA</v>
      </c>
      <c r="L17" s="66" t="str">
        <f>IF($K$2='Bioenergy Calculator'!$X$21,Y17,IF($K$2='Bioenergy Calculator'!$X$22,BI17,IF($K$2='Bioenergy Calculator'!$X$23,BE17,IF($K$2='Bioenergy Calculator'!$X$19,U17,IF($K$2='Bioenergy Calculator'!$X$20,AC17,IF($K$2='Bioenergy Calculator'!$X$24,'Conversion Tables'!BM17,"NA"))))))</f>
        <v>NA</v>
      </c>
      <c r="M17" s="66" t="str">
        <f>IF($K$2='Bioenergy Calculator'!$X$21,Z17,IF($K$2='Bioenergy Calculator'!$X$22,BJ17,IF($K$2='Bioenergy Calculator'!$X$23,BF17,IF($K$2='Bioenergy Calculator'!$X$19,V17,IF($K$2='Bioenergy Calculator'!$X$20,AD17,IF($K$2='Bioenergy Calculator'!$X$24,'Conversion Tables'!BN17,"NA"))))))</f>
        <v>NA</v>
      </c>
      <c r="N17" s="334" t="str">
        <f>IF($K$2='Bioenergy Calculator'!$X$21,AA17,IF($K$2='Bioenergy Calculator'!$X$22,BK17,IF($K$2='Bioenergy Calculator'!$X$23,BG17,IF($K$2='Bioenergy Calculator'!$X$19,W17,IF($K$2='Bioenergy Calculator'!$X$20,AE17,IF($K$2='Bioenergy Calculator'!$X$24,'Conversion Tables'!BO17,"NA"))))))</f>
        <v>NA</v>
      </c>
      <c r="O17" s="84"/>
      <c r="P17" s="68" t="s">
        <v>431</v>
      </c>
      <c r="Q17" s="51" t="s">
        <v>431</v>
      </c>
      <c r="R17" s="51" t="s">
        <v>431</v>
      </c>
      <c r="S17" s="65" t="s">
        <v>431</v>
      </c>
      <c r="T17" s="51" t="s">
        <v>431</v>
      </c>
      <c r="U17" s="51" t="s">
        <v>431</v>
      </c>
      <c r="V17" s="51" t="s">
        <v>431</v>
      </c>
      <c r="W17" s="65" t="s">
        <v>431</v>
      </c>
      <c r="X17" s="252">
        <f>'Fuel Yields Eth. and DA Hydrol.'!I14</f>
        <v>58.347480916030534</v>
      </c>
      <c r="Y17" s="252">
        <f>'Fuel Yields Eth. and DA Hydrol.'!J14</f>
        <v>70</v>
      </c>
      <c r="Z17" s="252">
        <f>'Fuel Yields Eth. and DA Hydrol.'!K14</f>
        <v>80</v>
      </c>
      <c r="AA17" s="255">
        <f>'Fuel Yields Eth. and DA Hydrol.'!L14</f>
        <v>90</v>
      </c>
      <c r="AB17" s="51" t="s">
        <v>431</v>
      </c>
      <c r="AC17" s="51" t="s">
        <v>431</v>
      </c>
      <c r="AD17" s="51" t="s">
        <v>431</v>
      </c>
      <c r="AE17" s="65" t="s">
        <v>431</v>
      </c>
      <c r="AF17" s="668">
        <f>('Energy Content Assumptions'!$B$69/'Technology Assumptions'!B$4)/1000</f>
        <v>13.648</v>
      </c>
      <c r="AG17" s="66">
        <f>('Energy Content Assumptions'!$B$69/'Technology Assumptions'!C$4)/1000</f>
        <v>13.648</v>
      </c>
      <c r="AH17" s="66">
        <f>('Energy Content Assumptions'!$B$69/'Technology Assumptions'!D$4)/1000</f>
        <v>13.648</v>
      </c>
      <c r="AI17" s="69">
        <f>('Energy Content Assumptions'!$B$69/'Technology Assumptions'!E$4)/1000</f>
        <v>13.648</v>
      </c>
      <c r="AJ17" s="66" t="s">
        <v>431</v>
      </c>
      <c r="AK17" s="66" t="s">
        <v>431</v>
      </c>
      <c r="AL17" s="66" t="s">
        <v>431</v>
      </c>
      <c r="AM17" s="69" t="s">
        <v>431</v>
      </c>
      <c r="AN17" s="66">
        <f>('Energy Content Assumptions'!$B$69/'Technology Assumptions'!B$7)/1000</f>
        <v>8.7487179487179496</v>
      </c>
      <c r="AO17" s="66">
        <f>('Energy Content Assumptions'!$B$69/'Technology Assumptions'!C$7)/1000</f>
        <v>8.7487179487179496</v>
      </c>
      <c r="AP17" s="66">
        <f>('Energy Content Assumptions'!$B$69/'Technology Assumptions'!D$7)/1000</f>
        <v>8.7487179487179496</v>
      </c>
      <c r="AQ17" s="69">
        <f>('Energy Content Assumptions'!$B$69/'Technology Assumptions'!E$7)/1000</f>
        <v>8.7487179487179496</v>
      </c>
      <c r="AR17" s="66">
        <f>('Energy Content Assumptions'!$B$69/'Technology Assumptions'!B$6)/1000</f>
        <v>9.7485714285714291</v>
      </c>
      <c r="AS17" s="66">
        <f>('Energy Content Assumptions'!$B$69/'Technology Assumptions'!C$6)/1000</f>
        <v>9.7485714285714291</v>
      </c>
      <c r="AT17" s="66">
        <f>('Energy Content Assumptions'!$B$69/'Technology Assumptions'!D$6)/1000</f>
        <v>9.7485714285714291</v>
      </c>
      <c r="AU17" s="69">
        <f>('Energy Content Assumptions'!$B$69/'Technology Assumptions'!E$6)/1000</f>
        <v>9.7485714285714291</v>
      </c>
      <c r="AV17" s="51" t="s">
        <v>431</v>
      </c>
      <c r="AW17" s="51" t="s">
        <v>431</v>
      </c>
      <c r="AX17" s="51" t="s">
        <v>431</v>
      </c>
      <c r="AY17" s="65" t="s">
        <v>431</v>
      </c>
      <c r="AZ17" s="88">
        <f>('Energy Content Assumptions'!$B$69/'Technology Assumptions'!B$11)/1000</f>
        <v>18.052910052910054</v>
      </c>
      <c r="BA17" s="88">
        <f>('Energy Content Assumptions'!$B$69/'Technology Assumptions'!C$11)/1000</f>
        <v>18.052910052910054</v>
      </c>
      <c r="BB17" s="88">
        <f>('Energy Content Assumptions'!$B$69/'Technology Assumptions'!D$11)/1000</f>
        <v>18.052910052910054</v>
      </c>
      <c r="BC17" s="89">
        <f>('Energy Content Assumptions'!$B$69/'Technology Assumptions'!E$11)/1000</f>
        <v>18.052910052910054</v>
      </c>
      <c r="BD17" s="316">
        <f>'Technology Assumptions'!B$28</f>
        <v>41.4</v>
      </c>
      <c r="BE17" s="316">
        <f>'Technology Assumptions'!C$28</f>
        <v>41.4</v>
      </c>
      <c r="BF17" s="316">
        <f>'Technology Assumptions'!D$28</f>
        <v>41.4</v>
      </c>
      <c r="BG17" s="326">
        <f>'Technology Assumptions'!E$28</f>
        <v>41.4</v>
      </c>
      <c r="BH17" s="252">
        <f>'Fuel Yields Eth. and DA Hydrol.'!$F$14</f>
        <v>69.612776688147932</v>
      </c>
      <c r="BI17" s="252">
        <f>'Fuel Yields Eth. and DA Hydrol.'!$F$14</f>
        <v>69.612776688147932</v>
      </c>
      <c r="BJ17" s="252">
        <f>'Fuel Yields Eth. and DA Hydrol.'!$F$14</f>
        <v>69.612776688147932</v>
      </c>
      <c r="BK17" s="255">
        <f>'Fuel Yields Eth. and DA Hydrol.'!$F$14</f>
        <v>69.612776688147932</v>
      </c>
      <c r="BL17" s="51" t="s">
        <v>431</v>
      </c>
      <c r="BM17" s="51" t="s">
        <v>431</v>
      </c>
      <c r="BN17" s="51" t="s">
        <v>431</v>
      </c>
      <c r="BO17" s="140" t="s">
        <v>431</v>
      </c>
    </row>
    <row r="18" spans="1:67" ht="12.75" customHeight="1" x14ac:dyDescent="0.25">
      <c r="A18" s="1093"/>
      <c r="B18" s="11" t="s">
        <v>529</v>
      </c>
      <c r="C18" s="32">
        <f>'Energy Content Assumptions'!B15*2000/1000000</f>
        <v>15.6</v>
      </c>
      <c r="D18" s="32" t="s">
        <v>261</v>
      </c>
      <c r="E18" s="119"/>
      <c r="F18" s="333" t="str">
        <f>IF($F$2='Bioenergy Calculator'!$X$9,AF18,IF($F$2='Bioenergy Calculator'!$X$10,AJ18,IF($F$2='Bioenergy Calculator'!$X$11,AN18,IF($F$2='Bioenergy Calculator'!$X$12,P18,IF($F$2='Bioenergy Calculator'!$X$13,AR18,IF($F$2='Bioenergy Calculator'!$X$14,AV18,IF($F$2='Bioenergy Calculator'!$X$15,AZ18,"NA")))))))</f>
        <v>NA</v>
      </c>
      <c r="G18" s="66" t="str">
        <f>IF($F$2='Bioenergy Calculator'!$X$9,AG18,IF($F$2='Bioenergy Calculator'!$X$10,AK18,IF($F$2='Bioenergy Calculator'!$X$11,AO18,IF($F$2='Bioenergy Calculator'!$X$12,Q18,IF($F$2='Bioenergy Calculator'!$X$13,AS18,IF($F$2='Bioenergy Calculator'!$X$14,AW18,IF($F$2='Bioenergy Calculator'!$X$15,BA18,"NA")))))))</f>
        <v>NA</v>
      </c>
      <c r="H18" s="66" t="str">
        <f>IF($F$2='Bioenergy Calculator'!$X$9,AH18,IF($F$2='Bioenergy Calculator'!$X$10,AL18,IF($F$2='Bioenergy Calculator'!$X$11,AP18,IF($F$2='Bioenergy Calculator'!$X$12,R18,IF($F$2='Bioenergy Calculator'!$X$13,AT18,IF($F$2='Bioenergy Calculator'!$X$14,AX18,IF($F$2='Bioenergy Calculator'!$X$15,BB18,"NA")))))))</f>
        <v>NA</v>
      </c>
      <c r="I18" s="334" t="str">
        <f>IF($F$2='Bioenergy Calculator'!$X$9,AI18,IF($F$2='Bioenergy Calculator'!$X$10,AM18,IF($F$2='Bioenergy Calculator'!$X$11,AQ18,IF($F$2='Bioenergy Calculator'!$X$12,S18,IF($F$2='Bioenergy Calculator'!$X$13,AU18,IF($F$2='Bioenergy Calculator'!$X$14,AY18,IF($F$2='Bioenergy Calculator'!$X$15,BC18,"NA")))))))</f>
        <v>NA</v>
      </c>
      <c r="J18" s="117"/>
      <c r="K18" s="333" t="str">
        <f>IF($K$2='Bioenergy Calculator'!$X$21,X18,IF($K$2='Bioenergy Calculator'!$X$22,BH18,IF($K$2='Bioenergy Calculator'!$X$23,BD18,IF($K$2='Bioenergy Calculator'!$X$19,T18,IF($K$2='Bioenergy Calculator'!$X$20,AB18,IF($K$2='Bioenergy Calculator'!$X$24,'Conversion Tables'!BL18,"NA"))))))</f>
        <v>NA</v>
      </c>
      <c r="L18" s="66" t="str">
        <f>IF($K$2='Bioenergy Calculator'!$X$21,Y18,IF($K$2='Bioenergy Calculator'!$X$22,BI18,IF($K$2='Bioenergy Calculator'!$X$23,BE18,IF($K$2='Bioenergy Calculator'!$X$19,U18,IF($K$2='Bioenergy Calculator'!$X$20,AC18,IF($K$2='Bioenergy Calculator'!$X$24,'Conversion Tables'!BM18,"NA"))))))</f>
        <v>NA</v>
      </c>
      <c r="M18" s="66" t="str">
        <f>IF($K$2='Bioenergy Calculator'!$X$21,Z18,IF($K$2='Bioenergy Calculator'!$X$22,BJ18,IF($K$2='Bioenergy Calculator'!$X$23,BF18,IF($K$2='Bioenergy Calculator'!$X$19,V18,IF($K$2='Bioenergy Calculator'!$X$20,AD18,IF($K$2='Bioenergy Calculator'!$X$24,'Conversion Tables'!BN18,"NA"))))))</f>
        <v>NA</v>
      </c>
      <c r="N18" s="334" t="str">
        <f>IF($K$2='Bioenergy Calculator'!$X$21,AA18,IF($K$2='Bioenergy Calculator'!$X$22,BK18,IF($K$2='Bioenergy Calculator'!$X$23,BG18,IF($K$2='Bioenergy Calculator'!$X$19,W18,IF($K$2='Bioenergy Calculator'!$X$20,AE18,IF($K$2='Bioenergy Calculator'!$X$24,'Conversion Tables'!BO18,"NA"))))))</f>
        <v>NA</v>
      </c>
      <c r="O18" s="84"/>
      <c r="P18" s="68" t="s">
        <v>431</v>
      </c>
      <c r="Q18" s="51" t="s">
        <v>431</v>
      </c>
      <c r="R18" s="51" t="s">
        <v>431</v>
      </c>
      <c r="S18" s="65" t="s">
        <v>431</v>
      </c>
      <c r="T18" s="51" t="s">
        <v>431</v>
      </c>
      <c r="U18" s="51" t="s">
        <v>431</v>
      </c>
      <c r="V18" s="51" t="s">
        <v>431</v>
      </c>
      <c r="W18" s="65" t="s">
        <v>431</v>
      </c>
      <c r="X18" s="252">
        <f>'Fuel Yields Eth. and DA Hydrol.'!I15</f>
        <v>69.44274809160305</v>
      </c>
      <c r="Y18" s="252">
        <f>'Fuel Yields Eth. and DA Hydrol.'!J15</f>
        <v>83.311092271623536</v>
      </c>
      <c r="Z18" s="252">
        <f>'Fuel Yields Eth. and DA Hydrol.'!K15</f>
        <v>95.212676881855472</v>
      </c>
      <c r="AA18" s="255">
        <f>'Fuel Yields Eth. and DA Hydrol.'!L15</f>
        <v>107.11426149208741</v>
      </c>
      <c r="AB18" s="51" t="s">
        <v>431</v>
      </c>
      <c r="AC18" s="51" t="s">
        <v>431</v>
      </c>
      <c r="AD18" s="51" t="s">
        <v>431</v>
      </c>
      <c r="AE18" s="65" t="s">
        <v>431</v>
      </c>
      <c r="AF18" s="668">
        <f>('Energy Content Assumptions'!$B$69/'Technology Assumptions'!B$4)/1000</f>
        <v>13.648</v>
      </c>
      <c r="AG18" s="66">
        <f>('Energy Content Assumptions'!$B$69/'Technology Assumptions'!C$4)/1000</f>
        <v>13.648</v>
      </c>
      <c r="AH18" s="66">
        <f>('Energy Content Assumptions'!$B$69/'Technology Assumptions'!D$4)/1000</f>
        <v>13.648</v>
      </c>
      <c r="AI18" s="69">
        <f>('Energy Content Assumptions'!$B$69/'Technology Assumptions'!E$4)/1000</f>
        <v>13.648</v>
      </c>
      <c r="AJ18" s="66" t="s">
        <v>431</v>
      </c>
      <c r="AK18" s="66" t="s">
        <v>431</v>
      </c>
      <c r="AL18" s="66" t="s">
        <v>431</v>
      </c>
      <c r="AM18" s="69" t="s">
        <v>431</v>
      </c>
      <c r="AN18" s="66">
        <f>('Energy Content Assumptions'!$B$69/'Technology Assumptions'!B$7)/1000</f>
        <v>8.7487179487179496</v>
      </c>
      <c r="AO18" s="66">
        <f>('Energy Content Assumptions'!$B$69/'Technology Assumptions'!C$7)/1000</f>
        <v>8.7487179487179496</v>
      </c>
      <c r="AP18" s="66">
        <f>('Energy Content Assumptions'!$B$69/'Technology Assumptions'!D$7)/1000</f>
        <v>8.7487179487179496</v>
      </c>
      <c r="AQ18" s="69">
        <f>('Energy Content Assumptions'!$B$69/'Technology Assumptions'!E$7)/1000</f>
        <v>8.7487179487179496</v>
      </c>
      <c r="AR18" s="66">
        <f>('Energy Content Assumptions'!$B$69/'Technology Assumptions'!B$6)/1000</f>
        <v>9.7485714285714291</v>
      </c>
      <c r="AS18" s="66">
        <f>('Energy Content Assumptions'!$B$69/'Technology Assumptions'!C$6)/1000</f>
        <v>9.7485714285714291</v>
      </c>
      <c r="AT18" s="66">
        <f>('Energy Content Assumptions'!$B$69/'Technology Assumptions'!D$6)/1000</f>
        <v>9.7485714285714291</v>
      </c>
      <c r="AU18" s="69">
        <f>('Energy Content Assumptions'!$B$69/'Technology Assumptions'!E$6)/1000</f>
        <v>9.7485714285714291</v>
      </c>
      <c r="AV18" s="51" t="s">
        <v>431</v>
      </c>
      <c r="AW18" s="51" t="s">
        <v>431</v>
      </c>
      <c r="AX18" s="51" t="s">
        <v>431</v>
      </c>
      <c r="AY18" s="65" t="s">
        <v>431</v>
      </c>
      <c r="AZ18" s="88">
        <f>('Energy Content Assumptions'!$B$69/'Technology Assumptions'!B$11)/1000</f>
        <v>18.052910052910054</v>
      </c>
      <c r="BA18" s="88">
        <f>('Energy Content Assumptions'!$B$69/'Technology Assumptions'!C$11)/1000</f>
        <v>18.052910052910054</v>
      </c>
      <c r="BB18" s="88">
        <f>('Energy Content Assumptions'!$B$69/'Technology Assumptions'!D$11)/1000</f>
        <v>18.052910052910054</v>
      </c>
      <c r="BC18" s="89">
        <f>('Energy Content Assumptions'!$B$69/'Technology Assumptions'!E$11)/1000</f>
        <v>18.052910052910054</v>
      </c>
      <c r="BD18" s="316">
        <f>'Technology Assumptions'!B$28</f>
        <v>41.4</v>
      </c>
      <c r="BE18" s="316">
        <f>'Technology Assumptions'!C$28</f>
        <v>41.4</v>
      </c>
      <c r="BF18" s="316">
        <f>'Technology Assumptions'!D$28</f>
        <v>41.4</v>
      </c>
      <c r="BG18" s="326">
        <f>'Technology Assumptions'!E$28</f>
        <v>41.4</v>
      </c>
      <c r="BH18" s="252">
        <f>'Fuel Yields Eth. and DA Hydrol.'!$F$15</f>
        <v>71.417203698514982</v>
      </c>
      <c r="BI18" s="252">
        <f>'Fuel Yields Eth. and DA Hydrol.'!$F$15</f>
        <v>71.417203698514982</v>
      </c>
      <c r="BJ18" s="252">
        <f>'Fuel Yields Eth. and DA Hydrol.'!$F$15</f>
        <v>71.417203698514982</v>
      </c>
      <c r="BK18" s="255">
        <f>'Fuel Yields Eth. and DA Hydrol.'!$F$15</f>
        <v>71.417203698514982</v>
      </c>
      <c r="BL18" s="51" t="s">
        <v>431</v>
      </c>
      <c r="BM18" s="51" t="s">
        <v>431</v>
      </c>
      <c r="BN18" s="51" t="s">
        <v>431</v>
      </c>
      <c r="BO18" s="140" t="s">
        <v>431</v>
      </c>
    </row>
    <row r="19" spans="1:67" x14ac:dyDescent="0.25">
      <c r="A19" s="1093"/>
      <c r="B19" s="11" t="s">
        <v>530</v>
      </c>
      <c r="C19" s="32">
        <f>'Energy Content Assumptions'!B16*2000/1000000</f>
        <v>15.6</v>
      </c>
      <c r="D19" s="32" t="s">
        <v>261</v>
      </c>
      <c r="E19" s="119"/>
      <c r="F19" s="333" t="str">
        <f>IF($F$2='Bioenergy Calculator'!$X$9,AF19,IF($F$2='Bioenergy Calculator'!$X$10,AJ19,IF($F$2='Bioenergy Calculator'!$X$11,AN19,IF($F$2='Bioenergy Calculator'!$X$12,P19,IF($F$2='Bioenergy Calculator'!$X$13,AR19,IF($F$2='Bioenergy Calculator'!$X$14,AV19,IF($F$2='Bioenergy Calculator'!$X$15,AZ19,"NA")))))))</f>
        <v>NA</v>
      </c>
      <c r="G19" s="66" t="str">
        <f>IF($F$2='Bioenergy Calculator'!$X$9,AG19,IF($F$2='Bioenergy Calculator'!$X$10,AK19,IF($F$2='Bioenergy Calculator'!$X$11,AO19,IF($F$2='Bioenergy Calculator'!$X$12,Q19,IF($F$2='Bioenergy Calculator'!$X$13,AS19,IF($F$2='Bioenergy Calculator'!$X$14,AW19,IF($F$2='Bioenergy Calculator'!$X$15,BA19,"NA")))))))</f>
        <v>NA</v>
      </c>
      <c r="H19" s="66" t="str">
        <f>IF($F$2='Bioenergy Calculator'!$X$9,AH19,IF($F$2='Bioenergy Calculator'!$X$10,AL19,IF($F$2='Bioenergy Calculator'!$X$11,AP19,IF($F$2='Bioenergy Calculator'!$X$12,R19,IF($F$2='Bioenergy Calculator'!$X$13,AT19,IF($F$2='Bioenergy Calculator'!$X$14,AX19,IF($F$2='Bioenergy Calculator'!$X$15,BB19,"NA")))))))</f>
        <v>NA</v>
      </c>
      <c r="I19" s="334" t="str">
        <f>IF($F$2='Bioenergy Calculator'!$X$9,AI19,IF($F$2='Bioenergy Calculator'!$X$10,AM19,IF($F$2='Bioenergy Calculator'!$X$11,AQ19,IF($F$2='Bioenergy Calculator'!$X$12,S19,IF($F$2='Bioenergy Calculator'!$X$13,AU19,IF($F$2='Bioenergy Calculator'!$X$14,AY19,IF($F$2='Bioenergy Calculator'!$X$15,BC19,"NA")))))))</f>
        <v>NA</v>
      </c>
      <c r="J19" s="117"/>
      <c r="K19" s="333" t="str">
        <f>IF($K$2='Bioenergy Calculator'!$X$21,X19,IF($K$2='Bioenergy Calculator'!$X$22,BH19,IF($K$2='Bioenergy Calculator'!$X$23,BD19,IF($K$2='Bioenergy Calculator'!$X$19,T19,IF($K$2='Bioenergy Calculator'!$X$20,AB19,IF($K$2='Bioenergy Calculator'!$X$24,'Conversion Tables'!BL19,"NA"))))))</f>
        <v>NA</v>
      </c>
      <c r="L19" s="66" t="str">
        <f>IF($K$2='Bioenergy Calculator'!$X$21,Y19,IF($K$2='Bioenergy Calculator'!$X$22,BI19,IF($K$2='Bioenergy Calculator'!$X$23,BE19,IF($K$2='Bioenergy Calculator'!$X$19,U19,IF($K$2='Bioenergy Calculator'!$X$20,AC19,IF($K$2='Bioenergy Calculator'!$X$24,'Conversion Tables'!BM19,"NA"))))))</f>
        <v>NA</v>
      </c>
      <c r="M19" s="66" t="str">
        <f>IF($K$2='Bioenergy Calculator'!$X$21,Z19,IF($K$2='Bioenergy Calculator'!$X$22,BJ19,IF($K$2='Bioenergy Calculator'!$X$23,BF19,IF($K$2='Bioenergy Calculator'!$X$19,V19,IF($K$2='Bioenergy Calculator'!$X$20,AD19,IF($K$2='Bioenergy Calculator'!$X$24,'Conversion Tables'!BN19,"NA"))))))</f>
        <v>NA</v>
      </c>
      <c r="N19" s="334" t="str">
        <f>IF($K$2='Bioenergy Calculator'!$X$21,AA19,IF($K$2='Bioenergy Calculator'!$X$22,BK19,IF($K$2='Bioenergy Calculator'!$X$23,BG19,IF($K$2='Bioenergy Calculator'!$X$19,W19,IF($K$2='Bioenergy Calculator'!$X$20,AE19,IF($K$2='Bioenergy Calculator'!$X$24,'Conversion Tables'!BO19,"NA"))))))</f>
        <v>NA</v>
      </c>
      <c r="O19" s="84"/>
      <c r="P19" s="68" t="s">
        <v>431</v>
      </c>
      <c r="Q19" s="51" t="s">
        <v>431</v>
      </c>
      <c r="R19" s="51" t="s">
        <v>431</v>
      </c>
      <c r="S19" s="65" t="s">
        <v>431</v>
      </c>
      <c r="T19" s="51" t="s">
        <v>431</v>
      </c>
      <c r="U19" s="51" t="s">
        <v>431</v>
      </c>
      <c r="V19" s="51" t="s">
        <v>431</v>
      </c>
      <c r="W19" s="65" t="s">
        <v>431</v>
      </c>
      <c r="X19" s="252">
        <f>'Fuel Yields Eth. and DA Hydrol.'!I15</f>
        <v>69.44274809160305</v>
      </c>
      <c r="Y19" s="252">
        <f>'Fuel Yields Eth. and DA Hydrol.'!J15</f>
        <v>83.311092271623536</v>
      </c>
      <c r="Z19" s="252">
        <f>'Fuel Yields Eth. and DA Hydrol.'!K15</f>
        <v>95.212676881855472</v>
      </c>
      <c r="AA19" s="255">
        <f>'Fuel Yields Eth. and DA Hydrol.'!L15</f>
        <v>107.11426149208741</v>
      </c>
      <c r="AB19" s="51" t="s">
        <v>431</v>
      </c>
      <c r="AC19" s="51" t="s">
        <v>431</v>
      </c>
      <c r="AD19" s="51" t="s">
        <v>431</v>
      </c>
      <c r="AE19" s="65" t="s">
        <v>431</v>
      </c>
      <c r="AF19" s="668">
        <f>('Energy Content Assumptions'!$B$69/'Technology Assumptions'!B$4)/1000</f>
        <v>13.648</v>
      </c>
      <c r="AG19" s="66">
        <f>('Energy Content Assumptions'!$B$69/'Technology Assumptions'!C$4)/1000</f>
        <v>13.648</v>
      </c>
      <c r="AH19" s="66">
        <f>('Energy Content Assumptions'!$B$69/'Technology Assumptions'!D$4)/1000</f>
        <v>13.648</v>
      </c>
      <c r="AI19" s="69">
        <f>('Energy Content Assumptions'!$B$69/'Technology Assumptions'!E$4)/1000</f>
        <v>13.648</v>
      </c>
      <c r="AJ19" s="66" t="s">
        <v>431</v>
      </c>
      <c r="AK19" s="66" t="s">
        <v>431</v>
      </c>
      <c r="AL19" s="66" t="s">
        <v>431</v>
      </c>
      <c r="AM19" s="69" t="s">
        <v>431</v>
      </c>
      <c r="AN19" s="66">
        <f>('Energy Content Assumptions'!$B$69/'Technology Assumptions'!B$7)/1000</f>
        <v>8.7487179487179496</v>
      </c>
      <c r="AO19" s="66">
        <f>('Energy Content Assumptions'!$B$69/'Technology Assumptions'!C$7)/1000</f>
        <v>8.7487179487179496</v>
      </c>
      <c r="AP19" s="66">
        <f>('Energy Content Assumptions'!$B$69/'Technology Assumptions'!D$7)/1000</f>
        <v>8.7487179487179496</v>
      </c>
      <c r="AQ19" s="69">
        <f>('Energy Content Assumptions'!$B$69/'Technology Assumptions'!E$7)/1000</f>
        <v>8.7487179487179496</v>
      </c>
      <c r="AR19" s="66">
        <f>('Energy Content Assumptions'!$B$69/'Technology Assumptions'!B$6)/1000</f>
        <v>9.7485714285714291</v>
      </c>
      <c r="AS19" s="66">
        <f>('Energy Content Assumptions'!$B$69/'Technology Assumptions'!C$6)/1000</f>
        <v>9.7485714285714291</v>
      </c>
      <c r="AT19" s="66">
        <f>('Energy Content Assumptions'!$B$69/'Technology Assumptions'!D$6)/1000</f>
        <v>9.7485714285714291</v>
      </c>
      <c r="AU19" s="69">
        <f>('Energy Content Assumptions'!$B$69/'Technology Assumptions'!E$6)/1000</f>
        <v>9.7485714285714291</v>
      </c>
      <c r="AV19" s="51" t="s">
        <v>431</v>
      </c>
      <c r="AW19" s="51" t="s">
        <v>431</v>
      </c>
      <c r="AX19" s="51" t="s">
        <v>431</v>
      </c>
      <c r="AY19" s="65" t="s">
        <v>431</v>
      </c>
      <c r="AZ19" s="88">
        <f>('Energy Content Assumptions'!$B$69/'Technology Assumptions'!B$11)/1000</f>
        <v>18.052910052910054</v>
      </c>
      <c r="BA19" s="88">
        <f>('Energy Content Assumptions'!$B$69/'Technology Assumptions'!C$11)/1000</f>
        <v>18.052910052910054</v>
      </c>
      <c r="BB19" s="88">
        <f>('Energy Content Assumptions'!$B$69/'Technology Assumptions'!D$11)/1000</f>
        <v>18.052910052910054</v>
      </c>
      <c r="BC19" s="89">
        <f>('Energy Content Assumptions'!$B$69/'Technology Assumptions'!E$11)/1000</f>
        <v>18.052910052910054</v>
      </c>
      <c r="BD19" s="316">
        <f>'Technology Assumptions'!B$28</f>
        <v>41.4</v>
      </c>
      <c r="BE19" s="316">
        <f>'Technology Assumptions'!C$28</f>
        <v>41.4</v>
      </c>
      <c r="BF19" s="316">
        <f>'Technology Assumptions'!D$28</f>
        <v>41.4</v>
      </c>
      <c r="BG19" s="326">
        <f>'Technology Assumptions'!E$28</f>
        <v>41.4</v>
      </c>
      <c r="BH19" s="252">
        <f>'Fuel Yields Eth. and DA Hydrol.'!$F$15</f>
        <v>71.417203698514982</v>
      </c>
      <c r="BI19" s="252">
        <f>'Fuel Yields Eth. and DA Hydrol.'!$F$15</f>
        <v>71.417203698514982</v>
      </c>
      <c r="BJ19" s="252">
        <f>'Fuel Yields Eth. and DA Hydrol.'!$F$15</f>
        <v>71.417203698514982</v>
      </c>
      <c r="BK19" s="255">
        <f>'Fuel Yields Eth. and DA Hydrol.'!$F$15</f>
        <v>71.417203698514982</v>
      </c>
      <c r="BL19" s="51" t="s">
        <v>431</v>
      </c>
      <c r="BM19" s="51" t="s">
        <v>431</v>
      </c>
      <c r="BN19" s="51" t="s">
        <v>431</v>
      </c>
      <c r="BO19" s="140" t="s">
        <v>431</v>
      </c>
    </row>
    <row r="20" spans="1:67" x14ac:dyDescent="0.25">
      <c r="A20" s="1093"/>
      <c r="B20" s="11" t="s">
        <v>522</v>
      </c>
      <c r="C20" s="32">
        <f>'Energy Content Assumptions'!B17*2000/1000000</f>
        <v>14.962</v>
      </c>
      <c r="D20" s="32" t="s">
        <v>261</v>
      </c>
      <c r="E20" s="119"/>
      <c r="F20" s="333" t="str">
        <f>IF($F$2='Bioenergy Calculator'!$X$9,AF20,IF($F$2='Bioenergy Calculator'!$X$10,AJ20,IF($F$2='Bioenergy Calculator'!$X$11,AN20,IF($F$2='Bioenergy Calculator'!$X$12,P20,IF($F$2='Bioenergy Calculator'!$X$13,AR20,IF($F$2='Bioenergy Calculator'!$X$14,AV20,IF($F$2='Bioenergy Calculator'!$X$15,AZ20,"NA")))))))</f>
        <v>NA</v>
      </c>
      <c r="G20" s="66" t="str">
        <f>IF($F$2='Bioenergy Calculator'!$X$9,AG20,IF($F$2='Bioenergy Calculator'!$X$10,AK20,IF($F$2='Bioenergy Calculator'!$X$11,AO20,IF($F$2='Bioenergy Calculator'!$X$12,Q20,IF($F$2='Bioenergy Calculator'!$X$13,AS20,IF($F$2='Bioenergy Calculator'!$X$14,AW20,IF($F$2='Bioenergy Calculator'!$X$15,BA20,"NA")))))))</f>
        <v>NA</v>
      </c>
      <c r="H20" s="66" t="str">
        <f>IF($F$2='Bioenergy Calculator'!$X$9,AH20,IF($F$2='Bioenergy Calculator'!$X$10,AL20,IF($F$2='Bioenergy Calculator'!$X$11,AP20,IF($F$2='Bioenergy Calculator'!$X$12,R20,IF($F$2='Bioenergy Calculator'!$X$13,AT20,IF($F$2='Bioenergy Calculator'!$X$14,AX20,IF($F$2='Bioenergy Calculator'!$X$15,BB20,"NA")))))))</f>
        <v>NA</v>
      </c>
      <c r="I20" s="334" t="str">
        <f>IF($F$2='Bioenergy Calculator'!$X$9,AI20,IF($F$2='Bioenergy Calculator'!$X$10,AM20,IF($F$2='Bioenergy Calculator'!$X$11,AQ20,IF($F$2='Bioenergy Calculator'!$X$12,S20,IF($F$2='Bioenergy Calculator'!$X$13,AU20,IF($F$2='Bioenergy Calculator'!$X$14,AY20,IF($F$2='Bioenergy Calculator'!$X$15,BC20,"NA")))))))</f>
        <v>NA</v>
      </c>
      <c r="J20" s="117"/>
      <c r="K20" s="333" t="str">
        <f>IF($K$2='Bioenergy Calculator'!$X$21,X20,IF($K$2='Bioenergy Calculator'!$X$22,BH20,IF($K$2='Bioenergy Calculator'!$X$23,BD20,IF($K$2='Bioenergy Calculator'!$X$19,T20,IF($K$2='Bioenergy Calculator'!$X$20,AB20,IF($K$2='Bioenergy Calculator'!$X$24,'Conversion Tables'!BL20,"NA"))))))</f>
        <v>NA</v>
      </c>
      <c r="L20" s="66" t="str">
        <f>IF($K$2='Bioenergy Calculator'!$X$21,Y20,IF($K$2='Bioenergy Calculator'!$X$22,BI20,IF($K$2='Bioenergy Calculator'!$X$23,BE20,IF($K$2='Bioenergy Calculator'!$X$19,U20,IF($K$2='Bioenergy Calculator'!$X$20,AC20,IF($K$2='Bioenergy Calculator'!$X$24,'Conversion Tables'!BM20,"NA"))))))</f>
        <v>NA</v>
      </c>
      <c r="M20" s="66" t="str">
        <f>IF($K$2='Bioenergy Calculator'!$X$21,Z20,IF($K$2='Bioenergy Calculator'!$X$22,BJ20,IF($K$2='Bioenergy Calculator'!$X$23,BF20,IF($K$2='Bioenergy Calculator'!$X$19,V20,IF($K$2='Bioenergy Calculator'!$X$20,AD20,IF($K$2='Bioenergy Calculator'!$X$24,'Conversion Tables'!BN20,"NA"))))))</f>
        <v>NA</v>
      </c>
      <c r="N20" s="334" t="str">
        <f>IF($K$2='Bioenergy Calculator'!$X$21,AA20,IF($K$2='Bioenergy Calculator'!$X$22,BK20,IF($K$2='Bioenergy Calculator'!$X$23,BG20,IF($K$2='Bioenergy Calculator'!$X$19,W20,IF($K$2='Bioenergy Calculator'!$X$20,AE20,IF($K$2='Bioenergy Calculator'!$X$24,'Conversion Tables'!BO20,"NA"))))))</f>
        <v>NA</v>
      </c>
      <c r="O20" s="84"/>
      <c r="P20" s="68" t="s">
        <v>431</v>
      </c>
      <c r="Q20" s="51" t="s">
        <v>431</v>
      </c>
      <c r="R20" s="51" t="s">
        <v>431</v>
      </c>
      <c r="S20" s="65" t="s">
        <v>431</v>
      </c>
      <c r="T20" s="51" t="s">
        <v>431</v>
      </c>
      <c r="U20" s="51" t="s">
        <v>431</v>
      </c>
      <c r="V20" s="51" t="s">
        <v>431</v>
      </c>
      <c r="W20" s="65" t="s">
        <v>431</v>
      </c>
      <c r="X20" s="252">
        <f>'Fuel Yields Eth. and DA Hydrol.'!I15</f>
        <v>69.44274809160305</v>
      </c>
      <c r="Y20" s="252">
        <f>'Fuel Yields Eth. and DA Hydrol.'!J15</f>
        <v>83.311092271623536</v>
      </c>
      <c r="Z20" s="252">
        <f>'Fuel Yields Eth. and DA Hydrol.'!K15</f>
        <v>95.212676881855472</v>
      </c>
      <c r="AA20" s="255">
        <f>'Fuel Yields Eth. and DA Hydrol.'!L15</f>
        <v>107.11426149208741</v>
      </c>
      <c r="AB20" s="51" t="s">
        <v>431</v>
      </c>
      <c r="AC20" s="51" t="s">
        <v>431</v>
      </c>
      <c r="AD20" s="51" t="s">
        <v>431</v>
      </c>
      <c r="AE20" s="65" t="s">
        <v>431</v>
      </c>
      <c r="AF20" s="668">
        <f>('Energy Content Assumptions'!$B$69/'Technology Assumptions'!B$4)/1000</f>
        <v>13.648</v>
      </c>
      <c r="AG20" s="66">
        <f>('Energy Content Assumptions'!$B$69/'Technology Assumptions'!C$4)/1000</f>
        <v>13.648</v>
      </c>
      <c r="AH20" s="66">
        <f>('Energy Content Assumptions'!$B$69/'Technology Assumptions'!D$4)/1000</f>
        <v>13.648</v>
      </c>
      <c r="AI20" s="69">
        <f>('Energy Content Assumptions'!$B$69/'Technology Assumptions'!E$4)/1000</f>
        <v>13.648</v>
      </c>
      <c r="AJ20" s="66" t="s">
        <v>431</v>
      </c>
      <c r="AK20" s="66" t="s">
        <v>431</v>
      </c>
      <c r="AL20" s="66" t="s">
        <v>431</v>
      </c>
      <c r="AM20" s="69" t="s">
        <v>431</v>
      </c>
      <c r="AN20" s="66">
        <f>('Energy Content Assumptions'!$B$69/'Technology Assumptions'!B$7)/1000</f>
        <v>8.7487179487179496</v>
      </c>
      <c r="AO20" s="66">
        <f>('Energy Content Assumptions'!$B$69/'Technology Assumptions'!C$7)/1000</f>
        <v>8.7487179487179496</v>
      </c>
      <c r="AP20" s="66">
        <f>('Energy Content Assumptions'!$B$69/'Technology Assumptions'!D$7)/1000</f>
        <v>8.7487179487179496</v>
      </c>
      <c r="AQ20" s="69">
        <f>('Energy Content Assumptions'!$B$69/'Technology Assumptions'!E$7)/1000</f>
        <v>8.7487179487179496</v>
      </c>
      <c r="AR20" s="66">
        <f>('Energy Content Assumptions'!$B$69/'Technology Assumptions'!B$6)/1000</f>
        <v>9.7485714285714291</v>
      </c>
      <c r="AS20" s="66">
        <f>('Energy Content Assumptions'!$B$69/'Technology Assumptions'!C$6)/1000</f>
        <v>9.7485714285714291</v>
      </c>
      <c r="AT20" s="66">
        <f>('Energy Content Assumptions'!$B$69/'Technology Assumptions'!D$6)/1000</f>
        <v>9.7485714285714291</v>
      </c>
      <c r="AU20" s="69">
        <f>('Energy Content Assumptions'!$B$69/'Technology Assumptions'!E$6)/1000</f>
        <v>9.7485714285714291</v>
      </c>
      <c r="AV20" s="51" t="s">
        <v>431</v>
      </c>
      <c r="AW20" s="51" t="s">
        <v>431</v>
      </c>
      <c r="AX20" s="51" t="s">
        <v>431</v>
      </c>
      <c r="AY20" s="65" t="s">
        <v>431</v>
      </c>
      <c r="AZ20" s="88">
        <f>('Energy Content Assumptions'!$B$69/'Technology Assumptions'!B$11)/1000</f>
        <v>18.052910052910054</v>
      </c>
      <c r="BA20" s="88">
        <f>('Energy Content Assumptions'!$B$69/'Technology Assumptions'!C$11)/1000</f>
        <v>18.052910052910054</v>
      </c>
      <c r="BB20" s="88">
        <f>('Energy Content Assumptions'!$B$69/'Technology Assumptions'!D$11)/1000</f>
        <v>18.052910052910054</v>
      </c>
      <c r="BC20" s="89">
        <f>('Energy Content Assumptions'!$B$69/'Technology Assumptions'!E$11)/1000</f>
        <v>18.052910052910054</v>
      </c>
      <c r="BD20" s="316">
        <f>'Technology Assumptions'!B$28</f>
        <v>41.4</v>
      </c>
      <c r="BE20" s="316">
        <f>'Technology Assumptions'!C$28</f>
        <v>41.4</v>
      </c>
      <c r="BF20" s="316">
        <f>'Technology Assumptions'!D$28</f>
        <v>41.4</v>
      </c>
      <c r="BG20" s="326">
        <f>'Technology Assumptions'!E$28</f>
        <v>41.4</v>
      </c>
      <c r="BH20" s="252">
        <f>'Fuel Yields Eth. and DA Hydrol.'!$F$15</f>
        <v>71.417203698514982</v>
      </c>
      <c r="BI20" s="252">
        <f>'Fuel Yields Eth. and DA Hydrol.'!$F$15</f>
        <v>71.417203698514982</v>
      </c>
      <c r="BJ20" s="252">
        <f>'Fuel Yields Eth. and DA Hydrol.'!$F$15</f>
        <v>71.417203698514982</v>
      </c>
      <c r="BK20" s="255">
        <f>'Fuel Yields Eth. and DA Hydrol.'!$F$15</f>
        <v>71.417203698514982</v>
      </c>
      <c r="BL20" s="51" t="s">
        <v>431</v>
      </c>
      <c r="BM20" s="51" t="s">
        <v>431</v>
      </c>
      <c r="BN20" s="51" t="s">
        <v>431</v>
      </c>
      <c r="BO20" s="140" t="s">
        <v>431</v>
      </c>
    </row>
    <row r="21" spans="1:67" x14ac:dyDescent="0.25">
      <c r="A21" s="1093"/>
      <c r="B21" s="148" t="s">
        <v>205</v>
      </c>
      <c r="C21" s="32">
        <f>'Energy Content Assumptions'!B18*2000/1000000</f>
        <v>15.6</v>
      </c>
      <c r="D21" s="32" t="s">
        <v>261</v>
      </c>
      <c r="E21" s="119"/>
      <c r="F21" s="333" t="str">
        <f>IF($F$2='Bioenergy Calculator'!$X$9,AF21,IF($F$2='Bioenergy Calculator'!$X$10,AJ21,IF($F$2='Bioenergy Calculator'!$X$11,AN21,IF($F$2='Bioenergy Calculator'!$X$12,P21,IF($F$2='Bioenergy Calculator'!$X$13,AR21,IF($F$2='Bioenergy Calculator'!$X$14,AV21,IF($F$2='Bioenergy Calculator'!$X$15,AZ21,"NA")))))))</f>
        <v>NA</v>
      </c>
      <c r="G21" s="66" t="str">
        <f>IF($F$2='Bioenergy Calculator'!$X$9,AG21,IF($F$2='Bioenergy Calculator'!$X$10,AK21,IF($F$2='Bioenergy Calculator'!$X$11,AO21,IF($F$2='Bioenergy Calculator'!$X$12,Q21,IF($F$2='Bioenergy Calculator'!$X$13,AS21,IF($F$2='Bioenergy Calculator'!$X$14,AW21,IF($F$2='Bioenergy Calculator'!$X$15,BA21,"NA")))))))</f>
        <v>NA</v>
      </c>
      <c r="H21" s="66" t="str">
        <f>IF($F$2='Bioenergy Calculator'!$X$9,AH21,IF($F$2='Bioenergy Calculator'!$X$10,AL21,IF($F$2='Bioenergy Calculator'!$X$11,AP21,IF($F$2='Bioenergy Calculator'!$X$12,R21,IF($F$2='Bioenergy Calculator'!$X$13,AT21,IF($F$2='Bioenergy Calculator'!$X$14,AX21,IF($F$2='Bioenergy Calculator'!$X$15,BB21,"NA")))))))</f>
        <v>NA</v>
      </c>
      <c r="I21" s="334" t="str">
        <f>IF($F$2='Bioenergy Calculator'!$X$9,AI21,IF($F$2='Bioenergy Calculator'!$X$10,AM21,IF($F$2='Bioenergy Calculator'!$X$11,AQ21,IF($F$2='Bioenergy Calculator'!$X$12,S21,IF($F$2='Bioenergy Calculator'!$X$13,AU21,IF($F$2='Bioenergy Calculator'!$X$14,AY21,IF($F$2='Bioenergy Calculator'!$X$15,BC21,"NA")))))))</f>
        <v>NA</v>
      </c>
      <c r="J21" s="117"/>
      <c r="K21" s="333" t="str">
        <f>IF($K$2='Bioenergy Calculator'!$X$21,X21,IF($K$2='Bioenergy Calculator'!$X$22,BH21,IF($K$2='Bioenergy Calculator'!$X$23,BD21,IF($K$2='Bioenergy Calculator'!$X$19,T21,IF($K$2='Bioenergy Calculator'!$X$20,AB21,IF($K$2='Bioenergy Calculator'!$X$24,'Conversion Tables'!BL21,"NA"))))))</f>
        <v>NA</v>
      </c>
      <c r="L21" s="66" t="str">
        <f>IF($K$2='Bioenergy Calculator'!$X$21,Y21,IF($K$2='Bioenergy Calculator'!$X$22,BI21,IF($K$2='Bioenergy Calculator'!$X$23,BE21,IF($K$2='Bioenergy Calculator'!$X$19,U21,IF($K$2='Bioenergy Calculator'!$X$20,AC21,IF($K$2='Bioenergy Calculator'!$X$24,'Conversion Tables'!BM21,"NA"))))))</f>
        <v>NA</v>
      </c>
      <c r="M21" s="66" t="str">
        <f>IF($K$2='Bioenergy Calculator'!$X$21,Z21,IF($K$2='Bioenergy Calculator'!$X$22,BJ21,IF($K$2='Bioenergy Calculator'!$X$23,BF21,IF($K$2='Bioenergy Calculator'!$X$19,V21,IF($K$2='Bioenergy Calculator'!$X$20,AD21,IF($K$2='Bioenergy Calculator'!$X$24,'Conversion Tables'!BN21,"NA"))))))</f>
        <v>NA</v>
      </c>
      <c r="N21" s="334" t="str">
        <f>IF($K$2='Bioenergy Calculator'!$X$21,AA21,IF($K$2='Bioenergy Calculator'!$X$22,BK21,IF($K$2='Bioenergy Calculator'!$X$23,BG21,IF($K$2='Bioenergy Calculator'!$X$19,W21,IF($K$2='Bioenergy Calculator'!$X$20,AE21,IF($K$2='Bioenergy Calculator'!$X$24,'Conversion Tables'!BO21,"NA"))))))</f>
        <v>NA</v>
      </c>
      <c r="O21" s="84"/>
      <c r="P21" s="68" t="s">
        <v>431</v>
      </c>
      <c r="Q21" s="51" t="s">
        <v>431</v>
      </c>
      <c r="R21" s="51" t="s">
        <v>431</v>
      </c>
      <c r="S21" s="65" t="s">
        <v>431</v>
      </c>
      <c r="T21" s="51" t="s">
        <v>431</v>
      </c>
      <c r="U21" s="51" t="s">
        <v>431</v>
      </c>
      <c r="V21" s="51" t="s">
        <v>431</v>
      </c>
      <c r="W21" s="65" t="s">
        <v>431</v>
      </c>
      <c r="X21" s="252">
        <f>'Fuel Yields Eth. and DA Hydrol.'!I15</f>
        <v>69.44274809160305</v>
      </c>
      <c r="Y21" s="252">
        <f>'Fuel Yields Eth. and DA Hydrol.'!J15</f>
        <v>83.311092271623536</v>
      </c>
      <c r="Z21" s="252">
        <f>'Fuel Yields Eth. and DA Hydrol.'!K15</f>
        <v>95.212676881855472</v>
      </c>
      <c r="AA21" s="255">
        <f>'Fuel Yields Eth. and DA Hydrol.'!L15</f>
        <v>107.11426149208741</v>
      </c>
      <c r="AB21" s="51" t="s">
        <v>431</v>
      </c>
      <c r="AC21" s="51" t="s">
        <v>431</v>
      </c>
      <c r="AD21" s="51" t="s">
        <v>431</v>
      </c>
      <c r="AE21" s="65" t="s">
        <v>431</v>
      </c>
      <c r="AF21" s="668">
        <f>('Energy Content Assumptions'!$B$69/'Technology Assumptions'!B$4)/1000</f>
        <v>13.648</v>
      </c>
      <c r="AG21" s="66">
        <f>('Energy Content Assumptions'!$B$69/'Technology Assumptions'!C$4)/1000</f>
        <v>13.648</v>
      </c>
      <c r="AH21" s="66">
        <f>('Energy Content Assumptions'!$B$69/'Technology Assumptions'!D$4)/1000</f>
        <v>13.648</v>
      </c>
      <c r="AI21" s="69">
        <f>('Energy Content Assumptions'!$B$69/'Technology Assumptions'!E$4)/1000</f>
        <v>13.648</v>
      </c>
      <c r="AJ21" s="66" t="s">
        <v>431</v>
      </c>
      <c r="AK21" s="66" t="s">
        <v>431</v>
      </c>
      <c r="AL21" s="66" t="s">
        <v>431</v>
      </c>
      <c r="AM21" s="69" t="s">
        <v>431</v>
      </c>
      <c r="AN21" s="66">
        <f>('Energy Content Assumptions'!$B$69/'Technology Assumptions'!B$7)/1000</f>
        <v>8.7487179487179496</v>
      </c>
      <c r="AO21" s="66">
        <f>('Energy Content Assumptions'!$B$69/'Technology Assumptions'!C$7)/1000</f>
        <v>8.7487179487179496</v>
      </c>
      <c r="AP21" s="66">
        <f>('Energy Content Assumptions'!$B$69/'Technology Assumptions'!D$7)/1000</f>
        <v>8.7487179487179496</v>
      </c>
      <c r="AQ21" s="69">
        <f>('Energy Content Assumptions'!$B$69/'Technology Assumptions'!E$7)/1000</f>
        <v>8.7487179487179496</v>
      </c>
      <c r="AR21" s="66">
        <f>('Energy Content Assumptions'!$B$69/'Technology Assumptions'!B$6)/1000</f>
        <v>9.7485714285714291</v>
      </c>
      <c r="AS21" s="66">
        <f>('Energy Content Assumptions'!$B$69/'Technology Assumptions'!C$6)/1000</f>
        <v>9.7485714285714291</v>
      </c>
      <c r="AT21" s="66">
        <f>('Energy Content Assumptions'!$B$69/'Technology Assumptions'!D$6)/1000</f>
        <v>9.7485714285714291</v>
      </c>
      <c r="AU21" s="69">
        <f>('Energy Content Assumptions'!$B$69/'Technology Assumptions'!E$6)/1000</f>
        <v>9.7485714285714291</v>
      </c>
      <c r="AV21" s="51" t="s">
        <v>431</v>
      </c>
      <c r="AW21" s="51" t="s">
        <v>431</v>
      </c>
      <c r="AX21" s="51" t="s">
        <v>431</v>
      </c>
      <c r="AY21" s="65" t="s">
        <v>431</v>
      </c>
      <c r="AZ21" s="88">
        <f>('Energy Content Assumptions'!$B$69/'Technology Assumptions'!B$11)/1000</f>
        <v>18.052910052910054</v>
      </c>
      <c r="BA21" s="88">
        <f>('Energy Content Assumptions'!$B$69/'Technology Assumptions'!C$11)/1000</f>
        <v>18.052910052910054</v>
      </c>
      <c r="BB21" s="88">
        <f>('Energy Content Assumptions'!$B$69/'Technology Assumptions'!D$11)/1000</f>
        <v>18.052910052910054</v>
      </c>
      <c r="BC21" s="89">
        <f>('Energy Content Assumptions'!$B$69/'Technology Assumptions'!E$11)/1000</f>
        <v>18.052910052910054</v>
      </c>
      <c r="BD21" s="316">
        <f>'Technology Assumptions'!B$28</f>
        <v>41.4</v>
      </c>
      <c r="BE21" s="316">
        <f>'Technology Assumptions'!C$28</f>
        <v>41.4</v>
      </c>
      <c r="BF21" s="316">
        <f>'Technology Assumptions'!D$28</f>
        <v>41.4</v>
      </c>
      <c r="BG21" s="326">
        <f>'Technology Assumptions'!E$28</f>
        <v>41.4</v>
      </c>
      <c r="BH21" s="252">
        <f>'Fuel Yields Eth. and DA Hydrol.'!$F$15</f>
        <v>71.417203698514982</v>
      </c>
      <c r="BI21" s="252">
        <f>'Fuel Yields Eth. and DA Hydrol.'!$F$15</f>
        <v>71.417203698514982</v>
      </c>
      <c r="BJ21" s="252">
        <f>'Fuel Yields Eth. and DA Hydrol.'!$F$15</f>
        <v>71.417203698514982</v>
      </c>
      <c r="BK21" s="255">
        <f>'Fuel Yields Eth. and DA Hydrol.'!$F$15</f>
        <v>71.417203698514982</v>
      </c>
      <c r="BL21" s="51" t="s">
        <v>431</v>
      </c>
      <c r="BM21" s="51" t="s">
        <v>431</v>
      </c>
      <c r="BN21" s="51" t="s">
        <v>431</v>
      </c>
      <c r="BO21" s="140" t="s">
        <v>431</v>
      </c>
    </row>
    <row r="22" spans="1:67" x14ac:dyDescent="0.25">
      <c r="A22" s="1093"/>
      <c r="B22" s="2" t="s">
        <v>302</v>
      </c>
      <c r="C22" s="32">
        <f>'Energy Content Assumptions'!B19*2000/1000000</f>
        <v>16.335999999999999</v>
      </c>
      <c r="D22" s="32" t="s">
        <v>261</v>
      </c>
      <c r="E22" s="119"/>
      <c r="F22" s="333" t="str">
        <f>IF($F$2='Bioenergy Calculator'!$X$9,AF22,IF($F$2='Bioenergy Calculator'!$X$10,AJ22,IF($F$2='Bioenergy Calculator'!$X$11,AN22,IF($F$2='Bioenergy Calculator'!$X$12,P22,IF($F$2='Bioenergy Calculator'!$X$13,AR22,IF($F$2='Bioenergy Calculator'!$X$14,AV22,IF($F$2='Bioenergy Calculator'!$X$15,AZ22,"NA")))))))</f>
        <v>NA</v>
      </c>
      <c r="G22" s="66" t="str">
        <f>IF($F$2='Bioenergy Calculator'!$X$9,AG22,IF($F$2='Bioenergy Calculator'!$X$10,AK22,IF($F$2='Bioenergy Calculator'!$X$11,AO22,IF($F$2='Bioenergy Calculator'!$X$12,Q22,IF($F$2='Bioenergy Calculator'!$X$13,AS22,IF($F$2='Bioenergy Calculator'!$X$14,AW22,IF($F$2='Bioenergy Calculator'!$X$15,BA22,"NA")))))))</f>
        <v>NA</v>
      </c>
      <c r="H22" s="66" t="str">
        <f>IF($F$2='Bioenergy Calculator'!$X$9,AH22,IF($F$2='Bioenergy Calculator'!$X$10,AL22,IF($F$2='Bioenergy Calculator'!$X$11,AP22,IF($F$2='Bioenergy Calculator'!$X$12,R22,IF($F$2='Bioenergy Calculator'!$X$13,AT22,IF($F$2='Bioenergy Calculator'!$X$14,AX22,IF($F$2='Bioenergy Calculator'!$X$15,BB22,"NA")))))))</f>
        <v>NA</v>
      </c>
      <c r="I22" s="334" t="str">
        <f>IF($F$2='Bioenergy Calculator'!$X$9,AI22,IF($F$2='Bioenergy Calculator'!$X$10,AM22,IF($F$2='Bioenergy Calculator'!$X$11,AQ22,IF($F$2='Bioenergy Calculator'!$X$12,S22,IF($F$2='Bioenergy Calculator'!$X$13,AU22,IF($F$2='Bioenergy Calculator'!$X$14,AY22,IF($F$2='Bioenergy Calculator'!$X$15,BC22,"NA")))))))</f>
        <v>NA</v>
      </c>
      <c r="J22" s="117"/>
      <c r="K22" s="333" t="str">
        <f>IF($K$2='Bioenergy Calculator'!$X$21,X22,IF($K$2='Bioenergy Calculator'!$X$22,BH22,IF($K$2='Bioenergy Calculator'!$X$23,BD22,IF($K$2='Bioenergy Calculator'!$X$19,T22,IF($K$2='Bioenergy Calculator'!$X$20,AB22,IF($K$2='Bioenergy Calculator'!$X$24,'Conversion Tables'!BL22,"NA"))))))</f>
        <v>NA</v>
      </c>
      <c r="L22" s="66" t="str">
        <f>IF($K$2='Bioenergy Calculator'!$X$21,Y22,IF($K$2='Bioenergy Calculator'!$X$22,BI22,IF($K$2='Bioenergy Calculator'!$X$23,BE22,IF($K$2='Bioenergy Calculator'!$X$19,U22,IF($K$2='Bioenergy Calculator'!$X$20,AC22,IF($K$2='Bioenergy Calculator'!$X$24,'Conversion Tables'!BM22,"NA"))))))</f>
        <v>NA</v>
      </c>
      <c r="M22" s="66" t="str">
        <f>IF($K$2='Bioenergy Calculator'!$X$21,Z22,IF($K$2='Bioenergy Calculator'!$X$22,BJ22,IF($K$2='Bioenergy Calculator'!$X$23,BF22,IF($K$2='Bioenergy Calculator'!$X$19,V22,IF($K$2='Bioenergy Calculator'!$X$20,AD22,IF($K$2='Bioenergy Calculator'!$X$24,'Conversion Tables'!BN22,"NA"))))))</f>
        <v>NA</v>
      </c>
      <c r="N22" s="334" t="str">
        <f>IF($K$2='Bioenergy Calculator'!$X$21,AA22,IF($K$2='Bioenergy Calculator'!$X$22,BK22,IF($K$2='Bioenergy Calculator'!$X$23,BG22,IF($K$2='Bioenergy Calculator'!$X$19,W22,IF($K$2='Bioenergy Calculator'!$X$20,AE22,IF($K$2='Bioenergy Calculator'!$X$24,'Conversion Tables'!BO22,"NA"))))))</f>
        <v>NA</v>
      </c>
      <c r="O22" s="84"/>
      <c r="P22" s="68" t="s">
        <v>431</v>
      </c>
      <c r="Q22" s="51" t="s">
        <v>431</v>
      </c>
      <c r="R22" s="51" t="s">
        <v>431</v>
      </c>
      <c r="S22" s="65" t="s">
        <v>431</v>
      </c>
      <c r="T22" s="51" t="s">
        <v>431</v>
      </c>
      <c r="U22" s="51" t="s">
        <v>431</v>
      </c>
      <c r="V22" s="51" t="s">
        <v>431</v>
      </c>
      <c r="W22" s="65" t="s">
        <v>431</v>
      </c>
      <c r="X22" s="252" t="s">
        <v>431</v>
      </c>
      <c r="Y22" s="252" t="s">
        <v>431</v>
      </c>
      <c r="Z22" s="252" t="s">
        <v>431</v>
      </c>
      <c r="AA22" s="255" t="s">
        <v>431</v>
      </c>
      <c r="AB22" s="51" t="s">
        <v>431</v>
      </c>
      <c r="AC22" s="51" t="s">
        <v>431</v>
      </c>
      <c r="AD22" s="51" t="s">
        <v>431</v>
      </c>
      <c r="AE22" s="65" t="s">
        <v>431</v>
      </c>
      <c r="AF22" s="668">
        <f>('Energy Content Assumptions'!$B$69/'Technology Assumptions'!B$4)/1000</f>
        <v>13.648</v>
      </c>
      <c r="AG22" s="66">
        <f>('Energy Content Assumptions'!$B$69/'Technology Assumptions'!C$4)/1000</f>
        <v>13.648</v>
      </c>
      <c r="AH22" s="66">
        <f>('Energy Content Assumptions'!$B$69/'Technology Assumptions'!D$4)/1000</f>
        <v>13.648</v>
      </c>
      <c r="AI22" s="69">
        <f>('Energy Content Assumptions'!$B$69/'Technology Assumptions'!E$4)/1000</f>
        <v>13.648</v>
      </c>
      <c r="AJ22" s="66">
        <f>('Energy Content Assumptions'!$B$69/'Technology Assumptions'!B$5)/1000</f>
        <v>14.216666666666669</v>
      </c>
      <c r="AK22" s="66">
        <f>('Energy Content Assumptions'!$B$69/'Technology Assumptions'!C$5)/1000</f>
        <v>14.216666666666669</v>
      </c>
      <c r="AL22" s="66">
        <f>('Energy Content Assumptions'!$B$69/'Technology Assumptions'!D$5)/1000</f>
        <v>14.216666666666669</v>
      </c>
      <c r="AM22" s="69">
        <f>('Energy Content Assumptions'!$B$69/'Technology Assumptions'!E$5)/1000</f>
        <v>14.216666666666669</v>
      </c>
      <c r="AN22" s="66">
        <f>('Energy Content Assumptions'!$B$69/'Technology Assumptions'!B$7)/1000</f>
        <v>8.7487179487179496</v>
      </c>
      <c r="AO22" s="66">
        <f>('Energy Content Assumptions'!$B$69/'Technology Assumptions'!C$7)/1000</f>
        <v>8.7487179487179496</v>
      </c>
      <c r="AP22" s="66">
        <f>('Energy Content Assumptions'!$B$69/'Technology Assumptions'!D$7)/1000</f>
        <v>8.7487179487179496</v>
      </c>
      <c r="AQ22" s="69">
        <f>('Energy Content Assumptions'!$B$69/'Technology Assumptions'!E$7)/1000</f>
        <v>8.7487179487179496</v>
      </c>
      <c r="AR22" s="66">
        <f>('Energy Content Assumptions'!$B$69/'Technology Assumptions'!B$6)/1000</f>
        <v>9.7485714285714291</v>
      </c>
      <c r="AS22" s="66">
        <f>('Energy Content Assumptions'!$B$69/'Technology Assumptions'!C$6)/1000</f>
        <v>9.7485714285714291</v>
      </c>
      <c r="AT22" s="66">
        <f>('Energy Content Assumptions'!$B$69/'Technology Assumptions'!D$6)/1000</f>
        <v>9.7485714285714291</v>
      </c>
      <c r="AU22" s="69">
        <f>('Energy Content Assumptions'!$B$69/'Technology Assumptions'!E$6)/1000</f>
        <v>9.7485714285714291</v>
      </c>
      <c r="AV22" s="78">
        <f>('Energy Content Assumptions'!$B$69/'Technology Assumptions'!B$12)/1000</f>
        <v>16.247619047619047</v>
      </c>
      <c r="AW22" s="78">
        <f>('Energy Content Assumptions'!$B$69/'Technology Assumptions'!C$12)/1000</f>
        <v>16.247619047619047</v>
      </c>
      <c r="AX22" s="78">
        <f>('Energy Content Assumptions'!$B$69/'Technology Assumptions'!D$12)/1000</f>
        <v>16.247619047619047</v>
      </c>
      <c r="AY22" s="79">
        <f>('Energy Content Assumptions'!$B$69/'Technology Assumptions'!E$12)/1000</f>
        <v>16.247619047619047</v>
      </c>
      <c r="AZ22" s="88">
        <f>('Energy Content Assumptions'!$B$69/'Technology Assumptions'!B$11)/1000</f>
        <v>18.052910052910054</v>
      </c>
      <c r="BA22" s="88">
        <f>('Energy Content Assumptions'!$B$69/'Technology Assumptions'!C$11)/1000</f>
        <v>18.052910052910054</v>
      </c>
      <c r="BB22" s="88">
        <f>('Energy Content Assumptions'!$B$69/'Technology Assumptions'!D$11)/1000</f>
        <v>18.052910052910054</v>
      </c>
      <c r="BC22" s="89">
        <f>('Energy Content Assumptions'!$B$69/'Technology Assumptions'!E$11)/1000</f>
        <v>18.052910052910054</v>
      </c>
      <c r="BD22" s="316">
        <f>'Technology Assumptions'!B$28</f>
        <v>41.4</v>
      </c>
      <c r="BE22" s="316">
        <f>'Technology Assumptions'!C$28</f>
        <v>41.4</v>
      </c>
      <c r="BF22" s="316">
        <f>'Technology Assumptions'!D$28</f>
        <v>41.4</v>
      </c>
      <c r="BG22" s="326">
        <f>'Technology Assumptions'!E$28</f>
        <v>41.4</v>
      </c>
      <c r="BH22" s="252">
        <f>'Fuel Yields Eth. and DA Hydrol.'!$F$15</f>
        <v>71.417203698514982</v>
      </c>
      <c r="BI22" s="252">
        <f>'Fuel Yields Eth. and DA Hydrol.'!$F$15</f>
        <v>71.417203698514982</v>
      </c>
      <c r="BJ22" s="252">
        <f>'Fuel Yields Eth. and DA Hydrol.'!$F$15</f>
        <v>71.417203698514982</v>
      </c>
      <c r="BK22" s="255">
        <f>'Fuel Yields Eth. and DA Hydrol.'!$F$15</f>
        <v>71.417203698514982</v>
      </c>
      <c r="BL22" s="51" t="s">
        <v>431</v>
      </c>
      <c r="BM22" s="51" t="s">
        <v>431</v>
      </c>
      <c r="BN22" s="51" t="s">
        <v>431</v>
      </c>
      <c r="BO22" s="140" t="s">
        <v>431</v>
      </c>
    </row>
    <row r="23" spans="1:67" x14ac:dyDescent="0.25">
      <c r="A23" s="1093"/>
      <c r="B23" s="1" t="s">
        <v>518</v>
      </c>
      <c r="C23" s="51"/>
      <c r="D23" s="51"/>
      <c r="E23" s="84"/>
      <c r="F23" s="333"/>
      <c r="G23" s="66"/>
      <c r="H23" s="66"/>
      <c r="I23" s="334"/>
      <c r="J23" s="117"/>
      <c r="K23" s="333"/>
      <c r="L23" s="66"/>
      <c r="M23" s="66"/>
      <c r="N23" s="334"/>
      <c r="O23" s="84"/>
      <c r="P23" s="68"/>
      <c r="Q23" s="51"/>
      <c r="R23" s="51"/>
      <c r="S23" s="65"/>
      <c r="T23" s="51"/>
      <c r="U23" s="51"/>
      <c r="V23" s="51"/>
      <c r="W23" s="65"/>
      <c r="X23" s="252"/>
      <c r="Y23" s="252"/>
      <c r="Z23" s="252"/>
      <c r="AA23" s="255"/>
      <c r="AB23" s="51"/>
      <c r="AC23" s="51"/>
      <c r="AD23" s="51"/>
      <c r="AE23" s="65"/>
      <c r="AF23" s="68"/>
      <c r="AG23" s="51"/>
      <c r="AH23" s="51"/>
      <c r="AI23" s="65"/>
      <c r="AJ23" s="51"/>
      <c r="AK23" s="51"/>
      <c r="AL23" s="51"/>
      <c r="AM23" s="65"/>
      <c r="AN23" s="66"/>
      <c r="AO23" s="66"/>
      <c r="AP23" s="66"/>
      <c r="AQ23" s="69"/>
      <c r="AR23" s="51"/>
      <c r="AS23" s="51"/>
      <c r="AT23" s="51"/>
      <c r="AU23" s="65"/>
      <c r="AV23" s="74"/>
      <c r="AW23" s="74"/>
      <c r="AX23" s="74"/>
      <c r="AY23" s="75"/>
      <c r="AZ23" s="51"/>
      <c r="BA23" s="51"/>
      <c r="BB23" s="51"/>
      <c r="BC23" s="65"/>
      <c r="BD23" s="316"/>
      <c r="BE23" s="316"/>
      <c r="BF23" s="316"/>
      <c r="BG23" s="326"/>
      <c r="BH23" s="253"/>
      <c r="BI23" s="253"/>
      <c r="BJ23" s="253"/>
      <c r="BK23" s="256"/>
      <c r="BL23" s="51"/>
      <c r="BM23" s="51"/>
      <c r="BN23" s="51"/>
      <c r="BO23" s="140"/>
    </row>
    <row r="24" spans="1:67" x14ac:dyDescent="0.25">
      <c r="A24" s="1093"/>
      <c r="B24" s="11" t="s">
        <v>559</v>
      </c>
      <c r="C24" s="32">
        <f>'Energy Content Assumptions'!B21*2000/1000000</f>
        <v>17.7</v>
      </c>
      <c r="D24" s="32" t="s">
        <v>261</v>
      </c>
      <c r="E24" s="119"/>
      <c r="F24" s="333" t="str">
        <f>IF($F$2='Bioenergy Calculator'!$X$9,AF24,IF($F$2='Bioenergy Calculator'!$X$10,AJ24,IF($F$2='Bioenergy Calculator'!$X$11,AN24,IF($F$2='Bioenergy Calculator'!$X$12,P24,IF($F$2='Bioenergy Calculator'!$X$13,AR24,IF($F$2='Bioenergy Calculator'!$X$14,AV24,IF($F$2='Bioenergy Calculator'!$X$15,AZ24,"NA")))))))</f>
        <v>NA</v>
      </c>
      <c r="G24" s="66" t="str">
        <f>IF($F$2='Bioenergy Calculator'!$X$9,AG24,IF($F$2='Bioenergy Calculator'!$X$10,AK24,IF($F$2='Bioenergy Calculator'!$X$11,AO24,IF($F$2='Bioenergy Calculator'!$X$12,Q24,IF($F$2='Bioenergy Calculator'!$X$13,AS24,IF($F$2='Bioenergy Calculator'!$X$14,AW24,IF($F$2='Bioenergy Calculator'!$X$15,BA24,"NA")))))))</f>
        <v>NA</v>
      </c>
      <c r="H24" s="66" t="str">
        <f>IF($F$2='Bioenergy Calculator'!$X$9,AH24,IF($F$2='Bioenergy Calculator'!$X$10,AL24,IF($F$2='Bioenergy Calculator'!$X$11,AP24,IF($F$2='Bioenergy Calculator'!$X$12,R24,IF($F$2='Bioenergy Calculator'!$X$13,AT24,IF($F$2='Bioenergy Calculator'!$X$14,AX24,IF($F$2='Bioenergy Calculator'!$X$15,BB24,"NA")))))))</f>
        <v>NA</v>
      </c>
      <c r="I24" s="334" t="str">
        <f>IF($F$2='Bioenergy Calculator'!$X$9,AI24,IF($F$2='Bioenergy Calculator'!$X$10,AM24,IF($F$2='Bioenergy Calculator'!$X$11,AQ24,IF($F$2='Bioenergy Calculator'!$X$12,S24,IF($F$2='Bioenergy Calculator'!$X$13,AU24,IF($F$2='Bioenergy Calculator'!$X$14,AY24,IF($F$2='Bioenergy Calculator'!$X$15,BC24,"NA")))))))</f>
        <v>NA</v>
      </c>
      <c r="J24" s="117"/>
      <c r="K24" s="333" t="str">
        <f>IF($K$2='Bioenergy Calculator'!$X$21,X24,IF($K$2='Bioenergy Calculator'!$X$22,BH24,IF($K$2='Bioenergy Calculator'!$X$23,BD24,IF($K$2='Bioenergy Calculator'!$X$19,T24,IF($K$2='Bioenergy Calculator'!$X$20,AB24,IF($K$2='Bioenergy Calculator'!$X$24,'Conversion Tables'!BL24,"NA"))))))</f>
        <v>NA</v>
      </c>
      <c r="L24" s="66" t="str">
        <f>IF($K$2='Bioenergy Calculator'!$X$21,Y24,IF($K$2='Bioenergy Calculator'!$X$22,BI24,IF($K$2='Bioenergy Calculator'!$X$23,BE24,IF($K$2='Bioenergy Calculator'!$X$19,U24,IF($K$2='Bioenergy Calculator'!$X$20,AC24,IF($K$2='Bioenergy Calculator'!$X$24,'Conversion Tables'!BM24,"NA"))))))</f>
        <v>NA</v>
      </c>
      <c r="M24" s="66" t="str">
        <f>IF($K$2='Bioenergy Calculator'!$X$21,Z24,IF($K$2='Bioenergy Calculator'!$X$22,BJ24,IF($K$2='Bioenergy Calculator'!$X$23,BF24,IF($K$2='Bioenergy Calculator'!$X$19,V24,IF($K$2='Bioenergy Calculator'!$X$20,AD24,IF($K$2='Bioenergy Calculator'!$X$24,'Conversion Tables'!BN24,"NA"))))))</f>
        <v>NA</v>
      </c>
      <c r="N24" s="334" t="str">
        <f>IF($K$2='Bioenergy Calculator'!$X$21,AA24,IF($K$2='Bioenergy Calculator'!$X$22,BK24,IF($K$2='Bioenergy Calculator'!$X$23,BG24,IF($K$2='Bioenergy Calculator'!$X$19,W24,IF($K$2='Bioenergy Calculator'!$X$20,AE24,IF($K$2='Bioenergy Calculator'!$X$24,'Conversion Tables'!BO24,"NA"))))))</f>
        <v>NA</v>
      </c>
      <c r="O24" s="84"/>
      <c r="P24" s="68" t="s">
        <v>431</v>
      </c>
      <c r="Q24" s="51" t="s">
        <v>431</v>
      </c>
      <c r="R24" s="51" t="s">
        <v>431</v>
      </c>
      <c r="S24" s="65" t="s">
        <v>431</v>
      </c>
      <c r="T24" s="51" t="s">
        <v>431</v>
      </c>
      <c r="U24" s="51" t="s">
        <v>431</v>
      </c>
      <c r="V24" s="51" t="s">
        <v>431</v>
      </c>
      <c r="W24" s="65" t="s">
        <v>431</v>
      </c>
      <c r="X24" s="252">
        <f>'Fuel Yields Eth. and DA Hydrol.'!I21</f>
        <v>59.465648854961835</v>
      </c>
      <c r="Y24" s="252">
        <f>'Fuel Yields Eth. and DA Hydrol.'!J21</f>
        <v>71.341476178514611</v>
      </c>
      <c r="Z24" s="252">
        <f>'Fuel Yields Eth. and DA Hydrol.'!K21</f>
        <v>81.533115632588121</v>
      </c>
      <c r="AA24" s="255">
        <f>'Fuel Yields Eth. and DA Hydrol.'!L21</f>
        <v>91.724755086661645</v>
      </c>
      <c r="AB24" s="51" t="s">
        <v>431</v>
      </c>
      <c r="AC24" s="51" t="s">
        <v>431</v>
      </c>
      <c r="AD24" s="51" t="s">
        <v>431</v>
      </c>
      <c r="AE24" s="65" t="s">
        <v>431</v>
      </c>
      <c r="AF24" s="668">
        <f>('Energy Content Assumptions'!$B$69/'Technology Assumptions'!B$4)/1000</f>
        <v>13.648</v>
      </c>
      <c r="AG24" s="66">
        <f>('Energy Content Assumptions'!$B$69/'Technology Assumptions'!C$4)/1000</f>
        <v>13.648</v>
      </c>
      <c r="AH24" s="66">
        <f>('Energy Content Assumptions'!$B$69/'Technology Assumptions'!D$4)/1000</f>
        <v>13.648</v>
      </c>
      <c r="AI24" s="69">
        <f>('Energy Content Assumptions'!$B$69/'Technology Assumptions'!E$4)/1000</f>
        <v>13.648</v>
      </c>
      <c r="AJ24" s="66" t="s">
        <v>431</v>
      </c>
      <c r="AK24" s="66" t="s">
        <v>431</v>
      </c>
      <c r="AL24" s="66" t="s">
        <v>431</v>
      </c>
      <c r="AM24" s="69" t="s">
        <v>431</v>
      </c>
      <c r="AN24" s="66">
        <f>('Energy Content Assumptions'!$B$69/'Technology Assumptions'!B$7)/1000</f>
        <v>8.7487179487179496</v>
      </c>
      <c r="AO24" s="66">
        <f>('Energy Content Assumptions'!$B$69/'Technology Assumptions'!C$7)/1000</f>
        <v>8.7487179487179496</v>
      </c>
      <c r="AP24" s="66">
        <f>('Energy Content Assumptions'!$B$69/'Technology Assumptions'!D$7)/1000</f>
        <v>8.7487179487179496</v>
      </c>
      <c r="AQ24" s="69">
        <f>('Energy Content Assumptions'!$B$69/'Technology Assumptions'!E$7)/1000</f>
        <v>8.7487179487179496</v>
      </c>
      <c r="AR24" s="66">
        <f>('Energy Content Assumptions'!$B$69/'Technology Assumptions'!B$6)/1000</f>
        <v>9.7485714285714291</v>
      </c>
      <c r="AS24" s="66">
        <f>('Energy Content Assumptions'!$B$69/'Technology Assumptions'!C$6)/1000</f>
        <v>9.7485714285714291</v>
      </c>
      <c r="AT24" s="66">
        <f>('Energy Content Assumptions'!$B$69/'Technology Assumptions'!D$6)/1000</f>
        <v>9.7485714285714291</v>
      </c>
      <c r="AU24" s="69">
        <f>('Energy Content Assumptions'!$B$69/'Technology Assumptions'!E$6)/1000</f>
        <v>9.7485714285714291</v>
      </c>
      <c r="AV24" s="51" t="s">
        <v>431</v>
      </c>
      <c r="AW24" s="51" t="s">
        <v>431</v>
      </c>
      <c r="AX24" s="51" t="s">
        <v>431</v>
      </c>
      <c r="AY24" s="65" t="s">
        <v>431</v>
      </c>
      <c r="AZ24" s="88">
        <f>('Energy Content Assumptions'!$B$69/'Technology Assumptions'!B$11)/1000</f>
        <v>18.052910052910054</v>
      </c>
      <c r="BA24" s="88">
        <f>('Energy Content Assumptions'!$B$69/'Technology Assumptions'!C$11)/1000</f>
        <v>18.052910052910054</v>
      </c>
      <c r="BB24" s="88">
        <f>('Energy Content Assumptions'!$B$69/'Technology Assumptions'!D$11)/1000</f>
        <v>18.052910052910054</v>
      </c>
      <c r="BC24" s="89">
        <f>('Energy Content Assumptions'!$B$69/'Technology Assumptions'!E$11)/1000</f>
        <v>18.052910052910054</v>
      </c>
      <c r="BD24" s="316">
        <f>'Technology Assumptions'!B$27</f>
        <v>45.6</v>
      </c>
      <c r="BE24" s="316">
        <f>'Technology Assumptions'!C$27</f>
        <v>45.6</v>
      </c>
      <c r="BF24" s="316">
        <f>'Technology Assumptions'!D$27</f>
        <v>45.6</v>
      </c>
      <c r="BG24" s="326">
        <f>'Technology Assumptions'!E$27</f>
        <v>45.6</v>
      </c>
      <c r="BH24" s="252">
        <f>'Fuel Yields Eth. and DA Hydrol.'!$F$21</f>
        <v>65.788736340711679</v>
      </c>
      <c r="BI24" s="252">
        <f>'Fuel Yields Eth. and DA Hydrol.'!$F$21</f>
        <v>65.788736340711679</v>
      </c>
      <c r="BJ24" s="252">
        <f>'Fuel Yields Eth. and DA Hydrol.'!$F$21</f>
        <v>65.788736340711679</v>
      </c>
      <c r="BK24" s="255">
        <f>'Fuel Yields Eth. and DA Hydrol.'!$F$21</f>
        <v>65.788736340711679</v>
      </c>
      <c r="BL24" s="51" t="s">
        <v>431</v>
      </c>
      <c r="BM24" s="51" t="s">
        <v>431</v>
      </c>
      <c r="BN24" s="51" t="s">
        <v>431</v>
      </c>
      <c r="BO24" s="140" t="s">
        <v>431</v>
      </c>
    </row>
    <row r="25" spans="1:67" x14ac:dyDescent="0.25">
      <c r="A25" s="1093"/>
      <c r="B25" s="11" t="s">
        <v>560</v>
      </c>
      <c r="C25" s="32">
        <f>'Energy Content Assumptions'!B22*2000/1000000</f>
        <v>15.6</v>
      </c>
      <c r="D25" s="32" t="s">
        <v>261</v>
      </c>
      <c r="E25" s="119"/>
      <c r="F25" s="333" t="str">
        <f>IF($F$2='Bioenergy Calculator'!$X$9,AF25,IF($F$2='Bioenergy Calculator'!$X$10,AJ25,IF($F$2='Bioenergy Calculator'!$X$11,AN25,IF($F$2='Bioenergy Calculator'!$X$12,P25,IF($F$2='Bioenergy Calculator'!$X$13,AR25,IF($F$2='Bioenergy Calculator'!$X$14,AV25,IF($F$2='Bioenergy Calculator'!$X$15,AZ25,"NA")))))))</f>
        <v>NA</v>
      </c>
      <c r="G25" s="66" t="str">
        <f>IF($F$2='Bioenergy Calculator'!$X$9,AG25,IF($F$2='Bioenergy Calculator'!$X$10,AK25,IF($F$2='Bioenergy Calculator'!$X$11,AO25,IF($F$2='Bioenergy Calculator'!$X$12,Q25,IF($F$2='Bioenergy Calculator'!$X$13,AS25,IF($F$2='Bioenergy Calculator'!$X$14,AW25,IF($F$2='Bioenergy Calculator'!$X$15,BA25,"NA")))))))</f>
        <v>NA</v>
      </c>
      <c r="H25" s="66" t="str">
        <f>IF($F$2='Bioenergy Calculator'!$X$9,AH25,IF($F$2='Bioenergy Calculator'!$X$10,AL25,IF($F$2='Bioenergy Calculator'!$X$11,AP25,IF($F$2='Bioenergy Calculator'!$X$12,R25,IF($F$2='Bioenergy Calculator'!$X$13,AT25,IF($F$2='Bioenergy Calculator'!$X$14,AX25,IF($F$2='Bioenergy Calculator'!$X$15,BB25,"NA")))))))</f>
        <v>NA</v>
      </c>
      <c r="I25" s="334" t="str">
        <f>IF($F$2='Bioenergy Calculator'!$X$9,AI25,IF($F$2='Bioenergy Calculator'!$X$10,AM25,IF($F$2='Bioenergy Calculator'!$X$11,AQ25,IF($F$2='Bioenergy Calculator'!$X$12,S25,IF($F$2='Bioenergy Calculator'!$X$13,AU25,IF($F$2='Bioenergy Calculator'!$X$14,AY25,IF($F$2='Bioenergy Calculator'!$X$15,BC25,"NA")))))))</f>
        <v>NA</v>
      </c>
      <c r="J25" s="117"/>
      <c r="K25" s="333" t="str">
        <f>IF($K$2='Bioenergy Calculator'!$X$21,X25,IF($K$2='Bioenergy Calculator'!$X$22,BH25,IF($K$2='Bioenergy Calculator'!$X$23,BD25,IF($K$2='Bioenergy Calculator'!$X$19,T25,IF($K$2='Bioenergy Calculator'!$X$20,AB25,IF($K$2='Bioenergy Calculator'!$X$24,'Conversion Tables'!BL25,"NA"))))))</f>
        <v>NA</v>
      </c>
      <c r="L25" s="66" t="str">
        <f>IF($K$2='Bioenergy Calculator'!$X$21,Y25,IF($K$2='Bioenergy Calculator'!$X$22,BI25,IF($K$2='Bioenergy Calculator'!$X$23,BE25,IF($K$2='Bioenergy Calculator'!$X$19,U25,IF($K$2='Bioenergy Calculator'!$X$20,AC25,IF($K$2='Bioenergy Calculator'!$X$24,'Conversion Tables'!BM25,"NA"))))))</f>
        <v>NA</v>
      </c>
      <c r="M25" s="66" t="str">
        <f>IF($K$2='Bioenergy Calculator'!$X$21,Z25,IF($K$2='Bioenergy Calculator'!$X$22,BJ25,IF($K$2='Bioenergy Calculator'!$X$23,BF25,IF($K$2='Bioenergy Calculator'!$X$19,V25,IF($K$2='Bioenergy Calculator'!$X$20,AD25,IF($K$2='Bioenergy Calculator'!$X$24,'Conversion Tables'!BN25,"NA"))))))</f>
        <v>NA</v>
      </c>
      <c r="N25" s="334" t="str">
        <f>IF($K$2='Bioenergy Calculator'!$X$21,AA25,IF($K$2='Bioenergy Calculator'!$X$22,BK25,IF($K$2='Bioenergy Calculator'!$X$23,BG25,IF($K$2='Bioenergy Calculator'!$X$19,W25,IF($K$2='Bioenergy Calculator'!$X$20,AE25,IF($K$2='Bioenergy Calculator'!$X$24,'Conversion Tables'!BO25,"NA"))))))</f>
        <v>NA</v>
      </c>
      <c r="O25" s="84"/>
      <c r="P25" s="68" t="s">
        <v>431</v>
      </c>
      <c r="Q25" s="51" t="s">
        <v>431</v>
      </c>
      <c r="R25" s="51" t="s">
        <v>431</v>
      </c>
      <c r="S25" s="65" t="s">
        <v>431</v>
      </c>
      <c r="T25" s="51" t="s">
        <v>431</v>
      </c>
      <c r="U25" s="51" t="s">
        <v>431</v>
      </c>
      <c r="V25" s="51" t="s">
        <v>431</v>
      </c>
      <c r="W25" s="65" t="s">
        <v>431</v>
      </c>
      <c r="X25" s="252">
        <f>'Fuel Yields Eth. and DA Hydrol.'!I19</f>
        <v>30.772213740458017</v>
      </c>
      <c r="Y25" s="252">
        <f>'Fuel Yields Eth. and DA Hydrol.'!J19</f>
        <v>36.917702838482796</v>
      </c>
      <c r="Z25" s="252">
        <f>'Fuel Yields Eth. and DA Hydrol.'!K19</f>
        <v>42.191660386837476</v>
      </c>
      <c r="AA25" s="255">
        <f>'Fuel Yields Eth. and DA Hydrol.'!L19</f>
        <v>47.465617935192164</v>
      </c>
      <c r="AB25" s="51" t="s">
        <v>431</v>
      </c>
      <c r="AC25" s="51" t="s">
        <v>431</v>
      </c>
      <c r="AD25" s="51" t="s">
        <v>431</v>
      </c>
      <c r="AE25" s="65" t="s">
        <v>431</v>
      </c>
      <c r="AF25" s="668">
        <f>('Energy Content Assumptions'!$B$69/'Technology Assumptions'!B$4)/1000</f>
        <v>13.648</v>
      </c>
      <c r="AG25" s="66">
        <f>('Energy Content Assumptions'!$B$69/'Technology Assumptions'!C$4)/1000</f>
        <v>13.648</v>
      </c>
      <c r="AH25" s="66">
        <f>('Energy Content Assumptions'!$B$69/'Technology Assumptions'!D$4)/1000</f>
        <v>13.648</v>
      </c>
      <c r="AI25" s="69">
        <f>('Energy Content Assumptions'!$B$69/'Technology Assumptions'!E$4)/1000</f>
        <v>13.648</v>
      </c>
      <c r="AJ25" s="66" t="s">
        <v>431</v>
      </c>
      <c r="AK25" s="66" t="s">
        <v>431</v>
      </c>
      <c r="AL25" s="66" t="s">
        <v>431</v>
      </c>
      <c r="AM25" s="69" t="s">
        <v>431</v>
      </c>
      <c r="AN25" s="66">
        <f>('Energy Content Assumptions'!$B$69/'Technology Assumptions'!B$7)/1000</f>
        <v>8.7487179487179496</v>
      </c>
      <c r="AO25" s="66">
        <f>('Energy Content Assumptions'!$B$69/'Technology Assumptions'!C$7)/1000</f>
        <v>8.7487179487179496</v>
      </c>
      <c r="AP25" s="66">
        <f>('Energy Content Assumptions'!$B$69/'Technology Assumptions'!D$7)/1000</f>
        <v>8.7487179487179496</v>
      </c>
      <c r="AQ25" s="69">
        <f>('Energy Content Assumptions'!$B$69/'Technology Assumptions'!E$7)/1000</f>
        <v>8.7487179487179496</v>
      </c>
      <c r="AR25" s="66">
        <f>('Energy Content Assumptions'!$B$69/'Technology Assumptions'!B$6)/1000</f>
        <v>9.7485714285714291</v>
      </c>
      <c r="AS25" s="66">
        <f>('Energy Content Assumptions'!$B$69/'Technology Assumptions'!C$6)/1000</f>
        <v>9.7485714285714291</v>
      </c>
      <c r="AT25" s="66">
        <f>('Energy Content Assumptions'!$B$69/'Technology Assumptions'!D$6)/1000</f>
        <v>9.7485714285714291</v>
      </c>
      <c r="AU25" s="69">
        <f>('Energy Content Assumptions'!$B$69/'Technology Assumptions'!E$6)/1000</f>
        <v>9.7485714285714291</v>
      </c>
      <c r="AV25" s="51" t="s">
        <v>431</v>
      </c>
      <c r="AW25" s="51" t="s">
        <v>431</v>
      </c>
      <c r="AX25" s="51" t="s">
        <v>431</v>
      </c>
      <c r="AY25" s="65" t="s">
        <v>431</v>
      </c>
      <c r="AZ25" s="88">
        <f>('Energy Content Assumptions'!$B$69/'Technology Assumptions'!B$11)/1000</f>
        <v>18.052910052910054</v>
      </c>
      <c r="BA25" s="88">
        <f>('Energy Content Assumptions'!$B$69/'Technology Assumptions'!C$11)/1000</f>
        <v>18.052910052910054</v>
      </c>
      <c r="BB25" s="88">
        <f>('Energy Content Assumptions'!$B$69/'Technology Assumptions'!D$11)/1000</f>
        <v>18.052910052910054</v>
      </c>
      <c r="BC25" s="89">
        <f>('Energy Content Assumptions'!$B$69/'Technology Assumptions'!E$11)/1000</f>
        <v>18.052910052910054</v>
      </c>
      <c r="BD25" s="316">
        <f>'Technology Assumptions'!B$27</f>
        <v>45.6</v>
      </c>
      <c r="BE25" s="316">
        <f>'Technology Assumptions'!C$27</f>
        <v>45.6</v>
      </c>
      <c r="BF25" s="316">
        <f>'Technology Assumptions'!D$27</f>
        <v>45.6</v>
      </c>
      <c r="BG25" s="326">
        <f>'Technology Assumptions'!E$27</f>
        <v>45.6</v>
      </c>
      <c r="BH25" s="252">
        <f>'Fuel Yields Eth. and DA Hydrol.'!$F$19</f>
        <v>31.217708041468196</v>
      </c>
      <c r="BI25" s="252">
        <f>'Fuel Yields Eth. and DA Hydrol.'!$F$19</f>
        <v>31.217708041468196</v>
      </c>
      <c r="BJ25" s="252">
        <f>'Fuel Yields Eth. and DA Hydrol.'!$F$19</f>
        <v>31.217708041468196</v>
      </c>
      <c r="BK25" s="255">
        <f>'Fuel Yields Eth. and DA Hydrol.'!$F$19</f>
        <v>31.217708041468196</v>
      </c>
      <c r="BL25" s="51" t="s">
        <v>431</v>
      </c>
      <c r="BM25" s="51" t="s">
        <v>431</v>
      </c>
      <c r="BN25" s="51" t="s">
        <v>431</v>
      </c>
      <c r="BO25" s="140" t="s">
        <v>431</v>
      </c>
    </row>
    <row r="26" spans="1:67" x14ac:dyDescent="0.25">
      <c r="A26" s="1093"/>
      <c r="B26" s="11" t="s">
        <v>561</v>
      </c>
      <c r="C26" s="32">
        <f>'Energy Content Assumptions'!B23*2000/1000000</f>
        <v>15.6</v>
      </c>
      <c r="D26" s="32" t="s">
        <v>261</v>
      </c>
      <c r="E26" s="119"/>
      <c r="F26" s="333" t="str">
        <f>IF($F$2='Bioenergy Calculator'!$X$9,AF26,IF($F$2='Bioenergy Calculator'!$X$10,AJ26,IF($F$2='Bioenergy Calculator'!$X$11,AN26,IF($F$2='Bioenergy Calculator'!$X$12,P26,IF($F$2='Bioenergy Calculator'!$X$13,AR26,IF($F$2='Bioenergy Calculator'!$X$14,AV26,IF($F$2='Bioenergy Calculator'!$X$15,AZ26,"NA")))))))</f>
        <v>NA</v>
      </c>
      <c r="G26" s="66" t="str">
        <f>IF($F$2='Bioenergy Calculator'!$X$9,AG26,IF($F$2='Bioenergy Calculator'!$X$10,AK26,IF($F$2='Bioenergy Calculator'!$X$11,AO26,IF($F$2='Bioenergy Calculator'!$X$12,Q26,IF($F$2='Bioenergy Calculator'!$X$13,AS26,IF($F$2='Bioenergy Calculator'!$X$14,AW26,IF($F$2='Bioenergy Calculator'!$X$15,BA26,"NA")))))))</f>
        <v>NA</v>
      </c>
      <c r="H26" s="66" t="str">
        <f>IF($F$2='Bioenergy Calculator'!$X$9,AH26,IF($F$2='Bioenergy Calculator'!$X$10,AL26,IF($F$2='Bioenergy Calculator'!$X$11,AP26,IF($F$2='Bioenergy Calculator'!$X$12,R26,IF($F$2='Bioenergy Calculator'!$X$13,AT26,IF($F$2='Bioenergy Calculator'!$X$14,AX26,IF($F$2='Bioenergy Calculator'!$X$15,BB26,"NA")))))))</f>
        <v>NA</v>
      </c>
      <c r="I26" s="334" t="str">
        <f>IF($F$2='Bioenergy Calculator'!$X$9,AI26,IF($F$2='Bioenergy Calculator'!$X$10,AM26,IF($F$2='Bioenergy Calculator'!$X$11,AQ26,IF($F$2='Bioenergy Calculator'!$X$12,S26,IF($F$2='Bioenergy Calculator'!$X$13,AU26,IF($F$2='Bioenergy Calculator'!$X$14,AY26,IF($F$2='Bioenergy Calculator'!$X$15,BC26,"NA")))))))</f>
        <v>NA</v>
      </c>
      <c r="J26" s="117"/>
      <c r="K26" s="333" t="str">
        <f>IF($K$2='Bioenergy Calculator'!$X$21,X26,IF($K$2='Bioenergy Calculator'!$X$22,BH26,IF($K$2='Bioenergy Calculator'!$X$23,BD26,IF($K$2='Bioenergy Calculator'!$X$19,T26,IF($K$2='Bioenergy Calculator'!$X$20,AB26,IF($K$2='Bioenergy Calculator'!$X$24,'Conversion Tables'!BL26,"NA"))))))</f>
        <v>NA</v>
      </c>
      <c r="L26" s="66" t="str">
        <f>IF($K$2='Bioenergy Calculator'!$X$21,Y26,IF($K$2='Bioenergy Calculator'!$X$22,BI26,IF($K$2='Bioenergy Calculator'!$X$23,BE26,IF($K$2='Bioenergy Calculator'!$X$19,U26,IF($K$2='Bioenergy Calculator'!$X$20,AC26,IF($K$2='Bioenergy Calculator'!$X$24,'Conversion Tables'!BM26,"NA"))))))</f>
        <v>NA</v>
      </c>
      <c r="M26" s="66" t="str">
        <f>IF($K$2='Bioenergy Calculator'!$X$21,Z26,IF($K$2='Bioenergy Calculator'!$X$22,BJ26,IF($K$2='Bioenergy Calculator'!$X$23,BF26,IF($K$2='Bioenergy Calculator'!$X$19,V26,IF($K$2='Bioenergy Calculator'!$X$20,AD26,IF($K$2='Bioenergy Calculator'!$X$24,'Conversion Tables'!BN26,"NA"))))))</f>
        <v>NA</v>
      </c>
      <c r="N26" s="334" t="str">
        <f>IF($K$2='Bioenergy Calculator'!$X$21,AA26,IF($K$2='Bioenergy Calculator'!$X$22,BK26,IF($K$2='Bioenergy Calculator'!$X$23,BG26,IF($K$2='Bioenergy Calculator'!$X$19,W26,IF($K$2='Bioenergy Calculator'!$X$20,AE26,IF($K$2='Bioenergy Calculator'!$X$24,'Conversion Tables'!BO26,"NA"))))))</f>
        <v>NA</v>
      </c>
      <c r="O26" s="84"/>
      <c r="P26" s="68" t="s">
        <v>431</v>
      </c>
      <c r="Q26" s="51" t="s">
        <v>431</v>
      </c>
      <c r="R26" s="51" t="s">
        <v>431</v>
      </c>
      <c r="S26" s="65" t="s">
        <v>431</v>
      </c>
      <c r="T26" s="51" t="s">
        <v>431</v>
      </c>
      <c r="U26" s="51" t="s">
        <v>431</v>
      </c>
      <c r="V26" s="51" t="s">
        <v>431</v>
      </c>
      <c r="W26" s="65" t="s">
        <v>431</v>
      </c>
      <c r="X26" s="252">
        <f>'Fuel Yields Eth. and DA Hydrol.'!I19</f>
        <v>30.772213740458017</v>
      </c>
      <c r="Y26" s="252">
        <f>'Fuel Yields Eth. and DA Hydrol.'!J19</f>
        <v>36.917702838482796</v>
      </c>
      <c r="Z26" s="252">
        <f>'Fuel Yields Eth. and DA Hydrol.'!K19</f>
        <v>42.191660386837476</v>
      </c>
      <c r="AA26" s="255">
        <f>'Fuel Yields Eth. and DA Hydrol.'!L19</f>
        <v>47.465617935192164</v>
      </c>
      <c r="AB26" s="51" t="s">
        <v>431</v>
      </c>
      <c r="AC26" s="51" t="s">
        <v>431</v>
      </c>
      <c r="AD26" s="51" t="s">
        <v>431</v>
      </c>
      <c r="AE26" s="65" t="s">
        <v>431</v>
      </c>
      <c r="AF26" s="668">
        <f>('Energy Content Assumptions'!$B$69/'Technology Assumptions'!B$4)/1000</f>
        <v>13.648</v>
      </c>
      <c r="AG26" s="66">
        <f>('Energy Content Assumptions'!$B$69/'Technology Assumptions'!C$4)/1000</f>
        <v>13.648</v>
      </c>
      <c r="AH26" s="66">
        <f>('Energy Content Assumptions'!$B$69/'Technology Assumptions'!D$4)/1000</f>
        <v>13.648</v>
      </c>
      <c r="AI26" s="69">
        <f>('Energy Content Assumptions'!$B$69/'Technology Assumptions'!E$4)/1000</f>
        <v>13.648</v>
      </c>
      <c r="AJ26" s="66" t="s">
        <v>431</v>
      </c>
      <c r="AK26" s="66" t="s">
        <v>431</v>
      </c>
      <c r="AL26" s="66" t="s">
        <v>431</v>
      </c>
      <c r="AM26" s="69" t="s">
        <v>431</v>
      </c>
      <c r="AN26" s="66">
        <f>('Energy Content Assumptions'!$B$69/'Technology Assumptions'!B$7)/1000</f>
        <v>8.7487179487179496</v>
      </c>
      <c r="AO26" s="66">
        <f>('Energy Content Assumptions'!$B$69/'Technology Assumptions'!C$7)/1000</f>
        <v>8.7487179487179496</v>
      </c>
      <c r="AP26" s="66">
        <f>('Energy Content Assumptions'!$B$69/'Technology Assumptions'!D$7)/1000</f>
        <v>8.7487179487179496</v>
      </c>
      <c r="AQ26" s="69">
        <f>('Energy Content Assumptions'!$B$69/'Technology Assumptions'!E$7)/1000</f>
        <v>8.7487179487179496</v>
      </c>
      <c r="AR26" s="66">
        <f>('Energy Content Assumptions'!$B$69/'Technology Assumptions'!B$6)/1000</f>
        <v>9.7485714285714291</v>
      </c>
      <c r="AS26" s="66">
        <f>('Energy Content Assumptions'!$B$69/'Technology Assumptions'!C$6)/1000</f>
        <v>9.7485714285714291</v>
      </c>
      <c r="AT26" s="66">
        <f>('Energy Content Assumptions'!$B$69/'Technology Assumptions'!D$6)/1000</f>
        <v>9.7485714285714291</v>
      </c>
      <c r="AU26" s="69">
        <f>('Energy Content Assumptions'!$B$69/'Technology Assumptions'!E$6)/1000</f>
        <v>9.7485714285714291</v>
      </c>
      <c r="AV26" s="51" t="s">
        <v>431</v>
      </c>
      <c r="AW26" s="51" t="s">
        <v>431</v>
      </c>
      <c r="AX26" s="51" t="s">
        <v>431</v>
      </c>
      <c r="AY26" s="65" t="s">
        <v>431</v>
      </c>
      <c r="AZ26" s="88">
        <f>('Energy Content Assumptions'!$B$69/'Technology Assumptions'!B$11)/1000</f>
        <v>18.052910052910054</v>
      </c>
      <c r="BA26" s="88">
        <f>('Energy Content Assumptions'!$B$69/'Technology Assumptions'!C$11)/1000</f>
        <v>18.052910052910054</v>
      </c>
      <c r="BB26" s="88">
        <f>('Energy Content Assumptions'!$B$69/'Technology Assumptions'!D$11)/1000</f>
        <v>18.052910052910054</v>
      </c>
      <c r="BC26" s="89">
        <f>('Energy Content Assumptions'!$B$69/'Technology Assumptions'!E$11)/1000</f>
        <v>18.052910052910054</v>
      </c>
      <c r="BD26" s="316">
        <f>'Technology Assumptions'!B$27</f>
        <v>45.6</v>
      </c>
      <c r="BE26" s="316">
        <f>'Technology Assumptions'!C$27</f>
        <v>45.6</v>
      </c>
      <c r="BF26" s="316">
        <f>'Technology Assumptions'!D$27</f>
        <v>45.6</v>
      </c>
      <c r="BG26" s="326">
        <f>'Technology Assumptions'!E$27</f>
        <v>45.6</v>
      </c>
      <c r="BH26" s="252">
        <f>'Fuel Yields Eth. and DA Hydrol.'!$F$19</f>
        <v>31.217708041468196</v>
      </c>
      <c r="BI26" s="252">
        <f>'Fuel Yields Eth. and DA Hydrol.'!$F$19</f>
        <v>31.217708041468196</v>
      </c>
      <c r="BJ26" s="252">
        <f>'Fuel Yields Eth. and DA Hydrol.'!$F$19</f>
        <v>31.217708041468196</v>
      </c>
      <c r="BK26" s="255">
        <f>'Fuel Yields Eth. and DA Hydrol.'!$F$19</f>
        <v>31.217708041468196</v>
      </c>
      <c r="BL26" s="51" t="s">
        <v>431</v>
      </c>
      <c r="BM26" s="51" t="s">
        <v>431</v>
      </c>
      <c r="BN26" s="51" t="s">
        <v>431</v>
      </c>
      <c r="BO26" s="140" t="s">
        <v>431</v>
      </c>
    </row>
    <row r="27" spans="1:67" x14ac:dyDescent="0.25">
      <c r="A27" s="1102"/>
      <c r="B27" s="11" t="s">
        <v>562</v>
      </c>
      <c r="C27" s="32">
        <f>'Energy Content Assumptions'!B24*2000/1000000</f>
        <v>17.7</v>
      </c>
      <c r="D27" s="32" t="s">
        <v>261</v>
      </c>
      <c r="E27" s="119"/>
      <c r="F27" s="333" t="str">
        <f>IF($F$2='Bioenergy Calculator'!$X$9,AF27,IF($F$2='Bioenergy Calculator'!$X$10,AJ27,IF($F$2='Bioenergy Calculator'!$X$11,AN27,IF($F$2='Bioenergy Calculator'!$X$12,P27,IF($F$2='Bioenergy Calculator'!$X$13,AR27,IF($F$2='Bioenergy Calculator'!$X$14,AV27,IF($F$2='Bioenergy Calculator'!$X$15,AZ27,"NA")))))))</f>
        <v>NA</v>
      </c>
      <c r="G27" s="66" t="str">
        <f>IF($F$2='Bioenergy Calculator'!$X$9,AG27,IF($F$2='Bioenergy Calculator'!$X$10,AK27,IF($F$2='Bioenergy Calculator'!$X$11,AO27,IF($F$2='Bioenergy Calculator'!$X$12,Q27,IF($F$2='Bioenergy Calculator'!$X$13,AS27,IF($F$2='Bioenergy Calculator'!$X$14,AW27,IF($F$2='Bioenergy Calculator'!$X$15,BA27,"NA")))))))</f>
        <v>NA</v>
      </c>
      <c r="H27" s="66" t="str">
        <f>IF($F$2='Bioenergy Calculator'!$X$9,AH27,IF($F$2='Bioenergy Calculator'!$X$10,AL27,IF($F$2='Bioenergy Calculator'!$X$11,AP27,IF($F$2='Bioenergy Calculator'!$X$12,R27,IF($F$2='Bioenergy Calculator'!$X$13,AT27,IF($F$2='Bioenergy Calculator'!$X$14,AX27,IF($F$2='Bioenergy Calculator'!$X$15,BB27,"NA")))))))</f>
        <v>NA</v>
      </c>
      <c r="I27" s="334" t="str">
        <f>IF($F$2='Bioenergy Calculator'!$X$9,AI27,IF($F$2='Bioenergy Calculator'!$X$10,AM27,IF($F$2='Bioenergy Calculator'!$X$11,AQ27,IF($F$2='Bioenergy Calculator'!$X$12,S27,IF($F$2='Bioenergy Calculator'!$X$13,AU27,IF($F$2='Bioenergy Calculator'!$X$14,AY27,IF($F$2='Bioenergy Calculator'!$X$15,BC27,"NA")))))))</f>
        <v>NA</v>
      </c>
      <c r="J27" s="117"/>
      <c r="K27" s="333" t="str">
        <f>IF($K$2='Bioenergy Calculator'!$X$21,X27,IF($K$2='Bioenergy Calculator'!$X$22,BH27,IF($K$2='Bioenergy Calculator'!$X$23,BD27,IF($K$2='Bioenergy Calculator'!$X$19,T27,IF($K$2='Bioenergy Calculator'!$X$20,AB27,IF($K$2='Bioenergy Calculator'!$X$24,'Conversion Tables'!BL27,"NA"))))))</f>
        <v>NA</v>
      </c>
      <c r="L27" s="66" t="str">
        <f>IF($K$2='Bioenergy Calculator'!$X$21,Y27,IF($K$2='Bioenergy Calculator'!$X$22,BI27,IF($K$2='Bioenergy Calculator'!$X$23,BE27,IF($K$2='Bioenergy Calculator'!$X$19,U27,IF($K$2='Bioenergy Calculator'!$X$20,AC27,IF($K$2='Bioenergy Calculator'!$X$24,'Conversion Tables'!BM27,"NA"))))))</f>
        <v>NA</v>
      </c>
      <c r="M27" s="66" t="str">
        <f>IF($K$2='Bioenergy Calculator'!$X$21,Z27,IF($K$2='Bioenergy Calculator'!$X$22,BJ27,IF($K$2='Bioenergy Calculator'!$X$23,BF27,IF($K$2='Bioenergy Calculator'!$X$19,V27,IF($K$2='Bioenergy Calculator'!$X$20,AD27,IF($K$2='Bioenergy Calculator'!$X$24,'Conversion Tables'!BN27,"NA"))))))</f>
        <v>NA</v>
      </c>
      <c r="N27" s="334" t="str">
        <f>IF($K$2='Bioenergy Calculator'!$X$21,AA27,IF($K$2='Bioenergy Calculator'!$X$22,BK27,IF($K$2='Bioenergy Calculator'!$X$23,BG27,IF($K$2='Bioenergy Calculator'!$X$19,W27,IF($K$2='Bioenergy Calculator'!$X$20,AE27,IF($K$2='Bioenergy Calculator'!$X$24,'Conversion Tables'!BO27,"NA"))))))</f>
        <v>NA</v>
      </c>
      <c r="O27" s="84"/>
      <c r="P27" s="68" t="s">
        <v>431</v>
      </c>
      <c r="Q27" s="51" t="s">
        <v>431</v>
      </c>
      <c r="R27" s="51" t="s">
        <v>431</v>
      </c>
      <c r="S27" s="65" t="s">
        <v>431</v>
      </c>
      <c r="T27" s="51" t="s">
        <v>431</v>
      </c>
      <c r="U27" s="51" t="s">
        <v>431</v>
      </c>
      <c r="V27" s="51" t="s">
        <v>431</v>
      </c>
      <c r="W27" s="65" t="s">
        <v>431</v>
      </c>
      <c r="X27" s="252">
        <f>'Fuel Yields Eth. and DA Hydrol.'!I21</f>
        <v>59.465648854961835</v>
      </c>
      <c r="Y27" s="252">
        <f>'Fuel Yields Eth. and DA Hydrol.'!J21</f>
        <v>71.341476178514611</v>
      </c>
      <c r="Z27" s="252">
        <f>'Fuel Yields Eth. and DA Hydrol.'!K21</f>
        <v>81.533115632588121</v>
      </c>
      <c r="AA27" s="255">
        <f>'Fuel Yields Eth. and DA Hydrol.'!L21</f>
        <v>91.724755086661645</v>
      </c>
      <c r="AB27" s="51" t="s">
        <v>431</v>
      </c>
      <c r="AC27" s="51" t="s">
        <v>431</v>
      </c>
      <c r="AD27" s="51" t="s">
        <v>431</v>
      </c>
      <c r="AE27" s="65" t="s">
        <v>431</v>
      </c>
      <c r="AF27" s="668">
        <f>('Energy Content Assumptions'!$B$69/'Technology Assumptions'!B$4)/1000</f>
        <v>13.648</v>
      </c>
      <c r="AG27" s="66">
        <f>('Energy Content Assumptions'!$B$69/'Technology Assumptions'!C$4)/1000</f>
        <v>13.648</v>
      </c>
      <c r="AH27" s="66">
        <f>('Energy Content Assumptions'!$B$69/'Technology Assumptions'!D$4)/1000</f>
        <v>13.648</v>
      </c>
      <c r="AI27" s="69">
        <f>('Energy Content Assumptions'!$B$69/'Technology Assumptions'!E$4)/1000</f>
        <v>13.648</v>
      </c>
      <c r="AJ27" s="66" t="s">
        <v>431</v>
      </c>
      <c r="AK27" s="66" t="s">
        <v>431</v>
      </c>
      <c r="AL27" s="66" t="s">
        <v>431</v>
      </c>
      <c r="AM27" s="69" t="s">
        <v>431</v>
      </c>
      <c r="AN27" s="66">
        <f>('Energy Content Assumptions'!$B$69/'Technology Assumptions'!B$7)/1000</f>
        <v>8.7487179487179496</v>
      </c>
      <c r="AO27" s="66">
        <f>('Energy Content Assumptions'!$B$69/'Technology Assumptions'!C$7)/1000</f>
        <v>8.7487179487179496</v>
      </c>
      <c r="AP27" s="66">
        <f>('Energy Content Assumptions'!$B$69/'Technology Assumptions'!D$7)/1000</f>
        <v>8.7487179487179496</v>
      </c>
      <c r="AQ27" s="69">
        <f>('Energy Content Assumptions'!$B$69/'Technology Assumptions'!E$7)/1000</f>
        <v>8.7487179487179496</v>
      </c>
      <c r="AR27" s="66">
        <f>('Energy Content Assumptions'!$B$69/'Technology Assumptions'!B$6)/1000</f>
        <v>9.7485714285714291</v>
      </c>
      <c r="AS27" s="66">
        <f>('Energy Content Assumptions'!$B$69/'Technology Assumptions'!C$6)/1000</f>
        <v>9.7485714285714291</v>
      </c>
      <c r="AT27" s="66">
        <f>('Energy Content Assumptions'!$B$69/'Technology Assumptions'!D$6)/1000</f>
        <v>9.7485714285714291</v>
      </c>
      <c r="AU27" s="69">
        <f>('Energy Content Assumptions'!$B$69/'Technology Assumptions'!E$6)/1000</f>
        <v>9.7485714285714291</v>
      </c>
      <c r="AV27" s="51" t="s">
        <v>431</v>
      </c>
      <c r="AW27" s="51" t="s">
        <v>431</v>
      </c>
      <c r="AX27" s="51" t="s">
        <v>431</v>
      </c>
      <c r="AY27" s="65" t="s">
        <v>431</v>
      </c>
      <c r="AZ27" s="88">
        <f>('Energy Content Assumptions'!$B$69/'Technology Assumptions'!B$11)/1000</f>
        <v>18.052910052910054</v>
      </c>
      <c r="BA27" s="88">
        <f>('Energy Content Assumptions'!$B$69/'Technology Assumptions'!C$11)/1000</f>
        <v>18.052910052910054</v>
      </c>
      <c r="BB27" s="88">
        <f>('Energy Content Assumptions'!$B$69/'Technology Assumptions'!D$11)/1000</f>
        <v>18.052910052910054</v>
      </c>
      <c r="BC27" s="89">
        <f>('Energy Content Assumptions'!$B$69/'Technology Assumptions'!E$11)/1000</f>
        <v>18.052910052910054</v>
      </c>
      <c r="BD27" s="316">
        <f>'Technology Assumptions'!B$27</f>
        <v>45.6</v>
      </c>
      <c r="BE27" s="316">
        <f>'Technology Assumptions'!C$27</f>
        <v>45.6</v>
      </c>
      <c r="BF27" s="316">
        <f>'Technology Assumptions'!D$27</f>
        <v>45.6</v>
      </c>
      <c r="BG27" s="326">
        <f>'Technology Assumptions'!E$27</f>
        <v>45.6</v>
      </c>
      <c r="BH27" s="252">
        <f>'Fuel Yields Eth. and DA Hydrol.'!$F$21</f>
        <v>65.788736340711679</v>
      </c>
      <c r="BI27" s="252">
        <f>'Fuel Yields Eth. and DA Hydrol.'!$F$21</f>
        <v>65.788736340711679</v>
      </c>
      <c r="BJ27" s="252">
        <f>'Fuel Yields Eth. and DA Hydrol.'!$F$21</f>
        <v>65.788736340711679</v>
      </c>
      <c r="BK27" s="255">
        <f>'Fuel Yields Eth. and DA Hydrol.'!$F$21</f>
        <v>65.788736340711679</v>
      </c>
      <c r="BL27" s="51" t="s">
        <v>431</v>
      </c>
      <c r="BM27" s="51" t="s">
        <v>431</v>
      </c>
      <c r="BN27" s="51" t="s">
        <v>431</v>
      </c>
      <c r="BO27" s="140" t="s">
        <v>431</v>
      </c>
    </row>
    <row r="28" spans="1:67" x14ac:dyDescent="0.25">
      <c r="A28" s="1092" t="s">
        <v>516</v>
      </c>
      <c r="B28" s="130" t="str">
        <f>'Bioenergy Calculator'!B34</f>
        <v>Solid wastes - Landfilled</v>
      </c>
      <c r="C28" s="32"/>
      <c r="D28" s="32"/>
      <c r="E28" s="119"/>
      <c r="F28" s="333"/>
      <c r="G28" s="66"/>
      <c r="H28" s="66"/>
      <c r="I28" s="334"/>
      <c r="J28" s="117"/>
      <c r="K28" s="333"/>
      <c r="L28" s="66"/>
      <c r="M28" s="66"/>
      <c r="N28" s="334"/>
      <c r="O28" s="84"/>
      <c r="P28" s="68"/>
      <c r="Q28" s="51"/>
      <c r="R28" s="51"/>
      <c r="S28" s="65"/>
      <c r="T28" s="51"/>
      <c r="U28" s="51"/>
      <c r="V28" s="51"/>
      <c r="W28" s="65"/>
      <c r="X28" s="146"/>
      <c r="Y28" s="146"/>
      <c r="Z28" s="146"/>
      <c r="AA28" s="257"/>
      <c r="AB28" s="51"/>
      <c r="AC28" s="51"/>
      <c r="AD28" s="51"/>
      <c r="AE28" s="65"/>
      <c r="AF28" s="68"/>
      <c r="AG28" s="51"/>
      <c r="AH28" s="51"/>
      <c r="AI28" s="65"/>
      <c r="AJ28" s="51"/>
      <c r="AK28" s="51"/>
      <c r="AL28" s="51"/>
      <c r="AM28" s="65"/>
      <c r="AN28" s="66"/>
      <c r="AO28" s="66"/>
      <c r="AP28" s="66"/>
      <c r="AQ28" s="69"/>
      <c r="AR28" s="51"/>
      <c r="AS28" s="51"/>
      <c r="AT28" s="51"/>
      <c r="AU28" s="65"/>
      <c r="AV28" s="74"/>
      <c r="AW28" s="74"/>
      <c r="AX28" s="74"/>
      <c r="AY28" s="75"/>
      <c r="AZ28" s="51"/>
      <c r="BA28" s="51"/>
      <c r="BB28" s="51"/>
      <c r="BC28" s="65"/>
      <c r="BD28" s="316"/>
      <c r="BE28" s="316"/>
      <c r="BF28" s="316"/>
      <c r="BG28" s="326"/>
      <c r="BH28" s="146"/>
      <c r="BI28" s="146"/>
      <c r="BJ28" s="146"/>
      <c r="BK28" s="257"/>
      <c r="BL28" s="51"/>
      <c r="BM28" s="51"/>
      <c r="BN28" s="51"/>
      <c r="BO28" s="140"/>
    </row>
    <row r="29" spans="1:67" x14ac:dyDescent="0.25">
      <c r="A29" s="1093"/>
      <c r="B29" s="11" t="str">
        <f>'Bioenergy Calculator'!B35</f>
        <v>Food waste, Landfilled</v>
      </c>
      <c r="C29" s="32">
        <f>'Energy Content Assumptions'!B26*2000/1000000</f>
        <v>16</v>
      </c>
      <c r="D29" s="32" t="s">
        <v>261</v>
      </c>
      <c r="E29" s="119"/>
      <c r="F29" s="333" t="str">
        <f>IF($F$2='Bioenergy Calculator'!$X$9,AF29,IF($F$2='Bioenergy Calculator'!$X$10,AJ29,IF($F$2='Bioenergy Calculator'!$X$11,AN29,IF($F$2='Bioenergy Calculator'!$X$12,P29,IF($F$2='Bioenergy Calculator'!$X$13,AR29,IF($F$2='Bioenergy Calculator'!$X$14,AV29,IF($F$2='Bioenergy Calculator'!$X$15,AZ29,"NA")))))))</f>
        <v>NA</v>
      </c>
      <c r="G29" s="66" t="str">
        <f>IF($F$2='Bioenergy Calculator'!$X$9,AG29,IF($F$2='Bioenergy Calculator'!$X$10,AK29,IF($F$2='Bioenergy Calculator'!$X$11,AO29,IF($F$2='Bioenergy Calculator'!$X$12,Q29,IF($F$2='Bioenergy Calculator'!$X$13,AS29,IF($F$2='Bioenergy Calculator'!$X$14,AW29,IF($F$2='Bioenergy Calculator'!$X$15,BA29,"NA")))))))</f>
        <v>NA</v>
      </c>
      <c r="H29" s="66" t="str">
        <f>IF($F$2='Bioenergy Calculator'!$X$9,AH29,IF($F$2='Bioenergy Calculator'!$X$10,AL29,IF($F$2='Bioenergy Calculator'!$X$11,AP29,IF($F$2='Bioenergy Calculator'!$X$12,R29,IF($F$2='Bioenergy Calculator'!$X$13,AT29,IF($F$2='Bioenergy Calculator'!$X$14,AX29,IF($F$2='Bioenergy Calculator'!$X$15,BB29,"NA")))))))</f>
        <v>NA</v>
      </c>
      <c r="I29" s="334" t="str">
        <f>IF($F$2='Bioenergy Calculator'!$X$9,AI29,IF($F$2='Bioenergy Calculator'!$X$10,AM29,IF($F$2='Bioenergy Calculator'!$X$11,AQ29,IF($F$2='Bioenergy Calculator'!$X$12,S29,IF($F$2='Bioenergy Calculator'!$X$13,AU29,IF($F$2='Bioenergy Calculator'!$X$14,AY29,IF($F$2='Bioenergy Calculator'!$X$15,BC29,"NA")))))))</f>
        <v>NA</v>
      </c>
      <c r="J29" s="117"/>
      <c r="K29" s="333" t="str">
        <f>IF($K$2='Bioenergy Calculator'!$X$21,X29,IF($K$2='Bioenergy Calculator'!$X$22,BH29,IF($K$2='Bioenergy Calculator'!$X$23,BD29,IF($K$2='Bioenergy Calculator'!$X$19,T29,IF($K$2='Bioenergy Calculator'!$X$20,AB29,IF($K$2='Bioenergy Calculator'!$X$24,'Conversion Tables'!BL29,"NA"))))))</f>
        <v>NA</v>
      </c>
      <c r="L29" s="66" t="str">
        <f>IF($K$2='Bioenergy Calculator'!$X$21,Y29,IF($K$2='Bioenergy Calculator'!$X$22,BI29,IF($K$2='Bioenergy Calculator'!$X$23,BE29,IF($K$2='Bioenergy Calculator'!$X$19,U29,IF($K$2='Bioenergy Calculator'!$X$20,AC29,IF($K$2='Bioenergy Calculator'!$X$24,'Conversion Tables'!BM29,"NA"))))))</f>
        <v>NA</v>
      </c>
      <c r="M29" s="66" t="str">
        <f>IF($K$2='Bioenergy Calculator'!$X$21,Z29,IF($K$2='Bioenergy Calculator'!$X$22,BJ29,IF($K$2='Bioenergy Calculator'!$X$23,BF29,IF($K$2='Bioenergy Calculator'!$X$19,V29,IF($K$2='Bioenergy Calculator'!$X$20,AD29,IF($K$2='Bioenergy Calculator'!$X$24,'Conversion Tables'!BN29,"NA"))))))</f>
        <v>NA</v>
      </c>
      <c r="N29" s="334" t="str">
        <f>IF($K$2='Bioenergy Calculator'!$X$21,AA29,IF($K$2='Bioenergy Calculator'!$X$22,BK29,IF($K$2='Bioenergy Calculator'!$X$23,BG29,IF($K$2='Bioenergy Calculator'!$X$19,W29,IF($K$2='Bioenergy Calculator'!$X$20,AE29,IF($K$2='Bioenergy Calculator'!$X$24,'Conversion Tables'!BO29,"NA"))))))</f>
        <v>NA</v>
      </c>
      <c r="O29" s="84"/>
      <c r="P29" s="77">
        <f>('Energy Content Assumptions'!$B$69/'Technology Assumptions'!B$8)/1000</f>
        <v>12.998095238095237</v>
      </c>
      <c r="Q29" s="78">
        <f>('Energy Content Assumptions'!$B$69/'Technology Assumptions'!C$8)/1000</f>
        <v>12.998095238095237</v>
      </c>
      <c r="R29" s="78">
        <f>('Energy Content Assumptions'!$B$69/'Technology Assumptions'!D$8)/1000</f>
        <v>12.998095238095237</v>
      </c>
      <c r="S29" s="79">
        <f>('Energy Content Assumptions'!$B$69/'Technology Assumptions'!E$8)/1000</f>
        <v>12.998095238095237</v>
      </c>
      <c r="T29" s="51" t="s">
        <v>431</v>
      </c>
      <c r="U29" s="51" t="s">
        <v>431</v>
      </c>
      <c r="V29" s="51" t="s">
        <v>431</v>
      </c>
      <c r="W29" s="65" t="s">
        <v>431</v>
      </c>
      <c r="X29" s="146" t="s">
        <v>431</v>
      </c>
      <c r="Y29" s="146" t="s">
        <v>431</v>
      </c>
      <c r="Z29" s="146" t="s">
        <v>431</v>
      </c>
      <c r="AA29" s="257" t="s">
        <v>431</v>
      </c>
      <c r="AB29" s="51" t="s">
        <v>431</v>
      </c>
      <c r="AC29" s="51" t="s">
        <v>431</v>
      </c>
      <c r="AD29" s="51" t="s">
        <v>431</v>
      </c>
      <c r="AE29" s="65" t="s">
        <v>431</v>
      </c>
      <c r="AF29" s="68" t="s">
        <v>431</v>
      </c>
      <c r="AG29" s="51" t="s">
        <v>431</v>
      </c>
      <c r="AH29" s="51" t="s">
        <v>431</v>
      </c>
      <c r="AI29" s="65" t="s">
        <v>431</v>
      </c>
      <c r="AJ29" s="66" t="s">
        <v>431</v>
      </c>
      <c r="AK29" s="66" t="s">
        <v>431</v>
      </c>
      <c r="AL29" s="66" t="s">
        <v>431</v>
      </c>
      <c r="AM29" s="69" t="s">
        <v>431</v>
      </c>
      <c r="AN29" s="51" t="s">
        <v>431</v>
      </c>
      <c r="AO29" s="51" t="s">
        <v>431</v>
      </c>
      <c r="AP29" s="51" t="s">
        <v>431</v>
      </c>
      <c r="AQ29" s="65" t="s">
        <v>431</v>
      </c>
      <c r="AR29" s="74" t="s">
        <v>431</v>
      </c>
      <c r="AS29" s="74" t="s">
        <v>431</v>
      </c>
      <c r="AT29" s="74" t="s">
        <v>431</v>
      </c>
      <c r="AU29" s="75" t="s">
        <v>431</v>
      </c>
      <c r="AV29" s="51" t="s">
        <v>431</v>
      </c>
      <c r="AW29" s="51" t="s">
        <v>431</v>
      </c>
      <c r="AX29" s="51" t="s">
        <v>431</v>
      </c>
      <c r="AY29" s="65" t="s">
        <v>431</v>
      </c>
      <c r="AZ29" s="74" t="s">
        <v>431</v>
      </c>
      <c r="BA29" s="74" t="s">
        <v>431</v>
      </c>
      <c r="BB29" s="74" t="s">
        <v>431</v>
      </c>
      <c r="BC29" s="75" t="s">
        <v>431</v>
      </c>
      <c r="BD29" s="316">
        <f>'Technology Assumptions'!B$28</f>
        <v>41.4</v>
      </c>
      <c r="BE29" s="316">
        <f>'Technology Assumptions'!C$28</f>
        <v>41.4</v>
      </c>
      <c r="BF29" s="316">
        <f>'Technology Assumptions'!D$28</f>
        <v>41.4</v>
      </c>
      <c r="BG29" s="326">
        <f>'Technology Assumptions'!E$28</f>
        <v>41.4</v>
      </c>
      <c r="BH29" s="259">
        <f>'Fuel Yields Eth. and DA Hydrol.'!$F$20</f>
        <v>53.088260016811432</v>
      </c>
      <c r="BI29" s="259">
        <f>'Fuel Yields Eth. and DA Hydrol.'!$F$20</f>
        <v>53.088260016811432</v>
      </c>
      <c r="BJ29" s="259">
        <f>'Fuel Yields Eth. and DA Hydrol.'!$F$20</f>
        <v>53.088260016811432</v>
      </c>
      <c r="BK29" s="325">
        <f>'Fuel Yields Eth. and DA Hydrol.'!$F$20</f>
        <v>53.088260016811432</v>
      </c>
      <c r="BL29" s="78">
        <f>'Technology Assumptions'!B$30*$C29</f>
        <v>77.207656425928903</v>
      </c>
      <c r="BM29" s="78">
        <f>'Technology Assumptions'!C$30*$C29</f>
        <v>77.207656425928903</v>
      </c>
      <c r="BN29" s="78">
        <f>'Technology Assumptions'!D$30*$C29</f>
        <v>77.207656425928903</v>
      </c>
      <c r="BO29" s="239">
        <f>'Technology Assumptions'!E$30*$C29</f>
        <v>77.207656425928903</v>
      </c>
    </row>
    <row r="30" spans="1:67" x14ac:dyDescent="0.25">
      <c r="A30" s="1093"/>
      <c r="B30" s="11" t="str">
        <f>'Bioenergy Calculator'!B36</f>
        <v>Waste paper, Landfilled</v>
      </c>
      <c r="C30" s="32">
        <f>'Energy Content Assumptions'!B27*2000/1000000</f>
        <v>14.522</v>
      </c>
      <c r="D30" s="32" t="s">
        <v>261</v>
      </c>
      <c r="E30" s="119"/>
      <c r="F30" s="333" t="str">
        <f>IF($F$2='Bioenergy Calculator'!$X$9,AF30,IF($F$2='Bioenergy Calculator'!$X$10,AJ30,IF($F$2='Bioenergy Calculator'!$X$11,AN30,IF($F$2='Bioenergy Calculator'!$X$12,P30,IF($F$2='Bioenergy Calculator'!$X$13,AR30,IF($F$2='Bioenergy Calculator'!$X$14,AV30,IF($F$2='Bioenergy Calculator'!$X$15,AZ30,"NA")))))))</f>
        <v>NA</v>
      </c>
      <c r="G30" s="66" t="str">
        <f>IF($F$2='Bioenergy Calculator'!$X$9,AG30,IF($F$2='Bioenergy Calculator'!$X$10,AK30,IF($F$2='Bioenergy Calculator'!$X$11,AO30,IF($F$2='Bioenergy Calculator'!$X$12,Q30,IF($F$2='Bioenergy Calculator'!$X$13,AS30,IF($F$2='Bioenergy Calculator'!$X$14,AW30,IF($F$2='Bioenergy Calculator'!$X$15,BA30,"NA")))))))</f>
        <v>NA</v>
      </c>
      <c r="H30" s="66" t="str">
        <f>IF($F$2='Bioenergy Calculator'!$X$9,AH30,IF($F$2='Bioenergy Calculator'!$X$10,AL30,IF($F$2='Bioenergy Calculator'!$X$11,AP30,IF($F$2='Bioenergy Calculator'!$X$12,R30,IF($F$2='Bioenergy Calculator'!$X$13,AT30,IF($F$2='Bioenergy Calculator'!$X$14,AX30,IF($F$2='Bioenergy Calculator'!$X$15,BB30,"NA")))))))</f>
        <v>NA</v>
      </c>
      <c r="I30" s="334" t="str">
        <f>IF($F$2='Bioenergy Calculator'!$X$9,AI30,IF($F$2='Bioenergy Calculator'!$X$10,AM30,IF($F$2='Bioenergy Calculator'!$X$11,AQ30,IF($F$2='Bioenergy Calculator'!$X$12,S30,IF($F$2='Bioenergy Calculator'!$X$13,AU30,IF($F$2='Bioenergy Calculator'!$X$14,AY30,IF($F$2='Bioenergy Calculator'!$X$15,BC30,"NA")))))))</f>
        <v>NA</v>
      </c>
      <c r="J30" s="117"/>
      <c r="K30" s="333" t="str">
        <f>IF($K$2='Bioenergy Calculator'!$X$21,X30,IF($K$2='Bioenergy Calculator'!$X$22,BH30,IF($K$2='Bioenergy Calculator'!$X$23,BD30,IF($K$2='Bioenergy Calculator'!$X$19,T30,IF($K$2='Bioenergy Calculator'!$X$20,AB30,IF($K$2='Bioenergy Calculator'!$X$24,'Conversion Tables'!BL30,"NA"))))))</f>
        <v>NA</v>
      </c>
      <c r="L30" s="66" t="str">
        <f>IF($K$2='Bioenergy Calculator'!$X$21,Y30,IF($K$2='Bioenergy Calculator'!$X$22,BI30,IF($K$2='Bioenergy Calculator'!$X$23,BE30,IF($K$2='Bioenergy Calculator'!$X$19,U30,IF($K$2='Bioenergy Calculator'!$X$20,AC30,IF($K$2='Bioenergy Calculator'!$X$24,'Conversion Tables'!BM30,"NA"))))))</f>
        <v>NA</v>
      </c>
      <c r="M30" s="66" t="str">
        <f>IF($K$2='Bioenergy Calculator'!$X$21,Z30,IF($K$2='Bioenergy Calculator'!$X$22,BJ30,IF($K$2='Bioenergy Calculator'!$X$23,BF30,IF($K$2='Bioenergy Calculator'!$X$19,V30,IF($K$2='Bioenergy Calculator'!$X$20,AD30,IF($K$2='Bioenergy Calculator'!$X$24,'Conversion Tables'!BN30,"NA"))))))</f>
        <v>NA</v>
      </c>
      <c r="N30" s="334" t="str">
        <f>IF($K$2='Bioenergy Calculator'!$X$21,AA30,IF($K$2='Bioenergy Calculator'!$X$22,BK30,IF($K$2='Bioenergy Calculator'!$X$23,BG30,IF($K$2='Bioenergy Calculator'!$X$19,W30,IF($K$2='Bioenergy Calculator'!$X$20,AE30,IF($K$2='Bioenergy Calculator'!$X$24,'Conversion Tables'!BO30,"NA"))))))</f>
        <v>NA</v>
      </c>
      <c r="O30" s="84"/>
      <c r="P30" s="68" t="s">
        <v>431</v>
      </c>
      <c r="Q30" s="51" t="s">
        <v>431</v>
      </c>
      <c r="R30" s="51" t="s">
        <v>431</v>
      </c>
      <c r="S30" s="65" t="s">
        <v>431</v>
      </c>
      <c r="T30" s="51" t="s">
        <v>431</v>
      </c>
      <c r="U30" s="51" t="s">
        <v>431</v>
      </c>
      <c r="V30" s="51" t="s">
        <v>431</v>
      </c>
      <c r="W30" s="65" t="s">
        <v>431</v>
      </c>
      <c r="X30" s="252">
        <f>'Fuel Yields Eth. and DA Hydrol.'!I26</f>
        <v>58.812900763358769</v>
      </c>
      <c r="Y30" s="252">
        <f>'Fuel Yields Eth. and DA Hydrol.'!J26</f>
        <v>70.558368395712961</v>
      </c>
      <c r="Z30" s="252">
        <f>'Fuel Yields Eth. and DA Hydrol.'!K26</f>
        <v>80.638135309386243</v>
      </c>
      <c r="AA30" s="255">
        <f>'Fuel Yields Eth. and DA Hydrol.'!L26</f>
        <v>90.717902223059511</v>
      </c>
      <c r="AB30" s="51" t="s">
        <v>431</v>
      </c>
      <c r="AC30" s="51" t="s">
        <v>431</v>
      </c>
      <c r="AD30" s="51" t="s">
        <v>431</v>
      </c>
      <c r="AE30" s="65" t="s">
        <v>431</v>
      </c>
      <c r="AF30" s="668">
        <f>('Energy Content Assumptions'!$B$69/'Technology Assumptions'!B$4)/1000</f>
        <v>13.648</v>
      </c>
      <c r="AG30" s="66">
        <f>('Energy Content Assumptions'!$B$69/'Technology Assumptions'!C$4)/1000</f>
        <v>13.648</v>
      </c>
      <c r="AH30" s="66">
        <f>('Energy Content Assumptions'!$B$69/'Technology Assumptions'!D$4)/1000</f>
        <v>13.648</v>
      </c>
      <c r="AI30" s="69">
        <f>('Energy Content Assumptions'!$B$69/'Technology Assumptions'!E$4)/1000</f>
        <v>13.648</v>
      </c>
      <c r="AJ30" s="66" t="s">
        <v>431</v>
      </c>
      <c r="AK30" s="66" t="s">
        <v>431</v>
      </c>
      <c r="AL30" s="66" t="s">
        <v>431</v>
      </c>
      <c r="AM30" s="69" t="s">
        <v>431</v>
      </c>
      <c r="AN30" s="51" t="s">
        <v>431</v>
      </c>
      <c r="AO30" s="51" t="s">
        <v>431</v>
      </c>
      <c r="AP30" s="51" t="s">
        <v>431</v>
      </c>
      <c r="AQ30" s="65" t="s">
        <v>431</v>
      </c>
      <c r="AR30" s="66">
        <f>('Energy Content Assumptions'!$B$69/'Technology Assumptions'!B$6)/1000</f>
        <v>9.7485714285714291</v>
      </c>
      <c r="AS30" s="66">
        <f>('Energy Content Assumptions'!$B$69/'Technology Assumptions'!C$6)/1000</f>
        <v>9.7485714285714291</v>
      </c>
      <c r="AT30" s="66">
        <f>('Energy Content Assumptions'!$B$69/'Technology Assumptions'!D$6)/1000</f>
        <v>9.7485714285714291</v>
      </c>
      <c r="AU30" s="69">
        <f>('Energy Content Assumptions'!$B$69/'Technology Assumptions'!E$6)/1000</f>
        <v>9.7485714285714291</v>
      </c>
      <c r="AV30" s="51" t="s">
        <v>431</v>
      </c>
      <c r="AW30" s="51" t="s">
        <v>431</v>
      </c>
      <c r="AX30" s="51" t="s">
        <v>431</v>
      </c>
      <c r="AY30" s="65" t="s">
        <v>431</v>
      </c>
      <c r="AZ30" s="78">
        <f>('Energy Content Assumptions'!$B$69/'Technology Assumptions'!B$11)/1000</f>
        <v>18.052910052910054</v>
      </c>
      <c r="BA30" s="78">
        <f>('Energy Content Assumptions'!$B$69/'Technology Assumptions'!C$11)/1000</f>
        <v>18.052910052910054</v>
      </c>
      <c r="BB30" s="78">
        <f>('Energy Content Assumptions'!$B$69/'Technology Assumptions'!D$11)/1000</f>
        <v>18.052910052910054</v>
      </c>
      <c r="BC30" s="79">
        <f>('Energy Content Assumptions'!$B$69/'Technology Assumptions'!E$11)/1000</f>
        <v>18.052910052910054</v>
      </c>
      <c r="BD30" s="316">
        <f>'Technology Assumptions'!B$27</f>
        <v>45.6</v>
      </c>
      <c r="BE30" s="316">
        <f>'Technology Assumptions'!C$27</f>
        <v>45.6</v>
      </c>
      <c r="BF30" s="316">
        <f>'Technology Assumptions'!D$27</f>
        <v>45.6</v>
      </c>
      <c r="BG30" s="326">
        <f>'Technology Assumptions'!E$27</f>
        <v>45.6</v>
      </c>
      <c r="BH30" s="259">
        <f>'Fuel Yields Eth. and DA Hydrol.'!$F$26</f>
        <v>52.427570748108707</v>
      </c>
      <c r="BI30" s="259">
        <f>'Fuel Yields Eth. and DA Hydrol.'!$F$26</f>
        <v>52.427570748108707</v>
      </c>
      <c r="BJ30" s="259">
        <f>'Fuel Yields Eth. and DA Hydrol.'!$F$26</f>
        <v>52.427570748108707</v>
      </c>
      <c r="BK30" s="325">
        <f>'Fuel Yields Eth. and DA Hydrol.'!$F$26</f>
        <v>52.427570748108707</v>
      </c>
      <c r="BL30" s="51" t="s">
        <v>431</v>
      </c>
      <c r="BM30" s="51" t="s">
        <v>431</v>
      </c>
      <c r="BN30" s="51" t="s">
        <v>431</v>
      </c>
      <c r="BO30" s="140" t="s">
        <v>431</v>
      </c>
    </row>
    <row r="31" spans="1:67" x14ac:dyDescent="0.25">
      <c r="A31" s="1093"/>
      <c r="B31" s="11" t="str">
        <f>'Bioenergy Calculator'!B37</f>
        <v>Other Biomass, Landfilled</v>
      </c>
      <c r="C31" s="32">
        <f>'Energy Content Assumptions'!B28*2000/1000000</f>
        <v>14.522</v>
      </c>
      <c r="D31" s="32" t="s">
        <v>261</v>
      </c>
      <c r="E31" s="119"/>
      <c r="F31" s="333" t="str">
        <f>IF($F$2='Bioenergy Calculator'!$X$9,AF31,IF($F$2='Bioenergy Calculator'!$X$10,AJ31,IF($F$2='Bioenergy Calculator'!$X$11,AN31,IF($F$2='Bioenergy Calculator'!$X$12,P31,IF($F$2='Bioenergy Calculator'!$X$13,AR31,IF($F$2='Bioenergy Calculator'!$X$14,AV31,IF($F$2='Bioenergy Calculator'!$X$15,AZ31,"NA")))))))</f>
        <v>NA</v>
      </c>
      <c r="G31" s="66" t="str">
        <f>IF($F$2='Bioenergy Calculator'!$X$9,AG31,IF($F$2='Bioenergy Calculator'!$X$10,AK31,IF($F$2='Bioenergy Calculator'!$X$11,AO31,IF($F$2='Bioenergy Calculator'!$X$12,Q31,IF($F$2='Bioenergy Calculator'!$X$13,AS31,IF($F$2='Bioenergy Calculator'!$X$14,AW31,IF($F$2='Bioenergy Calculator'!$X$15,BA31,"NA")))))))</f>
        <v>NA</v>
      </c>
      <c r="H31" s="66" t="str">
        <f>IF($F$2='Bioenergy Calculator'!$X$9,AH31,IF($F$2='Bioenergy Calculator'!$X$10,AL31,IF($F$2='Bioenergy Calculator'!$X$11,AP31,IF($F$2='Bioenergy Calculator'!$X$12,R31,IF($F$2='Bioenergy Calculator'!$X$13,AT31,IF($F$2='Bioenergy Calculator'!$X$14,AX31,IF($F$2='Bioenergy Calculator'!$X$15,BB31,"NA")))))))</f>
        <v>NA</v>
      </c>
      <c r="I31" s="334" t="str">
        <f>IF($F$2='Bioenergy Calculator'!$X$9,AI31,IF($F$2='Bioenergy Calculator'!$X$10,AM31,IF($F$2='Bioenergy Calculator'!$X$11,AQ31,IF($F$2='Bioenergy Calculator'!$X$12,S31,IF($F$2='Bioenergy Calculator'!$X$13,AU31,IF($F$2='Bioenergy Calculator'!$X$14,AY31,IF($F$2='Bioenergy Calculator'!$X$15,BC31,"NA")))))))</f>
        <v>NA</v>
      </c>
      <c r="J31" s="117"/>
      <c r="K31" s="333" t="str">
        <f>IF($K$2='Bioenergy Calculator'!$X$21,X31,IF($K$2='Bioenergy Calculator'!$X$22,BH31,IF($K$2='Bioenergy Calculator'!$X$23,BD31,IF($K$2='Bioenergy Calculator'!$X$19,T31,IF($K$2='Bioenergy Calculator'!$X$20,AB31,IF($K$2='Bioenergy Calculator'!$X$24,'Conversion Tables'!BL31,"NA"))))))</f>
        <v>NA</v>
      </c>
      <c r="L31" s="66" t="str">
        <f>IF($K$2='Bioenergy Calculator'!$X$21,Y31,IF($K$2='Bioenergy Calculator'!$X$22,BI31,IF($K$2='Bioenergy Calculator'!$X$23,BE31,IF($K$2='Bioenergy Calculator'!$X$19,U31,IF($K$2='Bioenergy Calculator'!$X$20,AC31,IF($K$2='Bioenergy Calculator'!$X$24,'Conversion Tables'!BM31,"NA"))))))</f>
        <v>NA</v>
      </c>
      <c r="M31" s="66" t="str">
        <f>IF($K$2='Bioenergy Calculator'!$X$21,Z31,IF($K$2='Bioenergy Calculator'!$X$22,BJ31,IF($K$2='Bioenergy Calculator'!$X$23,BF31,IF($K$2='Bioenergy Calculator'!$X$19,V31,IF($K$2='Bioenergy Calculator'!$X$20,AD31,IF($K$2='Bioenergy Calculator'!$X$24,'Conversion Tables'!BN31,"NA"))))))</f>
        <v>NA</v>
      </c>
      <c r="N31" s="334" t="str">
        <f>IF($K$2='Bioenergy Calculator'!$X$21,AA31,IF($K$2='Bioenergy Calculator'!$X$22,BK31,IF($K$2='Bioenergy Calculator'!$X$23,BG31,IF($K$2='Bioenergy Calculator'!$X$19,W31,IF($K$2='Bioenergy Calculator'!$X$20,AE31,IF($K$2='Bioenergy Calculator'!$X$24,'Conversion Tables'!BO31,"NA"))))))</f>
        <v>NA</v>
      </c>
      <c r="O31" s="84"/>
      <c r="P31" s="68" t="s">
        <v>431</v>
      </c>
      <c r="Q31" s="51" t="s">
        <v>431</v>
      </c>
      <c r="R31" s="51" t="s">
        <v>431</v>
      </c>
      <c r="S31" s="65" t="s">
        <v>431</v>
      </c>
      <c r="T31" s="51" t="s">
        <v>431</v>
      </c>
      <c r="U31" s="51" t="s">
        <v>431</v>
      </c>
      <c r="V31" s="51" t="s">
        <v>431</v>
      </c>
      <c r="W31" s="65" t="s">
        <v>431</v>
      </c>
      <c r="X31" s="146" t="s">
        <v>431</v>
      </c>
      <c r="Y31" s="146" t="s">
        <v>431</v>
      </c>
      <c r="Z31" s="146" t="s">
        <v>431</v>
      </c>
      <c r="AA31" s="257" t="s">
        <v>431</v>
      </c>
      <c r="AB31" s="51" t="s">
        <v>431</v>
      </c>
      <c r="AC31" s="51" t="s">
        <v>431</v>
      </c>
      <c r="AD31" s="51" t="s">
        <v>431</v>
      </c>
      <c r="AE31" s="51" t="s">
        <v>431</v>
      </c>
      <c r="AF31" s="668">
        <f>('Energy Content Assumptions'!$B$69/'Technology Assumptions'!B$4)/1000</f>
        <v>13.648</v>
      </c>
      <c r="AG31" s="66">
        <f>('Energy Content Assumptions'!$B$69/'Technology Assumptions'!C$4)/1000</f>
        <v>13.648</v>
      </c>
      <c r="AH31" s="66">
        <f>('Energy Content Assumptions'!$B$69/'Technology Assumptions'!D$4)/1000</f>
        <v>13.648</v>
      </c>
      <c r="AI31" s="69">
        <f>('Energy Content Assumptions'!$B$69/'Technology Assumptions'!E$4)/1000</f>
        <v>13.648</v>
      </c>
      <c r="AJ31" s="66" t="s">
        <v>431</v>
      </c>
      <c r="AK31" s="66" t="s">
        <v>431</v>
      </c>
      <c r="AL31" s="66" t="s">
        <v>431</v>
      </c>
      <c r="AM31" s="69" t="s">
        <v>431</v>
      </c>
      <c r="AN31" s="51" t="s">
        <v>431</v>
      </c>
      <c r="AO31" s="51" t="s">
        <v>431</v>
      </c>
      <c r="AP31" s="51" t="s">
        <v>431</v>
      </c>
      <c r="AQ31" s="65" t="s">
        <v>431</v>
      </c>
      <c r="AR31" s="66">
        <f>('Energy Content Assumptions'!$B$69/'Technology Assumptions'!B$6)/1000</f>
        <v>9.7485714285714291</v>
      </c>
      <c r="AS31" s="66">
        <f>('Energy Content Assumptions'!$B$69/'Technology Assumptions'!C$6)/1000</f>
        <v>9.7485714285714291</v>
      </c>
      <c r="AT31" s="66">
        <f>('Energy Content Assumptions'!$B$69/'Technology Assumptions'!D$6)/1000</f>
        <v>9.7485714285714291</v>
      </c>
      <c r="AU31" s="69">
        <f>('Energy Content Assumptions'!$B$69/'Technology Assumptions'!E$6)/1000</f>
        <v>9.7485714285714291</v>
      </c>
      <c r="AV31" s="51" t="s">
        <v>431</v>
      </c>
      <c r="AW31" s="51" t="s">
        <v>431</v>
      </c>
      <c r="AX31" s="51" t="s">
        <v>431</v>
      </c>
      <c r="AY31" s="65" t="s">
        <v>431</v>
      </c>
      <c r="AZ31" s="88">
        <f>('Energy Content Assumptions'!$B$69/'Technology Assumptions'!B$11)/1000</f>
        <v>18.052910052910054</v>
      </c>
      <c r="BA31" s="88">
        <f>('Energy Content Assumptions'!$B$69/'Technology Assumptions'!C$11)/1000</f>
        <v>18.052910052910054</v>
      </c>
      <c r="BB31" s="88">
        <f>('Energy Content Assumptions'!$B$69/'Technology Assumptions'!D$11)/1000</f>
        <v>18.052910052910054</v>
      </c>
      <c r="BC31" s="89">
        <f>('Energy Content Assumptions'!$B$69/'Technology Assumptions'!E$11)/1000</f>
        <v>18.052910052910054</v>
      </c>
      <c r="BD31" s="316">
        <f>'Technology Assumptions'!B$27</f>
        <v>45.6</v>
      </c>
      <c r="BE31" s="316">
        <f>'Technology Assumptions'!C$27</f>
        <v>45.6</v>
      </c>
      <c r="BF31" s="316">
        <f>'Technology Assumptions'!D$27</f>
        <v>45.6</v>
      </c>
      <c r="BG31" s="326">
        <f>'Technology Assumptions'!E$27</f>
        <v>45.6</v>
      </c>
      <c r="BH31" s="675" t="s">
        <v>431</v>
      </c>
      <c r="BI31" s="675" t="s">
        <v>431</v>
      </c>
      <c r="BJ31" s="675" t="s">
        <v>431</v>
      </c>
      <c r="BK31" s="676" t="s">
        <v>431</v>
      </c>
      <c r="BL31" s="51" t="s">
        <v>431</v>
      </c>
      <c r="BM31" s="51" t="s">
        <v>431</v>
      </c>
      <c r="BN31" s="51" t="s">
        <v>431</v>
      </c>
      <c r="BO31" s="140" t="s">
        <v>431</v>
      </c>
    </row>
    <row r="32" spans="1:67" x14ac:dyDescent="0.25">
      <c r="A32" s="1093"/>
      <c r="B32" s="844" t="s">
        <v>1313</v>
      </c>
      <c r="C32" s="32">
        <f>'Energy Content Assumptions'!B29*2000/1000000</f>
        <v>17.7</v>
      </c>
      <c r="D32" s="32" t="s">
        <v>261</v>
      </c>
      <c r="E32" s="119"/>
      <c r="F32" s="333" t="str">
        <f>IF($F$2='Bioenergy Calculator'!$X$9,AF32,IF($F$2='Bioenergy Calculator'!$X$10,AJ32,IF($F$2='Bioenergy Calculator'!$X$11,AN32,IF($F$2='Bioenergy Calculator'!$X$12,P32,IF($F$2='Bioenergy Calculator'!$X$13,AR32,IF($F$2='Bioenergy Calculator'!$X$14,AV32,IF($F$2='Bioenergy Calculator'!$X$15,AZ32,"NA")))))))</f>
        <v>NA</v>
      </c>
      <c r="G32" s="66" t="str">
        <f>IF($F$2='Bioenergy Calculator'!$X$9,AG32,IF($F$2='Bioenergy Calculator'!$X$10,AK32,IF($F$2='Bioenergy Calculator'!$X$11,AO32,IF($F$2='Bioenergy Calculator'!$X$12,Q32,IF($F$2='Bioenergy Calculator'!$X$13,AS32,IF($F$2='Bioenergy Calculator'!$X$14,AW32,IF($F$2='Bioenergy Calculator'!$X$15,BA32,"NA")))))))</f>
        <v>NA</v>
      </c>
      <c r="H32" s="66" t="str">
        <f>IF($F$2='Bioenergy Calculator'!$X$9,AH32,IF($F$2='Bioenergy Calculator'!$X$10,AL32,IF($F$2='Bioenergy Calculator'!$X$11,AP32,IF($F$2='Bioenergy Calculator'!$X$12,R32,IF($F$2='Bioenergy Calculator'!$X$13,AT32,IF($F$2='Bioenergy Calculator'!$X$14,AX32,IF($F$2='Bioenergy Calculator'!$X$15,BB32,"NA")))))))</f>
        <v>NA</v>
      </c>
      <c r="I32" s="334" t="str">
        <f>IF($F$2='Bioenergy Calculator'!$X$9,AI32,IF($F$2='Bioenergy Calculator'!$X$10,AM32,IF($F$2='Bioenergy Calculator'!$X$11,AQ32,IF($F$2='Bioenergy Calculator'!$X$12,S32,IF($F$2='Bioenergy Calculator'!$X$13,AU32,IF($F$2='Bioenergy Calculator'!$X$14,AY32,IF($F$2='Bioenergy Calculator'!$X$15,BC32,"NA")))))))</f>
        <v>NA</v>
      </c>
      <c r="J32" s="117"/>
      <c r="K32" s="333" t="str">
        <f>IF($K$2='Bioenergy Calculator'!$X$21,X32,IF($K$2='Bioenergy Calculator'!$X$22,BH32,IF($K$2='Bioenergy Calculator'!$X$23,BD32,IF($K$2='Bioenergy Calculator'!$X$19,T32,IF($K$2='Bioenergy Calculator'!$X$20,AB32,IF($K$2='Bioenergy Calculator'!$X$24,'Conversion Tables'!BL32,"NA"))))))</f>
        <v>NA</v>
      </c>
      <c r="L32" s="66" t="str">
        <f>IF($K$2='Bioenergy Calculator'!$X$21,Y32,IF($K$2='Bioenergy Calculator'!$X$22,BI32,IF($K$2='Bioenergy Calculator'!$X$23,BE32,IF($K$2='Bioenergy Calculator'!$X$19,U32,IF($K$2='Bioenergy Calculator'!$X$20,AC32,IF($K$2='Bioenergy Calculator'!$X$24,'Conversion Tables'!BM32,"NA"))))))</f>
        <v>NA</v>
      </c>
      <c r="M32" s="66" t="str">
        <f>IF($K$2='Bioenergy Calculator'!$X$21,Z32,IF($K$2='Bioenergy Calculator'!$X$22,BJ32,IF($K$2='Bioenergy Calculator'!$X$23,BF32,IF($K$2='Bioenergy Calculator'!$X$19,V32,IF($K$2='Bioenergy Calculator'!$X$20,AD32,IF($K$2='Bioenergy Calculator'!$X$24,'Conversion Tables'!BN32,"NA"))))))</f>
        <v>NA</v>
      </c>
      <c r="N32" s="334" t="str">
        <f>IF($K$2='Bioenergy Calculator'!$X$21,AA32,IF($K$2='Bioenergy Calculator'!$X$22,BK32,IF($K$2='Bioenergy Calculator'!$X$23,BG32,IF($K$2='Bioenergy Calculator'!$X$19,W32,IF($K$2='Bioenergy Calculator'!$X$20,AE32,IF($K$2='Bioenergy Calculator'!$X$24,'Conversion Tables'!BO32,"NA"))))))</f>
        <v>NA</v>
      </c>
      <c r="O32" s="84"/>
      <c r="P32" s="68" t="s">
        <v>431</v>
      </c>
      <c r="Q32" s="51" t="s">
        <v>431</v>
      </c>
      <c r="R32" s="51" t="s">
        <v>431</v>
      </c>
      <c r="S32" s="65" t="s">
        <v>431</v>
      </c>
      <c r="T32" s="51" t="s">
        <v>431</v>
      </c>
      <c r="U32" s="51" t="s">
        <v>431</v>
      </c>
      <c r="V32" s="51" t="s">
        <v>431</v>
      </c>
      <c r="W32" s="65" t="s">
        <v>431</v>
      </c>
      <c r="X32" s="252">
        <f>'Fuel Yields Eth. and DA Hydrol.'!I21</f>
        <v>59.465648854961835</v>
      </c>
      <c r="Y32" s="252">
        <f>'Fuel Yields Eth. and DA Hydrol.'!J21</f>
        <v>71.341476178514611</v>
      </c>
      <c r="Z32" s="252">
        <f>'Fuel Yields Eth. and DA Hydrol.'!K21</f>
        <v>81.533115632588121</v>
      </c>
      <c r="AA32" s="255">
        <f>'Fuel Yields Eth. and DA Hydrol.'!L21</f>
        <v>91.724755086661645</v>
      </c>
      <c r="AB32" s="51" t="s">
        <v>431</v>
      </c>
      <c r="AC32" s="51" t="s">
        <v>431</v>
      </c>
      <c r="AD32" s="51" t="s">
        <v>431</v>
      </c>
      <c r="AE32" s="65" t="s">
        <v>431</v>
      </c>
      <c r="AF32" s="668">
        <f>('Energy Content Assumptions'!$B$69/'Technology Assumptions'!B$4)/1000</f>
        <v>13.648</v>
      </c>
      <c r="AG32" s="66">
        <f>('Energy Content Assumptions'!$B$69/'Technology Assumptions'!C$4)/1000</f>
        <v>13.648</v>
      </c>
      <c r="AH32" s="66">
        <f>('Energy Content Assumptions'!$B$69/'Technology Assumptions'!D$4)/1000</f>
        <v>13.648</v>
      </c>
      <c r="AI32" s="69">
        <f>('Energy Content Assumptions'!$B$69/'Technology Assumptions'!E$4)/1000</f>
        <v>13.648</v>
      </c>
      <c r="AJ32" s="66" t="s">
        <v>431</v>
      </c>
      <c r="AK32" s="66" t="s">
        <v>431</v>
      </c>
      <c r="AL32" s="66" t="s">
        <v>431</v>
      </c>
      <c r="AM32" s="69" t="s">
        <v>431</v>
      </c>
      <c r="AN32" s="66">
        <f>('Energy Content Assumptions'!$B$69/'Technology Assumptions'!B$7)/1000</f>
        <v>8.7487179487179496</v>
      </c>
      <c r="AO32" s="66">
        <f>('Energy Content Assumptions'!$B$69/'Technology Assumptions'!C$7)/1000</f>
        <v>8.7487179487179496</v>
      </c>
      <c r="AP32" s="66">
        <f>('Energy Content Assumptions'!$B$69/'Technology Assumptions'!D$7)/1000</f>
        <v>8.7487179487179496</v>
      </c>
      <c r="AQ32" s="69">
        <f>('Energy Content Assumptions'!$B$69/'Technology Assumptions'!E$7)/1000</f>
        <v>8.7487179487179496</v>
      </c>
      <c r="AR32" s="137">
        <f>('Energy Content Assumptions'!$B$69/'Technology Assumptions'!B$6)/1000</f>
        <v>9.7485714285714291</v>
      </c>
      <c r="AS32" s="137">
        <f>('Energy Content Assumptions'!$B$69/'Technology Assumptions'!C$6)/1000</f>
        <v>9.7485714285714291</v>
      </c>
      <c r="AT32" s="137">
        <f>('Energy Content Assumptions'!$B$69/'Technology Assumptions'!D$6)/1000</f>
        <v>9.7485714285714291</v>
      </c>
      <c r="AU32" s="138">
        <f>('Energy Content Assumptions'!$B$69/'Technology Assumptions'!E$6)/1000</f>
        <v>9.7485714285714291</v>
      </c>
      <c r="AV32" s="51" t="s">
        <v>431</v>
      </c>
      <c r="AW32" s="51" t="s">
        <v>431</v>
      </c>
      <c r="AX32" s="51" t="s">
        <v>431</v>
      </c>
      <c r="AY32" s="65" t="s">
        <v>431</v>
      </c>
      <c r="AZ32" s="78">
        <f>('Energy Content Assumptions'!$B$69/'Technology Assumptions'!B$11)/1000</f>
        <v>18.052910052910054</v>
      </c>
      <c r="BA32" s="78">
        <f>('Energy Content Assumptions'!$B$69/'Technology Assumptions'!C$11)/1000</f>
        <v>18.052910052910054</v>
      </c>
      <c r="BB32" s="78">
        <f>('Energy Content Assumptions'!$B$69/'Technology Assumptions'!D$11)/1000</f>
        <v>18.052910052910054</v>
      </c>
      <c r="BC32" s="79">
        <f>('Energy Content Assumptions'!$B$69/'Technology Assumptions'!E$11)/1000</f>
        <v>18.052910052910054</v>
      </c>
      <c r="BD32" s="316">
        <f>'Technology Assumptions'!B$27</f>
        <v>45.6</v>
      </c>
      <c r="BE32" s="316">
        <f>'Technology Assumptions'!C$27</f>
        <v>45.6</v>
      </c>
      <c r="BF32" s="316">
        <f>'Technology Assumptions'!D$27</f>
        <v>45.6</v>
      </c>
      <c r="BG32" s="326">
        <f>'Technology Assumptions'!E$27</f>
        <v>45.6</v>
      </c>
      <c r="BH32" s="252">
        <f>'Fuel Yields Eth. and DA Hydrol.'!$F$21</f>
        <v>65.788736340711679</v>
      </c>
      <c r="BI32" s="252">
        <f>'Fuel Yields Eth. and DA Hydrol.'!$F$21</f>
        <v>65.788736340711679</v>
      </c>
      <c r="BJ32" s="252">
        <f>'Fuel Yields Eth. and DA Hydrol.'!$F$21</f>
        <v>65.788736340711679</v>
      </c>
      <c r="BK32" s="255">
        <f>'Fuel Yields Eth. and DA Hydrol.'!$F$21</f>
        <v>65.788736340711679</v>
      </c>
      <c r="BL32" s="51" t="s">
        <v>431</v>
      </c>
      <c r="BM32" s="51" t="s">
        <v>431</v>
      </c>
      <c r="BN32" s="51" t="s">
        <v>431</v>
      </c>
      <c r="BO32" s="140" t="s">
        <v>431</v>
      </c>
    </row>
    <row r="33" spans="1:67" ht="12.75" customHeight="1" x14ac:dyDescent="0.25">
      <c r="A33" s="1093"/>
      <c r="B33" s="4" t="s">
        <v>280</v>
      </c>
      <c r="C33" s="32"/>
      <c r="D33" s="32"/>
      <c r="E33" s="119"/>
      <c r="F33" s="333"/>
      <c r="G33" s="66"/>
      <c r="H33" s="66"/>
      <c r="I33" s="334"/>
      <c r="J33" s="117"/>
      <c r="K33" s="333"/>
      <c r="L33" s="66"/>
      <c r="M33" s="66"/>
      <c r="N33" s="334"/>
      <c r="O33" s="84"/>
      <c r="P33" s="68"/>
      <c r="Q33" s="51"/>
      <c r="R33" s="51"/>
      <c r="S33" s="65"/>
      <c r="T33" s="51"/>
      <c r="U33" s="51"/>
      <c r="V33" s="51"/>
      <c r="W33" s="65"/>
      <c r="X33" s="146"/>
      <c r="Y33" s="146"/>
      <c r="Z33" s="146"/>
      <c r="AA33" s="257"/>
      <c r="AB33" s="51"/>
      <c r="AC33" s="51"/>
      <c r="AD33" s="51"/>
      <c r="AE33" s="65"/>
      <c r="AF33" s="68"/>
      <c r="AG33" s="51"/>
      <c r="AH33" s="51"/>
      <c r="AI33" s="65"/>
      <c r="AJ33" s="51"/>
      <c r="AK33" s="51"/>
      <c r="AL33" s="51"/>
      <c r="AM33" s="65"/>
      <c r="AN33" s="66"/>
      <c r="AO33" s="66"/>
      <c r="AP33" s="66"/>
      <c r="AQ33" s="69"/>
      <c r="AR33" s="51"/>
      <c r="AS33" s="51"/>
      <c r="AT33" s="51"/>
      <c r="AU33" s="65"/>
      <c r="AV33" s="74"/>
      <c r="AW33" s="74"/>
      <c r="AX33" s="74"/>
      <c r="AY33" s="75"/>
      <c r="AZ33" s="51"/>
      <c r="BA33" s="51"/>
      <c r="BB33" s="51"/>
      <c r="BC33" s="65"/>
      <c r="BD33" s="680"/>
      <c r="BE33" s="680"/>
      <c r="BF33" s="680"/>
      <c r="BG33" s="681"/>
      <c r="BH33" s="259"/>
      <c r="BI33" s="259"/>
      <c r="BJ33" s="259"/>
      <c r="BK33" s="325"/>
      <c r="BL33" s="51"/>
      <c r="BM33" s="51"/>
      <c r="BN33" s="51"/>
      <c r="BO33" s="140"/>
    </row>
    <row r="34" spans="1:67" ht="12.75" customHeight="1" x14ac:dyDescent="0.25">
      <c r="A34" s="1093"/>
      <c r="B34" s="677" t="s">
        <v>219</v>
      </c>
      <c r="C34" s="32">
        <f>C29</f>
        <v>16</v>
      </c>
      <c r="D34" s="34" t="str">
        <f>D29</f>
        <v>MMBtu/Dry Ton</v>
      </c>
      <c r="E34" s="157">
        <f>E29</f>
        <v>0</v>
      </c>
      <c r="F34" s="335" t="str">
        <f>IF($F$2='Bioenergy Calculator'!$X$9,AF34,IF($F$2='Bioenergy Calculator'!$X$10,AJ34,IF($F$2='Bioenergy Calculator'!$X$11,AN34,IF($F$2='Bioenergy Calculator'!$X$12,P34,IF($F$2='Bioenergy Calculator'!$X$13,AR34,IF($F$2='Bioenergy Calculator'!$X$14,AV34,IF($F$2='Bioenergy Calculator'!$X$15,AZ34,"NA")))))))</f>
        <v>NA</v>
      </c>
      <c r="G34" s="159" t="str">
        <f>IF($F$2='Bioenergy Calculator'!$X$9,AG34,IF($F$2='Bioenergy Calculator'!$X$10,AK34,IF($F$2='Bioenergy Calculator'!$X$11,AO34,IF($F$2='Bioenergy Calculator'!$X$12,Q34,IF($F$2='Bioenergy Calculator'!$X$13,AS34,IF($F$2='Bioenergy Calculator'!$X$14,AW34,IF($F$2='Bioenergy Calculator'!$X$15,BA34,"NA")))))))</f>
        <v>NA</v>
      </c>
      <c r="H34" s="159" t="str">
        <f>IF($F$2='Bioenergy Calculator'!$X$9,AH34,IF($F$2='Bioenergy Calculator'!$X$10,AL34,IF($F$2='Bioenergy Calculator'!$X$11,AP34,IF($F$2='Bioenergy Calculator'!$X$12,R34,IF($F$2='Bioenergy Calculator'!$X$13,AT34,IF($F$2='Bioenergy Calculator'!$X$14,AX34,IF($F$2='Bioenergy Calculator'!$X$15,BB34,"NA")))))))</f>
        <v>NA</v>
      </c>
      <c r="I34" s="237" t="str">
        <f>IF($F$2='Bioenergy Calculator'!$X$9,AI34,IF($F$2='Bioenergy Calculator'!$X$10,AM34,IF($F$2='Bioenergy Calculator'!$X$11,AQ34,IF($F$2='Bioenergy Calculator'!$X$12,S34,IF($F$2='Bioenergy Calculator'!$X$13,AU34,IF($F$2='Bioenergy Calculator'!$X$14,AY34,IF($F$2='Bioenergy Calculator'!$X$15,BC34,"NA")))))))</f>
        <v>NA</v>
      </c>
      <c r="J34" s="161">
        <f>J29</f>
        <v>0</v>
      </c>
      <c r="K34" s="333" t="str">
        <f>IF($K$2='Bioenergy Calculator'!$X$21,X34,IF($K$2='Bioenergy Calculator'!$X$22,BH34,IF($K$2='Bioenergy Calculator'!$X$23,BD34,IF($K$2='Bioenergy Calculator'!$X$19,T34,IF($K$2='Bioenergy Calculator'!$X$20,AB34,IF($K$2='Bioenergy Calculator'!$X$24,'Conversion Tables'!BL34,"NA"))))))</f>
        <v>NA</v>
      </c>
      <c r="L34" s="66" t="str">
        <f>IF($K$2='Bioenergy Calculator'!$X$21,Y34,IF($K$2='Bioenergy Calculator'!$X$22,BI34,IF($K$2='Bioenergy Calculator'!$X$23,BE34,IF($K$2='Bioenergy Calculator'!$X$19,U34,IF($K$2='Bioenergy Calculator'!$X$20,AC34,IF($K$2='Bioenergy Calculator'!$X$24,'Conversion Tables'!BM34,"NA"))))))</f>
        <v>NA</v>
      </c>
      <c r="M34" s="66" t="str">
        <f>IF($K$2='Bioenergy Calculator'!$X$21,Z34,IF($K$2='Bioenergy Calculator'!$X$22,BJ34,IF($K$2='Bioenergy Calculator'!$X$23,BF34,IF($K$2='Bioenergy Calculator'!$X$19,V34,IF($K$2='Bioenergy Calculator'!$X$20,AD34,IF($K$2='Bioenergy Calculator'!$X$24,'Conversion Tables'!BN34,"NA"))))))</f>
        <v>NA</v>
      </c>
      <c r="N34" s="334" t="str">
        <f>IF($K$2='Bioenergy Calculator'!$X$21,AA34,IF($K$2='Bioenergy Calculator'!$X$22,BK34,IF($K$2='Bioenergy Calculator'!$X$23,BG34,IF($K$2='Bioenergy Calculator'!$X$19,W34,IF($K$2='Bioenergy Calculator'!$X$20,AE34,IF($K$2='Bioenergy Calculator'!$X$24,'Conversion Tables'!BO34,"NA"))))))</f>
        <v>NA</v>
      </c>
      <c r="O34" s="161">
        <f t="shared" ref="O34:W34" si="0">O29</f>
        <v>0</v>
      </c>
      <c r="P34" s="158">
        <f t="shared" si="0"/>
        <v>12.998095238095237</v>
      </c>
      <c r="Q34" s="159">
        <f t="shared" si="0"/>
        <v>12.998095238095237</v>
      </c>
      <c r="R34" s="159">
        <f t="shared" si="0"/>
        <v>12.998095238095237</v>
      </c>
      <c r="S34" s="160">
        <f t="shared" si="0"/>
        <v>12.998095238095237</v>
      </c>
      <c r="T34" s="66" t="str">
        <f t="shared" si="0"/>
        <v>NA</v>
      </c>
      <c r="U34" s="66" t="str">
        <f t="shared" si="0"/>
        <v>NA</v>
      </c>
      <c r="V34" s="66" t="str">
        <f t="shared" si="0"/>
        <v>NA</v>
      </c>
      <c r="W34" s="69" t="str">
        <f t="shared" si="0"/>
        <v>NA</v>
      </c>
      <c r="X34" s="254">
        <f>'Fuel Yields Eth. and DA Hydrol.'!I20</f>
        <v>67.885190839694658</v>
      </c>
      <c r="Y34" s="254">
        <f>'Fuel Yields Eth. and DA Hydrol.'!J20</f>
        <v>81.442476764632005</v>
      </c>
      <c r="Z34" s="254">
        <f>'Fuel Yields Eth. and DA Hydrol.'!K20</f>
        <v>93.077116302436565</v>
      </c>
      <c r="AA34" s="258">
        <f>'Fuel Yields Eth. and DA Hydrol.'!L20</f>
        <v>104.71175584024114</v>
      </c>
      <c r="AB34" s="66" t="str">
        <f t="shared" ref="AB34:BO34" si="1">AB29</f>
        <v>NA</v>
      </c>
      <c r="AC34" s="66" t="str">
        <f t="shared" si="1"/>
        <v>NA</v>
      </c>
      <c r="AD34" s="66" t="str">
        <f t="shared" si="1"/>
        <v>NA</v>
      </c>
      <c r="AE34" s="69" t="str">
        <f t="shared" si="1"/>
        <v>NA</v>
      </c>
      <c r="AF34" s="668" t="str">
        <f t="shared" si="1"/>
        <v>NA</v>
      </c>
      <c r="AG34" s="66" t="str">
        <f t="shared" si="1"/>
        <v>NA</v>
      </c>
      <c r="AH34" s="66" t="str">
        <f t="shared" si="1"/>
        <v>NA</v>
      </c>
      <c r="AI34" s="69" t="str">
        <f t="shared" si="1"/>
        <v>NA</v>
      </c>
      <c r="AJ34" s="66" t="str">
        <f t="shared" si="1"/>
        <v>NA</v>
      </c>
      <c r="AK34" s="66" t="str">
        <f t="shared" si="1"/>
        <v>NA</v>
      </c>
      <c r="AL34" s="66" t="str">
        <f t="shared" si="1"/>
        <v>NA</v>
      </c>
      <c r="AM34" s="69" t="str">
        <f t="shared" si="1"/>
        <v>NA</v>
      </c>
      <c r="AN34" s="66" t="str">
        <f t="shared" si="1"/>
        <v>NA</v>
      </c>
      <c r="AO34" s="66" t="str">
        <f t="shared" si="1"/>
        <v>NA</v>
      </c>
      <c r="AP34" s="66" t="str">
        <f t="shared" si="1"/>
        <v>NA</v>
      </c>
      <c r="AQ34" s="69" t="str">
        <f t="shared" si="1"/>
        <v>NA</v>
      </c>
      <c r="AR34" s="66" t="str">
        <f t="shared" si="1"/>
        <v>NA</v>
      </c>
      <c r="AS34" s="66" t="str">
        <f t="shared" si="1"/>
        <v>NA</v>
      </c>
      <c r="AT34" s="66" t="str">
        <f t="shared" si="1"/>
        <v>NA</v>
      </c>
      <c r="AU34" s="69" t="str">
        <f t="shared" si="1"/>
        <v>NA</v>
      </c>
      <c r="AV34" s="66" t="str">
        <f t="shared" si="1"/>
        <v>NA</v>
      </c>
      <c r="AW34" s="66" t="str">
        <f t="shared" si="1"/>
        <v>NA</v>
      </c>
      <c r="AX34" s="66" t="str">
        <f t="shared" si="1"/>
        <v>NA</v>
      </c>
      <c r="AY34" s="69" t="str">
        <f t="shared" si="1"/>
        <v>NA</v>
      </c>
      <c r="AZ34" s="66" t="str">
        <f t="shared" si="1"/>
        <v>NA</v>
      </c>
      <c r="BA34" s="66" t="str">
        <f t="shared" si="1"/>
        <v>NA</v>
      </c>
      <c r="BB34" s="66" t="str">
        <f t="shared" si="1"/>
        <v>NA</v>
      </c>
      <c r="BC34" s="69" t="str">
        <f t="shared" si="1"/>
        <v>NA</v>
      </c>
      <c r="BD34" s="316">
        <f t="shared" si="1"/>
        <v>41.4</v>
      </c>
      <c r="BE34" s="316">
        <f t="shared" si="1"/>
        <v>41.4</v>
      </c>
      <c r="BF34" s="316">
        <f t="shared" si="1"/>
        <v>41.4</v>
      </c>
      <c r="BG34" s="326">
        <f t="shared" si="1"/>
        <v>41.4</v>
      </c>
      <c r="BH34" s="671">
        <f t="shared" si="1"/>
        <v>53.088260016811432</v>
      </c>
      <c r="BI34" s="671">
        <f t="shared" si="1"/>
        <v>53.088260016811432</v>
      </c>
      <c r="BJ34" s="671">
        <f t="shared" si="1"/>
        <v>53.088260016811432</v>
      </c>
      <c r="BK34" s="672">
        <f t="shared" si="1"/>
        <v>53.088260016811432</v>
      </c>
      <c r="BL34" s="159">
        <f t="shared" si="1"/>
        <v>77.207656425928903</v>
      </c>
      <c r="BM34" s="159">
        <f t="shared" si="1"/>
        <v>77.207656425928903</v>
      </c>
      <c r="BN34" s="159">
        <f t="shared" si="1"/>
        <v>77.207656425928903</v>
      </c>
      <c r="BO34" s="237">
        <f t="shared" si="1"/>
        <v>77.207656425928903</v>
      </c>
    </row>
    <row r="35" spans="1:67" ht="12.75" customHeight="1" x14ac:dyDescent="0.25">
      <c r="A35" s="1093"/>
      <c r="B35" s="11" t="s">
        <v>565</v>
      </c>
      <c r="C35" s="32">
        <f>'Energy Content Assumptions'!B32*2000/1000000</f>
        <v>17.7</v>
      </c>
      <c r="D35" s="32" t="s">
        <v>261</v>
      </c>
      <c r="E35" s="119"/>
      <c r="F35" s="333" t="str">
        <f>IF($F$2='Bioenergy Calculator'!$X$9,AF35,IF($F$2='Bioenergy Calculator'!$X$10,AJ35,IF($F$2='Bioenergy Calculator'!$X$11,AN35,IF($F$2='Bioenergy Calculator'!$X$12,P35,IF($F$2='Bioenergy Calculator'!$X$13,AR35,IF($F$2='Bioenergy Calculator'!$X$14,AV35,IF($F$2='Bioenergy Calculator'!$X$15,AZ35,"NA")))))))</f>
        <v>NA</v>
      </c>
      <c r="G35" s="66" t="str">
        <f>IF($F$2='Bioenergy Calculator'!$X$9,AG35,IF($F$2='Bioenergy Calculator'!$X$10,AK35,IF($F$2='Bioenergy Calculator'!$X$11,AO35,IF($F$2='Bioenergy Calculator'!$X$12,Q35,IF($F$2='Bioenergy Calculator'!$X$13,AS35,IF($F$2='Bioenergy Calculator'!$X$14,AW35,IF($F$2='Bioenergy Calculator'!$X$15,BA35,"NA")))))))</f>
        <v>NA</v>
      </c>
      <c r="H35" s="66" t="str">
        <f>IF($F$2='Bioenergy Calculator'!$X$9,AH35,IF($F$2='Bioenergy Calculator'!$X$10,AL35,IF($F$2='Bioenergy Calculator'!$X$11,AP35,IF($F$2='Bioenergy Calculator'!$X$12,R35,IF($F$2='Bioenergy Calculator'!$X$13,AT35,IF($F$2='Bioenergy Calculator'!$X$14,AX35,IF($F$2='Bioenergy Calculator'!$X$15,BB35,"NA")))))))</f>
        <v>NA</v>
      </c>
      <c r="I35" s="334" t="str">
        <f>IF($F$2='Bioenergy Calculator'!$X$9,AI35,IF($F$2='Bioenergy Calculator'!$X$10,AM35,IF($F$2='Bioenergy Calculator'!$X$11,AQ35,IF($F$2='Bioenergy Calculator'!$X$12,S35,IF($F$2='Bioenergy Calculator'!$X$13,AU35,IF($F$2='Bioenergy Calculator'!$X$14,AY35,IF($F$2='Bioenergy Calculator'!$X$15,BC35,"NA")))))))</f>
        <v>NA</v>
      </c>
      <c r="J35" s="117"/>
      <c r="K35" s="333" t="str">
        <f>IF($K$2='Bioenergy Calculator'!$X$21,X35,IF($K$2='Bioenergy Calculator'!$X$22,BH35,IF($K$2='Bioenergy Calculator'!$X$23,BD35,IF($K$2='Bioenergy Calculator'!$X$19,T35,IF($K$2='Bioenergy Calculator'!$X$20,AB35,IF($K$2='Bioenergy Calculator'!$X$24,'Conversion Tables'!BL35,"NA"))))))</f>
        <v>NA</v>
      </c>
      <c r="L35" s="66" t="str">
        <f>IF($K$2='Bioenergy Calculator'!$X$21,Y35,IF($K$2='Bioenergy Calculator'!$X$22,BI35,IF($K$2='Bioenergy Calculator'!$X$23,BE35,IF($K$2='Bioenergy Calculator'!$X$19,U35,IF($K$2='Bioenergy Calculator'!$X$20,AC35,IF($K$2='Bioenergy Calculator'!$X$24,'Conversion Tables'!BM35,"NA"))))))</f>
        <v>NA</v>
      </c>
      <c r="M35" s="66" t="str">
        <f>IF($K$2='Bioenergy Calculator'!$X$21,Z35,IF($K$2='Bioenergy Calculator'!$X$22,BJ35,IF($K$2='Bioenergy Calculator'!$X$23,BF35,IF($K$2='Bioenergy Calculator'!$X$19,V35,IF($K$2='Bioenergy Calculator'!$X$20,AD35,IF($K$2='Bioenergy Calculator'!$X$24,'Conversion Tables'!BN35,"NA"))))))</f>
        <v>NA</v>
      </c>
      <c r="N35" s="334" t="str">
        <f>IF($K$2='Bioenergy Calculator'!$X$21,AA35,IF($K$2='Bioenergy Calculator'!$X$22,BK35,IF($K$2='Bioenergy Calculator'!$X$23,BG35,IF($K$2='Bioenergy Calculator'!$X$19,W35,IF($K$2='Bioenergy Calculator'!$X$20,AE35,IF($K$2='Bioenergy Calculator'!$X$24,'Conversion Tables'!BO35,"NA"))))))</f>
        <v>NA</v>
      </c>
      <c r="O35" s="84"/>
      <c r="P35" s="68" t="s">
        <v>431</v>
      </c>
      <c r="Q35" s="51" t="s">
        <v>431</v>
      </c>
      <c r="R35" s="51" t="s">
        <v>431</v>
      </c>
      <c r="S35" s="65" t="s">
        <v>431</v>
      </c>
      <c r="T35" s="51" t="s">
        <v>431</v>
      </c>
      <c r="U35" s="51" t="s">
        <v>431</v>
      </c>
      <c r="V35" s="51" t="s">
        <v>431</v>
      </c>
      <c r="W35" s="65" t="s">
        <v>431</v>
      </c>
      <c r="X35" s="252">
        <f>'Fuel Yields Eth. and DA Hydrol.'!I21</f>
        <v>59.465648854961835</v>
      </c>
      <c r="Y35" s="252">
        <f>'Fuel Yields Eth. and DA Hydrol.'!J21</f>
        <v>71.341476178514611</v>
      </c>
      <c r="Z35" s="252">
        <f>'Fuel Yields Eth. and DA Hydrol.'!K21</f>
        <v>81.533115632588121</v>
      </c>
      <c r="AA35" s="255">
        <f>'Fuel Yields Eth. and DA Hydrol.'!L21</f>
        <v>91.724755086661645</v>
      </c>
      <c r="AB35" s="51" t="s">
        <v>431</v>
      </c>
      <c r="AC35" s="51" t="s">
        <v>431</v>
      </c>
      <c r="AD35" s="51" t="s">
        <v>431</v>
      </c>
      <c r="AE35" s="65" t="s">
        <v>431</v>
      </c>
      <c r="AF35" s="668">
        <f>('Energy Content Assumptions'!$B$69/'Technology Assumptions'!B$4)/1000</f>
        <v>13.648</v>
      </c>
      <c r="AG35" s="66">
        <f>('Energy Content Assumptions'!$B$69/'Technology Assumptions'!C$4)/1000</f>
        <v>13.648</v>
      </c>
      <c r="AH35" s="66">
        <f>('Energy Content Assumptions'!$B$69/'Technology Assumptions'!D$4)/1000</f>
        <v>13.648</v>
      </c>
      <c r="AI35" s="69">
        <f>('Energy Content Assumptions'!$B$69/'Technology Assumptions'!E$4)/1000</f>
        <v>13.648</v>
      </c>
      <c r="AJ35" s="66" t="s">
        <v>431</v>
      </c>
      <c r="AK35" s="66" t="s">
        <v>431</v>
      </c>
      <c r="AL35" s="66" t="s">
        <v>431</v>
      </c>
      <c r="AM35" s="69" t="s">
        <v>431</v>
      </c>
      <c r="AN35" s="66">
        <f>('Energy Content Assumptions'!$B$69/'Technology Assumptions'!B$7)/1000</f>
        <v>8.7487179487179496</v>
      </c>
      <c r="AO35" s="66">
        <f>('Energy Content Assumptions'!$B$69/'Technology Assumptions'!C$7)/1000</f>
        <v>8.7487179487179496</v>
      </c>
      <c r="AP35" s="66">
        <f>('Energy Content Assumptions'!$B$69/'Technology Assumptions'!D$7)/1000</f>
        <v>8.7487179487179496</v>
      </c>
      <c r="AQ35" s="69">
        <f>('Energy Content Assumptions'!$B$69/'Technology Assumptions'!E$7)/1000</f>
        <v>8.7487179487179496</v>
      </c>
      <c r="AR35" s="66">
        <f>('Energy Content Assumptions'!$B$69/'Technology Assumptions'!B$6)/1000</f>
        <v>9.7485714285714291</v>
      </c>
      <c r="AS35" s="66">
        <f>('Energy Content Assumptions'!$B$69/'Technology Assumptions'!C$6)/1000</f>
        <v>9.7485714285714291</v>
      </c>
      <c r="AT35" s="66">
        <f>('Energy Content Assumptions'!$B$69/'Technology Assumptions'!D$6)/1000</f>
        <v>9.7485714285714291</v>
      </c>
      <c r="AU35" s="69">
        <f>('Energy Content Assumptions'!$B$69/'Technology Assumptions'!E$6)/1000</f>
        <v>9.7485714285714291</v>
      </c>
      <c r="AV35" s="51" t="s">
        <v>431</v>
      </c>
      <c r="AW35" s="51" t="s">
        <v>431</v>
      </c>
      <c r="AX35" s="51" t="s">
        <v>431</v>
      </c>
      <c r="AY35" s="65" t="s">
        <v>431</v>
      </c>
      <c r="AZ35" s="88">
        <f>('Energy Content Assumptions'!$B$69/'Technology Assumptions'!B$11)/1000</f>
        <v>18.052910052910054</v>
      </c>
      <c r="BA35" s="88">
        <f>('Energy Content Assumptions'!$B$69/'Technology Assumptions'!C$11)/1000</f>
        <v>18.052910052910054</v>
      </c>
      <c r="BB35" s="88">
        <f>('Energy Content Assumptions'!$B$69/'Technology Assumptions'!D$11)/1000</f>
        <v>18.052910052910054</v>
      </c>
      <c r="BC35" s="89">
        <f>('Energy Content Assumptions'!$B$69/'Technology Assumptions'!E$11)/1000</f>
        <v>18.052910052910054</v>
      </c>
      <c r="BD35" s="78">
        <f>'Technology Assumptions'!B$27</f>
        <v>45.6</v>
      </c>
      <c r="BE35" s="78">
        <f>'Technology Assumptions'!C$27</f>
        <v>45.6</v>
      </c>
      <c r="BF35" s="78">
        <f>'Technology Assumptions'!D$27</f>
        <v>45.6</v>
      </c>
      <c r="BG35" s="79">
        <f>'Technology Assumptions'!E$27</f>
        <v>45.6</v>
      </c>
      <c r="BH35" s="673">
        <f>'Fuel Yields Eth. and DA Hydrol.'!$F$21</f>
        <v>65.788736340711679</v>
      </c>
      <c r="BI35" s="673">
        <f>'Fuel Yields Eth. and DA Hydrol.'!$F$21</f>
        <v>65.788736340711679</v>
      </c>
      <c r="BJ35" s="673">
        <f>'Fuel Yields Eth. and DA Hydrol.'!$F$21</f>
        <v>65.788736340711679</v>
      </c>
      <c r="BK35" s="674">
        <f>'Fuel Yields Eth. and DA Hydrol.'!$F$21</f>
        <v>65.788736340711679</v>
      </c>
      <c r="BL35" s="51" t="s">
        <v>431</v>
      </c>
      <c r="BM35" s="51" t="s">
        <v>431</v>
      </c>
      <c r="BN35" s="51" t="s">
        <v>431</v>
      </c>
      <c r="BO35" s="140" t="s">
        <v>431</v>
      </c>
    </row>
    <row r="36" spans="1:67" x14ac:dyDescent="0.25">
      <c r="A36" s="1093"/>
      <c r="B36" s="17" t="s">
        <v>555</v>
      </c>
      <c r="C36" s="32">
        <f>'Energy Content Assumptions'!B33*2000/1000000</f>
        <v>15.89</v>
      </c>
      <c r="D36" s="32" t="s">
        <v>261</v>
      </c>
      <c r="E36" s="119"/>
      <c r="F36" s="333" t="str">
        <f>IF($F$2='Bioenergy Calculator'!$X$9,AF36,IF($F$2='Bioenergy Calculator'!$X$10,AJ36,IF($F$2='Bioenergy Calculator'!$X$11,AN36,IF($F$2='Bioenergy Calculator'!$X$12,P36,IF($F$2='Bioenergy Calculator'!$X$13,AR36,IF($F$2='Bioenergy Calculator'!$X$14,AV36,IF($F$2='Bioenergy Calculator'!$X$15,AZ36,"NA")))))))</f>
        <v>NA</v>
      </c>
      <c r="G36" s="66" t="str">
        <f>IF($F$2='Bioenergy Calculator'!$X$9,AG36,IF($F$2='Bioenergy Calculator'!$X$10,AK36,IF($F$2='Bioenergy Calculator'!$X$11,AO36,IF($F$2='Bioenergy Calculator'!$X$12,Q36,IF($F$2='Bioenergy Calculator'!$X$13,AS36,IF($F$2='Bioenergy Calculator'!$X$14,AW36,IF($F$2='Bioenergy Calculator'!$X$15,BA36,"NA")))))))</f>
        <v>NA</v>
      </c>
      <c r="H36" s="66" t="str">
        <f>IF($F$2='Bioenergy Calculator'!$X$9,AH36,IF($F$2='Bioenergy Calculator'!$X$10,AL36,IF($F$2='Bioenergy Calculator'!$X$11,AP36,IF($F$2='Bioenergy Calculator'!$X$12,R36,IF($F$2='Bioenergy Calculator'!$X$13,AT36,IF($F$2='Bioenergy Calculator'!$X$14,AX36,IF($F$2='Bioenergy Calculator'!$X$15,BB36,"NA")))))))</f>
        <v>NA</v>
      </c>
      <c r="I36" s="334" t="str">
        <f>IF($F$2='Bioenergy Calculator'!$X$9,AI36,IF($F$2='Bioenergy Calculator'!$X$10,AM36,IF($F$2='Bioenergy Calculator'!$X$11,AQ36,IF($F$2='Bioenergy Calculator'!$X$12,S36,IF($F$2='Bioenergy Calculator'!$X$13,AU36,IF($F$2='Bioenergy Calculator'!$X$14,AY36,IF($F$2='Bioenergy Calculator'!$X$15,BC36,"NA")))))))</f>
        <v>NA</v>
      </c>
      <c r="J36" s="117"/>
      <c r="K36" s="333" t="str">
        <f>IF($K$2='Bioenergy Calculator'!$X$21,X36,IF($K$2='Bioenergy Calculator'!$X$22,BH36,IF($K$2='Bioenergy Calculator'!$X$23,BD36,IF($K$2='Bioenergy Calculator'!$X$19,T36,IF($K$2='Bioenergy Calculator'!$X$20,AB36,IF($K$2='Bioenergy Calculator'!$X$24,'Conversion Tables'!BL36,"NA"))))))</f>
        <v>NA</v>
      </c>
      <c r="L36" s="66" t="str">
        <f>IF($K$2='Bioenergy Calculator'!$X$21,Y36,IF($K$2='Bioenergy Calculator'!$X$22,BI36,IF($K$2='Bioenergy Calculator'!$X$23,BE36,IF($K$2='Bioenergy Calculator'!$X$19,U36,IF($K$2='Bioenergy Calculator'!$X$20,AC36,IF($K$2='Bioenergy Calculator'!$X$24,'Conversion Tables'!BM36,"NA"))))))</f>
        <v>NA</v>
      </c>
      <c r="M36" s="66" t="str">
        <f>IF($K$2='Bioenergy Calculator'!$X$21,Z36,IF($K$2='Bioenergy Calculator'!$X$22,BJ36,IF($K$2='Bioenergy Calculator'!$X$23,BF36,IF($K$2='Bioenergy Calculator'!$X$19,V36,IF($K$2='Bioenergy Calculator'!$X$20,AD36,IF($K$2='Bioenergy Calculator'!$X$24,'Conversion Tables'!BN36,"NA"))))))</f>
        <v>NA</v>
      </c>
      <c r="N36" s="334" t="str">
        <f>IF($K$2='Bioenergy Calculator'!$X$21,AA36,IF($K$2='Bioenergy Calculator'!$X$22,BK36,IF($K$2='Bioenergy Calculator'!$X$23,BG36,IF($K$2='Bioenergy Calculator'!$X$19,W36,IF($K$2='Bioenergy Calculator'!$X$20,AE36,IF($K$2='Bioenergy Calculator'!$X$24,'Conversion Tables'!BO36,"NA"))))))</f>
        <v>NA</v>
      </c>
      <c r="O36" s="84"/>
      <c r="P36" s="68" t="s">
        <v>431</v>
      </c>
      <c r="Q36" s="51" t="s">
        <v>431</v>
      </c>
      <c r="R36" s="51" t="s">
        <v>431</v>
      </c>
      <c r="S36" s="65" t="s">
        <v>431</v>
      </c>
      <c r="T36" s="51" t="s">
        <v>431</v>
      </c>
      <c r="U36" s="51" t="s">
        <v>431</v>
      </c>
      <c r="V36" s="51" t="s">
        <v>431</v>
      </c>
      <c r="W36" s="65" t="s">
        <v>431</v>
      </c>
      <c r="X36" s="252">
        <f>'Fuel Yields Eth. and DA Hydrol.'!I22</f>
        <v>57.927022900763347</v>
      </c>
      <c r="Y36" s="252">
        <f>'Fuel Yields Eth. and DA Hydrol.'!J22</f>
        <v>69.49557272042199</v>
      </c>
      <c r="Z36" s="252">
        <f>'Fuel Yields Eth. and DA Hydrol.'!K22</f>
        <v>79.423511680482278</v>
      </c>
      <c r="AA36" s="255">
        <f>'Fuel Yields Eth. and DA Hydrol.'!L22</f>
        <v>89.351450640542552</v>
      </c>
      <c r="AB36" s="51" t="s">
        <v>431</v>
      </c>
      <c r="AC36" s="51" t="s">
        <v>431</v>
      </c>
      <c r="AD36" s="51" t="s">
        <v>431</v>
      </c>
      <c r="AE36" s="65" t="s">
        <v>431</v>
      </c>
      <c r="AF36" s="668">
        <f>('Energy Content Assumptions'!$B$69/'Technology Assumptions'!B$4)/1000</f>
        <v>13.648</v>
      </c>
      <c r="AG36" s="66">
        <f>('Energy Content Assumptions'!$B$69/'Technology Assumptions'!C$4)/1000</f>
        <v>13.648</v>
      </c>
      <c r="AH36" s="66">
        <f>('Energy Content Assumptions'!$B$69/'Technology Assumptions'!D$4)/1000</f>
        <v>13.648</v>
      </c>
      <c r="AI36" s="69">
        <f>('Energy Content Assumptions'!$B$69/'Technology Assumptions'!E$4)/1000</f>
        <v>13.648</v>
      </c>
      <c r="AJ36" s="66" t="s">
        <v>431</v>
      </c>
      <c r="AK36" s="66" t="s">
        <v>431</v>
      </c>
      <c r="AL36" s="66" t="s">
        <v>431</v>
      </c>
      <c r="AM36" s="69" t="s">
        <v>431</v>
      </c>
      <c r="AN36" s="51" t="s">
        <v>431</v>
      </c>
      <c r="AO36" s="51" t="s">
        <v>431</v>
      </c>
      <c r="AP36" s="51" t="s">
        <v>431</v>
      </c>
      <c r="AQ36" s="65" t="s">
        <v>431</v>
      </c>
      <c r="AR36" s="66">
        <f>('Energy Content Assumptions'!$B$69/'Technology Assumptions'!B$6)/1000</f>
        <v>9.7485714285714291</v>
      </c>
      <c r="AS36" s="66">
        <f>('Energy Content Assumptions'!$B$69/'Technology Assumptions'!C$6)/1000</f>
        <v>9.7485714285714291</v>
      </c>
      <c r="AT36" s="66">
        <f>('Energy Content Assumptions'!$B$69/'Technology Assumptions'!D$6)/1000</f>
        <v>9.7485714285714291</v>
      </c>
      <c r="AU36" s="69">
        <f>('Energy Content Assumptions'!$B$69/'Technology Assumptions'!E$6)/1000</f>
        <v>9.7485714285714291</v>
      </c>
      <c r="AV36" s="51" t="s">
        <v>431</v>
      </c>
      <c r="AW36" s="51" t="s">
        <v>431</v>
      </c>
      <c r="AX36" s="51" t="s">
        <v>431</v>
      </c>
      <c r="AY36" s="65" t="s">
        <v>431</v>
      </c>
      <c r="AZ36" s="88">
        <f>('Energy Content Assumptions'!$B$69/'Technology Assumptions'!B$11)/1000</f>
        <v>18.052910052910054</v>
      </c>
      <c r="BA36" s="88">
        <f>('Energy Content Assumptions'!$B$69/'Technology Assumptions'!C$11)/1000</f>
        <v>18.052910052910054</v>
      </c>
      <c r="BB36" s="88">
        <f>('Energy Content Assumptions'!$B$69/'Technology Assumptions'!D$11)/1000</f>
        <v>18.052910052910054</v>
      </c>
      <c r="BC36" s="89">
        <f>('Energy Content Assumptions'!$B$69/'Technology Assumptions'!E$11)/1000</f>
        <v>18.052910052910054</v>
      </c>
      <c r="BD36" s="78">
        <f>'Technology Assumptions'!B$27</f>
        <v>45.6</v>
      </c>
      <c r="BE36" s="78">
        <f>'Technology Assumptions'!C$27</f>
        <v>45.6</v>
      </c>
      <c r="BF36" s="78">
        <f>'Technology Assumptions'!D$27</f>
        <v>45.6</v>
      </c>
      <c r="BG36" s="79">
        <f>'Technology Assumptions'!E$27</f>
        <v>45.6</v>
      </c>
      <c r="BH36" s="671">
        <f>'Fuel Yields Eth. and DA Hydrol.'!$F$22</f>
        <v>52.243205379658164</v>
      </c>
      <c r="BI36" s="671">
        <f>'Fuel Yields Eth. and DA Hydrol.'!$F$22</f>
        <v>52.243205379658164</v>
      </c>
      <c r="BJ36" s="671">
        <f>'Fuel Yields Eth. and DA Hydrol.'!$F$22</f>
        <v>52.243205379658164</v>
      </c>
      <c r="BK36" s="672">
        <f>'Fuel Yields Eth. and DA Hydrol.'!$F$22</f>
        <v>52.243205379658164</v>
      </c>
      <c r="BL36" s="51" t="s">
        <v>431</v>
      </c>
      <c r="BM36" s="51" t="s">
        <v>431</v>
      </c>
      <c r="BN36" s="51" t="s">
        <v>431</v>
      </c>
      <c r="BO36" s="140" t="s">
        <v>431</v>
      </c>
    </row>
    <row r="37" spans="1:67" x14ac:dyDescent="0.25">
      <c r="A37" s="1093"/>
      <c r="B37" s="17" t="s">
        <v>556</v>
      </c>
      <c r="C37" s="32">
        <f>'Energy Content Assumptions'!B34*2000/1000000</f>
        <v>14.522</v>
      </c>
      <c r="D37" s="32" t="s">
        <v>261</v>
      </c>
      <c r="E37" s="119"/>
      <c r="F37" s="333" t="str">
        <f>IF($F$2='Bioenergy Calculator'!$X$9,AF37,IF($F$2='Bioenergy Calculator'!$X$10,AJ37,IF($F$2='Bioenergy Calculator'!$X$11,AN37,IF($F$2='Bioenergy Calculator'!$X$12,P37,IF($F$2='Bioenergy Calculator'!$X$13,AR37,IF($F$2='Bioenergy Calculator'!$X$14,AV37,IF($F$2='Bioenergy Calculator'!$X$15,AZ37,"NA")))))))</f>
        <v>NA</v>
      </c>
      <c r="G37" s="66" t="str">
        <f>IF($F$2='Bioenergy Calculator'!$X$9,AG37,IF($F$2='Bioenergy Calculator'!$X$10,AK37,IF($F$2='Bioenergy Calculator'!$X$11,AO37,IF($F$2='Bioenergy Calculator'!$X$12,Q37,IF($F$2='Bioenergy Calculator'!$X$13,AS37,IF($F$2='Bioenergy Calculator'!$X$14,AW37,IF($F$2='Bioenergy Calculator'!$X$15,BA37,"NA")))))))</f>
        <v>NA</v>
      </c>
      <c r="H37" s="66" t="str">
        <f>IF($F$2='Bioenergy Calculator'!$X$9,AH37,IF($F$2='Bioenergy Calculator'!$X$10,AL37,IF($F$2='Bioenergy Calculator'!$X$11,AP37,IF($F$2='Bioenergy Calculator'!$X$12,R37,IF($F$2='Bioenergy Calculator'!$X$13,AT37,IF($F$2='Bioenergy Calculator'!$X$14,AX37,IF($F$2='Bioenergy Calculator'!$X$15,BB37,"NA")))))))</f>
        <v>NA</v>
      </c>
      <c r="I37" s="334" t="str">
        <f>IF($F$2='Bioenergy Calculator'!$X$9,AI37,IF($F$2='Bioenergy Calculator'!$X$10,AM37,IF($F$2='Bioenergy Calculator'!$X$11,AQ37,IF($F$2='Bioenergy Calculator'!$X$12,S37,IF($F$2='Bioenergy Calculator'!$X$13,AU37,IF($F$2='Bioenergy Calculator'!$X$14,AY37,IF($F$2='Bioenergy Calculator'!$X$15,BC37,"NA")))))))</f>
        <v>NA</v>
      </c>
      <c r="J37" s="117"/>
      <c r="K37" s="333" t="str">
        <f>IF($K$2='Bioenergy Calculator'!$X$21,X37,IF($K$2='Bioenergy Calculator'!$X$22,BH37,IF($K$2='Bioenergy Calculator'!$X$23,BD37,IF($K$2='Bioenergy Calculator'!$X$19,T37,IF($K$2='Bioenergy Calculator'!$X$20,AB37,IF($K$2='Bioenergy Calculator'!$X$24,'Conversion Tables'!BL37,"NA"))))))</f>
        <v>NA</v>
      </c>
      <c r="L37" s="66" t="str">
        <f>IF($K$2='Bioenergy Calculator'!$X$21,Y37,IF($K$2='Bioenergy Calculator'!$X$22,BI37,IF($K$2='Bioenergy Calculator'!$X$23,BE37,IF($K$2='Bioenergy Calculator'!$X$19,U37,IF($K$2='Bioenergy Calculator'!$X$20,AC37,IF($K$2='Bioenergy Calculator'!$X$24,'Conversion Tables'!BM37,"NA"))))))</f>
        <v>NA</v>
      </c>
      <c r="M37" s="66" t="str">
        <f>IF($K$2='Bioenergy Calculator'!$X$21,Z37,IF($K$2='Bioenergy Calculator'!$X$22,BJ37,IF($K$2='Bioenergy Calculator'!$X$23,BF37,IF($K$2='Bioenergy Calculator'!$X$19,V37,IF($K$2='Bioenergy Calculator'!$X$20,AD37,IF($K$2='Bioenergy Calculator'!$X$24,'Conversion Tables'!BN37,"NA"))))))</f>
        <v>NA</v>
      </c>
      <c r="N37" s="334" t="str">
        <f>IF($K$2='Bioenergy Calculator'!$X$21,AA37,IF($K$2='Bioenergy Calculator'!$X$22,BK37,IF($K$2='Bioenergy Calculator'!$X$23,BG37,IF($K$2='Bioenergy Calculator'!$X$19,W37,IF($K$2='Bioenergy Calculator'!$X$20,AE37,IF($K$2='Bioenergy Calculator'!$X$24,'Conversion Tables'!BO37,"NA"))))))</f>
        <v>NA</v>
      </c>
      <c r="O37" s="84"/>
      <c r="P37" s="68" t="s">
        <v>431</v>
      </c>
      <c r="Q37" s="51" t="s">
        <v>431</v>
      </c>
      <c r="R37" s="51" t="s">
        <v>431</v>
      </c>
      <c r="S37" s="65" t="s">
        <v>431</v>
      </c>
      <c r="T37" s="51" t="s">
        <v>431</v>
      </c>
      <c r="U37" s="51" t="s">
        <v>431</v>
      </c>
      <c r="V37" s="51" t="s">
        <v>431</v>
      </c>
      <c r="W37" s="65" t="s">
        <v>431</v>
      </c>
      <c r="X37" s="252">
        <f>'Fuel Yields Eth. and DA Hydrol.'!I24</f>
        <v>83.609770992366407</v>
      </c>
      <c r="Y37" s="252">
        <f>'Fuel Yields Eth. and DA Hydrol.'!J24</f>
        <v>100.30739763878421</v>
      </c>
      <c r="Z37" s="252">
        <f>'Fuel Yields Eth. and DA Hydrol.'!K24</f>
        <v>114.63702587289625</v>
      </c>
      <c r="AA37" s="255">
        <f>'Fuel Yields Eth. and DA Hydrol.'!L24</f>
        <v>128.96665410700828</v>
      </c>
      <c r="AB37" s="51" t="s">
        <v>431</v>
      </c>
      <c r="AC37" s="51" t="s">
        <v>431</v>
      </c>
      <c r="AD37" s="51" t="s">
        <v>431</v>
      </c>
      <c r="AE37" s="65" t="s">
        <v>431</v>
      </c>
      <c r="AF37" s="668">
        <f>('Energy Content Assumptions'!$B$69/'Technology Assumptions'!B$4)/1000</f>
        <v>13.648</v>
      </c>
      <c r="AG37" s="66">
        <f>('Energy Content Assumptions'!$B$69/'Technology Assumptions'!C$4)/1000</f>
        <v>13.648</v>
      </c>
      <c r="AH37" s="66">
        <f>('Energy Content Assumptions'!$B$69/'Technology Assumptions'!D$4)/1000</f>
        <v>13.648</v>
      </c>
      <c r="AI37" s="69">
        <f>('Energy Content Assumptions'!$B$69/'Technology Assumptions'!E$4)/1000</f>
        <v>13.648</v>
      </c>
      <c r="AJ37" s="66" t="s">
        <v>431</v>
      </c>
      <c r="AK37" s="66" t="s">
        <v>431</v>
      </c>
      <c r="AL37" s="66" t="s">
        <v>431</v>
      </c>
      <c r="AM37" s="69" t="s">
        <v>431</v>
      </c>
      <c r="AN37" s="51" t="s">
        <v>431</v>
      </c>
      <c r="AO37" s="51" t="s">
        <v>431</v>
      </c>
      <c r="AP37" s="51" t="s">
        <v>431</v>
      </c>
      <c r="AQ37" s="65" t="s">
        <v>431</v>
      </c>
      <c r="AR37" s="66">
        <f>('Energy Content Assumptions'!$B$69/'Technology Assumptions'!B$6)/1000</f>
        <v>9.7485714285714291</v>
      </c>
      <c r="AS37" s="66">
        <f>('Energy Content Assumptions'!$B$69/'Technology Assumptions'!C$6)/1000</f>
        <v>9.7485714285714291</v>
      </c>
      <c r="AT37" s="66">
        <f>('Energy Content Assumptions'!$B$69/'Technology Assumptions'!D$6)/1000</f>
        <v>9.7485714285714291</v>
      </c>
      <c r="AU37" s="69">
        <f>('Energy Content Assumptions'!$B$69/'Technology Assumptions'!E$6)/1000</f>
        <v>9.7485714285714291</v>
      </c>
      <c r="AV37" s="51" t="s">
        <v>431</v>
      </c>
      <c r="AW37" s="51" t="s">
        <v>431</v>
      </c>
      <c r="AX37" s="51" t="s">
        <v>431</v>
      </c>
      <c r="AY37" s="65" t="s">
        <v>431</v>
      </c>
      <c r="AZ37" s="88">
        <f>('Energy Content Assumptions'!$B$69/'Technology Assumptions'!B$11)/1000</f>
        <v>18.052910052910054</v>
      </c>
      <c r="BA37" s="88">
        <f>('Energy Content Assumptions'!$B$69/'Technology Assumptions'!C$11)/1000</f>
        <v>18.052910052910054</v>
      </c>
      <c r="BB37" s="88">
        <f>('Energy Content Assumptions'!$B$69/'Technology Assumptions'!D$11)/1000</f>
        <v>18.052910052910054</v>
      </c>
      <c r="BC37" s="89">
        <f>('Energy Content Assumptions'!$B$69/'Technology Assumptions'!E$11)/1000</f>
        <v>18.052910052910054</v>
      </c>
      <c r="BD37" s="78">
        <f>'Technology Assumptions'!B$27</f>
        <v>45.6</v>
      </c>
      <c r="BE37" s="78">
        <f>'Technology Assumptions'!C$27</f>
        <v>45.6</v>
      </c>
      <c r="BF37" s="78">
        <f>'Technology Assumptions'!D$27</f>
        <v>45.6</v>
      </c>
      <c r="BG37" s="79">
        <f>'Technology Assumptions'!E$27</f>
        <v>45.6</v>
      </c>
      <c r="BH37" s="675">
        <f>'Fuel Yields Eth. and DA Hydrol.'!$F$24</f>
        <v>71.27598767161669</v>
      </c>
      <c r="BI37" s="675">
        <f>'Fuel Yields Eth. and DA Hydrol.'!$F$24</f>
        <v>71.27598767161669</v>
      </c>
      <c r="BJ37" s="675">
        <f>'Fuel Yields Eth. and DA Hydrol.'!$F$24</f>
        <v>71.27598767161669</v>
      </c>
      <c r="BK37" s="676">
        <f>'Fuel Yields Eth. and DA Hydrol.'!$F$24</f>
        <v>71.27598767161669</v>
      </c>
      <c r="BL37" s="51" t="s">
        <v>431</v>
      </c>
      <c r="BM37" s="51" t="s">
        <v>431</v>
      </c>
      <c r="BN37" s="51" t="s">
        <v>431</v>
      </c>
      <c r="BO37" s="140" t="s">
        <v>431</v>
      </c>
    </row>
    <row r="38" spans="1:67" x14ac:dyDescent="0.25">
      <c r="A38" s="1093"/>
      <c r="B38" s="17" t="s">
        <v>557</v>
      </c>
      <c r="C38" s="32">
        <f>'Energy Content Assumptions'!B35*2000/1000000</f>
        <v>15.958</v>
      </c>
      <c r="D38" s="32" t="s">
        <v>261</v>
      </c>
      <c r="E38" s="119"/>
      <c r="F38" s="333" t="str">
        <f>IF($F$2='Bioenergy Calculator'!$X$9,AF38,IF($F$2='Bioenergy Calculator'!$X$10,AJ38,IF($F$2='Bioenergy Calculator'!$X$11,AN38,IF($F$2='Bioenergy Calculator'!$X$12,P38,IF($F$2='Bioenergy Calculator'!$X$13,AR38,IF($F$2='Bioenergy Calculator'!$X$14,AV38,IF($F$2='Bioenergy Calculator'!$X$15,AZ38,"NA")))))))</f>
        <v>NA</v>
      </c>
      <c r="G38" s="66" t="str">
        <f>IF($F$2='Bioenergy Calculator'!$X$9,AG38,IF($F$2='Bioenergy Calculator'!$X$10,AK38,IF($F$2='Bioenergy Calculator'!$X$11,AO38,IF($F$2='Bioenergy Calculator'!$X$12,Q38,IF($F$2='Bioenergy Calculator'!$X$13,AS38,IF($F$2='Bioenergy Calculator'!$X$14,AW38,IF($F$2='Bioenergy Calculator'!$X$15,BA38,"NA")))))))</f>
        <v>NA</v>
      </c>
      <c r="H38" s="66" t="str">
        <f>IF($F$2='Bioenergy Calculator'!$X$9,AH38,IF($F$2='Bioenergy Calculator'!$X$10,AL38,IF($F$2='Bioenergy Calculator'!$X$11,AP38,IF($F$2='Bioenergy Calculator'!$X$12,R38,IF($F$2='Bioenergy Calculator'!$X$13,AT38,IF($F$2='Bioenergy Calculator'!$X$14,AX38,IF($F$2='Bioenergy Calculator'!$X$15,BB38,"NA")))))))</f>
        <v>NA</v>
      </c>
      <c r="I38" s="334" t="str">
        <f>IF($F$2='Bioenergy Calculator'!$X$9,AI38,IF($F$2='Bioenergy Calculator'!$X$10,AM38,IF($F$2='Bioenergy Calculator'!$X$11,AQ38,IF($F$2='Bioenergy Calculator'!$X$12,S38,IF($F$2='Bioenergy Calculator'!$X$13,AU38,IF($F$2='Bioenergy Calculator'!$X$14,AY38,IF($F$2='Bioenergy Calculator'!$X$15,BC38,"NA")))))))</f>
        <v>NA</v>
      </c>
      <c r="J38" s="117"/>
      <c r="K38" s="333" t="str">
        <f>IF($K$2='Bioenergy Calculator'!$X$21,X38,IF($K$2='Bioenergy Calculator'!$X$22,BH38,IF($K$2='Bioenergy Calculator'!$X$23,BD38,IF($K$2='Bioenergy Calculator'!$X$19,T38,IF($K$2='Bioenergy Calculator'!$X$20,AB38,IF($K$2='Bioenergy Calculator'!$X$24,'Conversion Tables'!BL38,"NA"))))))</f>
        <v>NA</v>
      </c>
      <c r="L38" s="66" t="str">
        <f>IF($K$2='Bioenergy Calculator'!$X$21,Y38,IF($K$2='Bioenergy Calculator'!$X$22,BI38,IF($K$2='Bioenergy Calculator'!$X$23,BE38,IF($K$2='Bioenergy Calculator'!$X$19,U38,IF($K$2='Bioenergy Calculator'!$X$20,AC38,IF($K$2='Bioenergy Calculator'!$X$24,'Conversion Tables'!BM38,"NA"))))))</f>
        <v>NA</v>
      </c>
      <c r="M38" s="66" t="str">
        <f>IF($K$2='Bioenergy Calculator'!$X$21,Z38,IF($K$2='Bioenergy Calculator'!$X$22,BJ38,IF($K$2='Bioenergy Calculator'!$X$23,BF38,IF($K$2='Bioenergy Calculator'!$X$19,V38,IF($K$2='Bioenergy Calculator'!$X$20,AD38,IF($K$2='Bioenergy Calculator'!$X$24,'Conversion Tables'!BN38,"NA"))))))</f>
        <v>NA</v>
      </c>
      <c r="N38" s="334" t="str">
        <f>IF($K$2='Bioenergy Calculator'!$X$21,AA38,IF($K$2='Bioenergy Calculator'!$X$22,BK38,IF($K$2='Bioenergy Calculator'!$X$23,BG38,IF($K$2='Bioenergy Calculator'!$X$19,W38,IF($K$2='Bioenergy Calculator'!$X$20,AE38,IF($K$2='Bioenergy Calculator'!$X$24,'Conversion Tables'!BO38,"NA"))))))</f>
        <v>NA</v>
      </c>
      <c r="O38" s="84"/>
      <c r="P38" s="68" t="s">
        <v>431</v>
      </c>
      <c r="Q38" s="51" t="s">
        <v>431</v>
      </c>
      <c r="R38" s="51" t="s">
        <v>431</v>
      </c>
      <c r="S38" s="65" t="s">
        <v>431</v>
      </c>
      <c r="T38" s="51" t="s">
        <v>431</v>
      </c>
      <c r="U38" s="51" t="s">
        <v>431</v>
      </c>
      <c r="V38" s="51" t="s">
        <v>431</v>
      </c>
      <c r="W38" s="65" t="s">
        <v>431</v>
      </c>
      <c r="X38" s="252">
        <f>'Fuel Yields Eth. and DA Hydrol.'!I23</f>
        <v>49.470229007633584</v>
      </c>
      <c r="Y38" s="252">
        <f>'Fuel Yields Eth. and DA Hydrol.'!J23</f>
        <v>59.349880683245409</v>
      </c>
      <c r="Z38" s="252">
        <f>'Fuel Yields Eth. and DA Hydrol.'!K23</f>
        <v>67.828435066566186</v>
      </c>
      <c r="AA38" s="255">
        <f>'Fuel Yields Eth. and DA Hydrol.'!L23</f>
        <v>76.306989449886956</v>
      </c>
      <c r="AB38" s="51" t="s">
        <v>431</v>
      </c>
      <c r="AC38" s="51" t="s">
        <v>431</v>
      </c>
      <c r="AD38" s="51" t="s">
        <v>431</v>
      </c>
      <c r="AE38" s="65" t="s">
        <v>431</v>
      </c>
      <c r="AF38" s="668">
        <f>('Energy Content Assumptions'!$B$69/'Technology Assumptions'!B$4)/1000</f>
        <v>13.648</v>
      </c>
      <c r="AG38" s="66">
        <f>('Energy Content Assumptions'!$B$69/'Technology Assumptions'!C$4)/1000</f>
        <v>13.648</v>
      </c>
      <c r="AH38" s="66">
        <f>('Energy Content Assumptions'!$B$69/'Technology Assumptions'!D$4)/1000</f>
        <v>13.648</v>
      </c>
      <c r="AI38" s="69">
        <f>('Energy Content Assumptions'!$B$69/'Technology Assumptions'!E$4)/1000</f>
        <v>13.648</v>
      </c>
      <c r="AJ38" s="66" t="s">
        <v>431</v>
      </c>
      <c r="AK38" s="66" t="s">
        <v>431</v>
      </c>
      <c r="AL38" s="66" t="s">
        <v>431</v>
      </c>
      <c r="AM38" s="69" t="s">
        <v>431</v>
      </c>
      <c r="AN38" s="51" t="s">
        <v>431</v>
      </c>
      <c r="AO38" s="51" t="s">
        <v>431</v>
      </c>
      <c r="AP38" s="51" t="s">
        <v>431</v>
      </c>
      <c r="AQ38" s="65" t="s">
        <v>431</v>
      </c>
      <c r="AR38" s="66">
        <f>('Energy Content Assumptions'!$B$69/'Technology Assumptions'!B$6)/1000</f>
        <v>9.7485714285714291</v>
      </c>
      <c r="AS38" s="66">
        <f>('Energy Content Assumptions'!$B$69/'Technology Assumptions'!C$6)/1000</f>
        <v>9.7485714285714291</v>
      </c>
      <c r="AT38" s="66">
        <f>('Energy Content Assumptions'!$B$69/'Technology Assumptions'!D$6)/1000</f>
        <v>9.7485714285714291</v>
      </c>
      <c r="AU38" s="69">
        <f>('Energy Content Assumptions'!$B$69/'Technology Assumptions'!E$6)/1000</f>
        <v>9.7485714285714291</v>
      </c>
      <c r="AV38" s="51" t="s">
        <v>431</v>
      </c>
      <c r="AW38" s="51" t="s">
        <v>431</v>
      </c>
      <c r="AX38" s="51" t="s">
        <v>431</v>
      </c>
      <c r="AY38" s="65" t="s">
        <v>431</v>
      </c>
      <c r="AZ38" s="88">
        <f>('Energy Content Assumptions'!$B$69/'Technology Assumptions'!B$11)/1000</f>
        <v>18.052910052910054</v>
      </c>
      <c r="BA38" s="88">
        <f>('Energy Content Assumptions'!$B$69/'Technology Assumptions'!C$11)/1000</f>
        <v>18.052910052910054</v>
      </c>
      <c r="BB38" s="88">
        <f>('Energy Content Assumptions'!$B$69/'Technology Assumptions'!D$11)/1000</f>
        <v>18.052910052910054</v>
      </c>
      <c r="BC38" s="89">
        <f>('Energy Content Assumptions'!$B$69/'Technology Assumptions'!E$11)/1000</f>
        <v>18.052910052910054</v>
      </c>
      <c r="BD38" s="78">
        <f>'Technology Assumptions'!B$27</f>
        <v>45.6</v>
      </c>
      <c r="BE38" s="78">
        <f>'Technology Assumptions'!C$27</f>
        <v>45.6</v>
      </c>
      <c r="BF38" s="78">
        <f>'Technology Assumptions'!D$27</f>
        <v>45.6</v>
      </c>
      <c r="BG38" s="79">
        <f>'Technology Assumptions'!E$27</f>
        <v>45.6</v>
      </c>
      <c r="BH38" s="675">
        <f>'Fuel Yields Eth. and DA Hydrol.'!$F$23</f>
        <v>44.998599047352194</v>
      </c>
      <c r="BI38" s="675">
        <f>'Fuel Yields Eth. and DA Hydrol.'!$F$23</f>
        <v>44.998599047352194</v>
      </c>
      <c r="BJ38" s="675">
        <f>'Fuel Yields Eth. and DA Hydrol.'!$F$23</f>
        <v>44.998599047352194</v>
      </c>
      <c r="BK38" s="676">
        <f>'Fuel Yields Eth. and DA Hydrol.'!$F$23</f>
        <v>44.998599047352194</v>
      </c>
      <c r="BL38" s="51" t="s">
        <v>431</v>
      </c>
      <c r="BM38" s="51" t="s">
        <v>431</v>
      </c>
      <c r="BN38" s="51" t="s">
        <v>431</v>
      </c>
      <c r="BO38" s="140" t="s">
        <v>431</v>
      </c>
    </row>
    <row r="39" spans="1:67" x14ac:dyDescent="0.25">
      <c r="A39" s="1093"/>
      <c r="B39" s="17" t="s">
        <v>558</v>
      </c>
      <c r="C39" s="32">
        <f>'Energy Content Assumptions'!B36*2000/1000000</f>
        <v>14.522</v>
      </c>
      <c r="D39" s="32" t="s">
        <v>261</v>
      </c>
      <c r="E39" s="119"/>
      <c r="F39" s="333" t="str">
        <f>IF($F$2='Bioenergy Calculator'!$X$9,AF39,IF($F$2='Bioenergy Calculator'!$X$10,AJ39,IF($F$2='Bioenergy Calculator'!$X$11,AN39,IF($F$2='Bioenergy Calculator'!$X$12,P39,IF($F$2='Bioenergy Calculator'!$X$13,AR39,IF($F$2='Bioenergy Calculator'!$X$14,AV39,IF($F$2='Bioenergy Calculator'!$X$15,AZ39,"NA")))))))</f>
        <v>NA</v>
      </c>
      <c r="G39" s="66" t="str">
        <f>IF($F$2='Bioenergy Calculator'!$X$9,AG39,IF($F$2='Bioenergy Calculator'!$X$10,AK39,IF($F$2='Bioenergy Calculator'!$X$11,AO39,IF($F$2='Bioenergy Calculator'!$X$12,Q39,IF($F$2='Bioenergy Calculator'!$X$13,AS39,IF($F$2='Bioenergy Calculator'!$X$14,AW39,IF($F$2='Bioenergy Calculator'!$X$15,BA39,"NA")))))))</f>
        <v>NA</v>
      </c>
      <c r="H39" s="66" t="str">
        <f>IF($F$2='Bioenergy Calculator'!$X$9,AH39,IF($F$2='Bioenergy Calculator'!$X$10,AL39,IF($F$2='Bioenergy Calculator'!$X$11,AP39,IF($F$2='Bioenergy Calculator'!$X$12,R39,IF($F$2='Bioenergy Calculator'!$X$13,AT39,IF($F$2='Bioenergy Calculator'!$X$14,AX39,IF($F$2='Bioenergy Calculator'!$X$15,BB39,"NA")))))))</f>
        <v>NA</v>
      </c>
      <c r="I39" s="334" t="str">
        <f>IF($F$2='Bioenergy Calculator'!$X$9,AI39,IF($F$2='Bioenergy Calculator'!$X$10,AM39,IF($F$2='Bioenergy Calculator'!$X$11,AQ39,IF($F$2='Bioenergy Calculator'!$X$12,S39,IF($F$2='Bioenergy Calculator'!$X$13,AU39,IF($F$2='Bioenergy Calculator'!$X$14,AY39,IF($F$2='Bioenergy Calculator'!$X$15,BC39,"NA")))))))</f>
        <v>NA</v>
      </c>
      <c r="J39" s="117"/>
      <c r="K39" s="333" t="str">
        <f>IF($K$2='Bioenergy Calculator'!$X$21,X39,IF($K$2='Bioenergy Calculator'!$X$22,BH39,IF($K$2='Bioenergy Calculator'!$X$23,BD39,IF($K$2='Bioenergy Calculator'!$X$19,T39,IF($K$2='Bioenergy Calculator'!$X$20,AB39,IF($K$2='Bioenergy Calculator'!$X$24,'Conversion Tables'!BL39,"NA"))))))</f>
        <v>NA</v>
      </c>
      <c r="L39" s="66" t="str">
        <f>IF($K$2='Bioenergy Calculator'!$X$21,Y39,IF($K$2='Bioenergy Calculator'!$X$22,BI39,IF($K$2='Bioenergy Calculator'!$X$23,BE39,IF($K$2='Bioenergy Calculator'!$X$19,U39,IF($K$2='Bioenergy Calculator'!$X$20,AC39,IF($K$2='Bioenergy Calculator'!$X$24,'Conversion Tables'!BM39,"NA"))))))</f>
        <v>NA</v>
      </c>
      <c r="M39" s="66" t="str">
        <f>IF($K$2='Bioenergy Calculator'!$X$21,Z39,IF($K$2='Bioenergy Calculator'!$X$22,BJ39,IF($K$2='Bioenergy Calculator'!$X$23,BF39,IF($K$2='Bioenergy Calculator'!$X$19,V39,IF($K$2='Bioenergy Calculator'!$X$20,AD39,IF($K$2='Bioenergy Calculator'!$X$24,'Conversion Tables'!BN39,"NA"))))))</f>
        <v>NA</v>
      </c>
      <c r="N39" s="334" t="str">
        <f>IF($K$2='Bioenergy Calculator'!$X$21,AA39,IF($K$2='Bioenergy Calculator'!$X$22,BK39,IF($K$2='Bioenergy Calculator'!$X$23,BG39,IF($K$2='Bioenergy Calculator'!$X$19,W39,IF($K$2='Bioenergy Calculator'!$X$20,AE39,IF($K$2='Bioenergy Calculator'!$X$24,'Conversion Tables'!BO39,"NA"))))))</f>
        <v>NA</v>
      </c>
      <c r="O39" s="84"/>
      <c r="P39" s="73" t="s">
        <v>431</v>
      </c>
      <c r="Q39" s="74" t="s">
        <v>431</v>
      </c>
      <c r="R39" s="74" t="s">
        <v>431</v>
      </c>
      <c r="S39" s="75" t="s">
        <v>431</v>
      </c>
      <c r="T39" s="51" t="s">
        <v>431</v>
      </c>
      <c r="U39" s="51" t="s">
        <v>431</v>
      </c>
      <c r="V39" s="51" t="s">
        <v>431</v>
      </c>
      <c r="W39" s="65" t="s">
        <v>431</v>
      </c>
      <c r="X39" s="252">
        <f>'Fuel Yields Eth. and DA Hydrol.'!I25</f>
        <v>44.244580152671759</v>
      </c>
      <c r="Y39" s="252">
        <f>'Fuel Yields Eth. and DA Hydrol.'!J25</f>
        <v>53.080622540400235</v>
      </c>
      <c r="Z39" s="252">
        <f>'Fuel Yields Eth. and DA Hydrol.'!K25</f>
        <v>60.663568617600269</v>
      </c>
      <c r="AA39" s="255">
        <f>'Fuel Yields Eth. and DA Hydrol.'!L25</f>
        <v>68.246514694800297</v>
      </c>
      <c r="AB39" s="51" t="s">
        <v>431</v>
      </c>
      <c r="AC39" s="51" t="s">
        <v>431</v>
      </c>
      <c r="AD39" s="51" t="s">
        <v>431</v>
      </c>
      <c r="AE39" s="65" t="s">
        <v>431</v>
      </c>
      <c r="AF39" s="668">
        <f>('Energy Content Assumptions'!$B$69/'Technology Assumptions'!B$4)/1000</f>
        <v>13.648</v>
      </c>
      <c r="AG39" s="66">
        <f>('Energy Content Assumptions'!$B$69/'Technology Assumptions'!C$4)/1000</f>
        <v>13.648</v>
      </c>
      <c r="AH39" s="66">
        <f>('Energy Content Assumptions'!$B$69/'Technology Assumptions'!D$4)/1000</f>
        <v>13.648</v>
      </c>
      <c r="AI39" s="69">
        <f>('Energy Content Assumptions'!$B$69/'Technology Assumptions'!E$4)/1000</f>
        <v>13.648</v>
      </c>
      <c r="AJ39" s="66" t="s">
        <v>431</v>
      </c>
      <c r="AK39" s="66" t="s">
        <v>431</v>
      </c>
      <c r="AL39" s="66" t="s">
        <v>431</v>
      </c>
      <c r="AM39" s="69" t="s">
        <v>431</v>
      </c>
      <c r="AN39" s="51" t="s">
        <v>431</v>
      </c>
      <c r="AO39" s="51" t="s">
        <v>431</v>
      </c>
      <c r="AP39" s="51" t="s">
        <v>431</v>
      </c>
      <c r="AQ39" s="65" t="s">
        <v>431</v>
      </c>
      <c r="AR39" s="66">
        <f>('Energy Content Assumptions'!$B$69/'Technology Assumptions'!B$6)/1000</f>
        <v>9.7485714285714291</v>
      </c>
      <c r="AS39" s="66">
        <f>('Energy Content Assumptions'!$B$69/'Technology Assumptions'!C$6)/1000</f>
        <v>9.7485714285714291</v>
      </c>
      <c r="AT39" s="66">
        <f>('Energy Content Assumptions'!$B$69/'Technology Assumptions'!D$6)/1000</f>
        <v>9.7485714285714291</v>
      </c>
      <c r="AU39" s="69">
        <f>('Energy Content Assumptions'!$B$69/'Technology Assumptions'!E$6)/1000</f>
        <v>9.7485714285714291</v>
      </c>
      <c r="AV39" s="51" t="s">
        <v>431</v>
      </c>
      <c r="AW39" s="51" t="s">
        <v>431</v>
      </c>
      <c r="AX39" s="51" t="s">
        <v>431</v>
      </c>
      <c r="AY39" s="65" t="s">
        <v>431</v>
      </c>
      <c r="AZ39" s="88">
        <f>('Energy Content Assumptions'!$B$69/'Technology Assumptions'!B$11)/1000</f>
        <v>18.052910052910054</v>
      </c>
      <c r="BA39" s="88">
        <f>('Energy Content Assumptions'!$B$69/'Technology Assumptions'!C$11)/1000</f>
        <v>18.052910052910054</v>
      </c>
      <c r="BB39" s="88">
        <f>('Energy Content Assumptions'!$B$69/'Technology Assumptions'!D$11)/1000</f>
        <v>18.052910052910054</v>
      </c>
      <c r="BC39" s="89">
        <f>('Energy Content Assumptions'!$B$69/'Technology Assumptions'!E$11)/1000</f>
        <v>18.052910052910054</v>
      </c>
      <c r="BD39" s="78">
        <f>'Technology Assumptions'!B$27</f>
        <v>45.6</v>
      </c>
      <c r="BE39" s="78">
        <f>'Technology Assumptions'!C$27</f>
        <v>45.6</v>
      </c>
      <c r="BF39" s="78">
        <f>'Technology Assumptions'!D$27</f>
        <v>45.6</v>
      </c>
      <c r="BG39" s="79">
        <f>'Technology Assumptions'!E$27</f>
        <v>45.6</v>
      </c>
      <c r="BH39" s="673">
        <f>'Fuel Yields Eth. and DA Hydrol.'!$F$25</f>
        <v>41.192490893807786</v>
      </c>
      <c r="BI39" s="673">
        <f>'Fuel Yields Eth. and DA Hydrol.'!$F$25</f>
        <v>41.192490893807786</v>
      </c>
      <c r="BJ39" s="673">
        <f>'Fuel Yields Eth. and DA Hydrol.'!$F$25</f>
        <v>41.192490893807786</v>
      </c>
      <c r="BK39" s="674">
        <f>'Fuel Yields Eth. and DA Hydrol.'!$F$25</f>
        <v>41.192490893807786</v>
      </c>
      <c r="BL39" s="74" t="s">
        <v>431</v>
      </c>
      <c r="BM39" s="74" t="s">
        <v>431</v>
      </c>
      <c r="BN39" s="74" t="s">
        <v>431</v>
      </c>
      <c r="BO39" s="238" t="s">
        <v>431</v>
      </c>
    </row>
    <row r="40" spans="1:67" x14ac:dyDescent="0.25">
      <c r="A40" s="1092" t="s">
        <v>515</v>
      </c>
      <c r="B40" s="2" t="s">
        <v>510</v>
      </c>
      <c r="C40" s="32"/>
      <c r="D40" s="32"/>
      <c r="E40" s="119"/>
      <c r="F40" s="172"/>
      <c r="G40" s="51"/>
      <c r="H40" s="51"/>
      <c r="I40" s="140"/>
      <c r="J40" s="84"/>
      <c r="K40" s="333"/>
      <c r="L40" s="66"/>
      <c r="M40" s="66"/>
      <c r="N40" s="334"/>
      <c r="O40" s="84"/>
      <c r="P40" s="77"/>
      <c r="Q40" s="78"/>
      <c r="R40" s="78"/>
      <c r="S40" s="79"/>
      <c r="T40" s="51"/>
      <c r="U40" s="51"/>
      <c r="V40" s="51"/>
      <c r="W40" s="65"/>
      <c r="X40" s="146"/>
      <c r="Y40" s="146"/>
      <c r="Z40" s="146"/>
      <c r="AA40" s="257"/>
      <c r="AB40" s="51"/>
      <c r="AC40" s="51"/>
      <c r="AD40" s="51"/>
      <c r="AE40" s="65"/>
      <c r="AF40" s="68"/>
      <c r="AG40" s="51"/>
      <c r="AH40" s="51"/>
      <c r="AI40" s="65"/>
      <c r="AJ40" s="51"/>
      <c r="AK40" s="51"/>
      <c r="AL40" s="51"/>
      <c r="AM40" s="65"/>
      <c r="AN40" s="51"/>
      <c r="AO40" s="51"/>
      <c r="AP40" s="51"/>
      <c r="AQ40" s="65"/>
      <c r="AR40" s="51"/>
      <c r="AS40" s="51"/>
      <c r="AT40" s="51"/>
      <c r="AU40" s="65"/>
      <c r="AV40" s="51"/>
      <c r="AW40" s="51"/>
      <c r="AX40" s="51"/>
      <c r="AY40" s="65"/>
      <c r="AZ40" s="51"/>
      <c r="BA40" s="51"/>
      <c r="BB40" s="51"/>
      <c r="BC40" s="65"/>
      <c r="BD40" s="51"/>
      <c r="BE40" s="51"/>
      <c r="BF40" s="51"/>
      <c r="BG40" s="65"/>
      <c r="BH40" s="146"/>
      <c r="BI40" s="146"/>
      <c r="BJ40" s="146"/>
      <c r="BK40" s="257"/>
      <c r="BL40" s="78"/>
      <c r="BM40" s="78"/>
      <c r="BN40" s="78"/>
      <c r="BO40" s="239"/>
    </row>
    <row r="41" spans="1:67" x14ac:dyDescent="0.25">
      <c r="A41" s="1093"/>
      <c r="B41" s="12" t="s">
        <v>525</v>
      </c>
      <c r="C41" s="32">
        <f>'Energy Content Assumptions'!B38*2000/1000000</f>
        <v>0</v>
      </c>
      <c r="D41" s="32"/>
      <c r="E41" s="119"/>
      <c r="F41" s="172" t="str">
        <f>IF($F$2='Bioenergy Calculator'!$X$9,AF41,IF($F$2='Bioenergy Calculator'!$X$10,AJ41,IF($F$2='Bioenergy Calculator'!$X$11,AN41,IF($F$2='Bioenergy Calculator'!$X$12,P41,IF($F$2='Bioenergy Calculator'!$X$13,AR41,IF($F$2='Bioenergy Calculator'!$X$14,AV41,IF($F$2='Bioenergy Calculator'!$X$15,AZ41,"NA")))))))</f>
        <v>NA</v>
      </c>
      <c r="G41" s="51" t="str">
        <f>IF($F$2='Bioenergy Calculator'!$X$9,AG41,IF($F$2='Bioenergy Calculator'!$X$10,AK41,IF($F$2='Bioenergy Calculator'!$X$11,AO41,IF($F$2='Bioenergy Calculator'!$X$12,Q41,IF($F$2='Bioenergy Calculator'!$X$13,AS41,IF($F$2='Bioenergy Calculator'!$X$14,AW41,IF($F$2='Bioenergy Calculator'!$X$15,BA41,"NA")))))))</f>
        <v>NA</v>
      </c>
      <c r="H41" s="51" t="str">
        <f>IF($F$2='Bioenergy Calculator'!$X$9,AH41,IF($F$2='Bioenergy Calculator'!$X$10,AL41,IF($F$2='Bioenergy Calculator'!$X$11,AP41,IF($F$2='Bioenergy Calculator'!$X$12,R41,IF($F$2='Bioenergy Calculator'!$X$13,AT41,IF($F$2='Bioenergy Calculator'!$X$14,AX41,IF($F$2='Bioenergy Calculator'!$X$15,BB41,"NA")))))))</f>
        <v>NA</v>
      </c>
      <c r="I41" s="140" t="str">
        <f>IF($F$2='Bioenergy Calculator'!$X$9,AI41,IF($F$2='Bioenergy Calculator'!$X$10,AM41,IF($F$2='Bioenergy Calculator'!$X$11,AQ41,IF($F$2='Bioenergy Calculator'!$X$12,S41,IF($F$2='Bioenergy Calculator'!$X$13,AU41,IF($F$2='Bioenergy Calculator'!$X$14,AY41,IF($F$2='Bioenergy Calculator'!$X$15,BC41,"NA")))))))</f>
        <v>NA</v>
      </c>
      <c r="J41" s="84"/>
      <c r="K41" s="333" t="str">
        <f>IF($K$2='Bioenergy Calculator'!$X$21,X41,IF($K$2='Bioenergy Calculator'!$X$22,BH41,IF($K$2='Bioenergy Calculator'!$X$23,BD41,IF($K$2='Bioenergy Calculator'!$X$19,T41,IF($K$2='Bioenergy Calculator'!$X$20,AB41,IF($K$2='Bioenergy Calculator'!$X$24,'Conversion Tables'!BL41,"NA"))))))</f>
        <v>NA</v>
      </c>
      <c r="L41" s="66" t="str">
        <f>IF($K$2='Bioenergy Calculator'!$X$21,Y41,IF($K$2='Bioenergy Calculator'!$X$22,BI41,IF($K$2='Bioenergy Calculator'!$X$23,BE41,IF($K$2='Bioenergy Calculator'!$X$19,U41,IF($K$2='Bioenergy Calculator'!$X$20,AC41,IF($K$2='Bioenergy Calculator'!$X$24,'Conversion Tables'!BM41,"NA"))))))</f>
        <v>NA</v>
      </c>
      <c r="M41" s="66" t="str">
        <f>IF($K$2='Bioenergy Calculator'!$X$21,Z41,IF($K$2='Bioenergy Calculator'!$X$22,BJ41,IF($K$2='Bioenergy Calculator'!$X$23,BF41,IF($K$2='Bioenergy Calculator'!$X$19,V41,IF($K$2='Bioenergy Calculator'!$X$20,AD41,IF($K$2='Bioenergy Calculator'!$X$24,'Conversion Tables'!BN41,"NA"))))))</f>
        <v>NA</v>
      </c>
      <c r="N41" s="334" t="str">
        <f>IF($K$2='Bioenergy Calculator'!$X$21,AA41,IF($K$2='Bioenergy Calculator'!$X$22,BK41,IF($K$2='Bioenergy Calculator'!$X$23,BG41,IF($K$2='Bioenergy Calculator'!$X$19,W41,IF($K$2='Bioenergy Calculator'!$X$20,AE41,IF($K$2='Bioenergy Calculator'!$X$24,'Conversion Tables'!BO41,"NA"))))))</f>
        <v>NA</v>
      </c>
      <c r="O41" s="84"/>
      <c r="P41" s="77" t="s">
        <v>431</v>
      </c>
      <c r="Q41" s="78" t="s">
        <v>431</v>
      </c>
      <c r="R41" s="78" t="s">
        <v>431</v>
      </c>
      <c r="S41" s="79" t="s">
        <v>431</v>
      </c>
      <c r="T41" s="51" t="s">
        <v>431</v>
      </c>
      <c r="U41" s="51" t="s">
        <v>431</v>
      </c>
      <c r="V41" s="51" t="s">
        <v>431</v>
      </c>
      <c r="W41" s="65" t="s">
        <v>431</v>
      </c>
      <c r="X41" s="146" t="s">
        <v>431</v>
      </c>
      <c r="Y41" s="146" t="s">
        <v>431</v>
      </c>
      <c r="Z41" s="146" t="s">
        <v>431</v>
      </c>
      <c r="AA41" s="257" t="s">
        <v>431</v>
      </c>
      <c r="AB41" s="74">
        <f>'Technology Assumptions'!B$20*2000</f>
        <v>50</v>
      </c>
      <c r="AC41" s="74">
        <f>'Technology Assumptions'!C$20*2000</f>
        <v>50</v>
      </c>
      <c r="AD41" s="74">
        <f>'Technology Assumptions'!D$20*2000</f>
        <v>50</v>
      </c>
      <c r="AE41" s="75">
        <f>'Technology Assumptions'!E$20*2000</f>
        <v>50</v>
      </c>
      <c r="AF41" s="68" t="s">
        <v>431</v>
      </c>
      <c r="AG41" s="51" t="s">
        <v>431</v>
      </c>
      <c r="AH41" s="51" t="s">
        <v>431</v>
      </c>
      <c r="AI41" s="65" t="s">
        <v>431</v>
      </c>
      <c r="AJ41" s="51" t="s">
        <v>431</v>
      </c>
      <c r="AK41" s="51" t="s">
        <v>431</v>
      </c>
      <c r="AL41" s="51" t="s">
        <v>431</v>
      </c>
      <c r="AM41" s="65" t="s">
        <v>431</v>
      </c>
      <c r="AN41" s="51" t="s">
        <v>431</v>
      </c>
      <c r="AO41" s="51" t="s">
        <v>431</v>
      </c>
      <c r="AP41" s="51" t="s">
        <v>431</v>
      </c>
      <c r="AQ41" s="65" t="s">
        <v>431</v>
      </c>
      <c r="AR41" s="51" t="s">
        <v>431</v>
      </c>
      <c r="AS41" s="51" t="s">
        <v>431</v>
      </c>
      <c r="AT41" s="51" t="s">
        <v>431</v>
      </c>
      <c r="AU41" s="65" t="s">
        <v>431</v>
      </c>
      <c r="AV41" s="51" t="s">
        <v>431</v>
      </c>
      <c r="AW41" s="51" t="s">
        <v>431</v>
      </c>
      <c r="AX41" s="51" t="s">
        <v>431</v>
      </c>
      <c r="AY41" s="65" t="s">
        <v>431</v>
      </c>
      <c r="AZ41" s="51" t="s">
        <v>431</v>
      </c>
      <c r="BA41" s="51" t="s">
        <v>431</v>
      </c>
      <c r="BB41" s="51" t="s">
        <v>431</v>
      </c>
      <c r="BC41" s="65" t="s">
        <v>431</v>
      </c>
      <c r="BD41" s="51" t="s">
        <v>431</v>
      </c>
      <c r="BE41" s="51" t="s">
        <v>431</v>
      </c>
      <c r="BF41" s="51" t="s">
        <v>431</v>
      </c>
      <c r="BG41" s="65" t="s">
        <v>431</v>
      </c>
      <c r="BH41" s="675" t="s">
        <v>431</v>
      </c>
      <c r="BI41" s="675" t="s">
        <v>431</v>
      </c>
      <c r="BJ41" s="675" t="s">
        <v>431</v>
      </c>
      <c r="BK41" s="676" t="s">
        <v>431</v>
      </c>
      <c r="BL41" s="78" t="s">
        <v>431</v>
      </c>
      <c r="BM41" s="78" t="s">
        <v>431</v>
      </c>
      <c r="BN41" s="78" t="s">
        <v>431</v>
      </c>
      <c r="BO41" s="239" t="s">
        <v>431</v>
      </c>
    </row>
    <row r="42" spans="1:67" x14ac:dyDescent="0.25">
      <c r="A42" s="1093"/>
      <c r="B42" s="2" t="s">
        <v>508</v>
      </c>
      <c r="C42" s="32">
        <f>'Energy Content Assumptions'!B39*2000/1000000</f>
        <v>30</v>
      </c>
      <c r="D42" s="32" t="s">
        <v>261</v>
      </c>
      <c r="E42" s="119"/>
      <c r="F42" s="172" t="str">
        <f>IF($F$2='Bioenergy Calculator'!$X$9,AF42,IF($F$2='Bioenergy Calculator'!$X$10,AJ42,IF($F$2='Bioenergy Calculator'!$X$11,AN42,IF($F$2='Bioenergy Calculator'!$X$12,P42,IF($F$2='Bioenergy Calculator'!$X$13,AR42,IF($F$2='Bioenergy Calculator'!$X$14,AV42,IF($F$2='Bioenergy Calculator'!$X$15,AZ42,"NA")))))))</f>
        <v>NA</v>
      </c>
      <c r="G42" s="51" t="str">
        <f>IF($F$2='Bioenergy Calculator'!$X$9,AG42,IF($F$2='Bioenergy Calculator'!$X$10,AK42,IF($F$2='Bioenergy Calculator'!$X$11,AO42,IF($F$2='Bioenergy Calculator'!$X$12,Q42,IF($F$2='Bioenergy Calculator'!$X$13,AS42,IF($F$2='Bioenergy Calculator'!$X$14,AW42,IF($F$2='Bioenergy Calculator'!$X$15,BA42,"NA")))))))</f>
        <v>NA</v>
      </c>
      <c r="H42" s="51" t="str">
        <f>IF($F$2='Bioenergy Calculator'!$X$9,AH42,IF($F$2='Bioenergy Calculator'!$X$10,AL42,IF($F$2='Bioenergy Calculator'!$X$11,AP42,IF($F$2='Bioenergy Calculator'!$X$12,R42,IF($F$2='Bioenergy Calculator'!$X$13,AT42,IF($F$2='Bioenergy Calculator'!$X$14,AX42,IF($F$2='Bioenergy Calculator'!$X$15,BB42,"NA")))))))</f>
        <v>NA</v>
      </c>
      <c r="I42" s="140" t="str">
        <f>IF($F$2='Bioenergy Calculator'!$X$9,AI42,IF($F$2='Bioenergy Calculator'!$X$10,AM42,IF($F$2='Bioenergy Calculator'!$X$11,AQ42,IF($F$2='Bioenergy Calculator'!$X$12,S42,IF($F$2='Bioenergy Calculator'!$X$13,AU42,IF($F$2='Bioenergy Calculator'!$X$14,AY42,IF($F$2='Bioenergy Calculator'!$X$15,BC42,"NA")))))))</f>
        <v>NA</v>
      </c>
      <c r="J42" s="84"/>
      <c r="K42" s="333" t="str">
        <f>IF($K$2='Bioenergy Calculator'!$X$21,X42,IF($K$2='Bioenergy Calculator'!$X$22,BH42,IF($K$2='Bioenergy Calculator'!$X$23,BD42,IF($K$2='Bioenergy Calculator'!$X$19,T42,IF($K$2='Bioenergy Calculator'!$X$20,AB42,IF($K$2='Bioenergy Calculator'!$X$24,'Conversion Tables'!BL42,"NA"))))))</f>
        <v>NA</v>
      </c>
      <c r="L42" s="66" t="str">
        <f>IF($K$2='Bioenergy Calculator'!$X$21,Y42,IF($K$2='Bioenergy Calculator'!$X$22,BI42,IF($K$2='Bioenergy Calculator'!$X$23,BE42,IF($K$2='Bioenergy Calculator'!$X$19,U42,IF($K$2='Bioenergy Calculator'!$X$20,AC42,IF($K$2='Bioenergy Calculator'!$X$24,'Conversion Tables'!BM42,"NA"))))))</f>
        <v>NA</v>
      </c>
      <c r="M42" s="66" t="str">
        <f>IF($K$2='Bioenergy Calculator'!$X$21,Z42,IF($K$2='Bioenergy Calculator'!$X$22,BJ42,IF($K$2='Bioenergy Calculator'!$X$23,BF42,IF($K$2='Bioenergy Calculator'!$X$19,V42,IF($K$2='Bioenergy Calculator'!$X$20,AD42,IF($K$2='Bioenergy Calculator'!$X$24,'Conversion Tables'!BN42,"NA"))))))</f>
        <v>NA</v>
      </c>
      <c r="N42" s="334" t="str">
        <f>IF($K$2='Bioenergy Calculator'!$X$21,AA42,IF($K$2='Bioenergy Calculator'!$X$22,BK42,IF($K$2='Bioenergy Calculator'!$X$23,BG42,IF($K$2='Bioenergy Calculator'!$X$19,W42,IF($K$2='Bioenergy Calculator'!$X$20,AE42,IF($K$2='Bioenergy Calculator'!$X$24,'Conversion Tables'!BO42,"NA"))))))</f>
        <v>NA</v>
      </c>
      <c r="O42" s="84"/>
      <c r="P42" s="77">
        <f>('Energy Content Assumptions'!$B$69/'Technology Assumptions'!B$8)/1000</f>
        <v>12.998095238095237</v>
      </c>
      <c r="Q42" s="78">
        <f>('Energy Content Assumptions'!$B$69/'Technology Assumptions'!C$8)/1000</f>
        <v>12.998095238095237</v>
      </c>
      <c r="R42" s="78">
        <f>('Energy Content Assumptions'!$B$69/'Technology Assumptions'!D$8)/1000</f>
        <v>12.998095238095237</v>
      </c>
      <c r="S42" s="79">
        <f>('Energy Content Assumptions'!$B$69/'Technology Assumptions'!E$8)/1000</f>
        <v>12.998095238095237</v>
      </c>
      <c r="T42" s="51" t="s">
        <v>431</v>
      </c>
      <c r="U42" s="51" t="s">
        <v>431</v>
      </c>
      <c r="V42" s="51" t="s">
        <v>431</v>
      </c>
      <c r="W42" s="65" t="s">
        <v>431</v>
      </c>
      <c r="X42" s="146" t="s">
        <v>431</v>
      </c>
      <c r="Y42" s="146" t="s">
        <v>431</v>
      </c>
      <c r="Z42" s="146" t="s">
        <v>431</v>
      </c>
      <c r="AA42" s="257" t="s">
        <v>431</v>
      </c>
      <c r="AB42" s="74">
        <f>'Technology Assumptions'!B$21*2000</f>
        <v>260</v>
      </c>
      <c r="AC42" s="74">
        <f>'Technology Assumptions'!C$21*2000</f>
        <v>260</v>
      </c>
      <c r="AD42" s="74">
        <f>'Technology Assumptions'!D$21*2000</f>
        <v>260</v>
      </c>
      <c r="AE42" s="75">
        <f>'Technology Assumptions'!E$21*2000</f>
        <v>260</v>
      </c>
      <c r="AF42" s="68" t="s">
        <v>431</v>
      </c>
      <c r="AG42" s="51" t="s">
        <v>431</v>
      </c>
      <c r="AH42" s="51" t="s">
        <v>431</v>
      </c>
      <c r="AI42" s="65" t="s">
        <v>431</v>
      </c>
      <c r="AJ42" s="51" t="s">
        <v>431</v>
      </c>
      <c r="AK42" s="51" t="s">
        <v>431</v>
      </c>
      <c r="AL42" s="51" t="s">
        <v>431</v>
      </c>
      <c r="AM42" s="65" t="s">
        <v>431</v>
      </c>
      <c r="AN42" s="51" t="s">
        <v>431</v>
      </c>
      <c r="AO42" s="51" t="s">
        <v>431</v>
      </c>
      <c r="AP42" s="51" t="s">
        <v>431</v>
      </c>
      <c r="AQ42" s="65" t="s">
        <v>431</v>
      </c>
      <c r="AR42" s="51" t="s">
        <v>431</v>
      </c>
      <c r="AS42" s="51" t="s">
        <v>431</v>
      </c>
      <c r="AT42" s="51" t="s">
        <v>431</v>
      </c>
      <c r="AU42" s="65" t="s">
        <v>431</v>
      </c>
      <c r="AV42" s="51" t="s">
        <v>431</v>
      </c>
      <c r="AW42" s="51" t="s">
        <v>431</v>
      </c>
      <c r="AX42" s="51" t="s">
        <v>431</v>
      </c>
      <c r="AY42" s="65" t="s">
        <v>431</v>
      </c>
      <c r="AZ42" s="51" t="s">
        <v>431</v>
      </c>
      <c r="BA42" s="51" t="s">
        <v>431</v>
      </c>
      <c r="BB42" s="51" t="s">
        <v>431</v>
      </c>
      <c r="BC42" s="65" t="s">
        <v>431</v>
      </c>
      <c r="BD42" s="51" t="s">
        <v>431</v>
      </c>
      <c r="BE42" s="51" t="s">
        <v>431</v>
      </c>
      <c r="BF42" s="51" t="s">
        <v>431</v>
      </c>
      <c r="BG42" s="65" t="s">
        <v>431</v>
      </c>
      <c r="BH42" s="675" t="s">
        <v>431</v>
      </c>
      <c r="BI42" s="675" t="s">
        <v>431</v>
      </c>
      <c r="BJ42" s="675" t="s">
        <v>431</v>
      </c>
      <c r="BK42" s="676" t="s">
        <v>431</v>
      </c>
      <c r="BL42" s="78">
        <f>'Technology Assumptions'!B$30*$C42</f>
        <v>144.76435579861669</v>
      </c>
      <c r="BM42" s="78">
        <f>'Technology Assumptions'!C$30*$C42</f>
        <v>144.76435579861669</v>
      </c>
      <c r="BN42" s="78">
        <f>'Technology Assumptions'!D$30*$C42</f>
        <v>144.76435579861669</v>
      </c>
      <c r="BO42" s="239">
        <f>'Technology Assumptions'!E$30*$C42</f>
        <v>144.76435579861669</v>
      </c>
    </row>
    <row r="43" spans="1:67" x14ac:dyDescent="0.25">
      <c r="A43" s="1102"/>
      <c r="B43" s="1" t="s">
        <v>509</v>
      </c>
      <c r="C43" s="32">
        <f>'Energy Content Assumptions'!B40*2000/1000000</f>
        <v>30</v>
      </c>
      <c r="D43" s="32" t="s">
        <v>261</v>
      </c>
      <c r="E43" s="119"/>
      <c r="F43" s="172" t="str">
        <f>IF($F$2='Bioenergy Calculator'!$X$9,AF43,IF($F$2='Bioenergy Calculator'!$X$10,AJ43,IF($F$2='Bioenergy Calculator'!$X$11,AN43,IF($F$2='Bioenergy Calculator'!$X$12,P43,IF($F$2='Bioenergy Calculator'!$X$13,AR43,IF($F$2='Bioenergy Calculator'!$X$14,AV43,IF($F$2='Bioenergy Calculator'!$X$15,AZ43,"NA")))))))</f>
        <v>NA</v>
      </c>
      <c r="G43" s="51" t="str">
        <f>IF($F$2='Bioenergy Calculator'!$X$9,AG43,IF($F$2='Bioenergy Calculator'!$X$10,AK43,IF($F$2='Bioenergy Calculator'!$X$11,AO43,IF($F$2='Bioenergy Calculator'!$X$12,Q43,IF($F$2='Bioenergy Calculator'!$X$13,AS43,IF($F$2='Bioenergy Calculator'!$X$14,AW43,IF($F$2='Bioenergy Calculator'!$X$15,BA43,"NA")))))))</f>
        <v>NA</v>
      </c>
      <c r="H43" s="51" t="str">
        <f>IF($F$2='Bioenergy Calculator'!$X$9,AH43,IF($F$2='Bioenergy Calculator'!$X$10,AL43,IF($F$2='Bioenergy Calculator'!$X$11,AP43,IF($F$2='Bioenergy Calculator'!$X$12,R43,IF($F$2='Bioenergy Calculator'!$X$13,AT43,IF($F$2='Bioenergy Calculator'!$X$14,AX43,IF($F$2='Bioenergy Calculator'!$X$15,BB43,"NA")))))))</f>
        <v>NA</v>
      </c>
      <c r="I43" s="140" t="str">
        <f>IF($F$2='Bioenergy Calculator'!$X$9,AI43,IF($F$2='Bioenergy Calculator'!$X$10,AM43,IF($F$2='Bioenergy Calculator'!$X$11,AQ43,IF($F$2='Bioenergy Calculator'!$X$12,S43,IF($F$2='Bioenergy Calculator'!$X$13,AU43,IF($F$2='Bioenergy Calculator'!$X$14,AY43,IF($F$2='Bioenergy Calculator'!$X$15,BC43,"NA")))))))</f>
        <v>NA</v>
      </c>
      <c r="J43" s="84"/>
      <c r="K43" s="333" t="str">
        <f>IF($K$2='Bioenergy Calculator'!$X$21,X43,IF($K$2='Bioenergy Calculator'!$X$22,BH43,IF($K$2='Bioenergy Calculator'!$X$23,BD43,IF($K$2='Bioenergy Calculator'!$X$19,T43,IF($K$2='Bioenergy Calculator'!$X$20,AB43,IF($K$2='Bioenergy Calculator'!$X$24,'Conversion Tables'!BL43,"NA"))))))</f>
        <v>NA</v>
      </c>
      <c r="L43" s="66" t="str">
        <f>IF($K$2='Bioenergy Calculator'!$X$21,Y43,IF($K$2='Bioenergy Calculator'!$X$22,BI43,IF($K$2='Bioenergy Calculator'!$X$23,BE43,IF($K$2='Bioenergy Calculator'!$X$19,U43,IF($K$2='Bioenergy Calculator'!$X$20,AC43,IF($K$2='Bioenergy Calculator'!$X$24,'Conversion Tables'!BM43,"NA"))))))</f>
        <v>NA</v>
      </c>
      <c r="M43" s="66" t="str">
        <f>IF($K$2='Bioenergy Calculator'!$X$21,Z43,IF($K$2='Bioenergy Calculator'!$X$22,BJ43,IF($K$2='Bioenergy Calculator'!$X$23,BF43,IF($K$2='Bioenergy Calculator'!$X$19,V43,IF($K$2='Bioenergy Calculator'!$X$20,AD43,IF($K$2='Bioenergy Calculator'!$X$24,'Conversion Tables'!BN43,"NA"))))))</f>
        <v>NA</v>
      </c>
      <c r="N43" s="334" t="str">
        <f>IF($K$2='Bioenergy Calculator'!$X$21,AA43,IF($K$2='Bioenergy Calculator'!$X$22,BK43,IF($K$2='Bioenergy Calculator'!$X$23,BG43,IF($K$2='Bioenergy Calculator'!$X$19,W43,IF($K$2='Bioenergy Calculator'!$X$20,AE43,IF($K$2='Bioenergy Calculator'!$X$24,'Conversion Tables'!BO43,"NA"))))))</f>
        <v>NA</v>
      </c>
      <c r="O43" s="84"/>
      <c r="P43" s="77">
        <f>('Energy Content Assumptions'!$B$69/'Technology Assumptions'!B$8)/1000</f>
        <v>12.998095238095237</v>
      </c>
      <c r="Q43" s="78">
        <f>('Energy Content Assumptions'!$B$69/'Technology Assumptions'!C$8)/1000</f>
        <v>12.998095238095237</v>
      </c>
      <c r="R43" s="78">
        <f>('Energy Content Assumptions'!$B$69/'Technology Assumptions'!D$8)/1000</f>
        <v>12.998095238095237</v>
      </c>
      <c r="S43" s="79">
        <f>('Energy Content Assumptions'!$B$69/'Technology Assumptions'!E$8)/1000</f>
        <v>12.998095238095237</v>
      </c>
      <c r="T43" s="51" t="s">
        <v>431</v>
      </c>
      <c r="U43" s="51" t="s">
        <v>431</v>
      </c>
      <c r="V43" s="51" t="s">
        <v>431</v>
      </c>
      <c r="W43" s="65" t="s">
        <v>431</v>
      </c>
      <c r="X43" s="146" t="s">
        <v>431</v>
      </c>
      <c r="Y43" s="146" t="s">
        <v>431</v>
      </c>
      <c r="Z43" s="146" t="s">
        <v>431</v>
      </c>
      <c r="AA43" s="257" t="s">
        <v>431</v>
      </c>
      <c r="AB43" s="74">
        <f>'Technology Assumptions'!B$22*2000</f>
        <v>250</v>
      </c>
      <c r="AC43" s="74">
        <f>'Technology Assumptions'!C$22*2000</f>
        <v>250</v>
      </c>
      <c r="AD43" s="74">
        <f>'Technology Assumptions'!D$22*2000</f>
        <v>250</v>
      </c>
      <c r="AE43" s="75">
        <f>'Technology Assumptions'!E$22*2000</f>
        <v>250</v>
      </c>
      <c r="AF43" s="68" t="s">
        <v>431</v>
      </c>
      <c r="AG43" s="51" t="s">
        <v>431</v>
      </c>
      <c r="AH43" s="51" t="s">
        <v>431</v>
      </c>
      <c r="AI43" s="65" t="s">
        <v>431</v>
      </c>
      <c r="AJ43" s="51" t="s">
        <v>431</v>
      </c>
      <c r="AK43" s="51" t="s">
        <v>431</v>
      </c>
      <c r="AL43" s="51" t="s">
        <v>431</v>
      </c>
      <c r="AM43" s="65" t="s">
        <v>431</v>
      </c>
      <c r="AN43" s="51" t="s">
        <v>431</v>
      </c>
      <c r="AO43" s="51" t="s">
        <v>431</v>
      </c>
      <c r="AP43" s="51" t="s">
        <v>431</v>
      </c>
      <c r="AQ43" s="65" t="s">
        <v>431</v>
      </c>
      <c r="AR43" s="51" t="s">
        <v>431</v>
      </c>
      <c r="AS43" s="51" t="s">
        <v>431</v>
      </c>
      <c r="AT43" s="51" t="s">
        <v>431</v>
      </c>
      <c r="AU43" s="65" t="s">
        <v>431</v>
      </c>
      <c r="AV43" s="51" t="s">
        <v>431</v>
      </c>
      <c r="AW43" s="51" t="s">
        <v>431</v>
      </c>
      <c r="AX43" s="51" t="s">
        <v>431</v>
      </c>
      <c r="AY43" s="65" t="s">
        <v>431</v>
      </c>
      <c r="AZ43" s="51" t="s">
        <v>431</v>
      </c>
      <c r="BA43" s="51" t="s">
        <v>431</v>
      </c>
      <c r="BB43" s="51" t="s">
        <v>431</v>
      </c>
      <c r="BC43" s="65" t="s">
        <v>431</v>
      </c>
      <c r="BD43" s="51" t="s">
        <v>431</v>
      </c>
      <c r="BE43" s="51" t="s">
        <v>431</v>
      </c>
      <c r="BF43" s="51" t="s">
        <v>431</v>
      </c>
      <c r="BG43" s="65" t="s">
        <v>431</v>
      </c>
      <c r="BH43" s="675" t="s">
        <v>431</v>
      </c>
      <c r="BI43" s="675" t="s">
        <v>431</v>
      </c>
      <c r="BJ43" s="675" t="s">
        <v>431</v>
      </c>
      <c r="BK43" s="676" t="s">
        <v>431</v>
      </c>
      <c r="BL43" s="78">
        <f>'Technology Assumptions'!B$30*$C43</f>
        <v>144.76435579861669</v>
      </c>
      <c r="BM43" s="78">
        <f>'Technology Assumptions'!C$30*$C43</f>
        <v>144.76435579861669</v>
      </c>
      <c r="BN43" s="78">
        <f>'Technology Assumptions'!D$30*$C43</f>
        <v>144.76435579861669</v>
      </c>
      <c r="BO43" s="239">
        <f>'Technology Assumptions'!E$30*$C43</f>
        <v>144.76435579861669</v>
      </c>
    </row>
    <row r="44" spans="1:67" x14ac:dyDescent="0.25">
      <c r="A44" s="1092" t="s">
        <v>517</v>
      </c>
      <c r="B44" s="2" t="s">
        <v>505</v>
      </c>
      <c r="C44" s="32"/>
      <c r="D44" s="32"/>
      <c r="E44" s="119"/>
      <c r="F44" s="172"/>
      <c r="G44" s="51"/>
      <c r="H44" s="51"/>
      <c r="I44" s="140"/>
      <c r="J44" s="84"/>
      <c r="K44" s="333"/>
      <c r="L44" s="66"/>
      <c r="M44" s="66"/>
      <c r="N44" s="334"/>
      <c r="O44" s="84"/>
      <c r="P44" s="77"/>
      <c r="Q44" s="78"/>
      <c r="R44" s="78"/>
      <c r="S44" s="79"/>
      <c r="T44" s="51"/>
      <c r="U44" s="51"/>
      <c r="V44" s="51"/>
      <c r="W44" s="65"/>
      <c r="X44" s="146"/>
      <c r="Y44" s="146"/>
      <c r="Z44" s="146"/>
      <c r="AA44" s="257"/>
      <c r="AB44" s="51"/>
      <c r="AC44" s="51"/>
      <c r="AD44" s="51"/>
      <c r="AE44" s="65"/>
      <c r="AF44" s="68"/>
      <c r="AG44" s="51"/>
      <c r="AH44" s="51"/>
      <c r="AI44" s="65"/>
      <c r="AJ44" s="51"/>
      <c r="AK44" s="51"/>
      <c r="AL44" s="51"/>
      <c r="AM44" s="65"/>
      <c r="AN44" s="51"/>
      <c r="AO44" s="51"/>
      <c r="AP44" s="51"/>
      <c r="AQ44" s="65"/>
      <c r="AR44" s="51"/>
      <c r="AS44" s="51"/>
      <c r="AT44" s="51"/>
      <c r="AU44" s="65"/>
      <c r="AV44" s="51"/>
      <c r="AW44" s="51"/>
      <c r="AX44" s="51"/>
      <c r="AY44" s="65"/>
      <c r="AZ44" s="51"/>
      <c r="BA44" s="51"/>
      <c r="BB44" s="51"/>
      <c r="BC44" s="65"/>
      <c r="BD44" s="51"/>
      <c r="BE44" s="51"/>
      <c r="BF44" s="51"/>
      <c r="BG44" s="65"/>
      <c r="BH44" s="675"/>
      <c r="BI44" s="675"/>
      <c r="BJ44" s="675"/>
      <c r="BK44" s="676"/>
      <c r="BL44" s="78"/>
      <c r="BM44" s="78"/>
      <c r="BN44" s="78"/>
      <c r="BO44" s="239"/>
    </row>
    <row r="45" spans="1:67" x14ac:dyDescent="0.25">
      <c r="A45" s="1093"/>
      <c r="B45" s="12" t="s">
        <v>535</v>
      </c>
      <c r="C45" s="32">
        <f>'Energy Content Assumptions'!B42*2000/1000000</f>
        <v>14.763999999999999</v>
      </c>
      <c r="D45" s="32" t="s">
        <v>261</v>
      </c>
      <c r="E45" s="119"/>
      <c r="F45" s="333" t="str">
        <f>IF($F$2='Bioenergy Calculator'!$X$9,AF45,IF($F$2='Bioenergy Calculator'!$X$10,AJ45,IF($F$2='Bioenergy Calculator'!$X$11,AN45,IF($F$2='Bioenergy Calculator'!$X$12,P45,IF($F$2='Bioenergy Calculator'!$X$13,AR45,IF($F$2='Bioenergy Calculator'!$X$14,AV45,IF($F$2='Bioenergy Calculator'!$X$15,AZ45,"NA")))))))</f>
        <v>NA</v>
      </c>
      <c r="G45" s="66" t="str">
        <f>IF($F$2='Bioenergy Calculator'!$X$9,AG45,IF($F$2='Bioenergy Calculator'!$X$10,AK45,IF($F$2='Bioenergy Calculator'!$X$11,AO45,IF($F$2='Bioenergy Calculator'!$X$12,Q45,IF($F$2='Bioenergy Calculator'!$X$13,AS45,IF($F$2='Bioenergy Calculator'!$X$14,AW45,IF($F$2='Bioenergy Calculator'!$X$15,BA45,"NA")))))))</f>
        <v>NA</v>
      </c>
      <c r="H45" s="66" t="str">
        <f>IF($F$2='Bioenergy Calculator'!$X$9,AH45,IF($F$2='Bioenergy Calculator'!$X$10,AL45,IF($F$2='Bioenergy Calculator'!$X$11,AP45,IF($F$2='Bioenergy Calculator'!$X$12,R45,IF($F$2='Bioenergy Calculator'!$X$13,AT45,IF($F$2='Bioenergy Calculator'!$X$14,AX45,IF($F$2='Bioenergy Calculator'!$X$15,BB45,"NA")))))))</f>
        <v>NA</v>
      </c>
      <c r="I45" s="334" t="str">
        <f>IF($F$2='Bioenergy Calculator'!$X$9,AI45,IF($F$2='Bioenergy Calculator'!$X$10,AM45,IF($F$2='Bioenergy Calculator'!$X$11,AQ45,IF($F$2='Bioenergy Calculator'!$X$12,S45,IF($F$2='Bioenergy Calculator'!$X$13,AU45,IF($F$2='Bioenergy Calculator'!$X$14,AY45,IF($F$2='Bioenergy Calculator'!$X$15,BC45,"NA")))))))</f>
        <v>NA</v>
      </c>
      <c r="J45" s="117"/>
      <c r="K45" s="333" t="str">
        <f>IF($K$2='Bioenergy Calculator'!$X$21,X45,IF($K$2='Bioenergy Calculator'!$X$22,BH45,IF($K$2='Bioenergy Calculator'!$X$23,BD45,IF($K$2='Bioenergy Calculator'!$X$19,T45,IF($K$2='Bioenergy Calculator'!$X$20,AB45,IF($K$2='Bioenergy Calculator'!$X$24,'Conversion Tables'!BL45,"NA"))))))</f>
        <v>NA</v>
      </c>
      <c r="L45" s="66" t="str">
        <f>IF($K$2='Bioenergy Calculator'!$X$21,Y45,IF($K$2='Bioenergy Calculator'!$X$22,BI45,IF($K$2='Bioenergy Calculator'!$X$23,BE45,IF($K$2='Bioenergy Calculator'!$X$19,U45,IF($K$2='Bioenergy Calculator'!$X$20,AC45,IF($K$2='Bioenergy Calculator'!$X$24,'Conversion Tables'!BM45,"NA"))))))</f>
        <v>NA</v>
      </c>
      <c r="M45" s="66" t="str">
        <f>IF($K$2='Bioenergy Calculator'!$X$21,Z45,IF($K$2='Bioenergy Calculator'!$X$22,BJ45,IF($K$2='Bioenergy Calculator'!$X$23,BF45,IF($K$2='Bioenergy Calculator'!$X$19,V45,IF($K$2='Bioenergy Calculator'!$X$20,AD45,IF($K$2='Bioenergy Calculator'!$X$24,'Conversion Tables'!BN45,"NA"))))))</f>
        <v>NA</v>
      </c>
      <c r="N45" s="334" t="str">
        <f>IF($K$2='Bioenergy Calculator'!$X$21,AA45,IF($K$2='Bioenergy Calculator'!$X$22,BK45,IF($K$2='Bioenergy Calculator'!$X$23,BG45,IF($K$2='Bioenergy Calculator'!$X$19,W45,IF($K$2='Bioenergy Calculator'!$X$20,AE45,IF($K$2='Bioenergy Calculator'!$X$24,'Conversion Tables'!BO45,"NA"))))))</f>
        <v>NA</v>
      </c>
      <c r="O45" s="84"/>
      <c r="P45" s="77">
        <f>('Energy Content Assumptions'!$B$69/'Technology Assumptions'!B$8)/1000</f>
        <v>12.998095238095237</v>
      </c>
      <c r="Q45" s="78">
        <f>('Energy Content Assumptions'!$B$69/'Technology Assumptions'!C$8)/1000</f>
        <v>12.998095238095237</v>
      </c>
      <c r="R45" s="78">
        <f>('Energy Content Assumptions'!$B$69/'Technology Assumptions'!D$8)/1000</f>
        <v>12.998095238095237</v>
      </c>
      <c r="S45" s="79">
        <f>('Energy Content Assumptions'!$B$69/'Technology Assumptions'!E$8)/1000</f>
        <v>12.998095238095237</v>
      </c>
      <c r="T45" s="51" t="s">
        <v>431</v>
      </c>
      <c r="U45" s="51" t="s">
        <v>431</v>
      </c>
      <c r="V45" s="51" t="s">
        <v>431</v>
      </c>
      <c r="W45" s="65" t="s">
        <v>431</v>
      </c>
      <c r="X45" s="146" t="s">
        <v>431</v>
      </c>
      <c r="Y45" s="146" t="s">
        <v>431</v>
      </c>
      <c r="Z45" s="146" t="s">
        <v>431</v>
      </c>
      <c r="AA45" s="257" t="s">
        <v>431</v>
      </c>
      <c r="AB45" s="51" t="s">
        <v>431</v>
      </c>
      <c r="AC45" s="51" t="s">
        <v>431</v>
      </c>
      <c r="AD45" s="51" t="s">
        <v>431</v>
      </c>
      <c r="AE45" s="65" t="s">
        <v>431</v>
      </c>
      <c r="AF45" s="669">
        <f>('Energy Content Assumptions'!$B$69/'Technology Assumptions'!B$4)/1000</f>
        <v>13.648</v>
      </c>
      <c r="AG45" s="135">
        <f>('Energy Content Assumptions'!$B$69/'Technology Assumptions'!C$4)/1000</f>
        <v>13.648</v>
      </c>
      <c r="AH45" s="135">
        <f>('Energy Content Assumptions'!$B$69/'Technology Assumptions'!D$4)/1000</f>
        <v>13.648</v>
      </c>
      <c r="AI45" s="136">
        <f>('Energy Content Assumptions'!$B$69/'Technology Assumptions'!E$4)/1000</f>
        <v>13.648</v>
      </c>
      <c r="AJ45" s="135">
        <f>('Energy Content Assumptions'!$B$69/'Technology Assumptions'!B$5)/1000</f>
        <v>14.216666666666669</v>
      </c>
      <c r="AK45" s="135">
        <f>('Energy Content Assumptions'!$B$69/'Technology Assumptions'!C$5)/1000</f>
        <v>14.216666666666669</v>
      </c>
      <c r="AL45" s="135">
        <f>('Energy Content Assumptions'!$B$69/'Technology Assumptions'!D$5)/1000</f>
        <v>14.216666666666669</v>
      </c>
      <c r="AM45" s="136">
        <f>('Energy Content Assumptions'!$B$69/'Technology Assumptions'!E$5)/1000</f>
        <v>14.216666666666669</v>
      </c>
      <c r="AN45" s="3" t="s">
        <v>431</v>
      </c>
      <c r="AO45" s="3" t="s">
        <v>431</v>
      </c>
      <c r="AP45" s="3" t="s">
        <v>431</v>
      </c>
      <c r="AQ45" s="315" t="s">
        <v>431</v>
      </c>
      <c r="AR45" s="135">
        <f>('Energy Content Assumptions'!$B$69/'Technology Assumptions'!B$6)/1000</f>
        <v>9.7485714285714291</v>
      </c>
      <c r="AS45" s="135">
        <f>('Energy Content Assumptions'!$B$69/'Technology Assumptions'!C$6)/1000</f>
        <v>9.7485714285714291</v>
      </c>
      <c r="AT45" s="135">
        <f>('Energy Content Assumptions'!$B$69/'Technology Assumptions'!D$6)/1000</f>
        <v>9.7485714285714291</v>
      </c>
      <c r="AU45" s="136">
        <f>('Energy Content Assumptions'!$B$69/'Technology Assumptions'!E$6)/1000</f>
        <v>9.7485714285714291</v>
      </c>
      <c r="AV45" s="316">
        <f>('Energy Content Assumptions'!$B$69/'Technology Assumptions'!B$12)/1000</f>
        <v>16.247619047619047</v>
      </c>
      <c r="AW45" s="316">
        <f>('Energy Content Assumptions'!$B$69/'Technology Assumptions'!C$12)/1000</f>
        <v>16.247619047619047</v>
      </c>
      <c r="AX45" s="316">
        <f>('Energy Content Assumptions'!$B$69/'Technology Assumptions'!D$12)/1000</f>
        <v>16.247619047619047</v>
      </c>
      <c r="AY45" s="326">
        <f>('Energy Content Assumptions'!$B$69/'Technology Assumptions'!E$12)/1000</f>
        <v>16.247619047619047</v>
      </c>
      <c r="AZ45" s="51" t="s">
        <v>431</v>
      </c>
      <c r="BA45" s="51" t="s">
        <v>431</v>
      </c>
      <c r="BB45" s="51" t="s">
        <v>431</v>
      </c>
      <c r="BC45" s="65" t="s">
        <v>431</v>
      </c>
      <c r="BD45" s="51" t="s">
        <v>431</v>
      </c>
      <c r="BE45" s="51" t="s">
        <v>431</v>
      </c>
      <c r="BF45" s="51" t="s">
        <v>431</v>
      </c>
      <c r="BG45" s="65" t="s">
        <v>431</v>
      </c>
      <c r="BH45" s="675" t="s">
        <v>431</v>
      </c>
      <c r="BI45" s="675" t="s">
        <v>431</v>
      </c>
      <c r="BJ45" s="675" t="s">
        <v>431</v>
      </c>
      <c r="BK45" s="676" t="s">
        <v>431</v>
      </c>
      <c r="BL45" s="78">
        <f>'Technology Assumptions'!B$30*$C45</f>
        <v>71.243364967025897</v>
      </c>
      <c r="BM45" s="78">
        <f>'Technology Assumptions'!C$30*$C45</f>
        <v>71.243364967025897</v>
      </c>
      <c r="BN45" s="78">
        <f>'Technology Assumptions'!D$30*$C45</f>
        <v>71.243364967025897</v>
      </c>
      <c r="BO45" s="239">
        <f>'Technology Assumptions'!E$30*$C45</f>
        <v>71.243364967025897</v>
      </c>
    </row>
    <row r="46" spans="1:67" ht="12.75" customHeight="1" x14ac:dyDescent="0.25">
      <c r="A46" s="1093"/>
      <c r="B46" s="12" t="s">
        <v>539</v>
      </c>
      <c r="C46" s="32">
        <f>'Energy Content Assumptions'!B45*2000/1000000</f>
        <v>14.763999999999999</v>
      </c>
      <c r="D46" s="32" t="s">
        <v>261</v>
      </c>
      <c r="E46" s="119"/>
      <c r="F46" s="333" t="str">
        <f>IF($F$2='Bioenergy Calculator'!$X$9,AF46,IF($F$2='Bioenergy Calculator'!$X$10,AJ46,IF($F$2='Bioenergy Calculator'!$X$11,AN46,IF($F$2='Bioenergy Calculator'!$X$12,P46,IF($F$2='Bioenergy Calculator'!$X$13,AR46,IF($F$2='Bioenergy Calculator'!$X$14,AV46,IF($F$2='Bioenergy Calculator'!$X$15,AZ46,"NA")))))))</f>
        <v>NA</v>
      </c>
      <c r="G46" s="66" t="str">
        <f>IF($F$2='Bioenergy Calculator'!$X$9,AG46,IF($F$2='Bioenergy Calculator'!$X$10,AK46,IF($F$2='Bioenergy Calculator'!$X$11,AO46,IF($F$2='Bioenergy Calculator'!$X$12,Q46,IF($F$2='Bioenergy Calculator'!$X$13,AS46,IF($F$2='Bioenergy Calculator'!$X$14,AW46,IF($F$2='Bioenergy Calculator'!$X$15,BA46,"NA")))))))</f>
        <v>NA</v>
      </c>
      <c r="H46" s="66" t="str">
        <f>IF($F$2='Bioenergy Calculator'!$X$9,AH46,IF($F$2='Bioenergy Calculator'!$X$10,AL46,IF($F$2='Bioenergy Calculator'!$X$11,AP46,IF($F$2='Bioenergy Calculator'!$X$12,R46,IF($F$2='Bioenergy Calculator'!$X$13,AT46,IF($F$2='Bioenergy Calculator'!$X$14,AX46,IF($F$2='Bioenergy Calculator'!$X$15,BB46,"NA")))))))</f>
        <v>NA</v>
      </c>
      <c r="I46" s="334" t="str">
        <f>IF($F$2='Bioenergy Calculator'!$X$9,AI46,IF($F$2='Bioenergy Calculator'!$X$10,AM46,IF($F$2='Bioenergy Calculator'!$X$11,AQ46,IF($F$2='Bioenergy Calculator'!$X$12,S46,IF($F$2='Bioenergy Calculator'!$X$13,AU46,IF($F$2='Bioenergy Calculator'!$X$14,AY46,IF($F$2='Bioenergy Calculator'!$X$15,BC46,"NA")))))))</f>
        <v>NA</v>
      </c>
      <c r="J46" s="117"/>
      <c r="K46" s="333" t="str">
        <f>IF($K$2='Bioenergy Calculator'!$X$21,X46,IF($K$2='Bioenergy Calculator'!$X$22,BH46,IF($K$2='Bioenergy Calculator'!$X$23,BD46,IF($K$2='Bioenergy Calculator'!$X$19,T46,IF($K$2='Bioenergy Calculator'!$X$20,AB46,IF($K$2='Bioenergy Calculator'!$X$24,'Conversion Tables'!BL46,"NA"))))))</f>
        <v>NA</v>
      </c>
      <c r="L46" s="66" t="str">
        <f>IF($K$2='Bioenergy Calculator'!$X$21,Y46,IF($K$2='Bioenergy Calculator'!$X$22,BI46,IF($K$2='Bioenergy Calculator'!$X$23,BE46,IF($K$2='Bioenergy Calculator'!$X$19,U46,IF($K$2='Bioenergy Calculator'!$X$20,AC46,IF($K$2='Bioenergy Calculator'!$X$24,'Conversion Tables'!BM46,"NA"))))))</f>
        <v>NA</v>
      </c>
      <c r="M46" s="66" t="str">
        <f>IF($K$2='Bioenergy Calculator'!$X$21,Z46,IF($K$2='Bioenergy Calculator'!$X$22,BJ46,IF($K$2='Bioenergy Calculator'!$X$23,BF46,IF($K$2='Bioenergy Calculator'!$X$19,V46,IF($K$2='Bioenergy Calculator'!$X$20,AD46,IF($K$2='Bioenergy Calculator'!$X$24,'Conversion Tables'!BN46,"NA"))))))</f>
        <v>NA</v>
      </c>
      <c r="N46" s="334" t="str">
        <f>IF($K$2='Bioenergy Calculator'!$X$21,AA46,IF($K$2='Bioenergy Calculator'!$X$22,BK46,IF($K$2='Bioenergy Calculator'!$X$23,BG46,IF($K$2='Bioenergy Calculator'!$X$19,W46,IF($K$2='Bioenergy Calculator'!$X$20,AE46,IF($K$2='Bioenergy Calculator'!$X$24,'Conversion Tables'!BO46,"NA"))))))</f>
        <v>NA</v>
      </c>
      <c r="O46" s="84"/>
      <c r="P46" s="77">
        <f>('Energy Content Assumptions'!$B$69/'Technology Assumptions'!B$8)/1000</f>
        <v>12.998095238095237</v>
      </c>
      <c r="Q46" s="78">
        <f>('Energy Content Assumptions'!$B$69/'Technology Assumptions'!C$8)/1000</f>
        <v>12.998095238095237</v>
      </c>
      <c r="R46" s="78">
        <f>('Energy Content Assumptions'!$B$69/'Technology Assumptions'!D$8)/1000</f>
        <v>12.998095238095237</v>
      </c>
      <c r="S46" s="79">
        <f>('Energy Content Assumptions'!$B$69/'Technology Assumptions'!E$8)/1000</f>
        <v>12.998095238095237</v>
      </c>
      <c r="T46" s="51" t="s">
        <v>431</v>
      </c>
      <c r="U46" s="51" t="s">
        <v>431</v>
      </c>
      <c r="V46" s="51" t="s">
        <v>431</v>
      </c>
      <c r="W46" s="65" t="s">
        <v>431</v>
      </c>
      <c r="X46" s="146" t="s">
        <v>431</v>
      </c>
      <c r="Y46" s="146" t="s">
        <v>431</v>
      </c>
      <c r="Z46" s="146" t="s">
        <v>431</v>
      </c>
      <c r="AA46" s="257" t="s">
        <v>431</v>
      </c>
      <c r="AB46" s="51" t="s">
        <v>431</v>
      </c>
      <c r="AC46" s="51" t="s">
        <v>431</v>
      </c>
      <c r="AD46" s="51" t="s">
        <v>431</v>
      </c>
      <c r="AE46" s="65" t="s">
        <v>431</v>
      </c>
      <c r="AF46" s="669" t="s">
        <v>431</v>
      </c>
      <c r="AG46" s="135" t="s">
        <v>431</v>
      </c>
      <c r="AH46" s="135" t="s">
        <v>431</v>
      </c>
      <c r="AI46" s="136" t="s">
        <v>431</v>
      </c>
      <c r="AJ46" s="135" t="s">
        <v>431</v>
      </c>
      <c r="AK46" s="135" t="s">
        <v>431</v>
      </c>
      <c r="AL46" s="135" t="s">
        <v>431</v>
      </c>
      <c r="AM46" s="136" t="s">
        <v>431</v>
      </c>
      <c r="AN46" s="3" t="s">
        <v>431</v>
      </c>
      <c r="AO46" s="3" t="s">
        <v>431</v>
      </c>
      <c r="AP46" s="3" t="s">
        <v>431</v>
      </c>
      <c r="AQ46" s="315" t="s">
        <v>431</v>
      </c>
      <c r="AR46" s="3" t="s">
        <v>431</v>
      </c>
      <c r="AS46" s="3" t="s">
        <v>431</v>
      </c>
      <c r="AT46" s="3" t="s">
        <v>431</v>
      </c>
      <c r="AU46" s="315" t="s">
        <v>431</v>
      </c>
      <c r="AV46" s="3" t="s">
        <v>431</v>
      </c>
      <c r="AW46" s="3" t="s">
        <v>431</v>
      </c>
      <c r="AX46" s="3" t="s">
        <v>431</v>
      </c>
      <c r="AY46" s="315" t="s">
        <v>431</v>
      </c>
      <c r="AZ46" s="51" t="s">
        <v>431</v>
      </c>
      <c r="BA46" s="51" t="s">
        <v>431</v>
      </c>
      <c r="BB46" s="51" t="s">
        <v>431</v>
      </c>
      <c r="BC46" s="65" t="s">
        <v>431</v>
      </c>
      <c r="BD46" s="51" t="s">
        <v>431</v>
      </c>
      <c r="BE46" s="51" t="s">
        <v>431</v>
      </c>
      <c r="BF46" s="51" t="s">
        <v>431</v>
      </c>
      <c r="BG46" s="65" t="s">
        <v>431</v>
      </c>
      <c r="BH46" s="675" t="s">
        <v>431</v>
      </c>
      <c r="BI46" s="675" t="s">
        <v>431</v>
      </c>
      <c r="BJ46" s="675" t="s">
        <v>431</v>
      </c>
      <c r="BK46" s="676" t="s">
        <v>431</v>
      </c>
      <c r="BL46" s="78">
        <f>'Technology Assumptions'!B$30*$C46</f>
        <v>71.243364967025897</v>
      </c>
      <c r="BM46" s="78">
        <f>'Technology Assumptions'!C$30*$C46</f>
        <v>71.243364967025897</v>
      </c>
      <c r="BN46" s="78">
        <f>'Technology Assumptions'!D$30*$C46</f>
        <v>71.243364967025897</v>
      </c>
      <c r="BO46" s="239">
        <f>'Technology Assumptions'!E$30*$C46</f>
        <v>71.243364967025897</v>
      </c>
    </row>
    <row r="47" spans="1:67" x14ac:dyDescent="0.25">
      <c r="A47" s="1093"/>
      <c r="B47" s="12" t="s">
        <v>545</v>
      </c>
      <c r="C47" s="32">
        <f>'Energy Content Assumptions'!B50*2000/1000000</f>
        <v>14.763999999999999</v>
      </c>
      <c r="D47" s="32" t="s">
        <v>261</v>
      </c>
      <c r="E47" s="118"/>
      <c r="F47" s="333" t="str">
        <f>IF($F$2='Bioenergy Calculator'!$X$9,AF47,IF($F$2='Bioenergy Calculator'!$X$10,AJ47,IF($F$2='Bioenergy Calculator'!$X$11,AN47,IF($F$2='Bioenergy Calculator'!$X$12,P47,IF($F$2='Bioenergy Calculator'!$X$13,AR47,IF($F$2='Bioenergy Calculator'!$X$14,AV47,IF($F$2='Bioenergy Calculator'!$X$15,AZ47,"NA")))))))</f>
        <v>NA</v>
      </c>
      <c r="G47" s="66" t="str">
        <f>IF($F$2='Bioenergy Calculator'!$X$9,AG47,IF($F$2='Bioenergy Calculator'!$X$10,AK47,IF($F$2='Bioenergy Calculator'!$X$11,AO47,IF($F$2='Bioenergy Calculator'!$X$12,Q47,IF($F$2='Bioenergy Calculator'!$X$13,AS47,IF($F$2='Bioenergy Calculator'!$X$14,AW47,IF($F$2='Bioenergy Calculator'!$X$15,BA47,"NA")))))))</f>
        <v>NA</v>
      </c>
      <c r="H47" s="66" t="str">
        <f>IF($F$2='Bioenergy Calculator'!$X$9,AH47,IF($F$2='Bioenergy Calculator'!$X$10,AL47,IF($F$2='Bioenergy Calculator'!$X$11,AP47,IF($F$2='Bioenergy Calculator'!$X$12,R47,IF($F$2='Bioenergy Calculator'!$X$13,AT47,IF($F$2='Bioenergy Calculator'!$X$14,AX47,IF($F$2='Bioenergy Calculator'!$X$15,BB47,"NA")))))))</f>
        <v>NA</v>
      </c>
      <c r="I47" s="334" t="str">
        <f>IF($F$2='Bioenergy Calculator'!$X$9,AI47,IF($F$2='Bioenergy Calculator'!$X$10,AM47,IF($F$2='Bioenergy Calculator'!$X$11,AQ47,IF($F$2='Bioenergy Calculator'!$X$12,S47,IF($F$2='Bioenergy Calculator'!$X$13,AU47,IF($F$2='Bioenergy Calculator'!$X$14,AY47,IF($F$2='Bioenergy Calculator'!$X$15,BC47,"NA")))))))</f>
        <v>NA</v>
      </c>
      <c r="J47" s="117"/>
      <c r="K47" s="333" t="str">
        <f>IF($K$2='Bioenergy Calculator'!$X$21,X47,IF($K$2='Bioenergy Calculator'!$X$22,BH47,IF($K$2='Bioenergy Calculator'!$X$23,BD47,IF($K$2='Bioenergy Calculator'!$X$19,T47,IF($K$2='Bioenergy Calculator'!$X$20,AB47,IF($K$2='Bioenergy Calculator'!$X$24,'Conversion Tables'!BL47,"NA"))))))</f>
        <v>NA</v>
      </c>
      <c r="L47" s="66" t="str">
        <f>IF($K$2='Bioenergy Calculator'!$X$21,Y47,IF($K$2='Bioenergy Calculator'!$X$22,BI47,IF($K$2='Bioenergy Calculator'!$X$23,BE47,IF($K$2='Bioenergy Calculator'!$X$19,U47,IF($K$2='Bioenergy Calculator'!$X$20,AC47,IF($K$2='Bioenergy Calculator'!$X$24,'Conversion Tables'!BM47,"NA"))))))</f>
        <v>NA</v>
      </c>
      <c r="M47" s="66" t="str">
        <f>IF($K$2='Bioenergy Calculator'!$X$21,Z47,IF($K$2='Bioenergy Calculator'!$X$22,BJ47,IF($K$2='Bioenergy Calculator'!$X$23,BF47,IF($K$2='Bioenergy Calculator'!$X$19,V47,IF($K$2='Bioenergy Calculator'!$X$20,AD47,IF($K$2='Bioenergy Calculator'!$X$24,'Conversion Tables'!BN47,"NA"))))))</f>
        <v>NA</v>
      </c>
      <c r="N47" s="334" t="str">
        <f>IF($K$2='Bioenergy Calculator'!$X$21,AA47,IF($K$2='Bioenergy Calculator'!$X$22,BK47,IF($K$2='Bioenergy Calculator'!$X$23,BG47,IF($K$2='Bioenergy Calculator'!$X$19,W47,IF($K$2='Bioenergy Calculator'!$X$20,AE47,IF($K$2='Bioenergy Calculator'!$X$24,'Conversion Tables'!BO47,"NA"))))))</f>
        <v>NA</v>
      </c>
      <c r="O47" s="84"/>
      <c r="P47" s="77">
        <f>('Energy Content Assumptions'!$B$69/'Technology Assumptions'!B$8)/1000</f>
        <v>12.998095238095237</v>
      </c>
      <c r="Q47" s="78">
        <f>('Energy Content Assumptions'!$B$69/'Technology Assumptions'!C$8)/1000</f>
        <v>12.998095238095237</v>
      </c>
      <c r="R47" s="78">
        <f>('Energy Content Assumptions'!$B$69/'Technology Assumptions'!D$8)/1000</f>
        <v>12.998095238095237</v>
      </c>
      <c r="S47" s="79">
        <f>('Energy Content Assumptions'!$B$69/'Technology Assumptions'!E$8)/1000</f>
        <v>12.998095238095237</v>
      </c>
      <c r="T47" s="51" t="s">
        <v>431</v>
      </c>
      <c r="U47" s="51" t="s">
        <v>431</v>
      </c>
      <c r="V47" s="51" t="s">
        <v>431</v>
      </c>
      <c r="W47" s="65" t="s">
        <v>431</v>
      </c>
      <c r="X47" s="146" t="s">
        <v>431</v>
      </c>
      <c r="Y47" s="146" t="s">
        <v>431</v>
      </c>
      <c r="Z47" s="146" t="s">
        <v>431</v>
      </c>
      <c r="AA47" s="257" t="s">
        <v>431</v>
      </c>
      <c r="AB47" s="51" t="s">
        <v>431</v>
      </c>
      <c r="AC47" s="51" t="s">
        <v>431</v>
      </c>
      <c r="AD47" s="51" t="s">
        <v>431</v>
      </c>
      <c r="AE47" s="65" t="s">
        <v>431</v>
      </c>
      <c r="AF47" s="669">
        <f>('Energy Content Assumptions'!$B$69/'Technology Assumptions'!B$4)/1000</f>
        <v>13.648</v>
      </c>
      <c r="AG47" s="135">
        <f>('Energy Content Assumptions'!$B$69/'Technology Assumptions'!C$4)/1000</f>
        <v>13.648</v>
      </c>
      <c r="AH47" s="135">
        <f>('Energy Content Assumptions'!$B$69/'Technology Assumptions'!D$4)/1000</f>
        <v>13.648</v>
      </c>
      <c r="AI47" s="136">
        <f>('Energy Content Assumptions'!$B$69/'Technology Assumptions'!E$4)/1000</f>
        <v>13.648</v>
      </c>
      <c r="AJ47" s="135">
        <f>('Energy Content Assumptions'!$B$69/'Technology Assumptions'!B$5)/1000</f>
        <v>14.216666666666669</v>
      </c>
      <c r="AK47" s="135">
        <f>('Energy Content Assumptions'!$B$69/'Technology Assumptions'!C$5)/1000</f>
        <v>14.216666666666669</v>
      </c>
      <c r="AL47" s="135">
        <f>('Energy Content Assumptions'!$B$69/'Technology Assumptions'!D$5)/1000</f>
        <v>14.216666666666669</v>
      </c>
      <c r="AM47" s="136">
        <f>('Energy Content Assumptions'!$B$69/'Technology Assumptions'!E$5)/1000</f>
        <v>14.216666666666669</v>
      </c>
      <c r="AN47" s="3" t="s">
        <v>431</v>
      </c>
      <c r="AO47" s="3" t="s">
        <v>431</v>
      </c>
      <c r="AP47" s="3" t="s">
        <v>431</v>
      </c>
      <c r="AQ47" s="315" t="s">
        <v>431</v>
      </c>
      <c r="AR47" s="135">
        <f>('Energy Content Assumptions'!$B$69/'Technology Assumptions'!B$6)/1000</f>
        <v>9.7485714285714291</v>
      </c>
      <c r="AS47" s="135">
        <f>('Energy Content Assumptions'!$B$69/'Technology Assumptions'!C$6)/1000</f>
        <v>9.7485714285714291</v>
      </c>
      <c r="AT47" s="135">
        <f>('Energy Content Assumptions'!$B$69/'Technology Assumptions'!D$6)/1000</f>
        <v>9.7485714285714291</v>
      </c>
      <c r="AU47" s="136">
        <f>('Energy Content Assumptions'!$B$69/'Technology Assumptions'!E$6)/1000</f>
        <v>9.7485714285714291</v>
      </c>
      <c r="AV47" s="316">
        <f>('Energy Content Assumptions'!$B$69/'Technology Assumptions'!B$12)/1000</f>
        <v>16.247619047619047</v>
      </c>
      <c r="AW47" s="316">
        <f>('Energy Content Assumptions'!$B$69/'Technology Assumptions'!C$12)/1000</f>
        <v>16.247619047619047</v>
      </c>
      <c r="AX47" s="316">
        <f>('Energy Content Assumptions'!$B$69/'Technology Assumptions'!D$12)/1000</f>
        <v>16.247619047619047</v>
      </c>
      <c r="AY47" s="326">
        <f>('Energy Content Assumptions'!$B$69/'Technology Assumptions'!E$12)/1000</f>
        <v>16.247619047619047</v>
      </c>
      <c r="AZ47" s="51" t="s">
        <v>431</v>
      </c>
      <c r="BA47" s="51" t="s">
        <v>431</v>
      </c>
      <c r="BB47" s="51" t="s">
        <v>431</v>
      </c>
      <c r="BC47" s="65" t="s">
        <v>431</v>
      </c>
      <c r="BD47" s="51" t="s">
        <v>431</v>
      </c>
      <c r="BE47" s="51" t="s">
        <v>431</v>
      </c>
      <c r="BF47" s="51" t="s">
        <v>431</v>
      </c>
      <c r="BG47" s="65" t="s">
        <v>431</v>
      </c>
      <c r="BH47" s="675" t="s">
        <v>431</v>
      </c>
      <c r="BI47" s="675" t="s">
        <v>431</v>
      </c>
      <c r="BJ47" s="675" t="s">
        <v>431</v>
      </c>
      <c r="BK47" s="676" t="s">
        <v>431</v>
      </c>
      <c r="BL47" s="78">
        <f>'Technology Assumptions'!B$30*$C47</f>
        <v>71.243364967025897</v>
      </c>
      <c r="BM47" s="78">
        <f>'Technology Assumptions'!C$30*$C47</f>
        <v>71.243364967025897</v>
      </c>
      <c r="BN47" s="78">
        <f>'Technology Assumptions'!D$30*$C47</f>
        <v>71.243364967025897</v>
      </c>
      <c r="BO47" s="239">
        <f>'Technology Assumptions'!E$30*$C47</f>
        <v>71.243364967025897</v>
      </c>
    </row>
    <row r="48" spans="1:67" x14ac:dyDescent="0.25">
      <c r="A48" s="1093"/>
      <c r="B48" s="12" t="s">
        <v>546</v>
      </c>
      <c r="C48" s="32">
        <f>'Energy Content Assumptions'!B51*2000/1000000</f>
        <v>14.763999999999999</v>
      </c>
      <c r="D48" s="32" t="s">
        <v>261</v>
      </c>
      <c r="E48" s="119"/>
      <c r="F48" s="333" t="str">
        <f>IF($F$2='Bioenergy Calculator'!$X$9,AF48,IF($F$2='Bioenergy Calculator'!$X$10,AJ48,IF($F$2='Bioenergy Calculator'!$X$11,AN48,IF($F$2='Bioenergy Calculator'!$X$12,P48,IF($F$2='Bioenergy Calculator'!$X$13,AR48,IF($F$2='Bioenergy Calculator'!$X$14,AV48,IF($F$2='Bioenergy Calculator'!$X$15,AZ48,"NA")))))))</f>
        <v>NA</v>
      </c>
      <c r="G48" s="66" t="str">
        <f>IF($F$2='Bioenergy Calculator'!$X$9,AG48,IF($F$2='Bioenergy Calculator'!$X$10,AK48,IF($F$2='Bioenergy Calculator'!$X$11,AO48,IF($F$2='Bioenergy Calculator'!$X$12,Q48,IF($F$2='Bioenergy Calculator'!$X$13,AS48,IF($F$2='Bioenergy Calculator'!$X$14,AW48,IF($F$2='Bioenergy Calculator'!$X$15,BA48,"NA")))))))</f>
        <v>NA</v>
      </c>
      <c r="H48" s="66" t="str">
        <f>IF($F$2='Bioenergy Calculator'!$X$9,AH48,IF($F$2='Bioenergy Calculator'!$X$10,AL48,IF($F$2='Bioenergy Calculator'!$X$11,AP48,IF($F$2='Bioenergy Calculator'!$X$12,R48,IF($F$2='Bioenergy Calculator'!$X$13,AT48,IF($F$2='Bioenergy Calculator'!$X$14,AX48,IF($F$2='Bioenergy Calculator'!$X$15,BB48,"NA")))))))</f>
        <v>NA</v>
      </c>
      <c r="I48" s="334" t="str">
        <f>IF($F$2='Bioenergy Calculator'!$X$9,AI48,IF($F$2='Bioenergy Calculator'!$X$10,AM48,IF($F$2='Bioenergy Calculator'!$X$11,AQ48,IF($F$2='Bioenergy Calculator'!$X$12,S48,IF($F$2='Bioenergy Calculator'!$X$13,AU48,IF($F$2='Bioenergy Calculator'!$X$14,AY48,IF($F$2='Bioenergy Calculator'!$X$15,BC48,"NA")))))))</f>
        <v>NA</v>
      </c>
      <c r="J48" s="117"/>
      <c r="K48" s="333" t="str">
        <f>IF($K$2='Bioenergy Calculator'!$X$21,X48,IF($K$2='Bioenergy Calculator'!$X$22,BH48,IF($K$2='Bioenergy Calculator'!$X$23,BD48,IF($K$2='Bioenergy Calculator'!$X$19,T48,IF($K$2='Bioenergy Calculator'!$X$20,AB48,IF($K$2='Bioenergy Calculator'!$X$24,'Conversion Tables'!BL48,"NA"))))))</f>
        <v>NA</v>
      </c>
      <c r="L48" s="66" t="str">
        <f>IF($K$2='Bioenergy Calculator'!$X$21,Y48,IF($K$2='Bioenergy Calculator'!$X$22,BI48,IF($K$2='Bioenergy Calculator'!$X$23,BE48,IF($K$2='Bioenergy Calculator'!$X$19,U48,IF($K$2='Bioenergy Calculator'!$X$20,AC48,IF($K$2='Bioenergy Calculator'!$X$24,'Conversion Tables'!BM48,"NA"))))))</f>
        <v>NA</v>
      </c>
      <c r="M48" s="66" t="str">
        <f>IF($K$2='Bioenergy Calculator'!$X$21,Z48,IF($K$2='Bioenergy Calculator'!$X$22,BJ48,IF($K$2='Bioenergy Calculator'!$X$23,BF48,IF($K$2='Bioenergy Calculator'!$X$19,V48,IF($K$2='Bioenergy Calculator'!$X$20,AD48,IF($K$2='Bioenergy Calculator'!$X$24,'Conversion Tables'!BN48,"NA"))))))</f>
        <v>NA</v>
      </c>
      <c r="N48" s="334" t="str">
        <f>IF($K$2='Bioenergy Calculator'!$X$21,AA48,IF($K$2='Bioenergy Calculator'!$X$22,BK48,IF($K$2='Bioenergy Calculator'!$X$23,BG48,IF($K$2='Bioenergy Calculator'!$X$19,W48,IF($K$2='Bioenergy Calculator'!$X$20,AE48,IF($K$2='Bioenergy Calculator'!$X$24,'Conversion Tables'!BO48,"NA"))))))</f>
        <v>NA</v>
      </c>
      <c r="O48" s="84"/>
      <c r="P48" s="77">
        <f>('Energy Content Assumptions'!$B$69/'Technology Assumptions'!B$8)/1000</f>
        <v>12.998095238095237</v>
      </c>
      <c r="Q48" s="78">
        <f>('Energy Content Assumptions'!$B$69/'Technology Assumptions'!C$8)/1000</f>
        <v>12.998095238095237</v>
      </c>
      <c r="R48" s="78">
        <f>('Energy Content Assumptions'!$B$69/'Technology Assumptions'!D$8)/1000</f>
        <v>12.998095238095237</v>
      </c>
      <c r="S48" s="79">
        <f>('Energy Content Assumptions'!$B$69/'Technology Assumptions'!E$8)/1000</f>
        <v>12.998095238095237</v>
      </c>
      <c r="T48" s="51" t="s">
        <v>431</v>
      </c>
      <c r="U48" s="51" t="s">
        <v>431</v>
      </c>
      <c r="V48" s="51" t="s">
        <v>431</v>
      </c>
      <c r="W48" s="65" t="s">
        <v>431</v>
      </c>
      <c r="X48" s="146" t="s">
        <v>431</v>
      </c>
      <c r="Y48" s="146" t="s">
        <v>431</v>
      </c>
      <c r="Z48" s="146" t="s">
        <v>431</v>
      </c>
      <c r="AA48" s="257" t="s">
        <v>431</v>
      </c>
      <c r="AB48" s="51" t="s">
        <v>431</v>
      </c>
      <c r="AC48" s="51" t="s">
        <v>431</v>
      </c>
      <c r="AD48" s="51" t="s">
        <v>431</v>
      </c>
      <c r="AE48" s="65" t="s">
        <v>431</v>
      </c>
      <c r="AF48" s="669" t="s">
        <v>431</v>
      </c>
      <c r="AG48" s="135" t="s">
        <v>431</v>
      </c>
      <c r="AH48" s="135" t="s">
        <v>431</v>
      </c>
      <c r="AI48" s="136" t="s">
        <v>431</v>
      </c>
      <c r="AJ48" s="135" t="s">
        <v>431</v>
      </c>
      <c r="AK48" s="135" t="s">
        <v>431</v>
      </c>
      <c r="AL48" s="135" t="s">
        <v>431</v>
      </c>
      <c r="AM48" s="136" t="s">
        <v>431</v>
      </c>
      <c r="AN48" s="3" t="s">
        <v>431</v>
      </c>
      <c r="AO48" s="3" t="s">
        <v>431</v>
      </c>
      <c r="AP48" s="3" t="s">
        <v>431</v>
      </c>
      <c r="AQ48" s="315" t="s">
        <v>431</v>
      </c>
      <c r="AR48" s="3" t="s">
        <v>431</v>
      </c>
      <c r="AS48" s="3" t="s">
        <v>431</v>
      </c>
      <c r="AT48" s="3" t="s">
        <v>431</v>
      </c>
      <c r="AU48" s="315" t="s">
        <v>431</v>
      </c>
      <c r="AV48" s="3" t="s">
        <v>431</v>
      </c>
      <c r="AW48" s="3" t="s">
        <v>431</v>
      </c>
      <c r="AX48" s="3" t="s">
        <v>431</v>
      </c>
      <c r="AY48" s="315" t="s">
        <v>431</v>
      </c>
      <c r="AZ48" s="51" t="s">
        <v>431</v>
      </c>
      <c r="BA48" s="51" t="s">
        <v>431</v>
      </c>
      <c r="BB48" s="51" t="s">
        <v>431</v>
      </c>
      <c r="BC48" s="65" t="s">
        <v>431</v>
      </c>
      <c r="BD48" s="51" t="s">
        <v>431</v>
      </c>
      <c r="BE48" s="51" t="s">
        <v>431</v>
      </c>
      <c r="BF48" s="51" t="s">
        <v>431</v>
      </c>
      <c r="BG48" s="65" t="s">
        <v>431</v>
      </c>
      <c r="BH48" s="675" t="s">
        <v>431</v>
      </c>
      <c r="BI48" s="675" t="s">
        <v>431</v>
      </c>
      <c r="BJ48" s="675" t="s">
        <v>431</v>
      </c>
      <c r="BK48" s="676" t="s">
        <v>431</v>
      </c>
      <c r="BL48" s="78">
        <f>'Technology Assumptions'!B$30*$C48</f>
        <v>71.243364967025897</v>
      </c>
      <c r="BM48" s="78">
        <f>'Technology Assumptions'!C$30*$C48</f>
        <v>71.243364967025897</v>
      </c>
      <c r="BN48" s="78">
        <f>'Technology Assumptions'!D$30*$C48</f>
        <v>71.243364967025897</v>
      </c>
      <c r="BO48" s="239">
        <f>'Technology Assumptions'!E$30*$C48</f>
        <v>71.243364967025897</v>
      </c>
    </row>
    <row r="49" spans="1:67" x14ac:dyDescent="0.25">
      <c r="A49" s="1093"/>
      <c r="B49" s="12" t="s">
        <v>547</v>
      </c>
      <c r="C49" s="32">
        <f>'Energy Content Assumptions'!B52*2000/1000000</f>
        <v>14.763999999999999</v>
      </c>
      <c r="D49" s="32" t="s">
        <v>261</v>
      </c>
      <c r="E49" s="119"/>
      <c r="F49" s="333" t="str">
        <f>IF($F$2='Bioenergy Calculator'!$X$9,AF49,IF($F$2='Bioenergy Calculator'!$X$10,AJ49,IF($F$2='Bioenergy Calculator'!$X$11,AN49,IF($F$2='Bioenergy Calculator'!$X$12,P49,IF($F$2='Bioenergy Calculator'!$X$13,AR49,IF($F$2='Bioenergy Calculator'!$X$14,AV49,IF($F$2='Bioenergy Calculator'!$X$15,AZ49,"NA")))))))</f>
        <v>NA</v>
      </c>
      <c r="G49" s="66" t="str">
        <f>IF($F$2='Bioenergy Calculator'!$X$9,AG49,IF($F$2='Bioenergy Calculator'!$X$10,AK49,IF($F$2='Bioenergy Calculator'!$X$11,AO49,IF($F$2='Bioenergy Calculator'!$X$12,Q49,IF($F$2='Bioenergy Calculator'!$X$13,AS49,IF($F$2='Bioenergy Calculator'!$X$14,AW49,IF($F$2='Bioenergy Calculator'!$X$15,BA49,"NA")))))))</f>
        <v>NA</v>
      </c>
      <c r="H49" s="66" t="str">
        <f>IF($F$2='Bioenergy Calculator'!$X$9,AH49,IF($F$2='Bioenergy Calculator'!$X$10,AL49,IF($F$2='Bioenergy Calculator'!$X$11,AP49,IF($F$2='Bioenergy Calculator'!$X$12,R49,IF($F$2='Bioenergy Calculator'!$X$13,AT49,IF($F$2='Bioenergy Calculator'!$X$14,AX49,IF($F$2='Bioenergy Calculator'!$X$15,BB49,"NA")))))))</f>
        <v>NA</v>
      </c>
      <c r="I49" s="334" t="str">
        <f>IF($F$2='Bioenergy Calculator'!$X$9,AI49,IF($F$2='Bioenergy Calculator'!$X$10,AM49,IF($F$2='Bioenergy Calculator'!$X$11,AQ49,IF($F$2='Bioenergy Calculator'!$X$12,S49,IF($F$2='Bioenergy Calculator'!$X$13,AU49,IF($F$2='Bioenergy Calculator'!$X$14,AY49,IF($F$2='Bioenergy Calculator'!$X$15,BC49,"NA")))))))</f>
        <v>NA</v>
      </c>
      <c r="J49" s="117"/>
      <c r="K49" s="333" t="str">
        <f>IF($K$2='Bioenergy Calculator'!$X$21,X49,IF($K$2='Bioenergy Calculator'!$X$22,BH49,IF($K$2='Bioenergy Calculator'!$X$23,BD49,IF($K$2='Bioenergy Calculator'!$X$19,T49,IF($K$2='Bioenergy Calculator'!$X$20,AB49,IF($K$2='Bioenergy Calculator'!$X$24,'Conversion Tables'!BL49,"NA"))))))</f>
        <v>NA</v>
      </c>
      <c r="L49" s="66" t="str">
        <f>IF($K$2='Bioenergy Calculator'!$X$21,Y49,IF($K$2='Bioenergy Calculator'!$X$22,BI49,IF($K$2='Bioenergy Calculator'!$X$23,BE49,IF($K$2='Bioenergy Calculator'!$X$19,U49,IF($K$2='Bioenergy Calculator'!$X$20,AC49,IF($K$2='Bioenergy Calculator'!$X$24,'Conversion Tables'!BM49,"NA"))))))</f>
        <v>NA</v>
      </c>
      <c r="M49" s="66" t="str">
        <f>IF($K$2='Bioenergy Calculator'!$X$21,Z49,IF($K$2='Bioenergy Calculator'!$X$22,BJ49,IF($K$2='Bioenergy Calculator'!$X$23,BF49,IF($K$2='Bioenergy Calculator'!$X$19,V49,IF($K$2='Bioenergy Calculator'!$X$20,AD49,IF($K$2='Bioenergy Calculator'!$X$24,'Conversion Tables'!BN49,"NA"))))))</f>
        <v>NA</v>
      </c>
      <c r="N49" s="334" t="str">
        <f>IF($K$2='Bioenergy Calculator'!$X$21,AA49,IF($K$2='Bioenergy Calculator'!$X$22,BK49,IF($K$2='Bioenergy Calculator'!$X$23,BG49,IF($K$2='Bioenergy Calculator'!$X$19,W49,IF($K$2='Bioenergy Calculator'!$X$20,AE49,IF($K$2='Bioenergy Calculator'!$X$24,'Conversion Tables'!BO49,"NA"))))))</f>
        <v>NA</v>
      </c>
      <c r="O49" s="84"/>
      <c r="P49" s="77">
        <f>('Energy Content Assumptions'!$B$69/'Technology Assumptions'!B$8)/1000</f>
        <v>12.998095238095237</v>
      </c>
      <c r="Q49" s="78">
        <f>('Energy Content Assumptions'!$B$69/'Technology Assumptions'!C$8)/1000</f>
        <v>12.998095238095237</v>
      </c>
      <c r="R49" s="78">
        <f>('Energy Content Assumptions'!$B$69/'Technology Assumptions'!D$8)/1000</f>
        <v>12.998095238095237</v>
      </c>
      <c r="S49" s="79">
        <f>('Energy Content Assumptions'!$B$69/'Technology Assumptions'!E$8)/1000</f>
        <v>12.998095238095237</v>
      </c>
      <c r="T49" s="51" t="s">
        <v>431</v>
      </c>
      <c r="U49" s="51" t="s">
        <v>431</v>
      </c>
      <c r="V49" s="51" t="s">
        <v>431</v>
      </c>
      <c r="W49" s="65" t="s">
        <v>431</v>
      </c>
      <c r="X49" s="146" t="s">
        <v>431</v>
      </c>
      <c r="Y49" s="146" t="s">
        <v>431</v>
      </c>
      <c r="Z49" s="146" t="s">
        <v>431</v>
      </c>
      <c r="AA49" s="257" t="s">
        <v>431</v>
      </c>
      <c r="AB49" s="51" t="s">
        <v>431</v>
      </c>
      <c r="AC49" s="51" t="s">
        <v>431</v>
      </c>
      <c r="AD49" s="51" t="s">
        <v>431</v>
      </c>
      <c r="AE49" s="65" t="s">
        <v>431</v>
      </c>
      <c r="AF49" s="669" t="s">
        <v>431</v>
      </c>
      <c r="AG49" s="135" t="s">
        <v>431</v>
      </c>
      <c r="AH49" s="135" t="s">
        <v>431</v>
      </c>
      <c r="AI49" s="136" t="s">
        <v>431</v>
      </c>
      <c r="AJ49" s="135" t="s">
        <v>431</v>
      </c>
      <c r="AK49" s="135" t="s">
        <v>431</v>
      </c>
      <c r="AL49" s="135" t="s">
        <v>431</v>
      </c>
      <c r="AM49" s="136" t="s">
        <v>431</v>
      </c>
      <c r="AN49" s="3" t="s">
        <v>431</v>
      </c>
      <c r="AO49" s="3" t="s">
        <v>431</v>
      </c>
      <c r="AP49" s="3" t="s">
        <v>431</v>
      </c>
      <c r="AQ49" s="315" t="s">
        <v>431</v>
      </c>
      <c r="AR49" s="3" t="s">
        <v>431</v>
      </c>
      <c r="AS49" s="3" t="s">
        <v>431</v>
      </c>
      <c r="AT49" s="3" t="s">
        <v>431</v>
      </c>
      <c r="AU49" s="315" t="s">
        <v>431</v>
      </c>
      <c r="AV49" s="3" t="s">
        <v>431</v>
      </c>
      <c r="AW49" s="3" t="s">
        <v>431</v>
      </c>
      <c r="AX49" s="3" t="s">
        <v>431</v>
      </c>
      <c r="AY49" s="315" t="s">
        <v>431</v>
      </c>
      <c r="AZ49" s="51" t="s">
        <v>431</v>
      </c>
      <c r="BA49" s="51" t="s">
        <v>431</v>
      </c>
      <c r="BB49" s="51" t="s">
        <v>431</v>
      </c>
      <c r="BC49" s="65" t="s">
        <v>431</v>
      </c>
      <c r="BD49" s="51" t="s">
        <v>431</v>
      </c>
      <c r="BE49" s="51" t="s">
        <v>431</v>
      </c>
      <c r="BF49" s="51" t="s">
        <v>431</v>
      </c>
      <c r="BG49" s="65" t="s">
        <v>431</v>
      </c>
      <c r="BH49" s="675" t="s">
        <v>431</v>
      </c>
      <c r="BI49" s="675" t="s">
        <v>431</v>
      </c>
      <c r="BJ49" s="675" t="s">
        <v>431</v>
      </c>
      <c r="BK49" s="676" t="s">
        <v>431</v>
      </c>
      <c r="BL49" s="78">
        <f>'Technology Assumptions'!B$30*$C49</f>
        <v>71.243364967025897</v>
      </c>
      <c r="BM49" s="78">
        <f>'Technology Assumptions'!C$30*$C49</f>
        <v>71.243364967025897</v>
      </c>
      <c r="BN49" s="78">
        <f>'Technology Assumptions'!D$30*$C49</f>
        <v>71.243364967025897</v>
      </c>
      <c r="BO49" s="239">
        <f>'Technology Assumptions'!E$30*$C49</f>
        <v>71.243364967025897</v>
      </c>
    </row>
    <row r="50" spans="1:67" x14ac:dyDescent="0.25">
      <c r="A50" s="1093"/>
      <c r="B50" s="12" t="s">
        <v>548</v>
      </c>
      <c r="C50" s="32">
        <f>'Energy Content Assumptions'!B53*2000/1000000</f>
        <v>14.763999999999999</v>
      </c>
      <c r="D50" s="32" t="s">
        <v>261</v>
      </c>
      <c r="E50" s="119"/>
      <c r="F50" s="333" t="str">
        <f>IF($F$2='Bioenergy Calculator'!$X$9,AF50,IF($F$2='Bioenergy Calculator'!$X$10,AJ50,IF($F$2='Bioenergy Calculator'!$X$11,AN50,IF($F$2='Bioenergy Calculator'!$X$12,P50,IF($F$2='Bioenergy Calculator'!$X$13,AR50,IF($F$2='Bioenergy Calculator'!$X$14,AV50,IF($F$2='Bioenergy Calculator'!$X$15,AZ50,"NA")))))))</f>
        <v>NA</v>
      </c>
      <c r="G50" s="66" t="str">
        <f>IF($F$2='Bioenergy Calculator'!$X$9,AG50,IF($F$2='Bioenergy Calculator'!$X$10,AK50,IF($F$2='Bioenergy Calculator'!$X$11,AO50,IF($F$2='Bioenergy Calculator'!$X$12,Q50,IF($F$2='Bioenergy Calculator'!$X$13,AS50,IF($F$2='Bioenergy Calculator'!$X$14,AW50,IF($F$2='Bioenergy Calculator'!$X$15,BA50,"NA")))))))</f>
        <v>NA</v>
      </c>
      <c r="H50" s="66" t="str">
        <f>IF($F$2='Bioenergy Calculator'!$X$9,AH50,IF($F$2='Bioenergy Calculator'!$X$10,AL50,IF($F$2='Bioenergy Calculator'!$X$11,AP50,IF($F$2='Bioenergy Calculator'!$X$12,R50,IF($F$2='Bioenergy Calculator'!$X$13,AT50,IF($F$2='Bioenergy Calculator'!$X$14,AX50,IF($F$2='Bioenergy Calculator'!$X$15,BB50,"NA")))))))</f>
        <v>NA</v>
      </c>
      <c r="I50" s="334" t="str">
        <f>IF($F$2='Bioenergy Calculator'!$X$9,AI50,IF($F$2='Bioenergy Calculator'!$X$10,AM50,IF($F$2='Bioenergy Calculator'!$X$11,AQ50,IF($F$2='Bioenergy Calculator'!$X$12,S50,IF($F$2='Bioenergy Calculator'!$X$13,AU50,IF($F$2='Bioenergy Calculator'!$X$14,AY50,IF($F$2='Bioenergy Calculator'!$X$15,BC50,"NA")))))))</f>
        <v>NA</v>
      </c>
      <c r="J50" s="117"/>
      <c r="K50" s="333" t="str">
        <f>IF($K$2='Bioenergy Calculator'!$X$21,X50,IF($K$2='Bioenergy Calculator'!$X$22,BH50,IF($K$2='Bioenergy Calculator'!$X$23,BD50,IF($K$2='Bioenergy Calculator'!$X$19,T50,IF($K$2='Bioenergy Calculator'!$X$20,AB50,IF($K$2='Bioenergy Calculator'!$X$24,'Conversion Tables'!BL50,"NA"))))))</f>
        <v>NA</v>
      </c>
      <c r="L50" s="66" t="str">
        <f>IF($K$2='Bioenergy Calculator'!$X$21,Y50,IF($K$2='Bioenergy Calculator'!$X$22,BI50,IF($K$2='Bioenergy Calculator'!$X$23,BE50,IF($K$2='Bioenergy Calculator'!$X$19,U50,IF($K$2='Bioenergy Calculator'!$X$20,AC50,IF($K$2='Bioenergy Calculator'!$X$24,'Conversion Tables'!BM50,"NA"))))))</f>
        <v>NA</v>
      </c>
      <c r="M50" s="66" t="str">
        <f>IF($K$2='Bioenergy Calculator'!$X$21,Z50,IF($K$2='Bioenergy Calculator'!$X$22,BJ50,IF($K$2='Bioenergy Calculator'!$X$23,BF50,IF($K$2='Bioenergy Calculator'!$X$19,V50,IF($K$2='Bioenergy Calculator'!$X$20,AD50,IF($K$2='Bioenergy Calculator'!$X$24,'Conversion Tables'!BN50,"NA"))))))</f>
        <v>NA</v>
      </c>
      <c r="N50" s="334" t="str">
        <f>IF($K$2='Bioenergy Calculator'!$X$21,AA50,IF($K$2='Bioenergy Calculator'!$X$22,BK50,IF($K$2='Bioenergy Calculator'!$X$23,BG50,IF($K$2='Bioenergy Calculator'!$X$19,W50,IF($K$2='Bioenergy Calculator'!$X$20,AE50,IF($K$2='Bioenergy Calculator'!$X$24,'Conversion Tables'!BO50,"NA"))))))</f>
        <v>NA</v>
      </c>
      <c r="O50" s="84"/>
      <c r="P50" s="77">
        <f>('Energy Content Assumptions'!$B$69/'Technology Assumptions'!B$8)/1000</f>
        <v>12.998095238095237</v>
      </c>
      <c r="Q50" s="78">
        <f>('Energy Content Assumptions'!$B$69/'Technology Assumptions'!C$8)/1000</f>
        <v>12.998095238095237</v>
      </c>
      <c r="R50" s="78">
        <f>('Energy Content Assumptions'!$B$69/'Technology Assumptions'!D$8)/1000</f>
        <v>12.998095238095237</v>
      </c>
      <c r="S50" s="79">
        <f>('Energy Content Assumptions'!$B$69/'Technology Assumptions'!E$8)/1000</f>
        <v>12.998095238095237</v>
      </c>
      <c r="T50" s="51" t="s">
        <v>431</v>
      </c>
      <c r="U50" s="51" t="s">
        <v>431</v>
      </c>
      <c r="V50" s="51" t="s">
        <v>431</v>
      </c>
      <c r="W50" s="65" t="s">
        <v>431</v>
      </c>
      <c r="X50" s="146" t="s">
        <v>431</v>
      </c>
      <c r="Y50" s="146" t="s">
        <v>431</v>
      </c>
      <c r="Z50" s="146" t="s">
        <v>431</v>
      </c>
      <c r="AA50" s="257" t="s">
        <v>431</v>
      </c>
      <c r="AB50" s="51" t="s">
        <v>431</v>
      </c>
      <c r="AC50" s="51" t="s">
        <v>431</v>
      </c>
      <c r="AD50" s="51" t="s">
        <v>431</v>
      </c>
      <c r="AE50" s="65" t="s">
        <v>431</v>
      </c>
      <c r="AF50" s="669" t="s">
        <v>431</v>
      </c>
      <c r="AG50" s="135" t="s">
        <v>431</v>
      </c>
      <c r="AH50" s="135" t="s">
        <v>431</v>
      </c>
      <c r="AI50" s="136" t="s">
        <v>431</v>
      </c>
      <c r="AJ50" s="135" t="s">
        <v>431</v>
      </c>
      <c r="AK50" s="135" t="s">
        <v>431</v>
      </c>
      <c r="AL50" s="135" t="s">
        <v>431</v>
      </c>
      <c r="AM50" s="136" t="s">
        <v>431</v>
      </c>
      <c r="AN50" s="3" t="s">
        <v>431</v>
      </c>
      <c r="AO50" s="3" t="s">
        <v>431</v>
      </c>
      <c r="AP50" s="3" t="s">
        <v>431</v>
      </c>
      <c r="AQ50" s="315" t="s">
        <v>431</v>
      </c>
      <c r="AR50" s="3" t="s">
        <v>431</v>
      </c>
      <c r="AS50" s="3" t="s">
        <v>431</v>
      </c>
      <c r="AT50" s="3" t="s">
        <v>431</v>
      </c>
      <c r="AU50" s="315" t="s">
        <v>431</v>
      </c>
      <c r="AV50" s="3" t="s">
        <v>431</v>
      </c>
      <c r="AW50" s="3" t="s">
        <v>431</v>
      </c>
      <c r="AX50" s="3" t="s">
        <v>431</v>
      </c>
      <c r="AY50" s="315" t="s">
        <v>431</v>
      </c>
      <c r="AZ50" s="51" t="s">
        <v>431</v>
      </c>
      <c r="BA50" s="51" t="s">
        <v>431</v>
      </c>
      <c r="BB50" s="51" t="s">
        <v>431</v>
      </c>
      <c r="BC50" s="65" t="s">
        <v>431</v>
      </c>
      <c r="BD50" s="51" t="s">
        <v>431</v>
      </c>
      <c r="BE50" s="51" t="s">
        <v>431</v>
      </c>
      <c r="BF50" s="51" t="s">
        <v>431</v>
      </c>
      <c r="BG50" s="65" t="s">
        <v>431</v>
      </c>
      <c r="BH50" s="675" t="s">
        <v>431</v>
      </c>
      <c r="BI50" s="675" t="s">
        <v>431</v>
      </c>
      <c r="BJ50" s="675" t="s">
        <v>431</v>
      </c>
      <c r="BK50" s="676" t="s">
        <v>431</v>
      </c>
      <c r="BL50" s="78">
        <f>'Technology Assumptions'!B$30*$C50</f>
        <v>71.243364967025897</v>
      </c>
      <c r="BM50" s="78">
        <f>'Technology Assumptions'!C$30*$C50</f>
        <v>71.243364967025897</v>
      </c>
      <c r="BN50" s="78">
        <f>'Technology Assumptions'!D$30*$C50</f>
        <v>71.243364967025897</v>
      </c>
      <c r="BO50" s="239">
        <f>'Technology Assumptions'!E$30*$C50</f>
        <v>71.243364967025897</v>
      </c>
    </row>
    <row r="51" spans="1:67" x14ac:dyDescent="0.25">
      <c r="A51" s="1093"/>
      <c r="B51" s="12" t="s">
        <v>551</v>
      </c>
      <c r="C51" s="32">
        <f>'Energy Content Assumptions'!B56*2000/1000000</f>
        <v>12</v>
      </c>
      <c r="D51" s="32" t="s">
        <v>261</v>
      </c>
      <c r="E51" s="119"/>
      <c r="F51" s="333" t="str">
        <f>IF($F$2='Bioenergy Calculator'!$X$9,AF51,IF($F$2='Bioenergy Calculator'!$X$10,AJ51,IF($F$2='Bioenergy Calculator'!$X$11,AN51,IF($F$2='Bioenergy Calculator'!$X$12,P51,IF($F$2='Bioenergy Calculator'!$X$13,AR51,IF($F$2='Bioenergy Calculator'!$X$14,AV51,IF($F$2='Bioenergy Calculator'!$X$15,AZ51,"NA")))))))</f>
        <v>NA</v>
      </c>
      <c r="G51" s="66" t="str">
        <f>IF($F$2='Bioenergy Calculator'!$X$9,AG51,IF($F$2='Bioenergy Calculator'!$X$10,AK51,IF($F$2='Bioenergy Calculator'!$X$11,AO51,IF($F$2='Bioenergy Calculator'!$X$12,Q51,IF($F$2='Bioenergy Calculator'!$X$13,AS51,IF($F$2='Bioenergy Calculator'!$X$14,AW51,IF($F$2='Bioenergy Calculator'!$X$15,BA51,"NA")))))))</f>
        <v>NA</v>
      </c>
      <c r="H51" s="66" t="str">
        <f>IF($F$2='Bioenergy Calculator'!$X$9,AH51,IF($F$2='Bioenergy Calculator'!$X$10,AL51,IF($F$2='Bioenergy Calculator'!$X$11,AP51,IF($F$2='Bioenergy Calculator'!$X$12,R51,IF($F$2='Bioenergy Calculator'!$X$13,AT51,IF($F$2='Bioenergy Calculator'!$X$14,AX51,IF($F$2='Bioenergy Calculator'!$X$15,BB51,"NA")))))))</f>
        <v>NA</v>
      </c>
      <c r="I51" s="334" t="str">
        <f>IF($F$2='Bioenergy Calculator'!$X$9,AI51,IF($F$2='Bioenergy Calculator'!$X$10,AM51,IF($F$2='Bioenergy Calculator'!$X$11,AQ51,IF($F$2='Bioenergy Calculator'!$X$12,S51,IF($F$2='Bioenergy Calculator'!$X$13,AU51,IF($F$2='Bioenergy Calculator'!$X$14,AY51,IF($F$2='Bioenergy Calculator'!$X$15,BC51,"NA")))))))</f>
        <v>NA</v>
      </c>
      <c r="J51" s="117"/>
      <c r="K51" s="333" t="str">
        <f>IF($K$2='Bioenergy Calculator'!$X$21,X51,IF($K$2='Bioenergy Calculator'!$X$22,BH51,IF($K$2='Bioenergy Calculator'!$X$23,BD51,IF($K$2='Bioenergy Calculator'!$X$19,T51,IF($K$2='Bioenergy Calculator'!$X$20,AB51,IF($K$2='Bioenergy Calculator'!$X$24,'Conversion Tables'!BL51,"NA"))))))</f>
        <v>NA</v>
      </c>
      <c r="L51" s="66" t="str">
        <f>IF($K$2='Bioenergy Calculator'!$X$21,Y51,IF($K$2='Bioenergy Calculator'!$X$22,BI51,IF($K$2='Bioenergy Calculator'!$X$23,BE51,IF($K$2='Bioenergy Calculator'!$X$19,U51,IF($K$2='Bioenergy Calculator'!$X$20,AC51,IF($K$2='Bioenergy Calculator'!$X$24,'Conversion Tables'!BM51,"NA"))))))</f>
        <v>NA</v>
      </c>
      <c r="M51" s="66" t="str">
        <f>IF($K$2='Bioenergy Calculator'!$X$21,Z51,IF($K$2='Bioenergy Calculator'!$X$22,BJ51,IF($K$2='Bioenergy Calculator'!$X$23,BF51,IF($K$2='Bioenergy Calculator'!$X$19,V51,IF($K$2='Bioenergy Calculator'!$X$20,AD51,IF($K$2='Bioenergy Calculator'!$X$24,'Conversion Tables'!BN51,"NA"))))))</f>
        <v>NA</v>
      </c>
      <c r="N51" s="334" t="str">
        <f>IF($K$2='Bioenergy Calculator'!$X$21,AA51,IF($K$2='Bioenergy Calculator'!$X$22,BK51,IF($K$2='Bioenergy Calculator'!$X$23,BG51,IF($K$2='Bioenergy Calculator'!$X$19,W51,IF($K$2='Bioenergy Calculator'!$X$20,AE51,IF($K$2='Bioenergy Calculator'!$X$24,'Conversion Tables'!BO51,"NA"))))))</f>
        <v>NA</v>
      </c>
      <c r="O51" s="84"/>
      <c r="P51" s="77">
        <f>('Energy Content Assumptions'!$B$69/'Technology Assumptions'!B$8)/1000</f>
        <v>12.998095238095237</v>
      </c>
      <c r="Q51" s="78">
        <f>('Energy Content Assumptions'!$B$69/'Technology Assumptions'!C$8)/1000</f>
        <v>12.998095238095237</v>
      </c>
      <c r="R51" s="78">
        <f>('Energy Content Assumptions'!$B$69/'Technology Assumptions'!D$8)/1000</f>
        <v>12.998095238095237</v>
      </c>
      <c r="S51" s="79">
        <f>('Energy Content Assumptions'!$B$69/'Technology Assumptions'!E$8)/1000</f>
        <v>12.998095238095237</v>
      </c>
      <c r="T51" s="51" t="s">
        <v>431</v>
      </c>
      <c r="U51" s="51" t="s">
        <v>431</v>
      </c>
      <c r="V51" s="51" t="s">
        <v>431</v>
      </c>
      <c r="W51" s="65" t="s">
        <v>431</v>
      </c>
      <c r="X51" s="91" t="s">
        <v>431</v>
      </c>
      <c r="Y51" s="91" t="s">
        <v>431</v>
      </c>
      <c r="Z51" s="91" t="s">
        <v>431</v>
      </c>
      <c r="AA51" s="147" t="s">
        <v>431</v>
      </c>
      <c r="AB51" s="51" t="s">
        <v>431</v>
      </c>
      <c r="AC51" s="51" t="s">
        <v>431</v>
      </c>
      <c r="AD51" s="51" t="s">
        <v>431</v>
      </c>
      <c r="AE51" s="65" t="s">
        <v>431</v>
      </c>
      <c r="AF51" s="669">
        <f>('Energy Content Assumptions'!$B$69/'Technology Assumptions'!B$4)/1000</f>
        <v>13.648</v>
      </c>
      <c r="AG51" s="135">
        <f>('Energy Content Assumptions'!$B$69/'Technology Assumptions'!C$4)/1000</f>
        <v>13.648</v>
      </c>
      <c r="AH51" s="135">
        <f>('Energy Content Assumptions'!$B$69/'Technology Assumptions'!D$4)/1000</f>
        <v>13.648</v>
      </c>
      <c r="AI51" s="136">
        <f>('Energy Content Assumptions'!$B$69/'Technology Assumptions'!E$4)/1000</f>
        <v>13.648</v>
      </c>
      <c r="AJ51" s="66">
        <f>('Energy Content Assumptions'!$B$69/'Technology Assumptions'!B$5)/1000</f>
        <v>14.216666666666669</v>
      </c>
      <c r="AK51" s="66">
        <f>('Energy Content Assumptions'!$B$69/'Technology Assumptions'!C$5)/1000</f>
        <v>14.216666666666669</v>
      </c>
      <c r="AL51" s="66">
        <f>('Energy Content Assumptions'!$B$69/'Technology Assumptions'!D$5)/1000</f>
        <v>14.216666666666669</v>
      </c>
      <c r="AM51" s="69">
        <f>('Energy Content Assumptions'!$B$69/'Technology Assumptions'!E$5)/1000</f>
        <v>14.216666666666669</v>
      </c>
      <c r="AN51" s="51" t="s">
        <v>431</v>
      </c>
      <c r="AO51" s="51" t="s">
        <v>431</v>
      </c>
      <c r="AP51" s="51" t="s">
        <v>431</v>
      </c>
      <c r="AQ51" s="65" t="s">
        <v>431</v>
      </c>
      <c r="AR51" s="135">
        <f>('Energy Content Assumptions'!$B$69/'Technology Assumptions'!B$6)/1000</f>
        <v>9.7485714285714291</v>
      </c>
      <c r="AS51" s="135">
        <f>('Energy Content Assumptions'!$B$69/'Technology Assumptions'!C$6)/1000</f>
        <v>9.7485714285714291</v>
      </c>
      <c r="AT51" s="135">
        <f>('Energy Content Assumptions'!$B$69/'Technology Assumptions'!D$6)/1000</f>
        <v>9.7485714285714291</v>
      </c>
      <c r="AU51" s="136">
        <f>('Energy Content Assumptions'!$B$69/'Technology Assumptions'!E$6)/1000</f>
        <v>9.7485714285714291</v>
      </c>
      <c r="AV51" s="78">
        <f>('Energy Content Assumptions'!$B$69/'Technology Assumptions'!B$12)/1000</f>
        <v>16.247619047619047</v>
      </c>
      <c r="AW51" s="78">
        <f>('Energy Content Assumptions'!$B$69/'Technology Assumptions'!C$12)/1000</f>
        <v>16.247619047619047</v>
      </c>
      <c r="AX51" s="78">
        <f>('Energy Content Assumptions'!$B$69/'Technology Assumptions'!D$12)/1000</f>
        <v>16.247619047619047</v>
      </c>
      <c r="AY51" s="79">
        <f>('Energy Content Assumptions'!$B$69/'Technology Assumptions'!E$12)/1000</f>
        <v>16.247619047619047</v>
      </c>
      <c r="AZ51" s="51" t="s">
        <v>431</v>
      </c>
      <c r="BA51" s="51" t="s">
        <v>431</v>
      </c>
      <c r="BB51" s="51" t="s">
        <v>431</v>
      </c>
      <c r="BC51" s="65" t="s">
        <v>431</v>
      </c>
      <c r="BD51" s="51" t="s">
        <v>431</v>
      </c>
      <c r="BE51" s="51" t="s">
        <v>431</v>
      </c>
      <c r="BF51" s="51" t="s">
        <v>431</v>
      </c>
      <c r="BG51" s="65" t="s">
        <v>431</v>
      </c>
      <c r="BH51" s="52" t="s">
        <v>431</v>
      </c>
      <c r="BI51" s="52" t="s">
        <v>431</v>
      </c>
      <c r="BJ51" s="52" t="s">
        <v>431</v>
      </c>
      <c r="BK51" s="62" t="s">
        <v>431</v>
      </c>
      <c r="BL51" s="78">
        <f>'Technology Assumptions'!B$30*$C51</f>
        <v>57.905742319446674</v>
      </c>
      <c r="BM51" s="78">
        <f>'Technology Assumptions'!C$30*$C51</f>
        <v>57.905742319446674</v>
      </c>
      <c r="BN51" s="78">
        <f>'Technology Assumptions'!D$30*$C51</f>
        <v>57.905742319446674</v>
      </c>
      <c r="BO51" s="239">
        <f>'Technology Assumptions'!E$30*$C51</f>
        <v>57.905742319446674</v>
      </c>
    </row>
    <row r="52" spans="1:67" x14ac:dyDescent="0.25">
      <c r="A52" s="1093"/>
      <c r="B52" s="12" t="s">
        <v>552</v>
      </c>
      <c r="C52" s="32">
        <f>'Energy Content Assumptions'!B57*2000/1000000</f>
        <v>14.763999999999999</v>
      </c>
      <c r="D52" s="32" t="s">
        <v>261</v>
      </c>
      <c r="E52" s="119"/>
      <c r="F52" s="333" t="str">
        <f>IF($F$2='Bioenergy Calculator'!$X$9,AF52,IF($F$2='Bioenergy Calculator'!$X$10,AJ52,IF($F$2='Bioenergy Calculator'!$X$11,AN52,IF($F$2='Bioenergy Calculator'!$X$12,P52,IF($F$2='Bioenergy Calculator'!$X$13,AR52,IF($F$2='Bioenergy Calculator'!$X$14,AV52,IF($F$2='Bioenergy Calculator'!$X$15,AZ52,"NA")))))))</f>
        <v>NA</v>
      </c>
      <c r="G52" s="66" t="str">
        <f>IF($F$2='Bioenergy Calculator'!$X$9,AG52,IF($F$2='Bioenergy Calculator'!$X$10,AK52,IF($F$2='Bioenergy Calculator'!$X$11,AO52,IF($F$2='Bioenergy Calculator'!$X$12,Q52,IF($F$2='Bioenergy Calculator'!$X$13,AS52,IF($F$2='Bioenergy Calculator'!$X$14,AW52,IF($F$2='Bioenergy Calculator'!$X$15,BA52,"NA")))))))</f>
        <v>NA</v>
      </c>
      <c r="H52" s="66" t="str">
        <f>IF($F$2='Bioenergy Calculator'!$X$9,AH52,IF($F$2='Bioenergy Calculator'!$X$10,AL52,IF($F$2='Bioenergy Calculator'!$X$11,AP52,IF($F$2='Bioenergy Calculator'!$X$12,R52,IF($F$2='Bioenergy Calculator'!$X$13,AT52,IF($F$2='Bioenergy Calculator'!$X$14,AX52,IF($F$2='Bioenergy Calculator'!$X$15,BB52,"NA")))))))</f>
        <v>NA</v>
      </c>
      <c r="I52" s="334" t="str">
        <f>IF($F$2='Bioenergy Calculator'!$X$9,AI52,IF($F$2='Bioenergy Calculator'!$X$10,AM52,IF($F$2='Bioenergy Calculator'!$X$11,AQ52,IF($F$2='Bioenergy Calculator'!$X$12,S52,IF($F$2='Bioenergy Calculator'!$X$13,AU52,IF($F$2='Bioenergy Calculator'!$X$14,AY52,IF($F$2='Bioenergy Calculator'!$X$15,BC52,"NA")))))))</f>
        <v>NA</v>
      </c>
      <c r="J52" s="117"/>
      <c r="K52" s="333" t="str">
        <f>IF($K$2='Bioenergy Calculator'!$X$21,X52,IF($K$2='Bioenergy Calculator'!$X$22,BH52,IF($K$2='Bioenergy Calculator'!$X$23,BD52,IF($K$2='Bioenergy Calculator'!$X$19,T52,IF($K$2='Bioenergy Calculator'!$X$20,AB52,IF($K$2='Bioenergy Calculator'!$X$24,'Conversion Tables'!BL52,"NA"))))))</f>
        <v>NA</v>
      </c>
      <c r="L52" s="66" t="str">
        <f>IF($K$2='Bioenergy Calculator'!$X$21,Y52,IF($K$2='Bioenergy Calculator'!$X$22,BI52,IF($K$2='Bioenergy Calculator'!$X$23,BE52,IF($K$2='Bioenergy Calculator'!$X$19,U52,IF($K$2='Bioenergy Calculator'!$X$20,AC52,IF($K$2='Bioenergy Calculator'!$X$24,'Conversion Tables'!BM52,"NA"))))))</f>
        <v>NA</v>
      </c>
      <c r="M52" s="66" t="str">
        <f>IF($K$2='Bioenergy Calculator'!$X$21,Z52,IF($K$2='Bioenergy Calculator'!$X$22,BJ52,IF($K$2='Bioenergy Calculator'!$X$23,BF52,IF($K$2='Bioenergy Calculator'!$X$19,V52,IF($K$2='Bioenergy Calculator'!$X$20,AD52,IF($K$2='Bioenergy Calculator'!$X$24,'Conversion Tables'!BN52,"NA"))))))</f>
        <v>NA</v>
      </c>
      <c r="N52" s="334" t="str">
        <f>IF($K$2='Bioenergy Calculator'!$X$21,AA52,IF($K$2='Bioenergy Calculator'!$X$22,BK52,IF($K$2='Bioenergy Calculator'!$X$23,BG52,IF($K$2='Bioenergy Calculator'!$X$19,W52,IF($K$2='Bioenergy Calculator'!$X$20,AE52,IF($K$2='Bioenergy Calculator'!$X$24,'Conversion Tables'!BO52,"NA"))))))</f>
        <v>NA</v>
      </c>
      <c r="O52" s="84"/>
      <c r="P52" s="77">
        <f>('Energy Content Assumptions'!$B$69/'Technology Assumptions'!B$8)/1000</f>
        <v>12.998095238095237</v>
      </c>
      <c r="Q52" s="78">
        <f>('Energy Content Assumptions'!$B$69/'Technology Assumptions'!C$8)/1000</f>
        <v>12.998095238095237</v>
      </c>
      <c r="R52" s="78">
        <f>('Energy Content Assumptions'!$B$69/'Technology Assumptions'!D$8)/1000</f>
        <v>12.998095238095237</v>
      </c>
      <c r="S52" s="79">
        <f>('Energy Content Assumptions'!$B$69/'Technology Assumptions'!E$8)/1000</f>
        <v>12.998095238095237</v>
      </c>
      <c r="T52" s="51" t="s">
        <v>431</v>
      </c>
      <c r="U52" s="51" t="s">
        <v>431</v>
      </c>
      <c r="V52" s="51" t="s">
        <v>431</v>
      </c>
      <c r="W52" s="65" t="s">
        <v>431</v>
      </c>
      <c r="X52" s="91" t="s">
        <v>431</v>
      </c>
      <c r="Y52" s="91" t="s">
        <v>431</v>
      </c>
      <c r="Z52" s="91" t="s">
        <v>431</v>
      </c>
      <c r="AA52" s="147" t="s">
        <v>431</v>
      </c>
      <c r="AB52" s="51" t="s">
        <v>431</v>
      </c>
      <c r="AC52" s="51" t="s">
        <v>431</v>
      </c>
      <c r="AD52" s="51" t="s">
        <v>431</v>
      </c>
      <c r="AE52" s="65" t="s">
        <v>431</v>
      </c>
      <c r="AF52" s="669">
        <f>('Energy Content Assumptions'!$B$69/'Technology Assumptions'!B$4)/1000</f>
        <v>13.648</v>
      </c>
      <c r="AG52" s="135">
        <f>('Energy Content Assumptions'!$B$69/'Technology Assumptions'!C$4)/1000</f>
        <v>13.648</v>
      </c>
      <c r="AH52" s="135">
        <f>('Energy Content Assumptions'!$B$69/'Technology Assumptions'!D$4)/1000</f>
        <v>13.648</v>
      </c>
      <c r="AI52" s="136">
        <f>('Energy Content Assumptions'!$B$69/'Technology Assumptions'!E$4)/1000</f>
        <v>13.648</v>
      </c>
      <c r="AJ52" s="66">
        <f>('Energy Content Assumptions'!$B$69/'Technology Assumptions'!B$5)/1000</f>
        <v>14.216666666666669</v>
      </c>
      <c r="AK52" s="66">
        <f>('Energy Content Assumptions'!$B$69/'Technology Assumptions'!C$5)/1000</f>
        <v>14.216666666666669</v>
      </c>
      <c r="AL52" s="66">
        <f>('Energy Content Assumptions'!$B$69/'Technology Assumptions'!D$5)/1000</f>
        <v>14.216666666666669</v>
      </c>
      <c r="AM52" s="69">
        <f>('Energy Content Assumptions'!$B$69/'Technology Assumptions'!E$5)/1000</f>
        <v>14.216666666666669</v>
      </c>
      <c r="AN52" s="51" t="s">
        <v>431</v>
      </c>
      <c r="AO52" s="51" t="s">
        <v>431</v>
      </c>
      <c r="AP52" s="51" t="s">
        <v>431</v>
      </c>
      <c r="AQ52" s="65" t="s">
        <v>431</v>
      </c>
      <c r="AR52" s="135">
        <f>('Energy Content Assumptions'!$B$69/'Technology Assumptions'!B$6)/1000</f>
        <v>9.7485714285714291</v>
      </c>
      <c r="AS52" s="135">
        <f>('Energy Content Assumptions'!$B$69/'Technology Assumptions'!C$6)/1000</f>
        <v>9.7485714285714291</v>
      </c>
      <c r="AT52" s="135">
        <f>('Energy Content Assumptions'!$B$69/'Technology Assumptions'!D$6)/1000</f>
        <v>9.7485714285714291</v>
      </c>
      <c r="AU52" s="136">
        <f>('Energy Content Assumptions'!$B$69/'Technology Assumptions'!E$6)/1000</f>
        <v>9.7485714285714291</v>
      </c>
      <c r="AV52" s="78">
        <f>('Energy Content Assumptions'!$B$69/'Technology Assumptions'!B$12)/1000</f>
        <v>16.247619047619047</v>
      </c>
      <c r="AW52" s="78">
        <f>('Energy Content Assumptions'!$B$69/'Technology Assumptions'!C$12)/1000</f>
        <v>16.247619047619047</v>
      </c>
      <c r="AX52" s="78">
        <f>('Energy Content Assumptions'!$B$69/'Technology Assumptions'!D$12)/1000</f>
        <v>16.247619047619047</v>
      </c>
      <c r="AY52" s="79">
        <f>('Energy Content Assumptions'!$B$69/'Technology Assumptions'!E$12)/1000</f>
        <v>16.247619047619047</v>
      </c>
      <c r="AZ52" s="51" t="s">
        <v>431</v>
      </c>
      <c r="BA52" s="51" t="s">
        <v>431</v>
      </c>
      <c r="BB52" s="51" t="s">
        <v>431</v>
      </c>
      <c r="BC52" s="65" t="s">
        <v>431</v>
      </c>
      <c r="BD52" s="51" t="s">
        <v>431</v>
      </c>
      <c r="BE52" s="51" t="s">
        <v>431</v>
      </c>
      <c r="BF52" s="51" t="s">
        <v>431</v>
      </c>
      <c r="BG52" s="65" t="s">
        <v>431</v>
      </c>
      <c r="BH52" s="52" t="s">
        <v>431</v>
      </c>
      <c r="BI52" s="52" t="s">
        <v>431</v>
      </c>
      <c r="BJ52" s="52" t="s">
        <v>431</v>
      </c>
      <c r="BK52" s="62" t="s">
        <v>431</v>
      </c>
      <c r="BL52" s="78">
        <f>'Technology Assumptions'!B$30*$C52</f>
        <v>71.243364967025897</v>
      </c>
      <c r="BM52" s="78">
        <f>'Technology Assumptions'!C$30*$C52</f>
        <v>71.243364967025897</v>
      </c>
      <c r="BN52" s="78">
        <f>'Technology Assumptions'!D$30*$C52</f>
        <v>71.243364967025897</v>
      </c>
      <c r="BO52" s="239">
        <f>'Technology Assumptions'!E$30*$C52</f>
        <v>71.243364967025897</v>
      </c>
    </row>
    <row r="53" spans="1:67" x14ac:dyDescent="0.25">
      <c r="A53" s="1093"/>
      <c r="B53" s="129" t="s">
        <v>305</v>
      </c>
      <c r="C53" s="32">
        <f>'Energy Content Assumptions'!B58*2000/1000000</f>
        <v>12</v>
      </c>
      <c r="D53" s="32" t="s">
        <v>261</v>
      </c>
      <c r="E53" s="118"/>
      <c r="F53" s="333" t="str">
        <f>IF($F$2='Bioenergy Calculator'!$X$9,AF53,IF($F$2='Bioenergy Calculator'!$X$10,AJ53,IF($F$2='Bioenergy Calculator'!$X$11,AN53,IF($F$2='Bioenergy Calculator'!$X$12,P53,IF($F$2='Bioenergy Calculator'!$X$13,AR53,IF($F$2='Bioenergy Calculator'!$X$14,AV53,IF($F$2='Bioenergy Calculator'!$X$15,AZ53,"NA")))))))</f>
        <v>NA</v>
      </c>
      <c r="G53" s="66" t="str">
        <f>IF($F$2='Bioenergy Calculator'!$X$9,AG53,IF($F$2='Bioenergy Calculator'!$X$10,AK53,IF($F$2='Bioenergy Calculator'!$X$11,AO53,IF($F$2='Bioenergy Calculator'!$X$12,Q53,IF($F$2='Bioenergy Calculator'!$X$13,AS53,IF($F$2='Bioenergy Calculator'!$X$14,AW53,IF($F$2='Bioenergy Calculator'!$X$15,BA53,"NA")))))))</f>
        <v>NA</v>
      </c>
      <c r="H53" s="66" t="str">
        <f>IF($F$2='Bioenergy Calculator'!$X$9,AH53,IF($F$2='Bioenergy Calculator'!$X$10,AL53,IF($F$2='Bioenergy Calculator'!$X$11,AP53,IF($F$2='Bioenergy Calculator'!$X$12,R53,IF($F$2='Bioenergy Calculator'!$X$13,AT53,IF($F$2='Bioenergy Calculator'!$X$14,AX53,IF($F$2='Bioenergy Calculator'!$X$15,BB53,"NA")))))))</f>
        <v>NA</v>
      </c>
      <c r="I53" s="334" t="str">
        <f>IF($F$2='Bioenergy Calculator'!$X$9,AI53,IF($F$2='Bioenergy Calculator'!$X$10,AM53,IF($F$2='Bioenergy Calculator'!$X$11,AQ53,IF($F$2='Bioenergy Calculator'!$X$12,S53,IF($F$2='Bioenergy Calculator'!$X$13,AU53,IF($F$2='Bioenergy Calculator'!$X$14,AY53,IF($F$2='Bioenergy Calculator'!$X$15,BC53,"NA")))))))</f>
        <v>NA</v>
      </c>
      <c r="J53" s="117"/>
      <c r="K53" s="333" t="str">
        <f>IF($K$2='Bioenergy Calculator'!$X$21,X53,IF($K$2='Bioenergy Calculator'!$X$22,BH53,IF($K$2='Bioenergy Calculator'!$X$23,BD53,IF($K$2='Bioenergy Calculator'!$X$19,T53,IF($K$2='Bioenergy Calculator'!$X$20,AB53,IF($K$2='Bioenergy Calculator'!$X$24,'Conversion Tables'!BL53,"NA"))))))</f>
        <v>NA</v>
      </c>
      <c r="L53" s="66" t="str">
        <f>IF($K$2='Bioenergy Calculator'!$X$21,Y53,IF($K$2='Bioenergy Calculator'!$X$22,BI53,IF($K$2='Bioenergy Calculator'!$X$23,BE53,IF($K$2='Bioenergy Calculator'!$X$19,U53,IF($K$2='Bioenergy Calculator'!$X$20,AC53,IF($K$2='Bioenergy Calculator'!$X$24,'Conversion Tables'!BM53,"NA"))))))</f>
        <v>NA</v>
      </c>
      <c r="M53" s="66" t="str">
        <f>IF($K$2='Bioenergy Calculator'!$X$21,Z53,IF($K$2='Bioenergy Calculator'!$X$22,BJ53,IF($K$2='Bioenergy Calculator'!$X$23,BF53,IF($K$2='Bioenergy Calculator'!$X$19,V53,IF($K$2='Bioenergy Calculator'!$X$20,AD53,IF($K$2='Bioenergy Calculator'!$X$24,'Conversion Tables'!BN53,"NA"))))))</f>
        <v>NA</v>
      </c>
      <c r="N53" s="334" t="str">
        <f>IF($K$2='Bioenergy Calculator'!$X$21,AA53,IF($K$2='Bioenergy Calculator'!$X$22,BK53,IF($K$2='Bioenergy Calculator'!$X$23,BG53,IF($K$2='Bioenergy Calculator'!$X$19,W53,IF($K$2='Bioenergy Calculator'!$X$20,AE53,IF($K$2='Bioenergy Calculator'!$X$24,'Conversion Tables'!BO53,"NA"))))))</f>
        <v>NA</v>
      </c>
      <c r="O53" s="84"/>
      <c r="P53" s="73" t="s">
        <v>431</v>
      </c>
      <c r="Q53" s="74" t="s">
        <v>431</v>
      </c>
      <c r="R53" s="74" t="s">
        <v>431</v>
      </c>
      <c r="S53" s="75" t="s">
        <v>431</v>
      </c>
      <c r="T53" s="51" t="s">
        <v>431</v>
      </c>
      <c r="U53" s="51" t="s">
        <v>431</v>
      </c>
      <c r="V53" s="51" t="s">
        <v>431</v>
      </c>
      <c r="W53" s="65" t="s">
        <v>431</v>
      </c>
      <c r="X53" s="91" t="s">
        <v>431</v>
      </c>
      <c r="Y53" s="91" t="s">
        <v>431</v>
      </c>
      <c r="Z53" s="91" t="s">
        <v>431</v>
      </c>
      <c r="AA53" s="147" t="s">
        <v>431</v>
      </c>
      <c r="AB53" s="51" t="s">
        <v>431</v>
      </c>
      <c r="AC53" s="51" t="s">
        <v>431</v>
      </c>
      <c r="AD53" s="51" t="s">
        <v>431</v>
      </c>
      <c r="AE53" s="65" t="s">
        <v>431</v>
      </c>
      <c r="AF53" s="668">
        <f>('Energy Content Assumptions'!$B$69/'Technology Assumptions'!B$4)/1000</f>
        <v>13.648</v>
      </c>
      <c r="AG53" s="66">
        <f>('Energy Content Assumptions'!$B$69/'Technology Assumptions'!C$4)/1000</f>
        <v>13.648</v>
      </c>
      <c r="AH53" s="66">
        <f>('Energy Content Assumptions'!$B$69/'Technology Assumptions'!D$4)/1000</f>
        <v>13.648</v>
      </c>
      <c r="AI53" s="69">
        <f>('Energy Content Assumptions'!$B$69/'Technology Assumptions'!E$4)/1000</f>
        <v>13.648</v>
      </c>
      <c r="AJ53" s="66">
        <f>('Energy Content Assumptions'!$B$69/'Technology Assumptions'!B$5)/1000</f>
        <v>14.216666666666669</v>
      </c>
      <c r="AK53" s="66">
        <f>('Energy Content Assumptions'!$B$69/'Technology Assumptions'!C$5)/1000</f>
        <v>14.216666666666669</v>
      </c>
      <c r="AL53" s="66">
        <f>('Energy Content Assumptions'!$B$69/'Technology Assumptions'!D$5)/1000</f>
        <v>14.216666666666669</v>
      </c>
      <c r="AM53" s="69">
        <f>('Energy Content Assumptions'!$B$69/'Technology Assumptions'!E$5)/1000</f>
        <v>14.216666666666669</v>
      </c>
      <c r="AN53" s="66">
        <f>('Energy Content Assumptions'!$B$69/'Technology Assumptions'!B$7)/1000</f>
        <v>8.7487179487179496</v>
      </c>
      <c r="AO53" s="66">
        <f>('Energy Content Assumptions'!$B$69/'Technology Assumptions'!C$7)/1000</f>
        <v>8.7487179487179496</v>
      </c>
      <c r="AP53" s="66">
        <f>('Energy Content Assumptions'!$B$69/'Technology Assumptions'!D$7)/1000</f>
        <v>8.7487179487179496</v>
      </c>
      <c r="AQ53" s="69">
        <f>('Energy Content Assumptions'!$B$69/'Technology Assumptions'!E$7)/1000</f>
        <v>8.7487179487179496</v>
      </c>
      <c r="AR53" s="135">
        <f>('Energy Content Assumptions'!$B$69/'Technology Assumptions'!B$6)/1000</f>
        <v>9.7485714285714291</v>
      </c>
      <c r="AS53" s="135">
        <f>('Energy Content Assumptions'!$B$69/'Technology Assumptions'!C$6)/1000</f>
        <v>9.7485714285714291</v>
      </c>
      <c r="AT53" s="135">
        <f>('Energy Content Assumptions'!$B$69/'Technology Assumptions'!D$6)/1000</f>
        <v>9.7485714285714291</v>
      </c>
      <c r="AU53" s="136">
        <f>('Energy Content Assumptions'!$B$69/'Technology Assumptions'!E$6)/1000</f>
        <v>9.7485714285714291</v>
      </c>
      <c r="AV53" s="78">
        <f>('Energy Content Assumptions'!$B$69/'Technology Assumptions'!B$12)/1000</f>
        <v>16.247619047619047</v>
      </c>
      <c r="AW53" s="78">
        <f>('Energy Content Assumptions'!$B$69/'Technology Assumptions'!C$12)/1000</f>
        <v>16.247619047619047</v>
      </c>
      <c r="AX53" s="78">
        <f>('Energy Content Assumptions'!$B$69/'Technology Assumptions'!D$12)/1000</f>
        <v>16.247619047619047</v>
      </c>
      <c r="AY53" s="79">
        <f>('Energy Content Assumptions'!$B$69/'Technology Assumptions'!E$12)/1000</f>
        <v>16.247619047619047</v>
      </c>
      <c r="AZ53" s="51" t="s">
        <v>431</v>
      </c>
      <c r="BA53" s="51" t="s">
        <v>431</v>
      </c>
      <c r="BB53" s="51" t="s">
        <v>431</v>
      </c>
      <c r="BC53" s="65" t="s">
        <v>431</v>
      </c>
      <c r="BD53" s="51" t="s">
        <v>431</v>
      </c>
      <c r="BE53" s="51" t="s">
        <v>431</v>
      </c>
      <c r="BF53" s="51" t="s">
        <v>431</v>
      </c>
      <c r="BG53" s="65" t="s">
        <v>431</v>
      </c>
      <c r="BH53" s="52" t="s">
        <v>431</v>
      </c>
      <c r="BI53" s="52" t="s">
        <v>431</v>
      </c>
      <c r="BJ53" s="52" t="s">
        <v>431</v>
      </c>
      <c r="BK53" s="62" t="s">
        <v>431</v>
      </c>
      <c r="BL53" s="74" t="s">
        <v>431</v>
      </c>
      <c r="BM53" s="74" t="s">
        <v>431</v>
      </c>
      <c r="BN53" s="74" t="s">
        <v>431</v>
      </c>
      <c r="BO53" s="238" t="s">
        <v>431</v>
      </c>
    </row>
    <row r="54" spans="1:67" x14ac:dyDescent="0.25">
      <c r="A54" s="1093"/>
      <c r="B54" s="129" t="s">
        <v>250</v>
      </c>
      <c r="C54" s="51"/>
      <c r="D54" s="51"/>
      <c r="E54" s="84"/>
      <c r="F54" s="172"/>
      <c r="G54" s="51"/>
      <c r="H54" s="51"/>
      <c r="I54" s="140"/>
      <c r="J54" s="84"/>
      <c r="K54" s="342" t="s">
        <v>255</v>
      </c>
      <c r="L54" s="234"/>
      <c r="M54" s="234"/>
      <c r="N54" s="343"/>
      <c r="O54" s="84"/>
      <c r="P54" s="68"/>
      <c r="Q54" s="51"/>
      <c r="R54" s="51"/>
      <c r="S54" s="65"/>
      <c r="T54" s="51"/>
      <c r="U54" s="51"/>
      <c r="V54" s="51"/>
      <c r="W54" s="65"/>
      <c r="X54" s="91"/>
      <c r="Y54" s="91"/>
      <c r="Z54" s="91"/>
      <c r="AA54" s="147"/>
      <c r="AB54" s="51"/>
      <c r="AC54" s="51"/>
      <c r="AD54" s="51"/>
      <c r="AE54" s="65"/>
      <c r="AF54" s="68"/>
      <c r="AG54" s="51"/>
      <c r="AH54" s="51"/>
      <c r="AI54" s="65"/>
      <c r="AJ54" s="51"/>
      <c r="AK54" s="51"/>
      <c r="AL54" s="51"/>
      <c r="AM54" s="65"/>
      <c r="AN54" s="51"/>
      <c r="AO54" s="51"/>
      <c r="AP54" s="51"/>
      <c r="AQ54" s="65"/>
      <c r="AR54" s="51"/>
      <c r="AS54" s="51"/>
      <c r="AT54" s="51"/>
      <c r="AU54" s="65"/>
      <c r="AV54" s="51"/>
      <c r="AW54" s="51"/>
      <c r="AX54" s="51"/>
      <c r="AY54" s="65"/>
      <c r="AZ54" s="51"/>
      <c r="BA54" s="51"/>
      <c r="BB54" s="51"/>
      <c r="BC54" s="65"/>
      <c r="BD54" s="51"/>
      <c r="BE54" s="51"/>
      <c r="BF54" s="51"/>
      <c r="BG54" s="65"/>
      <c r="BH54" s="52"/>
      <c r="BI54" s="52"/>
      <c r="BJ54" s="52"/>
      <c r="BK54" s="62"/>
      <c r="BL54" s="323" t="s">
        <v>254</v>
      </c>
      <c r="BM54" s="233"/>
      <c r="BN54" s="233"/>
      <c r="BO54" s="240"/>
    </row>
    <row r="55" spans="1:67" x14ac:dyDescent="0.25">
      <c r="A55" s="1093"/>
      <c r="B55" s="133" t="s">
        <v>304</v>
      </c>
      <c r="C55" s="31">
        <f>'Energy Content Assumptions'!B59</f>
        <v>619</v>
      </c>
      <c r="D55" s="32" t="s">
        <v>362</v>
      </c>
      <c r="E55" s="119"/>
      <c r="F55" s="333" t="str">
        <f>IF($F$2='Bioenergy Calculator'!$X$9,AF55,IF($F$2='Bioenergy Calculator'!$X$10,AJ55,IF($F$2='Bioenergy Calculator'!$X$11,AN55,IF($F$2='Bioenergy Calculator'!$X$12,P55,IF($F$2='Bioenergy Calculator'!$X$13,AR55,IF($F$2='Bioenergy Calculator'!$X$14,AV55,IF($F$2='Bioenergy Calculator'!$X$15,AZ55,"NA")))))))</f>
        <v>NA</v>
      </c>
      <c r="G55" s="66" t="str">
        <f>IF($F$2='Bioenergy Calculator'!$X$9,AG55,IF($F$2='Bioenergy Calculator'!$X$10,AK55,IF($F$2='Bioenergy Calculator'!$X$11,AO55,IF($F$2='Bioenergy Calculator'!$X$12,Q55,IF($F$2='Bioenergy Calculator'!$X$13,AS55,IF($F$2='Bioenergy Calculator'!$X$14,AW55,IF($F$2='Bioenergy Calculator'!$X$15,BA55,"NA")))))))</f>
        <v>NA</v>
      </c>
      <c r="H55" s="66" t="str">
        <f>IF($F$2='Bioenergy Calculator'!$X$9,AH55,IF($F$2='Bioenergy Calculator'!$X$10,AL55,IF($F$2='Bioenergy Calculator'!$X$11,AP55,IF($F$2='Bioenergy Calculator'!$X$12,R55,IF($F$2='Bioenergy Calculator'!$X$13,AT55,IF($F$2='Bioenergy Calculator'!$X$14,AX55,IF($F$2='Bioenergy Calculator'!$X$15,BB55,"NA")))))))</f>
        <v>NA</v>
      </c>
      <c r="I55" s="334" t="str">
        <f>IF($F$2='Bioenergy Calculator'!$X$9,AI55,IF($F$2='Bioenergy Calculator'!$X$10,AM55,IF($F$2='Bioenergy Calculator'!$X$11,AQ55,IF($F$2='Bioenergy Calculator'!$X$12,S55,IF($F$2='Bioenergy Calculator'!$X$13,AU55,IF($F$2='Bioenergy Calculator'!$X$14,AY55,IF($F$2='Bioenergy Calculator'!$X$15,BC55,"NA")))))))</f>
        <v>NA</v>
      </c>
      <c r="J55" s="117"/>
      <c r="K55" s="333" t="str">
        <f>IF($K$2='Bioenergy Calculator'!$X$21,X55,IF($K$2='Bioenergy Calculator'!$X$22,BH55,IF($K$2='Bioenergy Calculator'!$X$23,BD55,IF($K$2='Bioenergy Calculator'!$X$19,T55,IF($K$2='Bioenergy Calculator'!$X$20,AB55,IF($K$2='Bioenergy Calculator'!$X$24,'Conversion Tables'!BL55,"NA"))))))</f>
        <v>NA</v>
      </c>
      <c r="L55" s="66" t="str">
        <f>IF($K$2='Bioenergy Calculator'!$X$21,Y55,IF($K$2='Bioenergy Calculator'!$X$22,BI55,IF($K$2='Bioenergy Calculator'!$X$23,BE55,IF($K$2='Bioenergy Calculator'!$X$19,U55,IF($K$2='Bioenergy Calculator'!$X$20,AC55,IF($K$2='Bioenergy Calculator'!$X$24,'Conversion Tables'!BM55,"NA"))))))</f>
        <v>NA</v>
      </c>
      <c r="M55" s="66" t="str">
        <f>IF($K$2='Bioenergy Calculator'!$X$21,Z55,IF($K$2='Bioenergy Calculator'!$X$22,BJ55,IF($K$2='Bioenergy Calculator'!$X$23,BF55,IF($K$2='Bioenergy Calculator'!$X$19,V55,IF($K$2='Bioenergy Calculator'!$X$20,AD55,IF($K$2='Bioenergy Calculator'!$X$24,'Conversion Tables'!BN55,"NA"))))))</f>
        <v>NA</v>
      </c>
      <c r="N55" s="334" t="str">
        <f>IF($K$2='Bioenergy Calculator'!$X$21,AA55,IF($K$2='Bioenergy Calculator'!$X$22,BK55,IF($K$2='Bioenergy Calculator'!$X$23,BG55,IF($K$2='Bioenergy Calculator'!$X$19,W55,IF($K$2='Bioenergy Calculator'!$X$20,AE55,IF($K$2='Bioenergy Calculator'!$X$24,'Conversion Tables'!BO55,"NA"))))))</f>
        <v>NA</v>
      </c>
      <c r="O55" s="84"/>
      <c r="P55" s="77">
        <f>('Energy Content Assumptions'!$B$69/'Technology Assumptions'!B$9)/1000</f>
        <v>9.7485714285714291</v>
      </c>
      <c r="Q55" s="78">
        <f>('Energy Content Assumptions'!$B$69/'Technology Assumptions'!C$9)/1000</f>
        <v>9.7485714285714291</v>
      </c>
      <c r="R55" s="78">
        <f>('Energy Content Assumptions'!$B$69/'Technology Assumptions'!D$9)/1000</f>
        <v>9.7485714285714291</v>
      </c>
      <c r="S55" s="79">
        <f>('Energy Content Assumptions'!$B$69/'Technology Assumptions'!E$9)/1000</f>
        <v>9.7485714285714291</v>
      </c>
      <c r="T55" s="51" t="s">
        <v>431</v>
      </c>
      <c r="U55" s="51" t="s">
        <v>431</v>
      </c>
      <c r="V55" s="51" t="s">
        <v>431</v>
      </c>
      <c r="W55" s="65" t="s">
        <v>431</v>
      </c>
      <c r="X55" s="91" t="s">
        <v>431</v>
      </c>
      <c r="Y55" s="91" t="s">
        <v>431</v>
      </c>
      <c r="Z55" s="91" t="s">
        <v>431</v>
      </c>
      <c r="AA55" s="147" t="s">
        <v>431</v>
      </c>
      <c r="AB55" s="51" t="s">
        <v>431</v>
      </c>
      <c r="AC55" s="51" t="s">
        <v>431</v>
      </c>
      <c r="AD55" s="51" t="s">
        <v>431</v>
      </c>
      <c r="AE55" s="65" t="s">
        <v>431</v>
      </c>
      <c r="AF55" s="668" t="s">
        <v>431</v>
      </c>
      <c r="AG55" s="66" t="s">
        <v>431</v>
      </c>
      <c r="AH55" s="66" t="s">
        <v>431</v>
      </c>
      <c r="AI55" s="69" t="s">
        <v>431</v>
      </c>
      <c r="AJ55" s="66" t="s">
        <v>431</v>
      </c>
      <c r="AK55" s="66" t="s">
        <v>431</v>
      </c>
      <c r="AL55" s="66" t="s">
        <v>431</v>
      </c>
      <c r="AM55" s="69" t="s">
        <v>431</v>
      </c>
      <c r="AN55" s="51" t="s">
        <v>431</v>
      </c>
      <c r="AO55" s="51" t="s">
        <v>431</v>
      </c>
      <c r="AP55" s="51" t="s">
        <v>431</v>
      </c>
      <c r="AQ55" s="65" t="s">
        <v>431</v>
      </c>
      <c r="AR55" s="51" t="s">
        <v>431</v>
      </c>
      <c r="AS55" s="51" t="s">
        <v>431</v>
      </c>
      <c r="AT55" s="51" t="s">
        <v>431</v>
      </c>
      <c r="AU55" s="65" t="s">
        <v>431</v>
      </c>
      <c r="AV55" s="51" t="s">
        <v>431</v>
      </c>
      <c r="AW55" s="51" t="s">
        <v>431</v>
      </c>
      <c r="AX55" s="51" t="s">
        <v>431</v>
      </c>
      <c r="AY55" s="65" t="s">
        <v>431</v>
      </c>
      <c r="AZ55" s="51" t="s">
        <v>431</v>
      </c>
      <c r="BA55" s="51" t="s">
        <v>431</v>
      </c>
      <c r="BB55" s="51" t="s">
        <v>431</v>
      </c>
      <c r="BC55" s="65" t="s">
        <v>431</v>
      </c>
      <c r="BD55" s="51" t="s">
        <v>431</v>
      </c>
      <c r="BE55" s="51" t="s">
        <v>431</v>
      </c>
      <c r="BF55" s="51" t="s">
        <v>431</v>
      </c>
      <c r="BG55" s="65" t="s">
        <v>431</v>
      </c>
      <c r="BH55" s="52" t="s">
        <v>431</v>
      </c>
      <c r="BI55" s="52" t="s">
        <v>431</v>
      </c>
      <c r="BJ55" s="52" t="s">
        <v>431</v>
      </c>
      <c r="BK55" s="62" t="s">
        <v>431</v>
      </c>
      <c r="BL55" s="78">
        <f>'Technology Assumptions'!B$29*$C55</f>
        <v>4480.4568119671867</v>
      </c>
      <c r="BM55" s="78">
        <f>'Technology Assumptions'!C$29*$C55</f>
        <v>4480.4568119671867</v>
      </c>
      <c r="BN55" s="78">
        <f>'Technology Assumptions'!D$29*$C55</f>
        <v>4480.4568119671867</v>
      </c>
      <c r="BO55" s="239">
        <f>'Technology Assumptions'!E$29*$C55</f>
        <v>4480.4568119671867</v>
      </c>
    </row>
    <row r="56" spans="1:67" ht="13.8" thickBot="1" x14ac:dyDescent="0.3">
      <c r="A56" s="1094"/>
      <c r="B56" s="241" t="s">
        <v>512</v>
      </c>
      <c r="C56" s="242">
        <f>'Energy Content Assumptions'!B60</f>
        <v>506</v>
      </c>
      <c r="D56" s="243" t="s">
        <v>362</v>
      </c>
      <c r="E56" s="244"/>
      <c r="F56" s="336" t="str">
        <f>IF($F$2='Bioenergy Calculator'!$X$9,AF56,IF($F$2='Bioenergy Calculator'!$X$10,AJ56,IF($F$2='Bioenergy Calculator'!$X$11,AN56,IF($F$2='Bioenergy Calculator'!$X$12,P56,IF($F$2='Bioenergy Calculator'!$X$13,AR56,IF($F$2='Bioenergy Calculator'!$X$14,AV56,IF($F$2='Bioenergy Calculator'!$X$15,AZ56,"NA")))))))</f>
        <v>NA</v>
      </c>
      <c r="G56" s="245" t="str">
        <f>IF($F$2='Bioenergy Calculator'!$X$9,AG56,IF($F$2='Bioenergy Calculator'!$X$10,AK56,IF($F$2='Bioenergy Calculator'!$X$11,AO56,IF($F$2='Bioenergy Calculator'!$X$12,Q56,IF($F$2='Bioenergy Calculator'!$X$13,AS56,IF($F$2='Bioenergy Calculator'!$X$14,AW56,IF($F$2='Bioenergy Calculator'!$X$15,BA56,"NA")))))))</f>
        <v>NA</v>
      </c>
      <c r="H56" s="245" t="str">
        <f>IF($F$2='Bioenergy Calculator'!$X$9,AH56,IF($F$2='Bioenergy Calculator'!$X$10,AL56,IF($F$2='Bioenergy Calculator'!$X$11,AP56,IF($F$2='Bioenergy Calculator'!$X$12,R56,IF($F$2='Bioenergy Calculator'!$X$13,AT56,IF($F$2='Bioenergy Calculator'!$X$14,AX56,IF($F$2='Bioenergy Calculator'!$X$15,BB56,"NA")))))))</f>
        <v>NA</v>
      </c>
      <c r="I56" s="337" t="str">
        <f>IF($F$2='Bioenergy Calculator'!$X$9,AI56,IF($F$2='Bioenergy Calculator'!$X$10,AM56,IF($F$2='Bioenergy Calculator'!$X$11,AQ56,IF($F$2='Bioenergy Calculator'!$X$12,S56,IF($F$2='Bioenergy Calculator'!$X$13,AU56,IF($F$2='Bioenergy Calculator'!$X$14,AY56,IF($F$2='Bioenergy Calculator'!$X$15,BC56,"NA")))))))</f>
        <v>NA</v>
      </c>
      <c r="J56" s="339"/>
      <c r="K56" s="336" t="str">
        <f>IF($K$2='Bioenergy Calculator'!$X$21,X56,IF($K$2='Bioenergy Calculator'!$X$22,BH56,IF($K$2='Bioenergy Calculator'!$X$23,BD56,IF($K$2='Bioenergy Calculator'!$X$19,T56,IF($K$2='Bioenergy Calculator'!$X$20,AB56,IF($K$2='Bioenergy Calculator'!$X$24,'Conversion Tables'!BL56,"NA"))))))</f>
        <v>NA</v>
      </c>
      <c r="L56" s="245" t="str">
        <f>IF($K$2='Bioenergy Calculator'!$X$21,Y56,IF($K$2='Bioenergy Calculator'!$X$22,BI56,IF($K$2='Bioenergy Calculator'!$X$23,BE56,IF($K$2='Bioenergy Calculator'!$X$19,U56,IF($K$2='Bioenergy Calculator'!$X$20,AC56,IF($K$2='Bioenergy Calculator'!$X$24,'Conversion Tables'!BM56,"NA"))))))</f>
        <v>NA</v>
      </c>
      <c r="M56" s="245" t="str">
        <f>IF($K$2='Bioenergy Calculator'!$X$21,Z56,IF($K$2='Bioenergy Calculator'!$X$22,BJ56,IF($K$2='Bioenergy Calculator'!$X$23,BF56,IF($K$2='Bioenergy Calculator'!$X$19,V56,IF($K$2='Bioenergy Calculator'!$X$20,AD56,IF($K$2='Bioenergy Calculator'!$X$24,'Conversion Tables'!BN56,"NA"))))))</f>
        <v>NA</v>
      </c>
      <c r="N56" s="337" t="str">
        <f>IF($K$2='Bioenergy Calculator'!$X$21,AA56,IF($K$2='Bioenergy Calculator'!$X$22,BK56,IF($K$2='Bioenergy Calculator'!$X$23,BG56,IF($K$2='Bioenergy Calculator'!$X$19,W56,IF($K$2='Bioenergy Calculator'!$X$20,AE56,IF($K$2='Bioenergy Calculator'!$X$24,'Conversion Tables'!BO56,"NA"))))))</f>
        <v>NA</v>
      </c>
      <c r="O56" s="247"/>
      <c r="P56" s="248">
        <f>('Energy Content Assumptions'!$B$69/'Technology Assumptions'!B$9)/1000</f>
        <v>9.7485714285714291</v>
      </c>
      <c r="Q56" s="249">
        <f>('Energy Content Assumptions'!$B$69/'Technology Assumptions'!C$9)/1000</f>
        <v>9.7485714285714291</v>
      </c>
      <c r="R56" s="249">
        <f>('Energy Content Assumptions'!$B$69/'Technology Assumptions'!D$9)/1000</f>
        <v>9.7485714285714291</v>
      </c>
      <c r="S56" s="250">
        <f>('Energy Content Assumptions'!$B$69/'Technology Assumptions'!E$9)/1000</f>
        <v>9.7485714285714291</v>
      </c>
      <c r="T56" s="200" t="s">
        <v>431</v>
      </c>
      <c r="U56" s="200" t="s">
        <v>431</v>
      </c>
      <c r="V56" s="200" t="s">
        <v>431</v>
      </c>
      <c r="W56" s="251" t="s">
        <v>431</v>
      </c>
      <c r="X56" s="201" t="s">
        <v>431</v>
      </c>
      <c r="Y56" s="201" t="s">
        <v>431</v>
      </c>
      <c r="Z56" s="201" t="s">
        <v>431</v>
      </c>
      <c r="AA56" s="261" t="s">
        <v>431</v>
      </c>
      <c r="AB56" s="200" t="s">
        <v>431</v>
      </c>
      <c r="AC56" s="200" t="s">
        <v>431</v>
      </c>
      <c r="AD56" s="200" t="s">
        <v>431</v>
      </c>
      <c r="AE56" s="251" t="s">
        <v>431</v>
      </c>
      <c r="AF56" s="670" t="s">
        <v>431</v>
      </c>
      <c r="AG56" s="245" t="s">
        <v>431</v>
      </c>
      <c r="AH56" s="245" t="s">
        <v>431</v>
      </c>
      <c r="AI56" s="246" t="s">
        <v>431</v>
      </c>
      <c r="AJ56" s="245" t="s">
        <v>431</v>
      </c>
      <c r="AK56" s="245" t="s">
        <v>431</v>
      </c>
      <c r="AL56" s="245" t="s">
        <v>431</v>
      </c>
      <c r="AM56" s="246" t="s">
        <v>431</v>
      </c>
      <c r="AN56" s="200" t="s">
        <v>431</v>
      </c>
      <c r="AO56" s="200" t="s">
        <v>431</v>
      </c>
      <c r="AP56" s="200" t="s">
        <v>431</v>
      </c>
      <c r="AQ56" s="251" t="s">
        <v>431</v>
      </c>
      <c r="AR56" s="200" t="s">
        <v>431</v>
      </c>
      <c r="AS56" s="200" t="s">
        <v>431</v>
      </c>
      <c r="AT56" s="200" t="s">
        <v>431</v>
      </c>
      <c r="AU56" s="251" t="s">
        <v>431</v>
      </c>
      <c r="AV56" s="200" t="s">
        <v>431</v>
      </c>
      <c r="AW56" s="200" t="s">
        <v>431</v>
      </c>
      <c r="AX56" s="200" t="s">
        <v>431</v>
      </c>
      <c r="AY56" s="251" t="s">
        <v>431</v>
      </c>
      <c r="AZ56" s="200" t="s">
        <v>431</v>
      </c>
      <c r="BA56" s="200" t="s">
        <v>431</v>
      </c>
      <c r="BB56" s="200" t="s">
        <v>431</v>
      </c>
      <c r="BC56" s="251" t="s">
        <v>431</v>
      </c>
      <c r="BD56" s="200" t="s">
        <v>431</v>
      </c>
      <c r="BE56" s="200" t="s">
        <v>431</v>
      </c>
      <c r="BF56" s="200" t="s">
        <v>431</v>
      </c>
      <c r="BG56" s="251" t="s">
        <v>431</v>
      </c>
      <c r="BH56" s="661" t="s">
        <v>431</v>
      </c>
      <c r="BI56" s="661" t="s">
        <v>431</v>
      </c>
      <c r="BJ56" s="661" t="s">
        <v>431</v>
      </c>
      <c r="BK56" s="678" t="s">
        <v>431</v>
      </c>
      <c r="BL56" s="249">
        <f>'Technology Assumptions'!B$29*$C56</f>
        <v>3662.5382017050024</v>
      </c>
      <c r="BM56" s="249">
        <f>'Technology Assumptions'!C$29*$C56</f>
        <v>3662.5382017050024</v>
      </c>
      <c r="BN56" s="249">
        <f>'Technology Assumptions'!D$29*$C56</f>
        <v>3662.5382017050024</v>
      </c>
      <c r="BO56" s="262">
        <f>'Technology Assumptions'!E$29*$C56</f>
        <v>3662.5382017050024</v>
      </c>
    </row>
    <row r="57" spans="1:67" x14ac:dyDescent="0.25">
      <c r="C57" s="32"/>
      <c r="D57" s="32"/>
      <c r="E57" s="32"/>
      <c r="K57" s="128"/>
    </row>
  </sheetData>
  <mergeCells count="24">
    <mergeCell ref="AF4:AI4"/>
    <mergeCell ref="AJ4:AM4"/>
    <mergeCell ref="AN4:AQ4"/>
    <mergeCell ref="AR4:AU4"/>
    <mergeCell ref="BL4:BO4"/>
    <mergeCell ref="AV4:AY4"/>
    <mergeCell ref="AZ4:BC4"/>
    <mergeCell ref="BD4:BG4"/>
    <mergeCell ref="BH4:BK4"/>
    <mergeCell ref="C2:D2"/>
    <mergeCell ref="X4:AA4"/>
    <mergeCell ref="AB4:AE4"/>
    <mergeCell ref="A44:A56"/>
    <mergeCell ref="A4:A5"/>
    <mergeCell ref="B4:B5"/>
    <mergeCell ref="C4:D4"/>
    <mergeCell ref="A6:A11"/>
    <mergeCell ref="A12:A27"/>
    <mergeCell ref="A28:A39"/>
    <mergeCell ref="A40:A43"/>
    <mergeCell ref="F4:I4"/>
    <mergeCell ref="K4:N4"/>
    <mergeCell ref="P4:S4"/>
    <mergeCell ref="T4:W4"/>
  </mergeCells>
  <phoneticPr fontId="0" type="noConversion"/>
  <dataValidations count="2">
    <dataValidation type="list" showDropDown="1" showInputMessage="1" showErrorMessage="1" sqref="K2">
      <formula1>#REF!</formula1>
    </dataValidation>
    <dataValidation type="list" showDropDown="1" showInputMessage="1" showErrorMessage="1" sqref="F2">
      <formula1>#REF!</formula1>
    </dataValidation>
  </dataValidations>
  <pageMargins left="0.75" right="0.75" top="1" bottom="1" header="0.5" footer="0.5"/>
  <pageSetup paperSize="5" scale="50" fitToWidth="2" orientation="landscape" r:id="rId1"/>
  <headerFooter alignWithMargins="0">
    <oddFooter>&amp;L&amp;"Arial,Italic" 7/02/07&amp;C&amp;"Arial,Italic"&amp;A&amp;R&amp;"Arial,Italic"NJAES Report 2007-1 ©2007
New Jersey Agricultural Experiment Station</oddFooter>
  </headerFooter>
  <colBreaks count="2" manualBreakCount="2">
    <brk id="15" max="1048575" man="1"/>
    <brk id="43" max="57"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7"/>
  <sheetViews>
    <sheetView workbookViewId="0">
      <pane ySplit="1" topLeftCell="A17" activePane="bottomLeft" state="frozen"/>
      <selection pane="bottomLeft" activeCell="J20" sqref="J20"/>
    </sheetView>
  </sheetViews>
  <sheetFormatPr defaultRowHeight="13.2" x14ac:dyDescent="0.25"/>
  <cols>
    <col min="1" max="1" width="10.88671875" bestFit="1" customWidth="1"/>
    <col min="2" max="2" width="31" customWidth="1"/>
    <col min="3" max="3" width="15.109375" customWidth="1"/>
    <col min="4" max="4" width="13.33203125" customWidth="1"/>
    <col min="5" max="5" width="17.5546875" customWidth="1"/>
    <col min="8" max="8" width="10.88671875" bestFit="1" customWidth="1"/>
    <col min="9" max="9" width="12.109375" customWidth="1"/>
    <col min="10" max="10" width="12" customWidth="1"/>
    <col min="11" max="11" width="18.5546875" customWidth="1"/>
  </cols>
  <sheetData>
    <row r="1" spans="1:11" ht="41.25" customHeight="1" thickBot="1" x14ac:dyDescent="0.3">
      <c r="A1" s="487" t="s">
        <v>322</v>
      </c>
      <c r="B1" s="487" t="s">
        <v>620</v>
      </c>
      <c r="C1" s="488" t="s">
        <v>776</v>
      </c>
      <c r="D1" s="488" t="s">
        <v>621</v>
      </c>
      <c r="E1" s="486" t="s">
        <v>644</v>
      </c>
    </row>
    <row r="2" spans="1:11" ht="39.6" x14ac:dyDescent="0.25">
      <c r="A2" t="s">
        <v>403</v>
      </c>
      <c r="B2" s="384" t="s">
        <v>622</v>
      </c>
      <c r="C2" s="483">
        <v>27.791699999999999</v>
      </c>
      <c r="D2" s="483">
        <v>40</v>
      </c>
      <c r="E2">
        <f>IF(C2&lt;2,0,C2)</f>
        <v>27.791699999999999</v>
      </c>
      <c r="H2" s="494" t="s">
        <v>322</v>
      </c>
      <c r="I2" s="495" t="s">
        <v>776</v>
      </c>
      <c r="J2" s="495" t="s">
        <v>621</v>
      </c>
      <c r="K2" s="496" t="s">
        <v>644</v>
      </c>
    </row>
    <row r="3" spans="1:11" x14ac:dyDescent="0.25">
      <c r="A3" t="s">
        <v>403</v>
      </c>
      <c r="B3" s="384" t="s">
        <v>623</v>
      </c>
      <c r="C3" s="483">
        <v>0.32290000000000002</v>
      </c>
      <c r="D3" s="483">
        <v>0.4</v>
      </c>
      <c r="E3">
        <f t="shared" ref="E3:E7" si="0">IF(C3&lt;2,0,C3)</f>
        <v>0</v>
      </c>
      <c r="H3" s="497" t="s">
        <v>403</v>
      </c>
      <c r="I3" s="493">
        <f>C$8</f>
        <v>28.6798</v>
      </c>
      <c r="J3" s="493">
        <f t="shared" ref="J3:K3" si="1">D$8</f>
        <v>42.111800000000002</v>
      </c>
      <c r="K3" s="498">
        <f t="shared" si="1"/>
        <v>27.791699999999999</v>
      </c>
    </row>
    <row r="4" spans="1:11" x14ac:dyDescent="0.25">
      <c r="A4" t="s">
        <v>403</v>
      </c>
      <c r="B4" s="384" t="s">
        <v>624</v>
      </c>
      <c r="C4" s="483">
        <v>3.0000000000000001E-3</v>
      </c>
      <c r="D4" s="483">
        <v>3.0000000000000001E-3</v>
      </c>
      <c r="E4">
        <f t="shared" si="0"/>
        <v>0</v>
      </c>
      <c r="H4" s="497" t="s">
        <v>325</v>
      </c>
      <c r="I4" s="493">
        <f>C$26</f>
        <v>91.11039999999997</v>
      </c>
      <c r="J4" s="493">
        <f t="shared" ref="J4:K4" si="2">D$26</f>
        <v>122.1143</v>
      </c>
      <c r="K4" s="498">
        <f t="shared" si="2"/>
        <v>90.942399999999992</v>
      </c>
    </row>
    <row r="5" spans="1:11" x14ac:dyDescent="0.25">
      <c r="A5" t="s">
        <v>403</v>
      </c>
      <c r="B5" s="384" t="s">
        <v>625</v>
      </c>
      <c r="C5" s="483">
        <v>0.53339999999999999</v>
      </c>
      <c r="D5" s="483">
        <v>1.6</v>
      </c>
      <c r="E5">
        <f t="shared" si="0"/>
        <v>0</v>
      </c>
      <c r="H5" s="497" t="s">
        <v>328</v>
      </c>
      <c r="I5" s="493">
        <f>C$71</f>
        <v>37.995900000000013</v>
      </c>
      <c r="J5" s="493">
        <f t="shared" ref="J5:K5" si="3">D$71</f>
        <v>63.292700000000004</v>
      </c>
      <c r="K5" s="498">
        <f t="shared" si="3"/>
        <v>20.2745</v>
      </c>
    </row>
    <row r="6" spans="1:11" x14ac:dyDescent="0.25">
      <c r="A6" t="s">
        <v>403</v>
      </c>
      <c r="B6" s="384" t="s">
        <v>626</v>
      </c>
      <c r="C6" s="483">
        <v>2.0999999999999999E-3</v>
      </c>
      <c r="D6" s="483">
        <v>1.2500000000000001E-2</v>
      </c>
      <c r="E6">
        <f t="shared" si="0"/>
        <v>0</v>
      </c>
      <c r="H6" s="497" t="s">
        <v>331</v>
      </c>
      <c r="I6" s="493">
        <f>C$78</f>
        <v>56.238400000000006</v>
      </c>
      <c r="J6" s="493">
        <f t="shared" ref="J6:K6" si="4">D$78</f>
        <v>82.555400000000006</v>
      </c>
      <c r="K6" s="498">
        <f t="shared" si="4"/>
        <v>54.125</v>
      </c>
    </row>
    <row r="7" spans="1:11" x14ac:dyDescent="0.25">
      <c r="A7" t="s">
        <v>403</v>
      </c>
      <c r="B7" s="384" t="s">
        <v>627</v>
      </c>
      <c r="C7" s="483">
        <v>2.6700000000000002E-2</v>
      </c>
      <c r="D7" s="483">
        <v>9.6299999999999997E-2</v>
      </c>
      <c r="E7">
        <f t="shared" si="0"/>
        <v>0</v>
      </c>
      <c r="H7" s="497" t="s">
        <v>333</v>
      </c>
      <c r="I7" s="493">
        <f>C$93</f>
        <v>18.4754</v>
      </c>
      <c r="J7" s="493">
        <f t="shared" ref="J7:K7" si="5">D$93</f>
        <v>37.470299999999995</v>
      </c>
      <c r="K7" s="498">
        <f t="shared" si="5"/>
        <v>15.204999999999998</v>
      </c>
    </row>
    <row r="8" spans="1:11" x14ac:dyDescent="0.25">
      <c r="A8" s="484" t="s">
        <v>409</v>
      </c>
      <c r="C8" s="485">
        <f>SUM(C2:C7)</f>
        <v>28.6798</v>
      </c>
      <c r="D8" s="485">
        <f>SUM(D2:D7)</f>
        <v>42.111800000000002</v>
      </c>
      <c r="E8" s="80">
        <f>SUM(E2:E7)</f>
        <v>27.791699999999999</v>
      </c>
      <c r="H8" s="497" t="s">
        <v>335</v>
      </c>
      <c r="I8" s="493">
        <f>C$100</f>
        <v>12.175600000000001</v>
      </c>
      <c r="J8" s="493">
        <f t="shared" ref="J8:K8" si="6">D$100</f>
        <v>20.818100000000001</v>
      </c>
      <c r="K8" s="498">
        <f t="shared" si="6"/>
        <v>11.457599999999999</v>
      </c>
    </row>
    <row r="9" spans="1:11" x14ac:dyDescent="0.25">
      <c r="H9" s="497" t="s">
        <v>336</v>
      </c>
      <c r="I9" s="493">
        <f>C$107</f>
        <v>250.41390000000001</v>
      </c>
      <c r="J9" s="493">
        <f t="shared" ref="J9:K9" si="7">D$107</f>
        <v>344.1</v>
      </c>
      <c r="K9" s="498">
        <f t="shared" si="7"/>
        <v>248.9288</v>
      </c>
    </row>
    <row r="10" spans="1:11" x14ac:dyDescent="0.25">
      <c r="A10" s="384" t="s">
        <v>325</v>
      </c>
      <c r="B10" s="489" t="s">
        <v>628</v>
      </c>
      <c r="C10" s="483">
        <v>3.9174000000000002</v>
      </c>
      <c r="D10" s="483">
        <v>6</v>
      </c>
      <c r="E10">
        <f>IF(C10&lt;2,0,C10)</f>
        <v>3.9174000000000002</v>
      </c>
      <c r="H10" s="497" t="s">
        <v>337</v>
      </c>
      <c r="I10" s="493">
        <f>C$116</f>
        <v>18.134899999999998</v>
      </c>
      <c r="J10" s="493">
        <f t="shared" ref="J10:K10" si="8">D$116</f>
        <v>31.172600000000003</v>
      </c>
      <c r="K10" s="498">
        <f t="shared" si="8"/>
        <v>15.99</v>
      </c>
    </row>
    <row r="11" spans="1:11" x14ac:dyDescent="0.25">
      <c r="A11" t="str">
        <f>A10</f>
        <v>Bergen</v>
      </c>
      <c r="B11" s="489" t="s">
        <v>629</v>
      </c>
      <c r="C11" s="483">
        <v>1.0800000000000001E-2</v>
      </c>
      <c r="D11" s="483">
        <v>2.1999999999999999E-2</v>
      </c>
      <c r="E11">
        <f t="shared" ref="E11:E25" si="9">IF(C11&lt;2,0,C11)</f>
        <v>0</v>
      </c>
      <c r="H11" s="497" t="s">
        <v>338</v>
      </c>
      <c r="I11" s="493">
        <f>C$124</f>
        <v>36.6524</v>
      </c>
      <c r="J11" s="493">
        <f t="shared" ref="J11:K11" si="10">D$124</f>
        <v>49.58</v>
      </c>
      <c r="K11" s="498">
        <f t="shared" si="10"/>
        <v>36.505400000000002</v>
      </c>
    </row>
    <row r="12" spans="1:11" x14ac:dyDescent="0.25">
      <c r="A12" t="str">
        <f t="shared" ref="A12:A25" si="11">A11</f>
        <v>Bergen</v>
      </c>
      <c r="B12" s="489" t="s">
        <v>630</v>
      </c>
      <c r="C12" s="483">
        <v>3.3E-3</v>
      </c>
      <c r="D12" s="483">
        <v>6.4999999999999997E-3</v>
      </c>
      <c r="E12">
        <f t="shared" si="9"/>
        <v>0</v>
      </c>
      <c r="H12" s="497" t="s">
        <v>339</v>
      </c>
      <c r="I12" s="493">
        <f>C$162</f>
        <v>6.8648000000000007</v>
      </c>
      <c r="J12" s="493">
        <f t="shared" ref="J12:K12" si="12">D$162</f>
        <v>13.416999999999998</v>
      </c>
      <c r="K12" s="498">
        <f t="shared" si="12"/>
        <v>3.0325000000000002</v>
      </c>
    </row>
    <row r="13" spans="1:11" x14ac:dyDescent="0.25">
      <c r="A13" t="str">
        <f t="shared" si="11"/>
        <v>Bergen</v>
      </c>
      <c r="B13" s="489" t="s">
        <v>631</v>
      </c>
      <c r="C13" s="483">
        <v>3.3999999999999998E-3</v>
      </c>
      <c r="D13" s="483">
        <v>1.8200000000000001E-2</v>
      </c>
      <c r="E13">
        <f t="shared" si="9"/>
        <v>0</v>
      </c>
      <c r="H13" s="497" t="s">
        <v>340</v>
      </c>
      <c r="I13" s="493">
        <f>C$178</f>
        <v>43.717699999999994</v>
      </c>
      <c r="J13" s="493">
        <f t="shared" ref="J13:K13" si="13">D$178</f>
        <v>71.639200000000002</v>
      </c>
      <c r="K13" s="498">
        <f t="shared" si="13"/>
        <v>42.206699999999998</v>
      </c>
    </row>
    <row r="14" spans="1:11" x14ac:dyDescent="0.25">
      <c r="A14" t="str">
        <f t="shared" si="11"/>
        <v>Bergen</v>
      </c>
      <c r="B14" s="489" t="s">
        <v>632</v>
      </c>
      <c r="C14" s="483">
        <v>5.0000000000000001E-3</v>
      </c>
      <c r="D14" s="483">
        <v>1.84E-2</v>
      </c>
      <c r="E14">
        <f t="shared" si="9"/>
        <v>0</v>
      </c>
      <c r="H14" s="497" t="s">
        <v>341</v>
      </c>
      <c r="I14" s="493">
        <f>C$184</f>
        <v>124.20559999999999</v>
      </c>
      <c r="J14" s="493">
        <f t="shared" ref="J14:K14" si="14">D$184</f>
        <v>148.80099999999999</v>
      </c>
      <c r="K14" s="498">
        <f t="shared" si="14"/>
        <v>122.7991</v>
      </c>
    </row>
    <row r="15" spans="1:11" x14ac:dyDescent="0.25">
      <c r="A15" t="str">
        <f t="shared" si="11"/>
        <v>Bergen</v>
      </c>
      <c r="B15" s="489" t="s">
        <v>633</v>
      </c>
      <c r="C15" s="483">
        <v>74.436999999999998</v>
      </c>
      <c r="D15" s="483">
        <v>94</v>
      </c>
      <c r="E15" s="483">
        <f t="shared" si="9"/>
        <v>74.436999999999998</v>
      </c>
      <c r="H15" s="497" t="s">
        <v>342</v>
      </c>
      <c r="I15" s="493">
        <f>C$217</f>
        <v>50.040499999999994</v>
      </c>
      <c r="J15" s="493">
        <f t="shared" ref="J15:K15" si="15">D$217</f>
        <v>86.673899999999989</v>
      </c>
      <c r="K15" s="498">
        <f t="shared" si="15"/>
        <v>49.477800000000002</v>
      </c>
    </row>
    <row r="16" spans="1:11" x14ac:dyDescent="0.25">
      <c r="A16" t="str">
        <f t="shared" si="11"/>
        <v>Bergen</v>
      </c>
      <c r="B16" s="489" t="s">
        <v>634</v>
      </c>
      <c r="C16" s="483">
        <v>5.7999999999999996E-3</v>
      </c>
      <c r="D16" s="483">
        <v>3.3599999999999998E-2</v>
      </c>
      <c r="E16">
        <f t="shared" si="9"/>
        <v>0</v>
      </c>
      <c r="H16" s="497" t="s">
        <v>343</v>
      </c>
      <c r="I16" s="493">
        <f>C$271</f>
        <v>51.081999999999987</v>
      </c>
      <c r="J16" s="493">
        <f t="shared" ref="J16:K16" si="16">D$271</f>
        <v>72.808800000000048</v>
      </c>
      <c r="K16" s="498">
        <f t="shared" si="16"/>
        <v>41.436799999999998</v>
      </c>
    </row>
    <row r="17" spans="1:11" x14ac:dyDescent="0.25">
      <c r="A17" t="str">
        <f t="shared" si="11"/>
        <v>Bergen</v>
      </c>
      <c r="B17" s="489" t="s">
        <v>635</v>
      </c>
      <c r="C17" s="483">
        <v>6.7500000000000004E-2</v>
      </c>
      <c r="D17" s="483">
        <v>0.1137</v>
      </c>
      <c r="E17">
        <f t="shared" si="9"/>
        <v>0</v>
      </c>
      <c r="H17" s="497" t="s">
        <v>344</v>
      </c>
      <c r="I17" s="493">
        <f>C$281</f>
        <v>50.500700000000002</v>
      </c>
      <c r="J17" s="493">
        <f t="shared" ref="J17:K17" si="17">D$281</f>
        <v>84.133099999999999</v>
      </c>
      <c r="K17" s="498">
        <f t="shared" si="17"/>
        <v>50.423300000000005</v>
      </c>
    </row>
    <row r="18" spans="1:11" x14ac:dyDescent="0.25">
      <c r="A18" t="str">
        <f t="shared" si="11"/>
        <v>Bergen</v>
      </c>
      <c r="B18" s="489" t="s">
        <v>636</v>
      </c>
      <c r="C18" s="483">
        <v>1.5699999999999999E-2</v>
      </c>
      <c r="D18" s="483">
        <v>2.3E-2</v>
      </c>
      <c r="E18">
        <f t="shared" si="9"/>
        <v>0</v>
      </c>
      <c r="H18" s="497" t="s">
        <v>345</v>
      </c>
      <c r="I18" s="493">
        <f>C$301</f>
        <v>10.2677</v>
      </c>
      <c r="J18" s="493">
        <f t="shared" ref="J18:K18" si="18">D$301</f>
        <v>16.810199999999998</v>
      </c>
      <c r="K18" s="498">
        <f t="shared" si="18"/>
        <v>7.9916999999999998</v>
      </c>
    </row>
    <row r="19" spans="1:11" x14ac:dyDescent="0.25">
      <c r="A19" t="str">
        <f t="shared" si="11"/>
        <v>Bergen</v>
      </c>
      <c r="B19" s="489" t="s">
        <v>637</v>
      </c>
      <c r="C19" s="483">
        <v>2.3699999999999999E-2</v>
      </c>
      <c r="D19" s="483">
        <v>3.5000000000000003E-2</v>
      </c>
      <c r="E19">
        <f t="shared" si="9"/>
        <v>0</v>
      </c>
      <c r="H19" s="497" t="s">
        <v>346</v>
      </c>
      <c r="I19" s="493">
        <f>C$316</f>
        <v>3.6509</v>
      </c>
      <c r="J19" s="493">
        <f t="shared" ref="J19:K19" si="19">D$316</f>
        <v>6.1213000000000006</v>
      </c>
      <c r="K19" s="498">
        <f t="shared" si="19"/>
        <v>0</v>
      </c>
    </row>
    <row r="20" spans="1:11" x14ac:dyDescent="0.25">
      <c r="A20" t="str">
        <f t="shared" si="11"/>
        <v>Bergen</v>
      </c>
      <c r="B20" s="489" t="s">
        <v>638</v>
      </c>
      <c r="C20" s="483">
        <v>6.7999999999999996E-3</v>
      </c>
      <c r="D20" s="483">
        <v>0.01</v>
      </c>
      <c r="E20">
        <f t="shared" si="9"/>
        <v>0</v>
      </c>
      <c r="H20" s="691" t="s">
        <v>347</v>
      </c>
      <c r="I20" s="493">
        <f>C$346</f>
        <v>25.488699999999998</v>
      </c>
      <c r="J20" s="493">
        <f>D$346</f>
        <v>31.444099999999995</v>
      </c>
      <c r="K20" s="498">
        <f>E$346</f>
        <v>19.635000000000002</v>
      </c>
    </row>
    <row r="21" spans="1:11" x14ac:dyDescent="0.25">
      <c r="A21" t="str">
        <f t="shared" si="11"/>
        <v>Bergen</v>
      </c>
      <c r="B21" s="489" t="s">
        <v>639</v>
      </c>
      <c r="C21" s="483">
        <v>8.0000000000000004E-4</v>
      </c>
      <c r="D21" s="483">
        <v>2E-3</v>
      </c>
      <c r="E21">
        <f t="shared" si="9"/>
        <v>0</v>
      </c>
      <c r="H21" s="497" t="s">
        <v>348</v>
      </c>
      <c r="I21" s="493">
        <f>C$375</f>
        <v>3.1802000000000001</v>
      </c>
      <c r="J21" s="493">
        <f t="shared" ref="J21:K21" si="20">D$375</f>
        <v>5.0152999999999999</v>
      </c>
      <c r="K21" s="498">
        <f t="shared" si="20"/>
        <v>0</v>
      </c>
    </row>
    <row r="22" spans="1:11" x14ac:dyDescent="0.25">
      <c r="A22" t="str">
        <f t="shared" si="11"/>
        <v>Bergen</v>
      </c>
      <c r="B22" s="489" t="s">
        <v>640</v>
      </c>
      <c r="C22" s="483">
        <v>1.2999999999999999E-3</v>
      </c>
      <c r="D22" s="483">
        <v>1.9E-3</v>
      </c>
      <c r="E22">
        <f t="shared" si="9"/>
        <v>0</v>
      </c>
      <c r="H22" s="497" t="s">
        <v>349</v>
      </c>
      <c r="I22" s="493">
        <f>C$382</f>
        <v>105.09629999999999</v>
      </c>
      <c r="J22" s="493">
        <f t="shared" ref="J22:K22" si="21">D$382</f>
        <v>146.6</v>
      </c>
      <c r="K22" s="498">
        <f t="shared" si="21"/>
        <v>103.05600000000001</v>
      </c>
    </row>
    <row r="23" spans="1:11" ht="13.8" thickBot="1" x14ac:dyDescent="0.3">
      <c r="A23" t="str">
        <f t="shared" si="11"/>
        <v>Bergen</v>
      </c>
      <c r="B23" s="489" t="s">
        <v>641</v>
      </c>
      <c r="C23" s="483">
        <v>2.3900000000000001E-2</v>
      </c>
      <c r="D23" s="483">
        <v>0.03</v>
      </c>
      <c r="E23">
        <f t="shared" si="9"/>
        <v>0</v>
      </c>
      <c r="H23" s="499" t="s">
        <v>350</v>
      </c>
      <c r="I23" s="500">
        <f>C$403</f>
        <v>3.9751000000000003</v>
      </c>
      <c r="J23" s="500">
        <f t="shared" ref="J23:K23" si="22">D$403</f>
        <v>6.9799999999999995</v>
      </c>
      <c r="K23" s="501">
        <f t="shared" si="22"/>
        <v>2.2200000000000002</v>
      </c>
    </row>
    <row r="24" spans="1:11" x14ac:dyDescent="0.25">
      <c r="A24" t="str">
        <f t="shared" si="11"/>
        <v>Bergen</v>
      </c>
      <c r="B24" s="489" t="s">
        <v>642</v>
      </c>
      <c r="C24" s="483">
        <v>2.4887999999999999</v>
      </c>
      <c r="D24" s="483">
        <v>5</v>
      </c>
      <c r="E24">
        <f t="shared" si="9"/>
        <v>2.4887999999999999</v>
      </c>
    </row>
    <row r="25" spans="1:11" x14ac:dyDescent="0.25">
      <c r="A25" t="str">
        <f t="shared" si="11"/>
        <v>Bergen</v>
      </c>
      <c r="B25" s="489" t="s">
        <v>643</v>
      </c>
      <c r="C25" s="483">
        <v>10.0992</v>
      </c>
      <c r="D25" s="490">
        <v>16.8</v>
      </c>
      <c r="E25">
        <f t="shared" si="9"/>
        <v>10.0992</v>
      </c>
    </row>
    <row r="26" spans="1:11" x14ac:dyDescent="0.25">
      <c r="A26" s="484" t="s">
        <v>409</v>
      </c>
      <c r="C26" s="485">
        <f>SUM(C10:C25)</f>
        <v>91.11039999999997</v>
      </c>
      <c r="D26" s="485">
        <f>SUM(D10:D25)</f>
        <v>122.1143</v>
      </c>
      <c r="E26" s="484">
        <f>SUM(E10:E25)</f>
        <v>90.942399999999992</v>
      </c>
    </row>
    <row r="28" spans="1:11" x14ac:dyDescent="0.25">
      <c r="A28" s="384" t="s">
        <v>328</v>
      </c>
      <c r="B28" s="489" t="s">
        <v>645</v>
      </c>
      <c r="C28" s="483">
        <v>7.1000000000000004E-3</v>
      </c>
      <c r="D28" s="490">
        <v>2.5000000000000001E-2</v>
      </c>
      <c r="E28">
        <f>IF(C28&lt;2,0,C28)</f>
        <v>0</v>
      </c>
    </row>
    <row r="29" spans="1:11" x14ac:dyDescent="0.25">
      <c r="A29" s="384" t="s">
        <v>328</v>
      </c>
      <c r="B29" s="489" t="s">
        <v>646</v>
      </c>
      <c r="C29" s="483">
        <v>0.40279999999999999</v>
      </c>
      <c r="D29" s="490">
        <v>1</v>
      </c>
      <c r="E29">
        <f t="shared" ref="E29:E70" si="23">IF(C29&lt;2,0,C29)</f>
        <v>0</v>
      </c>
    </row>
    <row r="30" spans="1:11" x14ac:dyDescent="0.25">
      <c r="A30" s="384" t="s">
        <v>328</v>
      </c>
      <c r="B30" s="489" t="s">
        <v>777</v>
      </c>
      <c r="C30" s="483">
        <v>1.7643</v>
      </c>
      <c r="D30" s="490">
        <v>3</v>
      </c>
      <c r="E30">
        <f t="shared" si="23"/>
        <v>0</v>
      </c>
    </row>
    <row r="31" spans="1:11" x14ac:dyDescent="0.25">
      <c r="A31" s="384" t="s">
        <v>328</v>
      </c>
      <c r="B31" s="489" t="s">
        <v>647</v>
      </c>
      <c r="C31" s="483">
        <v>0.53649999999999998</v>
      </c>
      <c r="D31" s="490">
        <v>0.76900000000000002</v>
      </c>
      <c r="E31">
        <f t="shared" si="23"/>
        <v>0</v>
      </c>
    </row>
    <row r="32" spans="1:11" x14ac:dyDescent="0.25">
      <c r="A32" s="384" t="s">
        <v>328</v>
      </c>
      <c r="B32" s="489" t="s">
        <v>648</v>
      </c>
      <c r="C32" s="483">
        <v>1.8122</v>
      </c>
      <c r="D32" s="490">
        <v>2.7</v>
      </c>
      <c r="E32">
        <f t="shared" si="23"/>
        <v>0</v>
      </c>
    </row>
    <row r="33" spans="1:5" x14ac:dyDescent="0.25">
      <c r="A33" s="384" t="s">
        <v>328</v>
      </c>
      <c r="B33" s="489" t="s">
        <v>649</v>
      </c>
      <c r="C33" s="483">
        <v>2.121</v>
      </c>
      <c r="D33" s="490">
        <v>3.65</v>
      </c>
      <c r="E33">
        <f t="shared" si="23"/>
        <v>2.121</v>
      </c>
    </row>
    <row r="34" spans="1:5" x14ac:dyDescent="0.25">
      <c r="A34" s="384" t="s">
        <v>328</v>
      </c>
      <c r="B34" s="489" t="s">
        <v>650</v>
      </c>
      <c r="C34" s="483">
        <v>3.0000000000000001E-3</v>
      </c>
      <c r="D34" s="490">
        <v>0.01</v>
      </c>
      <c r="E34">
        <f t="shared" si="23"/>
        <v>0</v>
      </c>
    </row>
    <row r="35" spans="1:5" x14ac:dyDescent="0.25">
      <c r="A35" s="384" t="s">
        <v>328</v>
      </c>
      <c r="B35" s="489" t="s">
        <v>679</v>
      </c>
      <c r="C35" s="483">
        <v>1.0187999999999999</v>
      </c>
      <c r="D35" s="490">
        <v>2</v>
      </c>
      <c r="E35">
        <f t="shared" si="23"/>
        <v>0</v>
      </c>
    </row>
    <row r="36" spans="1:5" x14ac:dyDescent="0.25">
      <c r="A36" s="384" t="s">
        <v>328</v>
      </c>
      <c r="B36" s="489" t="s">
        <v>651</v>
      </c>
      <c r="C36" s="483">
        <v>1.8458000000000001</v>
      </c>
      <c r="D36" s="490">
        <v>2.5</v>
      </c>
      <c r="E36">
        <f t="shared" si="23"/>
        <v>0</v>
      </c>
    </row>
    <row r="37" spans="1:5" x14ac:dyDescent="0.25">
      <c r="A37" s="384" t="s">
        <v>328</v>
      </c>
      <c r="B37" s="489" t="s">
        <v>652</v>
      </c>
      <c r="C37" s="483">
        <v>1.9517</v>
      </c>
      <c r="D37" s="490">
        <v>2.9780000000000002</v>
      </c>
      <c r="E37">
        <f t="shared" si="23"/>
        <v>0</v>
      </c>
    </row>
    <row r="38" spans="1:5" x14ac:dyDescent="0.25">
      <c r="A38" s="384" t="s">
        <v>328</v>
      </c>
      <c r="B38" s="489" t="s">
        <v>653</v>
      </c>
      <c r="C38" s="483">
        <v>1.0969</v>
      </c>
      <c r="D38" s="490">
        <v>1.7</v>
      </c>
      <c r="E38">
        <f t="shared" si="23"/>
        <v>0</v>
      </c>
    </row>
    <row r="39" spans="1:5" x14ac:dyDescent="0.25">
      <c r="A39" s="384" t="s">
        <v>328</v>
      </c>
      <c r="B39" s="489" t="s">
        <v>654</v>
      </c>
      <c r="C39" s="483">
        <v>0.38240000000000002</v>
      </c>
      <c r="D39" s="490">
        <v>0.6</v>
      </c>
      <c r="E39">
        <f t="shared" si="23"/>
        <v>0</v>
      </c>
    </row>
    <row r="40" spans="1:5" x14ac:dyDescent="0.25">
      <c r="A40" s="384" t="s">
        <v>328</v>
      </c>
      <c r="B40" s="489" t="s">
        <v>655</v>
      </c>
      <c r="C40" s="483">
        <v>5.2299999999999999E-2</v>
      </c>
      <c r="D40" s="490">
        <v>0.1</v>
      </c>
      <c r="E40">
        <f>IF(C40&lt;2,0,C40)</f>
        <v>0</v>
      </c>
    </row>
    <row r="41" spans="1:5" x14ac:dyDescent="0.25">
      <c r="A41" s="384" t="s">
        <v>328</v>
      </c>
      <c r="B41" s="489" t="s">
        <v>656</v>
      </c>
      <c r="C41" s="483">
        <v>1.3041</v>
      </c>
      <c r="D41" s="490">
        <v>2.5</v>
      </c>
      <c r="E41">
        <f t="shared" si="23"/>
        <v>0</v>
      </c>
    </row>
    <row r="42" spans="1:5" x14ac:dyDescent="0.25">
      <c r="A42" s="384" t="s">
        <v>328</v>
      </c>
      <c r="B42" s="489" t="s">
        <v>657</v>
      </c>
      <c r="C42" s="483">
        <v>0.18890000000000001</v>
      </c>
      <c r="D42" s="490">
        <v>0.32400000000000001</v>
      </c>
      <c r="E42">
        <f t="shared" si="23"/>
        <v>0</v>
      </c>
    </row>
    <row r="43" spans="1:5" x14ac:dyDescent="0.25">
      <c r="A43" s="384" t="s">
        <v>328</v>
      </c>
      <c r="B43" s="489" t="s">
        <v>658</v>
      </c>
      <c r="C43" s="483">
        <v>0.19500000000000001</v>
      </c>
      <c r="D43" s="490">
        <v>0.25</v>
      </c>
      <c r="E43">
        <f t="shared" si="23"/>
        <v>0</v>
      </c>
    </row>
    <row r="44" spans="1:5" x14ac:dyDescent="0.25">
      <c r="A44" s="384" t="s">
        <v>328</v>
      </c>
      <c r="B44" s="489" t="s">
        <v>778</v>
      </c>
      <c r="C44" s="483">
        <v>5.3E-3</v>
      </c>
      <c r="D44" s="490">
        <v>8.0999999999999996E-3</v>
      </c>
      <c r="E44">
        <f t="shared" si="23"/>
        <v>0</v>
      </c>
    </row>
    <row r="45" spans="1:5" x14ac:dyDescent="0.25">
      <c r="A45" s="384" t="s">
        <v>328</v>
      </c>
      <c r="B45" s="489" t="s">
        <v>659</v>
      </c>
      <c r="C45" s="483">
        <v>2.3675000000000002</v>
      </c>
      <c r="D45" s="490">
        <v>3.4</v>
      </c>
      <c r="E45">
        <f t="shared" si="23"/>
        <v>2.3675000000000002</v>
      </c>
    </row>
    <row r="46" spans="1:5" x14ac:dyDescent="0.25">
      <c r="A46" s="384" t="s">
        <v>328</v>
      </c>
      <c r="B46" s="489" t="s">
        <v>660</v>
      </c>
      <c r="C46" s="483">
        <v>0.34839999999999999</v>
      </c>
      <c r="D46" s="490">
        <v>0.55000000000000004</v>
      </c>
      <c r="E46">
        <f t="shared" si="23"/>
        <v>0</v>
      </c>
    </row>
    <row r="47" spans="1:5" x14ac:dyDescent="0.25">
      <c r="A47" s="384" t="s">
        <v>328</v>
      </c>
      <c r="B47" s="489" t="s">
        <v>661</v>
      </c>
      <c r="C47" s="483">
        <v>1.3</v>
      </c>
      <c r="D47" s="490">
        <v>1.75</v>
      </c>
      <c r="E47">
        <f t="shared" si="23"/>
        <v>0</v>
      </c>
    </row>
    <row r="48" spans="1:5" x14ac:dyDescent="0.25">
      <c r="A48" s="384" t="s">
        <v>328</v>
      </c>
      <c r="B48" s="489" t="s">
        <v>680</v>
      </c>
      <c r="C48" s="483">
        <v>2.2483</v>
      </c>
      <c r="D48" s="490">
        <v>3.88</v>
      </c>
      <c r="E48">
        <f t="shared" si="23"/>
        <v>2.2483</v>
      </c>
    </row>
    <row r="49" spans="1:5" x14ac:dyDescent="0.25">
      <c r="A49" s="384" t="s">
        <v>328</v>
      </c>
      <c r="B49" s="489" t="s">
        <v>662</v>
      </c>
      <c r="C49" s="483">
        <v>3.2951999999999999</v>
      </c>
      <c r="D49" s="490">
        <v>7.6749999999999998</v>
      </c>
      <c r="E49">
        <f t="shared" si="23"/>
        <v>3.2951999999999999</v>
      </c>
    </row>
    <row r="50" spans="1:5" x14ac:dyDescent="0.25">
      <c r="A50" s="384" t="s">
        <v>328</v>
      </c>
      <c r="B50" s="489" t="s">
        <v>681</v>
      </c>
      <c r="C50" s="483">
        <v>4.2812000000000001</v>
      </c>
      <c r="D50" s="490">
        <v>6</v>
      </c>
      <c r="E50">
        <f t="shared" si="23"/>
        <v>4.2812000000000001</v>
      </c>
    </row>
    <row r="51" spans="1:5" x14ac:dyDescent="0.25">
      <c r="A51" s="384" t="s">
        <v>328</v>
      </c>
      <c r="B51" s="489" t="s">
        <v>682</v>
      </c>
      <c r="C51" s="483">
        <v>6.1999999999999998E-3</v>
      </c>
      <c r="D51" s="490">
        <v>8.8999999999999999E-3</v>
      </c>
      <c r="E51">
        <f t="shared" si="23"/>
        <v>0</v>
      </c>
    </row>
    <row r="52" spans="1:5" x14ac:dyDescent="0.25">
      <c r="A52" s="384" t="s">
        <v>328</v>
      </c>
      <c r="B52" s="489" t="s">
        <v>683</v>
      </c>
      <c r="C52" s="483">
        <v>9.9000000000000008E-3</v>
      </c>
      <c r="D52" s="490">
        <v>0.02</v>
      </c>
      <c r="E52">
        <f t="shared" si="23"/>
        <v>0</v>
      </c>
    </row>
    <row r="53" spans="1:5" x14ac:dyDescent="0.25">
      <c r="A53" s="384" t="s">
        <v>328</v>
      </c>
      <c r="B53" s="489" t="s">
        <v>684</v>
      </c>
      <c r="C53" s="483">
        <v>8.0000000000000002E-3</v>
      </c>
      <c r="D53" s="490">
        <v>3.2000000000000001E-2</v>
      </c>
      <c r="E53">
        <f t="shared" si="23"/>
        <v>0</v>
      </c>
    </row>
    <row r="54" spans="1:5" x14ac:dyDescent="0.25">
      <c r="A54" s="384" t="s">
        <v>328</v>
      </c>
      <c r="B54" s="489" t="s">
        <v>663</v>
      </c>
      <c r="C54" s="483">
        <v>3.2199999999999999E-2</v>
      </c>
      <c r="D54" s="490">
        <v>3.7999999999999999E-2</v>
      </c>
      <c r="E54">
        <f t="shared" si="23"/>
        <v>0</v>
      </c>
    </row>
    <row r="55" spans="1:5" x14ac:dyDescent="0.25">
      <c r="A55" s="384" t="s">
        <v>328</v>
      </c>
      <c r="B55" s="489" t="s">
        <v>664</v>
      </c>
      <c r="C55" s="483">
        <v>8.3000000000000001E-3</v>
      </c>
      <c r="D55" s="490">
        <v>1.5900000000000001E-2</v>
      </c>
      <c r="E55">
        <f t="shared" si="23"/>
        <v>0</v>
      </c>
    </row>
    <row r="56" spans="1:5" x14ac:dyDescent="0.25">
      <c r="A56" s="384" t="s">
        <v>328</v>
      </c>
      <c r="B56" s="489" t="s">
        <v>665</v>
      </c>
      <c r="C56" s="483">
        <v>0.43280000000000002</v>
      </c>
      <c r="D56" s="490">
        <v>1.05</v>
      </c>
      <c r="E56">
        <f t="shared" si="23"/>
        <v>0</v>
      </c>
    </row>
    <row r="57" spans="1:5" x14ac:dyDescent="0.25">
      <c r="A57" s="384" t="s">
        <v>328</v>
      </c>
      <c r="B57" s="489" t="s">
        <v>666</v>
      </c>
      <c r="C57" s="483">
        <v>5.7999999999999996E-3</v>
      </c>
      <c r="D57" s="490">
        <v>0.05</v>
      </c>
      <c r="E57">
        <f t="shared" si="23"/>
        <v>0</v>
      </c>
    </row>
    <row r="58" spans="1:5" x14ac:dyDescent="0.25">
      <c r="A58" s="384" t="s">
        <v>328</v>
      </c>
      <c r="B58" s="489" t="s">
        <v>667</v>
      </c>
      <c r="C58" s="483">
        <v>1.6534</v>
      </c>
      <c r="D58" s="490">
        <v>2.5</v>
      </c>
      <c r="E58">
        <f t="shared" si="23"/>
        <v>0</v>
      </c>
    </row>
    <row r="59" spans="1:5" x14ac:dyDescent="0.25">
      <c r="A59" s="384" t="s">
        <v>328</v>
      </c>
      <c r="B59" s="489" t="s">
        <v>668</v>
      </c>
      <c r="C59" s="483">
        <v>2.3359999999999999</v>
      </c>
      <c r="D59" s="490">
        <v>4.5999999999999996</v>
      </c>
      <c r="E59">
        <f t="shared" si="23"/>
        <v>2.3359999999999999</v>
      </c>
    </row>
    <row r="60" spans="1:5" x14ac:dyDescent="0.25">
      <c r="A60" s="384" t="s">
        <v>328</v>
      </c>
      <c r="B60" s="489" t="s">
        <v>669</v>
      </c>
      <c r="C60" s="483">
        <v>0.7</v>
      </c>
      <c r="D60" s="490">
        <v>1</v>
      </c>
      <c r="E60">
        <f t="shared" si="23"/>
        <v>0</v>
      </c>
    </row>
    <row r="61" spans="1:5" x14ac:dyDescent="0.25">
      <c r="A61" s="384" t="s">
        <v>328</v>
      </c>
      <c r="B61" s="489" t="s">
        <v>670</v>
      </c>
      <c r="C61" s="483">
        <v>0.14599999999999999</v>
      </c>
      <c r="D61" s="490">
        <v>0.22</v>
      </c>
      <c r="E61">
        <f t="shared" si="23"/>
        <v>0</v>
      </c>
    </row>
    <row r="62" spans="1:5" x14ac:dyDescent="0.25">
      <c r="A62" s="384" t="s">
        <v>328</v>
      </c>
      <c r="B62" s="489" t="s">
        <v>671</v>
      </c>
      <c r="C62" s="483">
        <v>3.9899999999999998E-2</v>
      </c>
      <c r="D62" s="490">
        <v>0.06</v>
      </c>
      <c r="E62">
        <f t="shared" si="23"/>
        <v>0</v>
      </c>
    </row>
    <row r="63" spans="1:5" x14ac:dyDescent="0.25">
      <c r="A63" s="384" t="s">
        <v>328</v>
      </c>
      <c r="B63" s="489" t="s">
        <v>672</v>
      </c>
      <c r="C63" s="483">
        <v>0.2828</v>
      </c>
      <c r="D63" s="490">
        <v>0.5</v>
      </c>
      <c r="E63">
        <f t="shared" si="23"/>
        <v>0</v>
      </c>
    </row>
    <row r="64" spans="1:5" x14ac:dyDescent="0.25">
      <c r="A64" s="384" t="s">
        <v>328</v>
      </c>
      <c r="B64" s="489" t="s">
        <v>673</v>
      </c>
      <c r="C64" s="483">
        <v>1E-3</v>
      </c>
      <c r="D64" s="490">
        <v>7.4999999999999997E-3</v>
      </c>
      <c r="E64">
        <f t="shared" si="23"/>
        <v>0</v>
      </c>
    </row>
    <row r="65" spans="1:5" x14ac:dyDescent="0.25">
      <c r="A65" s="384" t="s">
        <v>328</v>
      </c>
      <c r="B65" s="489" t="s">
        <v>674</v>
      </c>
      <c r="C65" s="483">
        <v>1.2999999999999999E-3</v>
      </c>
      <c r="D65" s="490">
        <v>2.8000000000000001E-2</v>
      </c>
      <c r="E65">
        <f t="shared" si="23"/>
        <v>0</v>
      </c>
    </row>
    <row r="66" spans="1:5" x14ac:dyDescent="0.25">
      <c r="A66" s="384" t="s">
        <v>328</v>
      </c>
      <c r="B66" s="489" t="s">
        <v>779</v>
      </c>
      <c r="C66" s="483">
        <v>5.5999999999999999E-3</v>
      </c>
      <c r="D66" s="490">
        <v>0.03</v>
      </c>
      <c r="E66">
        <f t="shared" si="23"/>
        <v>0</v>
      </c>
    </row>
    <row r="67" spans="1:5" x14ac:dyDescent="0.25">
      <c r="A67" s="384" t="s">
        <v>328</v>
      </c>
      <c r="B67" s="489" t="s">
        <v>675</v>
      </c>
      <c r="C67" s="483">
        <v>1.6999999999999999E-3</v>
      </c>
      <c r="D67" s="490">
        <v>6.3E-3</v>
      </c>
      <c r="E67">
        <f t="shared" si="23"/>
        <v>0</v>
      </c>
    </row>
    <row r="68" spans="1:5" x14ac:dyDescent="0.25">
      <c r="A68" s="384" t="s">
        <v>328</v>
      </c>
      <c r="B68" s="489" t="s">
        <v>676</v>
      </c>
      <c r="C68" s="483">
        <v>3.6253000000000002</v>
      </c>
      <c r="D68" s="490">
        <v>5.22</v>
      </c>
      <c r="E68">
        <f t="shared" si="23"/>
        <v>3.6253000000000002</v>
      </c>
    </row>
    <row r="69" spans="1:5" x14ac:dyDescent="0.25">
      <c r="A69" s="384" t="s">
        <v>328</v>
      </c>
      <c r="B69" s="489" t="s">
        <v>677</v>
      </c>
      <c r="C69" s="483">
        <v>7.8700000000000006E-2</v>
      </c>
      <c r="D69" s="490">
        <v>0.2</v>
      </c>
      <c r="E69">
        <f t="shared" si="23"/>
        <v>0</v>
      </c>
    </row>
    <row r="70" spans="1:5" x14ac:dyDescent="0.25">
      <c r="A70" s="384" t="s">
        <v>328</v>
      </c>
      <c r="B70" s="489" t="s">
        <v>678</v>
      </c>
      <c r="C70" s="483">
        <v>9.2299999999999993E-2</v>
      </c>
      <c r="D70" s="490">
        <v>0.33700000000000002</v>
      </c>
      <c r="E70">
        <f t="shared" si="23"/>
        <v>0</v>
      </c>
    </row>
    <row r="71" spans="1:5" x14ac:dyDescent="0.25">
      <c r="A71" s="484" t="s">
        <v>409</v>
      </c>
      <c r="C71" s="485">
        <f>SUM(C28:C70)</f>
        <v>37.995900000000013</v>
      </c>
      <c r="D71" s="485">
        <f t="shared" ref="D71:E71" si="24">SUM(D28:D70)</f>
        <v>63.292700000000004</v>
      </c>
      <c r="E71" s="485">
        <f t="shared" si="24"/>
        <v>20.2745</v>
      </c>
    </row>
    <row r="73" spans="1:5" x14ac:dyDescent="0.25">
      <c r="A73" s="384" t="s">
        <v>331</v>
      </c>
      <c r="B73" s="489" t="s">
        <v>685</v>
      </c>
      <c r="C73" s="483">
        <v>54.125</v>
      </c>
      <c r="D73" s="490">
        <v>80</v>
      </c>
      <c r="E73">
        <f>IF(C73&lt;2,0,C73)</f>
        <v>54.125</v>
      </c>
    </row>
    <row r="74" spans="1:5" x14ac:dyDescent="0.25">
      <c r="A74" s="384" t="s">
        <v>331</v>
      </c>
      <c r="B74" s="489" t="s">
        <v>983</v>
      </c>
      <c r="C74" s="483">
        <v>0.252</v>
      </c>
      <c r="D74" s="490">
        <v>0.23899999999999999</v>
      </c>
      <c r="E74">
        <f t="shared" ref="E74:E77" si="25">IF(C74&lt;2,0,C74)</f>
        <v>0</v>
      </c>
    </row>
    <row r="75" spans="1:5" x14ac:dyDescent="0.25">
      <c r="A75" s="384" t="s">
        <v>331</v>
      </c>
      <c r="B75" s="489" t="s">
        <v>686</v>
      </c>
      <c r="C75" s="483">
        <v>1.77E-2</v>
      </c>
      <c r="D75" s="490">
        <v>5.8000000000000003E-2</v>
      </c>
      <c r="E75">
        <f t="shared" si="25"/>
        <v>0</v>
      </c>
    </row>
    <row r="76" spans="1:5" x14ac:dyDescent="0.25">
      <c r="A76" s="384" t="s">
        <v>331</v>
      </c>
      <c r="B76" s="489" t="s">
        <v>687</v>
      </c>
      <c r="C76" s="483">
        <v>1.8416999999999999</v>
      </c>
      <c r="D76" s="490">
        <v>2.25</v>
      </c>
      <c r="E76">
        <f t="shared" si="25"/>
        <v>0</v>
      </c>
    </row>
    <row r="77" spans="1:5" x14ac:dyDescent="0.25">
      <c r="A77" s="384" t="s">
        <v>331</v>
      </c>
      <c r="B77" s="489" t="s">
        <v>688</v>
      </c>
      <c r="C77" s="483">
        <v>2E-3</v>
      </c>
      <c r="D77" s="490">
        <v>8.3999999999999995E-3</v>
      </c>
      <c r="E77">
        <f t="shared" si="25"/>
        <v>0</v>
      </c>
    </row>
    <row r="78" spans="1:5" x14ac:dyDescent="0.25">
      <c r="A78" s="484" t="s">
        <v>409</v>
      </c>
      <c r="C78" s="491">
        <f>SUM(C73:C77)</f>
        <v>56.238400000000006</v>
      </c>
      <c r="D78" s="491">
        <f t="shared" ref="D78:E78" si="26">SUM(D73:D77)</f>
        <v>82.555400000000006</v>
      </c>
      <c r="E78" s="491">
        <f t="shared" si="26"/>
        <v>54.125</v>
      </c>
    </row>
    <row r="80" spans="1:5" x14ac:dyDescent="0.25">
      <c r="A80" s="384" t="s">
        <v>333</v>
      </c>
      <c r="B80" s="489" t="s">
        <v>689</v>
      </c>
      <c r="C80" s="483">
        <v>3.36</v>
      </c>
      <c r="D80" s="490">
        <v>7.67</v>
      </c>
      <c r="E80">
        <f>IF(C80&lt;2,0,C80)</f>
        <v>3.36</v>
      </c>
    </row>
    <row r="81" spans="1:5" x14ac:dyDescent="0.25">
      <c r="A81" s="384" t="s">
        <v>333</v>
      </c>
      <c r="B81" s="489" t="s">
        <v>690</v>
      </c>
      <c r="C81" s="483">
        <v>1.15E-2</v>
      </c>
      <c r="D81" s="490">
        <v>6.1899999999999997E-2</v>
      </c>
      <c r="E81">
        <f t="shared" ref="E81:E92" si="27">IF(C81&lt;2,0,C81)</f>
        <v>0</v>
      </c>
    </row>
    <row r="82" spans="1:5" x14ac:dyDescent="0.25">
      <c r="A82" s="384" t="s">
        <v>333</v>
      </c>
      <c r="B82" s="489" t="s">
        <v>691</v>
      </c>
      <c r="C82" s="483">
        <v>1.8808</v>
      </c>
      <c r="D82" s="490">
        <v>4</v>
      </c>
      <c r="E82">
        <f t="shared" si="27"/>
        <v>0</v>
      </c>
    </row>
    <row r="83" spans="1:5" x14ac:dyDescent="0.25">
      <c r="A83" s="384" t="s">
        <v>333</v>
      </c>
      <c r="B83" s="489" t="s">
        <v>692</v>
      </c>
      <c r="C83" s="483">
        <v>1.25</v>
      </c>
      <c r="D83" s="490">
        <v>3</v>
      </c>
      <c r="E83">
        <f t="shared" si="27"/>
        <v>0</v>
      </c>
    </row>
    <row r="84" spans="1:5" x14ac:dyDescent="0.25">
      <c r="A84" s="384" t="s">
        <v>333</v>
      </c>
      <c r="B84" s="489" t="s">
        <v>780</v>
      </c>
      <c r="C84" s="483">
        <v>8.6449999999999996</v>
      </c>
      <c r="D84" s="490">
        <v>14.18</v>
      </c>
      <c r="E84">
        <f t="shared" si="27"/>
        <v>8.6449999999999996</v>
      </c>
    </row>
    <row r="85" spans="1:5" x14ac:dyDescent="0.25">
      <c r="A85" s="384" t="s">
        <v>333</v>
      </c>
      <c r="B85" s="489" t="s">
        <v>693</v>
      </c>
      <c r="C85" s="483">
        <v>2.1999999999999999E-2</v>
      </c>
      <c r="D85" s="490">
        <v>6.7199999999999996E-2</v>
      </c>
      <c r="E85">
        <f t="shared" si="27"/>
        <v>0</v>
      </c>
    </row>
    <row r="86" spans="1:5" ht="13.5" customHeight="1" x14ac:dyDescent="0.25">
      <c r="A86" s="384" t="s">
        <v>333</v>
      </c>
      <c r="B86" s="489" t="s">
        <v>694</v>
      </c>
      <c r="C86" s="483">
        <v>3.2</v>
      </c>
      <c r="D86" s="490">
        <v>8.24</v>
      </c>
      <c r="E86">
        <f t="shared" si="27"/>
        <v>3.2</v>
      </c>
    </row>
    <row r="87" spans="1:5" x14ac:dyDescent="0.25">
      <c r="A87" s="384" t="s">
        <v>333</v>
      </c>
      <c r="B87" s="489" t="s">
        <v>695</v>
      </c>
      <c r="C87" s="483">
        <v>8.8000000000000005E-3</v>
      </c>
      <c r="D87" s="490">
        <v>1.66E-2</v>
      </c>
      <c r="E87">
        <f t="shared" si="27"/>
        <v>0</v>
      </c>
    </row>
    <row r="88" spans="1:5" x14ac:dyDescent="0.25">
      <c r="A88" s="384" t="s">
        <v>333</v>
      </c>
      <c r="B88" s="489" t="s">
        <v>696</v>
      </c>
      <c r="C88" s="483">
        <v>8.5000000000000006E-3</v>
      </c>
      <c r="D88" s="490">
        <v>1.6E-2</v>
      </c>
      <c r="E88">
        <f t="shared" si="27"/>
        <v>0</v>
      </c>
    </row>
    <row r="89" spans="1:5" x14ac:dyDescent="0.25">
      <c r="A89" s="384" t="s">
        <v>333</v>
      </c>
      <c r="B89" s="489" t="s">
        <v>697</v>
      </c>
      <c r="C89" s="483">
        <v>1.26E-2</v>
      </c>
      <c r="D89" s="490">
        <v>2.53E-2</v>
      </c>
      <c r="E89">
        <f t="shared" si="27"/>
        <v>0</v>
      </c>
    </row>
    <row r="90" spans="1:5" x14ac:dyDescent="0.25">
      <c r="A90" s="384" t="s">
        <v>333</v>
      </c>
      <c r="B90" s="489" t="s">
        <v>698</v>
      </c>
      <c r="C90" s="483">
        <v>4.0000000000000001E-3</v>
      </c>
      <c r="D90" s="490">
        <v>1.4200000000000001E-2</v>
      </c>
      <c r="E90">
        <f t="shared" si="27"/>
        <v>0</v>
      </c>
    </row>
    <row r="91" spans="1:5" x14ac:dyDescent="0.25">
      <c r="A91" s="384" t="s">
        <v>333</v>
      </c>
      <c r="B91" s="489" t="s">
        <v>699</v>
      </c>
      <c r="C91" s="483">
        <v>3.2000000000000002E-3</v>
      </c>
      <c r="D91" s="490">
        <v>1.9099999999999999E-2</v>
      </c>
      <c r="E91">
        <f t="shared" si="27"/>
        <v>0</v>
      </c>
    </row>
    <row r="92" spans="1:5" x14ac:dyDescent="0.25">
      <c r="A92" s="384" t="s">
        <v>333</v>
      </c>
      <c r="B92" s="489" t="s">
        <v>700</v>
      </c>
      <c r="C92" s="483">
        <v>6.9000000000000006E-2</v>
      </c>
      <c r="D92" s="490">
        <v>0.16</v>
      </c>
      <c r="E92">
        <f t="shared" si="27"/>
        <v>0</v>
      </c>
    </row>
    <row r="93" spans="1:5" x14ac:dyDescent="0.25">
      <c r="A93" s="484" t="s">
        <v>409</v>
      </c>
      <c r="C93" s="485">
        <f>SUM(C80:C92)</f>
        <v>18.4754</v>
      </c>
      <c r="D93" s="485">
        <f t="shared" ref="D93:E93" si="28">SUM(D80:D92)</f>
        <v>37.470299999999995</v>
      </c>
      <c r="E93" s="485">
        <f t="shared" si="28"/>
        <v>15.204999999999998</v>
      </c>
    </row>
    <row r="94" spans="1:5" x14ac:dyDescent="0.25">
      <c r="A94" s="384"/>
    </row>
    <row r="95" spans="1:5" x14ac:dyDescent="0.25">
      <c r="A95" s="384" t="s">
        <v>335</v>
      </c>
      <c r="B95" s="489" t="s">
        <v>701</v>
      </c>
      <c r="C95" s="483">
        <v>3.2315999999999998</v>
      </c>
      <c r="D95" s="490">
        <v>7</v>
      </c>
      <c r="E95">
        <f>IF(C95&lt;2,0,C95)</f>
        <v>3.2315999999999998</v>
      </c>
    </row>
    <row r="96" spans="1:5" x14ac:dyDescent="0.25">
      <c r="A96" s="384" t="s">
        <v>335</v>
      </c>
      <c r="B96" s="489" t="s">
        <v>702</v>
      </c>
      <c r="C96" s="483">
        <v>6.9999999999999999E-4</v>
      </c>
      <c r="D96" s="490">
        <v>8.0999999999999996E-3</v>
      </c>
      <c r="E96">
        <f t="shared" ref="E96:E99" si="29">IF(C96&lt;2,0,C96)</f>
        <v>0</v>
      </c>
    </row>
    <row r="97" spans="1:5" x14ac:dyDescent="0.25">
      <c r="A97" s="384" t="s">
        <v>335</v>
      </c>
      <c r="B97" s="489" t="s">
        <v>703</v>
      </c>
      <c r="C97" s="483">
        <v>0.71730000000000005</v>
      </c>
      <c r="D97" s="490">
        <v>0.61</v>
      </c>
      <c r="E97">
        <f t="shared" si="29"/>
        <v>0</v>
      </c>
    </row>
    <row r="98" spans="1:5" x14ac:dyDescent="0.25">
      <c r="A98" s="384" t="s">
        <v>335</v>
      </c>
      <c r="B98" s="489" t="s">
        <v>704</v>
      </c>
      <c r="C98" s="483">
        <v>2.4868000000000001</v>
      </c>
      <c r="D98" s="490">
        <v>5</v>
      </c>
      <c r="E98">
        <f t="shared" si="29"/>
        <v>2.4868000000000001</v>
      </c>
    </row>
    <row r="99" spans="1:5" x14ac:dyDescent="0.25">
      <c r="A99" s="384" t="s">
        <v>335</v>
      </c>
      <c r="B99" s="489" t="s">
        <v>705</v>
      </c>
      <c r="C99" s="483">
        <v>5.7392000000000003</v>
      </c>
      <c r="D99" s="490">
        <v>8.1999999999999993</v>
      </c>
      <c r="E99">
        <f t="shared" si="29"/>
        <v>5.7392000000000003</v>
      </c>
    </row>
    <row r="100" spans="1:5" x14ac:dyDescent="0.25">
      <c r="A100" s="484" t="s">
        <v>409</v>
      </c>
      <c r="C100" s="485">
        <f>SUM(C95:C99)</f>
        <v>12.175600000000001</v>
      </c>
      <c r="D100" s="485">
        <f t="shared" ref="D100:E100" si="30">SUM(D95:D99)</f>
        <v>20.818100000000001</v>
      </c>
      <c r="E100" s="485">
        <f t="shared" si="30"/>
        <v>11.457599999999999</v>
      </c>
    </row>
    <row r="102" spans="1:5" x14ac:dyDescent="0.25">
      <c r="A102" s="384" t="s">
        <v>336</v>
      </c>
      <c r="B102" s="489" t="s">
        <v>706</v>
      </c>
      <c r="C102" s="483">
        <v>3.8332999999999999</v>
      </c>
      <c r="D102" s="490">
        <v>4.5</v>
      </c>
      <c r="E102">
        <f>IF(C102&lt;2,0,C102)</f>
        <v>3.8332999999999999</v>
      </c>
    </row>
    <row r="103" spans="1:5" x14ac:dyDescent="0.25">
      <c r="A103" s="384" t="s">
        <v>336</v>
      </c>
      <c r="B103" s="489" t="s">
        <v>707</v>
      </c>
      <c r="C103" s="483">
        <v>1.4851000000000001</v>
      </c>
      <c r="D103" s="490">
        <v>2</v>
      </c>
      <c r="E103">
        <f t="shared" ref="E103:E106" si="31">IF(C103&lt;2,0,C103)</f>
        <v>0</v>
      </c>
    </row>
    <row r="104" spans="1:5" x14ac:dyDescent="0.25">
      <c r="A104" s="384" t="s">
        <v>336</v>
      </c>
      <c r="B104" s="489" t="s">
        <v>708</v>
      </c>
      <c r="C104" s="483">
        <v>2.6629999999999998</v>
      </c>
      <c r="D104" s="490">
        <v>4.5999999999999996</v>
      </c>
      <c r="E104">
        <f t="shared" si="31"/>
        <v>2.6629999999999998</v>
      </c>
    </row>
    <row r="105" spans="1:5" x14ac:dyDescent="0.25">
      <c r="A105" s="384" t="s">
        <v>336</v>
      </c>
      <c r="B105" s="489" t="s">
        <v>781</v>
      </c>
      <c r="C105" s="483">
        <v>240.33330000000001</v>
      </c>
      <c r="D105" s="490">
        <v>330</v>
      </c>
      <c r="E105">
        <f t="shared" si="31"/>
        <v>240.33330000000001</v>
      </c>
    </row>
    <row r="106" spans="1:5" x14ac:dyDescent="0.25">
      <c r="A106" s="384" t="s">
        <v>336</v>
      </c>
      <c r="B106" s="489" t="s">
        <v>709</v>
      </c>
      <c r="C106" s="483">
        <v>2.0992000000000002</v>
      </c>
      <c r="D106" s="490">
        <v>3</v>
      </c>
      <c r="E106">
        <f t="shared" si="31"/>
        <v>2.0992000000000002</v>
      </c>
    </row>
    <row r="107" spans="1:5" x14ac:dyDescent="0.25">
      <c r="A107" s="484" t="s">
        <v>409</v>
      </c>
      <c r="B107" s="484"/>
      <c r="C107" s="485">
        <f>SUM(C102:C106)</f>
        <v>250.41390000000001</v>
      </c>
      <c r="D107" s="485">
        <f t="shared" ref="D107:E107" si="32">SUM(D102:D106)</f>
        <v>344.1</v>
      </c>
      <c r="E107" s="485">
        <f t="shared" si="32"/>
        <v>248.9288</v>
      </c>
    </row>
    <row r="109" spans="1:5" x14ac:dyDescent="0.25">
      <c r="A109" s="384" t="s">
        <v>337</v>
      </c>
      <c r="B109" s="489" t="s">
        <v>710</v>
      </c>
      <c r="C109" s="483">
        <v>1.38E-2</v>
      </c>
      <c r="D109" s="490">
        <v>0.02</v>
      </c>
      <c r="E109">
        <f>IF(C109&lt;2,0,C109)</f>
        <v>0</v>
      </c>
    </row>
    <row r="110" spans="1:5" x14ac:dyDescent="0.25">
      <c r="A110" s="384" t="s">
        <v>337</v>
      </c>
      <c r="B110" s="489" t="s">
        <v>711</v>
      </c>
      <c r="C110" s="483">
        <v>0.4632</v>
      </c>
      <c r="D110" s="490">
        <v>1</v>
      </c>
      <c r="E110">
        <f t="shared" ref="E110:E115" si="33">IF(C110&lt;2,0,C110)</f>
        <v>0</v>
      </c>
    </row>
    <row r="111" spans="1:5" x14ac:dyDescent="0.25">
      <c r="A111" s="384" t="s">
        <v>337</v>
      </c>
      <c r="B111" s="489" t="s">
        <v>712</v>
      </c>
      <c r="C111" s="483">
        <v>0.37719999999999998</v>
      </c>
      <c r="D111" s="490">
        <v>0.8</v>
      </c>
      <c r="E111">
        <f t="shared" si="33"/>
        <v>0</v>
      </c>
    </row>
    <row r="112" spans="1:5" x14ac:dyDescent="0.25">
      <c r="A112" s="384" t="s">
        <v>337</v>
      </c>
      <c r="B112" s="489" t="s">
        <v>713</v>
      </c>
      <c r="C112" s="483">
        <v>1.0813999999999999</v>
      </c>
      <c r="D112" s="490">
        <v>2</v>
      </c>
      <c r="E112">
        <f t="shared" si="33"/>
        <v>0</v>
      </c>
    </row>
    <row r="113" spans="1:5" x14ac:dyDescent="0.25">
      <c r="A113" s="384" t="s">
        <v>337</v>
      </c>
      <c r="B113" s="489" t="s">
        <v>714</v>
      </c>
      <c r="C113" s="483">
        <v>0.20880000000000001</v>
      </c>
      <c r="D113" s="490">
        <v>0.35</v>
      </c>
      <c r="E113">
        <f t="shared" si="33"/>
        <v>0</v>
      </c>
    </row>
    <row r="114" spans="1:5" x14ac:dyDescent="0.25">
      <c r="A114" s="384" t="s">
        <v>337</v>
      </c>
      <c r="B114" s="489" t="s">
        <v>715</v>
      </c>
      <c r="C114" s="483">
        <v>15.99</v>
      </c>
      <c r="D114" s="490">
        <v>27</v>
      </c>
      <c r="E114">
        <f t="shared" si="33"/>
        <v>15.99</v>
      </c>
    </row>
    <row r="115" spans="1:5" x14ac:dyDescent="0.25">
      <c r="A115" s="384" t="s">
        <v>337</v>
      </c>
      <c r="B115" s="489" t="s">
        <v>716</v>
      </c>
      <c r="C115" s="483">
        <v>5.0000000000000001E-4</v>
      </c>
      <c r="D115" s="490">
        <v>2.5999999999999999E-3</v>
      </c>
      <c r="E115">
        <f t="shared" si="33"/>
        <v>0</v>
      </c>
    </row>
    <row r="116" spans="1:5" x14ac:dyDescent="0.25">
      <c r="A116" s="484" t="s">
        <v>409</v>
      </c>
      <c r="B116" s="484"/>
      <c r="C116" s="485">
        <f>SUM(C109:C115)</f>
        <v>18.134899999999998</v>
      </c>
      <c r="D116" s="485">
        <f t="shared" ref="D116:E116" si="34">SUM(D109:D115)</f>
        <v>31.172600000000003</v>
      </c>
      <c r="E116" s="485">
        <f t="shared" si="34"/>
        <v>15.99</v>
      </c>
    </row>
    <row r="118" spans="1:5" x14ac:dyDescent="0.25">
      <c r="A118" s="384" t="s">
        <v>338</v>
      </c>
      <c r="B118" s="489" t="s">
        <v>717</v>
      </c>
      <c r="C118" s="483">
        <v>13.067500000000001</v>
      </c>
      <c r="D118" s="490">
        <v>20.8</v>
      </c>
      <c r="E118">
        <f>IF(C118&lt;2,0,C118)</f>
        <v>13.067500000000001</v>
      </c>
    </row>
    <row r="119" spans="1:5" x14ac:dyDescent="0.25">
      <c r="A119" s="384" t="s">
        <v>338</v>
      </c>
      <c r="B119" s="489" t="s">
        <v>718</v>
      </c>
      <c r="C119" s="483">
        <v>3.3096999999999999</v>
      </c>
      <c r="D119" s="490">
        <v>2.91</v>
      </c>
      <c r="E119">
        <f t="shared" ref="E119:E123" si="35">IF(C119&lt;2,0,C119)</f>
        <v>3.3096999999999999</v>
      </c>
    </row>
    <row r="120" spans="1:5" x14ac:dyDescent="0.25">
      <c r="A120" s="384" t="s">
        <v>338</v>
      </c>
      <c r="B120" s="489" t="s">
        <v>719</v>
      </c>
      <c r="C120" s="483">
        <v>7.5258000000000003</v>
      </c>
      <c r="D120" s="490">
        <v>10</v>
      </c>
      <c r="E120">
        <f t="shared" si="35"/>
        <v>7.5258000000000003</v>
      </c>
    </row>
    <row r="121" spans="1:5" x14ac:dyDescent="0.25">
      <c r="A121" s="384" t="s">
        <v>338</v>
      </c>
      <c r="B121" s="489" t="s">
        <v>720</v>
      </c>
      <c r="C121" s="483">
        <v>0.14699999999999999</v>
      </c>
      <c r="D121" s="490">
        <v>0.75</v>
      </c>
      <c r="E121">
        <f t="shared" si="35"/>
        <v>0</v>
      </c>
    </row>
    <row r="122" spans="1:5" x14ac:dyDescent="0.25">
      <c r="A122" s="384" t="s">
        <v>338</v>
      </c>
      <c r="B122" s="489" t="s">
        <v>782</v>
      </c>
      <c r="C122" s="483">
        <v>3.0749</v>
      </c>
      <c r="D122" s="490">
        <v>5.12</v>
      </c>
      <c r="E122">
        <f t="shared" si="35"/>
        <v>3.0749</v>
      </c>
    </row>
    <row r="123" spans="1:5" x14ac:dyDescent="0.25">
      <c r="A123" s="384" t="s">
        <v>338</v>
      </c>
      <c r="B123" s="489" t="s">
        <v>721</v>
      </c>
      <c r="C123" s="483">
        <v>9.5274999999999999</v>
      </c>
      <c r="D123" s="490">
        <v>10</v>
      </c>
      <c r="E123">
        <f t="shared" si="35"/>
        <v>9.5274999999999999</v>
      </c>
    </row>
    <row r="124" spans="1:5" x14ac:dyDescent="0.25">
      <c r="A124" s="484" t="s">
        <v>409</v>
      </c>
      <c r="B124" s="484"/>
      <c r="C124" s="485">
        <f>SUM(C118:C123)</f>
        <v>36.6524</v>
      </c>
      <c r="D124" s="485">
        <f t="shared" ref="D124:E124" si="36">SUM(D118:D123)</f>
        <v>49.58</v>
      </c>
      <c r="E124" s="485">
        <f t="shared" si="36"/>
        <v>36.505400000000002</v>
      </c>
    </row>
    <row r="126" spans="1:5" x14ac:dyDescent="0.25">
      <c r="A126" s="384" t="s">
        <v>339</v>
      </c>
      <c r="B126" s="489" t="s">
        <v>722</v>
      </c>
      <c r="C126" s="483">
        <v>7.1000000000000004E-3</v>
      </c>
      <c r="D126" s="490">
        <v>1.7999999999999999E-2</v>
      </c>
      <c r="E126">
        <f>IF(C126&lt;2,0,C126)</f>
        <v>0</v>
      </c>
    </row>
    <row r="127" spans="1:5" x14ac:dyDescent="0.25">
      <c r="A127" s="384" t="s">
        <v>339</v>
      </c>
      <c r="B127" s="489" t="s">
        <v>723</v>
      </c>
      <c r="C127" s="483">
        <v>8.9999999999999998E-4</v>
      </c>
      <c r="D127" s="490">
        <v>1.0999999999999999E-2</v>
      </c>
      <c r="E127">
        <f t="shared" ref="E127:E161" si="37">IF(C127&lt;2,0,C127)</f>
        <v>0</v>
      </c>
    </row>
    <row r="128" spans="1:5" x14ac:dyDescent="0.25">
      <c r="A128" s="384" t="s">
        <v>339</v>
      </c>
      <c r="B128" s="489" t="s">
        <v>724</v>
      </c>
      <c r="C128" s="483">
        <v>2.0000000000000001E-4</v>
      </c>
      <c r="D128" s="490">
        <v>2.5999999999999999E-3</v>
      </c>
      <c r="E128">
        <f t="shared" si="37"/>
        <v>0</v>
      </c>
    </row>
    <row r="129" spans="1:5" x14ac:dyDescent="0.25">
      <c r="A129" s="384" t="s">
        <v>339</v>
      </c>
      <c r="B129" s="489" t="s">
        <v>725</v>
      </c>
      <c r="C129" s="483">
        <v>1.03E-2</v>
      </c>
      <c r="D129" s="490">
        <v>2.1999999999999999E-2</v>
      </c>
      <c r="E129">
        <f t="shared" si="37"/>
        <v>0</v>
      </c>
    </row>
    <row r="130" spans="1:5" x14ac:dyDescent="0.25">
      <c r="A130" s="384" t="s">
        <v>339</v>
      </c>
      <c r="B130" s="489" t="s">
        <v>726</v>
      </c>
      <c r="C130" s="483">
        <v>6.3E-3</v>
      </c>
      <c r="D130" s="490">
        <v>1.9E-2</v>
      </c>
      <c r="E130">
        <f t="shared" si="37"/>
        <v>0</v>
      </c>
    </row>
    <row r="131" spans="1:5" x14ac:dyDescent="0.25">
      <c r="A131" s="384" t="s">
        <v>339</v>
      </c>
      <c r="B131" s="489" t="s">
        <v>783</v>
      </c>
      <c r="C131" s="483">
        <v>6.9999999999999999E-4</v>
      </c>
      <c r="D131" s="490">
        <v>8.9999999999999993E-3</v>
      </c>
      <c r="E131">
        <f t="shared" si="37"/>
        <v>0</v>
      </c>
    </row>
    <row r="132" spans="1:5" x14ac:dyDescent="0.25">
      <c r="A132" s="384" t="s">
        <v>339</v>
      </c>
      <c r="B132" s="489" t="s">
        <v>727</v>
      </c>
      <c r="C132" s="483">
        <v>1.3547</v>
      </c>
      <c r="D132" s="490">
        <v>2.0299999999999998</v>
      </c>
      <c r="E132">
        <f t="shared" si="37"/>
        <v>0</v>
      </c>
    </row>
    <row r="133" spans="1:5" x14ac:dyDescent="0.25">
      <c r="A133" s="384" t="s">
        <v>339</v>
      </c>
      <c r="B133" s="489" t="s">
        <v>728</v>
      </c>
      <c r="C133" s="483">
        <v>1.8E-3</v>
      </c>
      <c r="D133" s="490">
        <v>8.9999999999999993E-3</v>
      </c>
      <c r="E133">
        <f t="shared" si="37"/>
        <v>0</v>
      </c>
    </row>
    <row r="134" spans="1:5" x14ac:dyDescent="0.25">
      <c r="A134" s="384" t="s">
        <v>339</v>
      </c>
      <c r="B134" s="489" t="s">
        <v>729</v>
      </c>
      <c r="C134" s="483">
        <v>0.16950000000000001</v>
      </c>
      <c r="D134" s="490">
        <v>0.26</v>
      </c>
      <c r="E134">
        <f t="shared" si="37"/>
        <v>0</v>
      </c>
    </row>
    <row r="135" spans="1:5" x14ac:dyDescent="0.25">
      <c r="A135" s="384" t="s">
        <v>339</v>
      </c>
      <c r="B135" s="489" t="s">
        <v>730</v>
      </c>
      <c r="C135" s="483">
        <v>1.2999999999999999E-3</v>
      </c>
      <c r="D135" s="490">
        <v>6.6E-3</v>
      </c>
      <c r="E135">
        <f t="shared" si="37"/>
        <v>0</v>
      </c>
    </row>
    <row r="136" spans="1:5" x14ac:dyDescent="0.25">
      <c r="A136" s="384" t="s">
        <v>339</v>
      </c>
      <c r="B136" s="489" t="s">
        <v>731</v>
      </c>
      <c r="C136" s="483">
        <v>2.1999999999999999E-2</v>
      </c>
      <c r="D136" s="490">
        <v>5.0500000000000003E-2</v>
      </c>
      <c r="E136">
        <f t="shared" si="37"/>
        <v>0</v>
      </c>
    </row>
    <row r="137" spans="1:5" x14ac:dyDescent="0.25">
      <c r="A137" s="384" t="s">
        <v>339</v>
      </c>
      <c r="B137" s="489" t="s">
        <v>732</v>
      </c>
      <c r="C137" s="483">
        <v>1.1900000000000001E-2</v>
      </c>
      <c r="D137" s="490">
        <v>2.5000000000000001E-2</v>
      </c>
      <c r="E137">
        <f t="shared" si="37"/>
        <v>0</v>
      </c>
    </row>
    <row r="138" spans="1:5" x14ac:dyDescent="0.25">
      <c r="A138" s="384" t="s">
        <v>339</v>
      </c>
      <c r="B138" s="489" t="s">
        <v>733</v>
      </c>
      <c r="C138" s="483">
        <v>2.5100000000000001E-2</v>
      </c>
      <c r="D138" s="490">
        <v>6.5000000000000002E-2</v>
      </c>
      <c r="E138">
        <f t="shared" si="37"/>
        <v>0</v>
      </c>
    </row>
    <row r="139" spans="1:5" x14ac:dyDescent="0.25">
      <c r="A139" s="384" t="s">
        <v>339</v>
      </c>
      <c r="B139" s="489" t="s">
        <v>734</v>
      </c>
      <c r="C139" s="483">
        <v>6.9999999999999999E-4</v>
      </c>
      <c r="D139" s="490">
        <v>1.2999999999999999E-3</v>
      </c>
      <c r="E139">
        <f t="shared" si="37"/>
        <v>0</v>
      </c>
    </row>
    <row r="140" spans="1:5" x14ac:dyDescent="0.25">
      <c r="A140" s="384" t="s">
        <v>339</v>
      </c>
      <c r="B140" s="489" t="s">
        <v>735</v>
      </c>
      <c r="C140" s="483">
        <v>0.17710000000000001</v>
      </c>
      <c r="D140" s="490">
        <v>0.15</v>
      </c>
      <c r="E140">
        <f t="shared" si="37"/>
        <v>0</v>
      </c>
    </row>
    <row r="141" spans="1:5" x14ac:dyDescent="0.25">
      <c r="A141" s="384" t="s">
        <v>339</v>
      </c>
      <c r="B141" s="489" t="s">
        <v>736</v>
      </c>
      <c r="C141" s="483">
        <v>6.9999999999999999E-4</v>
      </c>
      <c r="D141" s="490">
        <v>7.7999999999999996E-3</v>
      </c>
      <c r="E141">
        <f t="shared" si="37"/>
        <v>0</v>
      </c>
    </row>
    <row r="142" spans="1:5" x14ac:dyDescent="0.25">
      <c r="A142" s="384" t="s">
        <v>339</v>
      </c>
      <c r="B142" s="489" t="s">
        <v>737</v>
      </c>
      <c r="C142" s="483">
        <v>3.2000000000000001E-2</v>
      </c>
      <c r="D142" s="490">
        <v>5.8000000000000003E-2</v>
      </c>
      <c r="E142">
        <f t="shared" si="37"/>
        <v>0</v>
      </c>
    </row>
    <row r="143" spans="1:5" x14ac:dyDescent="0.25">
      <c r="A143" s="384" t="s">
        <v>339</v>
      </c>
      <c r="B143" s="489" t="s">
        <v>738</v>
      </c>
      <c r="C143" s="483">
        <v>1.5E-3</v>
      </c>
      <c r="D143" s="490">
        <v>4.7999999999999996E-3</v>
      </c>
      <c r="E143">
        <f t="shared" si="37"/>
        <v>0</v>
      </c>
    </row>
    <row r="144" spans="1:5" x14ac:dyDescent="0.25">
      <c r="A144" s="384" t="s">
        <v>339</v>
      </c>
      <c r="B144" s="489" t="s">
        <v>739</v>
      </c>
      <c r="C144" s="483">
        <v>0.87180000000000002</v>
      </c>
      <c r="D144" s="490">
        <v>1.5</v>
      </c>
      <c r="E144">
        <f t="shared" si="37"/>
        <v>0</v>
      </c>
    </row>
    <row r="145" spans="1:5" x14ac:dyDescent="0.25">
      <c r="A145" s="384" t="s">
        <v>339</v>
      </c>
      <c r="B145" s="489" t="s">
        <v>740</v>
      </c>
      <c r="C145" s="483">
        <v>4.53E-2</v>
      </c>
      <c r="D145" s="490">
        <v>5.1999999999999998E-2</v>
      </c>
      <c r="E145">
        <f t="shared" si="37"/>
        <v>0</v>
      </c>
    </row>
    <row r="146" spans="1:5" x14ac:dyDescent="0.25">
      <c r="A146" s="384" t="s">
        <v>339</v>
      </c>
      <c r="B146" s="489" t="s">
        <v>741</v>
      </c>
      <c r="C146" s="483">
        <v>0.23649999999999999</v>
      </c>
      <c r="D146" s="490">
        <v>0.4</v>
      </c>
      <c r="E146">
        <f t="shared" si="37"/>
        <v>0</v>
      </c>
    </row>
    <row r="147" spans="1:5" x14ac:dyDescent="0.25">
      <c r="A147" s="384" t="s">
        <v>339</v>
      </c>
      <c r="B147" s="489" t="s">
        <v>742</v>
      </c>
      <c r="C147" s="483">
        <v>4.0000000000000002E-4</v>
      </c>
      <c r="D147" s="490">
        <v>1.4999999999999999E-2</v>
      </c>
      <c r="E147">
        <f t="shared" si="37"/>
        <v>0</v>
      </c>
    </row>
    <row r="148" spans="1:5" x14ac:dyDescent="0.25">
      <c r="A148" s="384" t="s">
        <v>339</v>
      </c>
      <c r="B148" s="489" t="s">
        <v>743</v>
      </c>
      <c r="C148" s="483">
        <v>3.0325000000000002</v>
      </c>
      <c r="D148" s="490">
        <v>3.8</v>
      </c>
      <c r="E148">
        <f t="shared" si="37"/>
        <v>3.0325000000000002</v>
      </c>
    </row>
    <row r="149" spans="1:5" x14ac:dyDescent="0.25">
      <c r="A149" s="384" t="s">
        <v>339</v>
      </c>
      <c r="B149" s="489" t="s">
        <v>744</v>
      </c>
      <c r="C149" s="483">
        <v>0</v>
      </c>
      <c r="D149" s="490">
        <v>3.85</v>
      </c>
      <c r="E149">
        <f t="shared" si="37"/>
        <v>0</v>
      </c>
    </row>
    <row r="150" spans="1:5" x14ac:dyDescent="0.25">
      <c r="A150" s="384" t="s">
        <v>339</v>
      </c>
      <c r="B150" s="489" t="s">
        <v>745</v>
      </c>
      <c r="C150" s="483">
        <v>3.4700000000000002E-2</v>
      </c>
      <c r="D150" s="490">
        <v>6.0999999999999999E-2</v>
      </c>
      <c r="E150">
        <f t="shared" si="37"/>
        <v>0</v>
      </c>
    </row>
    <row r="151" spans="1:5" x14ac:dyDescent="0.25">
      <c r="A151" s="384" t="s">
        <v>339</v>
      </c>
      <c r="B151" s="489" t="s">
        <v>746</v>
      </c>
      <c r="C151" s="483">
        <v>0.7056</v>
      </c>
      <c r="D151" s="490">
        <v>0.8</v>
      </c>
      <c r="E151">
        <f t="shared" si="37"/>
        <v>0</v>
      </c>
    </row>
    <row r="152" spans="1:5" x14ac:dyDescent="0.25">
      <c r="A152" s="384" t="s">
        <v>339</v>
      </c>
      <c r="B152" s="489" t="s">
        <v>747</v>
      </c>
      <c r="C152" s="483">
        <v>2.7000000000000001E-3</v>
      </c>
      <c r="D152" s="490">
        <v>8.2000000000000007E-3</v>
      </c>
      <c r="E152">
        <f t="shared" si="37"/>
        <v>0</v>
      </c>
    </row>
    <row r="153" spans="1:5" x14ac:dyDescent="0.25">
      <c r="A153" s="384" t="s">
        <v>339</v>
      </c>
      <c r="B153" s="489" t="s">
        <v>748</v>
      </c>
      <c r="C153" s="483">
        <v>4.53E-2</v>
      </c>
      <c r="D153" s="490">
        <v>4.8000000000000001E-2</v>
      </c>
      <c r="E153">
        <f t="shared" si="37"/>
        <v>0</v>
      </c>
    </row>
    <row r="154" spans="1:5" x14ac:dyDescent="0.25">
      <c r="A154" s="384" t="s">
        <v>339</v>
      </c>
      <c r="B154" s="489" t="s">
        <v>749</v>
      </c>
      <c r="C154" s="483">
        <v>2.63E-2</v>
      </c>
      <c r="D154" s="490">
        <v>0.03</v>
      </c>
      <c r="E154">
        <f t="shared" si="37"/>
        <v>0</v>
      </c>
    </row>
    <row r="155" spans="1:5" x14ac:dyDescent="0.25">
      <c r="A155" s="384" t="s">
        <v>339</v>
      </c>
      <c r="B155" s="489" t="s">
        <v>750</v>
      </c>
      <c r="C155" s="483">
        <v>1.21E-2</v>
      </c>
      <c r="D155" s="490">
        <v>2.2499999999999999E-2</v>
      </c>
      <c r="E155">
        <f t="shared" si="37"/>
        <v>0</v>
      </c>
    </row>
    <row r="156" spans="1:5" x14ac:dyDescent="0.25">
      <c r="A156" s="384" t="s">
        <v>339</v>
      </c>
      <c r="B156" s="489" t="s">
        <v>751</v>
      </c>
      <c r="C156" s="483">
        <v>1.6000000000000001E-3</v>
      </c>
      <c r="D156" s="490">
        <v>9.9000000000000008E-3</v>
      </c>
      <c r="E156">
        <f t="shared" si="37"/>
        <v>0</v>
      </c>
    </row>
    <row r="157" spans="1:5" x14ac:dyDescent="0.25">
      <c r="A157" s="384" t="s">
        <v>339</v>
      </c>
      <c r="B157" s="489" t="s">
        <v>752</v>
      </c>
      <c r="C157" s="483">
        <v>7.1000000000000004E-3</v>
      </c>
      <c r="D157" s="490">
        <v>1.5599999999999999E-2</v>
      </c>
      <c r="E157">
        <f t="shared" si="37"/>
        <v>0</v>
      </c>
    </row>
    <row r="158" spans="1:5" x14ac:dyDescent="0.25">
      <c r="A158" s="384" t="s">
        <v>339</v>
      </c>
      <c r="B158" s="489" t="s">
        <v>753</v>
      </c>
      <c r="C158" s="483">
        <v>2.0000000000000001E-4</v>
      </c>
      <c r="D158" s="490">
        <v>6.0000000000000001E-3</v>
      </c>
      <c r="E158">
        <f t="shared" si="37"/>
        <v>0</v>
      </c>
    </row>
    <row r="159" spans="1:5" x14ac:dyDescent="0.25">
      <c r="A159" s="384" t="s">
        <v>339</v>
      </c>
      <c r="B159" s="489" t="s">
        <v>754</v>
      </c>
      <c r="C159" s="483">
        <v>8.9999999999999998E-4</v>
      </c>
      <c r="D159" s="490">
        <v>1.0999999999999999E-2</v>
      </c>
      <c r="E159">
        <f t="shared" si="37"/>
        <v>0</v>
      </c>
    </row>
    <row r="160" spans="1:5" x14ac:dyDescent="0.25">
      <c r="A160" s="384" t="s">
        <v>339</v>
      </c>
      <c r="B160" s="489" t="s">
        <v>755</v>
      </c>
      <c r="C160" s="483">
        <v>3.3999999999999998E-3</v>
      </c>
      <c r="D160" s="490">
        <v>1.6199999999999999E-2</v>
      </c>
      <c r="E160">
        <f t="shared" si="37"/>
        <v>0</v>
      </c>
    </row>
    <row r="161" spans="1:5" x14ac:dyDescent="0.25">
      <c r="A161" s="384" t="s">
        <v>339</v>
      </c>
      <c r="B161" s="489" t="s">
        <v>756</v>
      </c>
      <c r="C161" s="483">
        <v>1.46E-2</v>
      </c>
      <c r="D161" s="490">
        <v>2.1999999999999999E-2</v>
      </c>
      <c r="E161">
        <f t="shared" si="37"/>
        <v>0</v>
      </c>
    </row>
    <row r="162" spans="1:5" x14ac:dyDescent="0.25">
      <c r="A162" s="484" t="s">
        <v>409</v>
      </c>
      <c r="B162" s="484"/>
      <c r="C162" s="485">
        <f>SUM(C126:C161)</f>
        <v>6.8648000000000007</v>
      </c>
      <c r="D162" s="485">
        <f t="shared" ref="D162:E162" si="38">SUM(D126:D161)</f>
        <v>13.416999999999998</v>
      </c>
      <c r="E162" s="485">
        <f t="shared" si="38"/>
        <v>3.0325000000000002</v>
      </c>
    </row>
    <row r="163" spans="1:5" x14ac:dyDescent="0.25">
      <c r="A163" s="384"/>
    </row>
    <row r="164" spans="1:5" x14ac:dyDescent="0.25">
      <c r="A164" s="384" t="s">
        <v>340</v>
      </c>
      <c r="B164" s="489" t="s">
        <v>757</v>
      </c>
      <c r="C164" s="483">
        <v>6.0000000000000001E-3</v>
      </c>
      <c r="D164" s="490">
        <v>0.02</v>
      </c>
      <c r="E164">
        <f>IF(C164&lt;2,0,C164)</f>
        <v>0</v>
      </c>
    </row>
    <row r="165" spans="1:5" x14ac:dyDescent="0.25">
      <c r="A165" s="384" t="s">
        <v>340</v>
      </c>
      <c r="B165" s="489" t="s">
        <v>758</v>
      </c>
      <c r="C165" s="483">
        <v>2.8416999999999999</v>
      </c>
      <c r="D165" s="490">
        <v>4.5</v>
      </c>
      <c r="E165">
        <f t="shared" ref="E165:E177" si="39">IF(C165&lt;2,0,C165)</f>
        <v>2.8416999999999999</v>
      </c>
    </row>
    <row r="166" spans="1:5" x14ac:dyDescent="0.25">
      <c r="A166" s="384" t="s">
        <v>340</v>
      </c>
      <c r="B166" s="489" t="s">
        <v>759</v>
      </c>
      <c r="C166" s="483">
        <v>8.9588999999999999</v>
      </c>
      <c r="D166" s="490">
        <v>16</v>
      </c>
      <c r="E166">
        <f t="shared" si="39"/>
        <v>8.9588999999999999</v>
      </c>
    </row>
    <row r="167" spans="1:5" x14ac:dyDescent="0.25">
      <c r="A167" s="384" t="s">
        <v>340</v>
      </c>
      <c r="B167" s="489" t="s">
        <v>760</v>
      </c>
      <c r="C167" s="483">
        <v>0.76449999999999996</v>
      </c>
      <c r="D167" s="490">
        <v>1</v>
      </c>
      <c r="E167">
        <f t="shared" si="39"/>
        <v>0</v>
      </c>
    </row>
    <row r="168" spans="1:5" x14ac:dyDescent="0.25">
      <c r="A168" s="384" t="s">
        <v>340</v>
      </c>
      <c r="B168" s="489" t="s">
        <v>761</v>
      </c>
      <c r="C168" s="483">
        <v>4.36E-2</v>
      </c>
      <c r="D168" s="490">
        <v>0.05</v>
      </c>
      <c r="E168">
        <f t="shared" si="39"/>
        <v>0</v>
      </c>
    </row>
    <row r="169" spans="1:5" x14ac:dyDescent="0.25">
      <c r="A169" s="384" t="s">
        <v>340</v>
      </c>
      <c r="B169" s="489" t="s">
        <v>762</v>
      </c>
      <c r="C169" s="483">
        <v>1.7500000000000002E-2</v>
      </c>
      <c r="D169" s="490">
        <v>0.08</v>
      </c>
      <c r="E169">
        <f t="shared" si="39"/>
        <v>0</v>
      </c>
    </row>
    <row r="170" spans="1:5" x14ac:dyDescent="0.25">
      <c r="A170" s="384" t="s">
        <v>340</v>
      </c>
      <c r="B170" s="489" t="s">
        <v>763</v>
      </c>
      <c r="C170" s="483">
        <v>9.5100000000000004E-2</v>
      </c>
      <c r="D170" s="490">
        <v>0.09</v>
      </c>
      <c r="E170">
        <f t="shared" si="39"/>
        <v>0</v>
      </c>
    </row>
    <row r="171" spans="1:5" x14ac:dyDescent="0.25">
      <c r="A171" s="384" t="s">
        <v>340</v>
      </c>
      <c r="B171" s="489" t="s">
        <v>764</v>
      </c>
      <c r="C171" s="483">
        <v>0.2717</v>
      </c>
      <c r="D171" s="490">
        <v>0.3</v>
      </c>
      <c r="E171">
        <f t="shared" si="39"/>
        <v>0</v>
      </c>
    </row>
    <row r="172" spans="1:5" x14ac:dyDescent="0.25">
      <c r="A172" s="384" t="s">
        <v>340</v>
      </c>
      <c r="B172" s="489" t="s">
        <v>770</v>
      </c>
      <c r="C172" s="483">
        <v>0.26750000000000002</v>
      </c>
      <c r="D172" s="490">
        <v>0.44500000000000001</v>
      </c>
      <c r="E172">
        <f t="shared" si="39"/>
        <v>0</v>
      </c>
    </row>
    <row r="173" spans="1:5" x14ac:dyDescent="0.25">
      <c r="A173" s="384" t="s">
        <v>340</v>
      </c>
      <c r="B173" s="489" t="s">
        <v>765</v>
      </c>
      <c r="C173" s="483">
        <v>4.0599999999999997E-2</v>
      </c>
      <c r="D173" s="490">
        <v>0.08</v>
      </c>
      <c r="E173">
        <f t="shared" si="39"/>
        <v>0</v>
      </c>
    </row>
    <row r="174" spans="1:5" x14ac:dyDescent="0.25">
      <c r="A174" s="384" t="s">
        <v>340</v>
      </c>
      <c r="B174" s="489" t="s">
        <v>766</v>
      </c>
      <c r="C174" s="483">
        <v>9.8393999999999995</v>
      </c>
      <c r="D174" s="490">
        <v>16</v>
      </c>
      <c r="E174">
        <f t="shared" si="39"/>
        <v>9.8393999999999995</v>
      </c>
    </row>
    <row r="175" spans="1:5" x14ac:dyDescent="0.25">
      <c r="A175" s="384" t="s">
        <v>340</v>
      </c>
      <c r="B175" s="489" t="s">
        <v>767</v>
      </c>
      <c r="C175" s="483">
        <v>4.4999999999999997E-3</v>
      </c>
      <c r="D175" s="490">
        <v>1.4200000000000001E-2</v>
      </c>
      <c r="E175">
        <f t="shared" si="39"/>
        <v>0</v>
      </c>
    </row>
    <row r="176" spans="1:5" x14ac:dyDescent="0.25">
      <c r="A176" s="384" t="s">
        <v>340</v>
      </c>
      <c r="B176" s="489" t="s">
        <v>768</v>
      </c>
      <c r="C176" s="483">
        <v>9.7524999999999995</v>
      </c>
      <c r="D176" s="490">
        <v>13.06</v>
      </c>
      <c r="E176">
        <f t="shared" si="39"/>
        <v>9.7524999999999995</v>
      </c>
    </row>
    <row r="177" spans="1:5" x14ac:dyDescent="0.25">
      <c r="A177" s="384" t="s">
        <v>340</v>
      </c>
      <c r="B177" s="489" t="s">
        <v>769</v>
      </c>
      <c r="C177" s="483">
        <v>10.8142</v>
      </c>
      <c r="D177" s="490">
        <v>20</v>
      </c>
      <c r="E177">
        <f t="shared" si="39"/>
        <v>10.8142</v>
      </c>
    </row>
    <row r="178" spans="1:5" x14ac:dyDescent="0.25">
      <c r="A178" s="484" t="s">
        <v>409</v>
      </c>
      <c r="B178" s="484"/>
      <c r="C178" s="485">
        <f>SUM(C164:C177)</f>
        <v>43.717699999999994</v>
      </c>
      <c r="D178" s="485">
        <f t="shared" ref="D178:E178" si="40">SUM(D164:D177)</f>
        <v>71.639200000000002</v>
      </c>
      <c r="E178" s="485">
        <f t="shared" si="40"/>
        <v>42.206699999999998</v>
      </c>
    </row>
    <row r="179" spans="1:5" x14ac:dyDescent="0.25">
      <c r="A179" s="384"/>
    </row>
    <row r="180" spans="1:5" x14ac:dyDescent="0.25">
      <c r="A180" s="384" t="s">
        <v>341</v>
      </c>
      <c r="B180" s="489" t="s">
        <v>771</v>
      </c>
      <c r="C180" s="483">
        <v>1.0999999999999999E-2</v>
      </c>
      <c r="D180" s="490">
        <v>1.0999999999999999E-2</v>
      </c>
      <c r="E180">
        <f>IF(C180&lt;2,0,C180)</f>
        <v>0</v>
      </c>
    </row>
    <row r="181" spans="1:5" x14ac:dyDescent="0.25">
      <c r="A181" s="384" t="s">
        <v>341</v>
      </c>
      <c r="B181" s="489" t="s">
        <v>772</v>
      </c>
      <c r="C181" s="483">
        <v>4.3299999999999998E-2</v>
      </c>
      <c r="D181" s="490">
        <v>0.15</v>
      </c>
      <c r="E181">
        <f t="shared" ref="E181:E183" si="41">IF(C181&lt;2,0,C181)</f>
        <v>0</v>
      </c>
    </row>
    <row r="182" spans="1:5" x14ac:dyDescent="0.25">
      <c r="A182" s="384" t="s">
        <v>341</v>
      </c>
      <c r="B182" s="489" t="s">
        <v>773</v>
      </c>
      <c r="C182" s="483">
        <v>1.3522000000000001</v>
      </c>
      <c r="D182" s="490">
        <v>1.64</v>
      </c>
      <c r="E182">
        <f t="shared" si="41"/>
        <v>0</v>
      </c>
    </row>
    <row r="183" spans="1:5" x14ac:dyDescent="0.25">
      <c r="A183" s="384" t="s">
        <v>341</v>
      </c>
      <c r="B183" s="489" t="s">
        <v>774</v>
      </c>
      <c r="C183" s="483">
        <v>122.7991</v>
      </c>
      <c r="D183" s="490">
        <v>147</v>
      </c>
      <c r="E183">
        <f t="shared" si="41"/>
        <v>122.7991</v>
      </c>
    </row>
    <row r="184" spans="1:5" x14ac:dyDescent="0.25">
      <c r="A184" s="484" t="s">
        <v>409</v>
      </c>
      <c r="B184" s="484"/>
      <c r="C184" s="485">
        <f>SUM(C180:C183)</f>
        <v>124.20559999999999</v>
      </c>
      <c r="D184" s="485">
        <f t="shared" ref="D184:E184" si="42">SUM(D180:D183)</f>
        <v>148.80099999999999</v>
      </c>
      <c r="E184" s="485">
        <f t="shared" si="42"/>
        <v>122.7991</v>
      </c>
    </row>
    <row r="185" spans="1:5" x14ac:dyDescent="0.25">
      <c r="A185" s="384"/>
    </row>
    <row r="186" spans="1:5" x14ac:dyDescent="0.25">
      <c r="A186" s="384" t="s">
        <v>342</v>
      </c>
      <c r="B186" s="489" t="s">
        <v>775</v>
      </c>
      <c r="C186" s="483">
        <v>2.7699999999999999E-2</v>
      </c>
      <c r="D186" s="490">
        <v>1</v>
      </c>
      <c r="E186">
        <f>IF(C186&lt;2,0,C186)</f>
        <v>0</v>
      </c>
    </row>
    <row r="187" spans="1:5" x14ac:dyDescent="0.25">
      <c r="A187" s="384" t="s">
        <v>342</v>
      </c>
      <c r="B187" s="489" t="s">
        <v>784</v>
      </c>
      <c r="C187" s="483">
        <v>0.15479999999999999</v>
      </c>
      <c r="D187" s="490">
        <v>0.23799999999999999</v>
      </c>
      <c r="E187">
        <f t="shared" ref="E187:E216" si="43">IF(C187&lt;2,0,C187)</f>
        <v>0</v>
      </c>
    </row>
    <row r="188" spans="1:5" x14ac:dyDescent="0.25">
      <c r="A188" s="384" t="s">
        <v>342</v>
      </c>
      <c r="B188" s="489" t="s">
        <v>785</v>
      </c>
      <c r="C188" s="483">
        <v>2.2637999999999998</v>
      </c>
      <c r="D188" s="490">
        <v>4.4000000000000004</v>
      </c>
      <c r="E188">
        <f t="shared" si="43"/>
        <v>2.2637999999999998</v>
      </c>
    </row>
    <row r="189" spans="1:5" x14ac:dyDescent="0.25">
      <c r="A189" s="384" t="s">
        <v>342</v>
      </c>
      <c r="B189" s="489" t="s">
        <v>786</v>
      </c>
      <c r="C189" s="483">
        <v>1.1999999999999999E-3</v>
      </c>
      <c r="D189" s="490">
        <v>6.4999999999999997E-3</v>
      </c>
      <c r="E189">
        <f t="shared" si="43"/>
        <v>0</v>
      </c>
    </row>
    <row r="190" spans="1:5" x14ac:dyDescent="0.25">
      <c r="A190" s="384" t="s">
        <v>342</v>
      </c>
      <c r="B190" s="489" t="s">
        <v>787</v>
      </c>
      <c r="C190" s="483">
        <v>1.8E-3</v>
      </c>
      <c r="D190" s="490">
        <v>3.2500000000000001E-2</v>
      </c>
      <c r="E190">
        <f t="shared" si="43"/>
        <v>0</v>
      </c>
    </row>
    <row r="191" spans="1:5" x14ac:dyDescent="0.25">
      <c r="A191" s="384" t="s">
        <v>342</v>
      </c>
      <c r="B191" s="489" t="s">
        <v>788</v>
      </c>
      <c r="C191" s="483">
        <v>3.5999999999999999E-3</v>
      </c>
      <c r="D191" s="490">
        <v>5.1999999999999998E-3</v>
      </c>
      <c r="E191">
        <f t="shared" si="43"/>
        <v>0</v>
      </c>
    </row>
    <row r="192" spans="1:5" x14ac:dyDescent="0.25">
      <c r="A192" s="384" t="s">
        <v>342</v>
      </c>
      <c r="B192" s="489" t="s">
        <v>789</v>
      </c>
      <c r="C192" s="483">
        <v>1.84E-2</v>
      </c>
      <c r="D192" s="490">
        <v>1.84E-2</v>
      </c>
      <c r="E192">
        <f t="shared" si="43"/>
        <v>0</v>
      </c>
    </row>
    <row r="193" spans="1:5" x14ac:dyDescent="0.25">
      <c r="A193" s="384" t="s">
        <v>342</v>
      </c>
      <c r="B193" s="489" t="s">
        <v>790</v>
      </c>
      <c r="C193" s="483">
        <v>8.2000000000000007E-3</v>
      </c>
      <c r="D193" s="490">
        <v>7.1999999999999998E-3</v>
      </c>
      <c r="E193">
        <f t="shared" si="43"/>
        <v>0</v>
      </c>
    </row>
    <row r="194" spans="1:5" x14ac:dyDescent="0.25">
      <c r="A194" s="384" t="s">
        <v>342</v>
      </c>
      <c r="B194" s="489" t="s">
        <v>791</v>
      </c>
      <c r="C194" s="483">
        <v>8.1299999999999997E-2</v>
      </c>
      <c r="D194" s="490">
        <v>0.37</v>
      </c>
      <c r="E194">
        <f t="shared" si="43"/>
        <v>0</v>
      </c>
    </row>
    <row r="195" spans="1:5" x14ac:dyDescent="0.25">
      <c r="A195" s="384" t="s">
        <v>342</v>
      </c>
      <c r="B195" s="489" t="s">
        <v>792</v>
      </c>
      <c r="C195" s="384">
        <v>2.3E-3</v>
      </c>
      <c r="D195" s="490">
        <v>6.0000000000000001E-3</v>
      </c>
      <c r="E195">
        <f t="shared" si="43"/>
        <v>0</v>
      </c>
    </row>
    <row r="196" spans="1:5" x14ac:dyDescent="0.25">
      <c r="A196" s="384" t="s">
        <v>342</v>
      </c>
      <c r="B196" s="489" t="s">
        <v>793</v>
      </c>
      <c r="C196" s="483">
        <v>1.9E-3</v>
      </c>
      <c r="D196" s="490">
        <v>1.7999999999999999E-2</v>
      </c>
      <c r="E196">
        <f t="shared" si="43"/>
        <v>0</v>
      </c>
    </row>
    <row r="197" spans="1:5" x14ac:dyDescent="0.25">
      <c r="A197" s="384" t="s">
        <v>342</v>
      </c>
      <c r="B197" s="489" t="s">
        <v>794</v>
      </c>
      <c r="C197" s="483">
        <v>3.8E-3</v>
      </c>
      <c r="D197" s="490">
        <v>3.8E-3</v>
      </c>
      <c r="E197">
        <f t="shared" si="43"/>
        <v>0</v>
      </c>
    </row>
    <row r="198" spans="1:5" x14ac:dyDescent="0.25">
      <c r="A198" s="384" t="s">
        <v>342</v>
      </c>
      <c r="B198" s="489" t="s">
        <v>795</v>
      </c>
      <c r="C198" s="483">
        <v>5.3E-3</v>
      </c>
      <c r="D198" s="490">
        <v>0.01</v>
      </c>
      <c r="E198">
        <f t="shared" si="43"/>
        <v>0</v>
      </c>
    </row>
    <row r="199" spans="1:5" x14ac:dyDescent="0.25">
      <c r="A199" s="384" t="s">
        <v>342</v>
      </c>
      <c r="B199" s="489" t="s">
        <v>796</v>
      </c>
      <c r="C199" s="483">
        <v>1.35E-2</v>
      </c>
      <c r="D199" s="490">
        <v>2.5000000000000001E-2</v>
      </c>
      <c r="E199">
        <f t="shared" si="43"/>
        <v>0</v>
      </c>
    </row>
    <row r="200" spans="1:5" x14ac:dyDescent="0.25">
      <c r="A200" s="384" t="s">
        <v>342</v>
      </c>
      <c r="B200" s="489" t="s">
        <v>797</v>
      </c>
      <c r="C200" s="483">
        <v>7.1000000000000004E-3</v>
      </c>
      <c r="D200" s="490">
        <v>0.04</v>
      </c>
      <c r="E200">
        <f t="shared" si="43"/>
        <v>0</v>
      </c>
    </row>
    <row r="201" spans="1:5" x14ac:dyDescent="0.25">
      <c r="A201" s="384" t="s">
        <v>342</v>
      </c>
      <c r="B201" s="489" t="s">
        <v>798</v>
      </c>
      <c r="C201" s="483">
        <v>4.0000000000000001E-3</v>
      </c>
      <c r="D201" s="490">
        <v>4.0000000000000001E-3</v>
      </c>
      <c r="E201">
        <f t="shared" si="43"/>
        <v>0</v>
      </c>
    </row>
    <row r="202" spans="1:5" x14ac:dyDescent="0.25">
      <c r="A202" s="384" t="s">
        <v>342</v>
      </c>
      <c r="B202" s="489" t="s">
        <v>799</v>
      </c>
      <c r="C202" s="483">
        <v>2.3841999999999999</v>
      </c>
      <c r="D202" s="490">
        <v>5.4</v>
      </c>
      <c r="E202">
        <f t="shared" si="43"/>
        <v>2.3841999999999999</v>
      </c>
    </row>
    <row r="203" spans="1:5" x14ac:dyDescent="0.25">
      <c r="A203" s="384" t="s">
        <v>342</v>
      </c>
      <c r="B203" s="489" t="s">
        <v>800</v>
      </c>
      <c r="C203" s="483">
        <v>5.2066999999999997</v>
      </c>
      <c r="D203" s="490">
        <v>8.8000000000000007</v>
      </c>
      <c r="E203">
        <f t="shared" si="43"/>
        <v>5.2066999999999997</v>
      </c>
    </row>
    <row r="204" spans="1:5" x14ac:dyDescent="0.25">
      <c r="A204" s="384" t="s">
        <v>342</v>
      </c>
      <c r="B204" s="489" t="s">
        <v>801</v>
      </c>
      <c r="C204" s="483">
        <v>2E-3</v>
      </c>
      <c r="D204" s="490">
        <v>2E-3</v>
      </c>
      <c r="E204">
        <f t="shared" si="43"/>
        <v>0</v>
      </c>
    </row>
    <row r="205" spans="1:5" x14ac:dyDescent="0.25">
      <c r="A205" s="384" t="s">
        <v>342</v>
      </c>
      <c r="B205" s="489" t="s">
        <v>802</v>
      </c>
      <c r="C205" s="483">
        <v>5.1700000000000003E-2</v>
      </c>
      <c r="D205" s="490">
        <v>0.189</v>
      </c>
      <c r="E205">
        <f t="shared" si="43"/>
        <v>0</v>
      </c>
    </row>
    <row r="206" spans="1:5" x14ac:dyDescent="0.25">
      <c r="A206" s="384" t="s">
        <v>342</v>
      </c>
      <c r="B206" s="489" t="s">
        <v>803</v>
      </c>
      <c r="C206" s="483">
        <v>7.29</v>
      </c>
      <c r="D206" s="490">
        <v>10.8</v>
      </c>
      <c r="E206">
        <f t="shared" si="43"/>
        <v>7.29</v>
      </c>
    </row>
    <row r="207" spans="1:5" x14ac:dyDescent="0.25">
      <c r="A207" s="384" t="s">
        <v>342</v>
      </c>
      <c r="B207" s="489" t="s">
        <v>804</v>
      </c>
      <c r="C207" s="483">
        <v>2.0999999999999999E-3</v>
      </c>
      <c r="D207" s="490">
        <v>5.1999999999999998E-3</v>
      </c>
      <c r="E207">
        <f t="shared" si="43"/>
        <v>0</v>
      </c>
    </row>
    <row r="208" spans="1:5" x14ac:dyDescent="0.25">
      <c r="A208" s="384" t="s">
        <v>342</v>
      </c>
      <c r="B208" s="489" t="s">
        <v>716</v>
      </c>
      <c r="C208" s="483">
        <v>3.5000000000000001E-3</v>
      </c>
      <c r="D208" s="490">
        <v>3.5000000000000001E-3</v>
      </c>
      <c r="E208">
        <f t="shared" si="43"/>
        <v>0</v>
      </c>
    </row>
    <row r="209" spans="1:5" x14ac:dyDescent="0.25">
      <c r="A209" s="384" t="s">
        <v>342</v>
      </c>
      <c r="B209" s="489" t="s">
        <v>805</v>
      </c>
      <c r="C209" s="483">
        <v>9.5</v>
      </c>
      <c r="D209" s="490">
        <v>13.83</v>
      </c>
      <c r="E209">
        <f t="shared" si="43"/>
        <v>9.5</v>
      </c>
    </row>
    <row r="210" spans="1:5" x14ac:dyDescent="0.25">
      <c r="A210" s="384" t="s">
        <v>342</v>
      </c>
      <c r="B210" s="489" t="s">
        <v>806</v>
      </c>
      <c r="C210" s="483">
        <v>4.9865000000000004</v>
      </c>
      <c r="D210" s="490">
        <v>8.5</v>
      </c>
      <c r="E210">
        <f t="shared" si="43"/>
        <v>4.9865000000000004</v>
      </c>
    </row>
    <row r="211" spans="1:5" x14ac:dyDescent="0.25">
      <c r="A211" s="384" t="s">
        <v>342</v>
      </c>
      <c r="B211" s="489" t="s">
        <v>807</v>
      </c>
      <c r="C211" s="483">
        <v>4.6814999999999998</v>
      </c>
      <c r="D211" s="490">
        <v>7.5</v>
      </c>
      <c r="E211">
        <f t="shared" si="43"/>
        <v>4.6814999999999998</v>
      </c>
    </row>
    <row r="212" spans="1:5" x14ac:dyDescent="0.25">
      <c r="A212" s="384" t="s">
        <v>342</v>
      </c>
      <c r="B212" s="489" t="s">
        <v>808</v>
      </c>
      <c r="C212" s="483">
        <v>0.1048</v>
      </c>
      <c r="D212" s="490">
        <v>0.25</v>
      </c>
      <c r="E212">
        <f t="shared" si="43"/>
        <v>0</v>
      </c>
    </row>
    <row r="213" spans="1:5" x14ac:dyDescent="0.25">
      <c r="A213" s="384" t="s">
        <v>342</v>
      </c>
      <c r="B213" s="489" t="s">
        <v>809</v>
      </c>
      <c r="C213" s="483">
        <v>7.8051000000000004</v>
      </c>
      <c r="D213" s="490">
        <v>16</v>
      </c>
      <c r="E213">
        <f t="shared" si="43"/>
        <v>7.8051000000000004</v>
      </c>
    </row>
    <row r="214" spans="1:5" x14ac:dyDescent="0.25">
      <c r="A214" s="384" t="s">
        <v>342</v>
      </c>
      <c r="B214" s="489" t="s">
        <v>810</v>
      </c>
      <c r="C214" s="483">
        <v>6.2199999999999998E-2</v>
      </c>
      <c r="D214" s="490">
        <v>0.1037</v>
      </c>
      <c r="E214">
        <f t="shared" si="43"/>
        <v>0</v>
      </c>
    </row>
    <row r="215" spans="1:5" x14ac:dyDescent="0.25">
      <c r="A215" s="384" t="s">
        <v>342</v>
      </c>
      <c r="B215" s="489" t="s">
        <v>811</v>
      </c>
      <c r="C215" s="483">
        <v>5.36</v>
      </c>
      <c r="D215" s="490">
        <v>9.1</v>
      </c>
      <c r="E215">
        <f t="shared" si="43"/>
        <v>5.36</v>
      </c>
    </row>
    <row r="216" spans="1:5" x14ac:dyDescent="0.25">
      <c r="A216" s="384" t="s">
        <v>342</v>
      </c>
      <c r="B216" s="489" t="s">
        <v>812</v>
      </c>
      <c r="C216" s="483">
        <v>1.5E-3</v>
      </c>
      <c r="D216" s="490">
        <v>5.8999999999999999E-3</v>
      </c>
      <c r="E216">
        <f t="shared" si="43"/>
        <v>0</v>
      </c>
    </row>
    <row r="217" spans="1:5" x14ac:dyDescent="0.25">
      <c r="A217" s="484" t="s">
        <v>409</v>
      </c>
      <c r="B217" s="484"/>
      <c r="C217" s="485">
        <f>SUM(C186:C216)</f>
        <v>50.040499999999994</v>
      </c>
      <c r="D217" s="485">
        <f t="shared" ref="D217:E217" si="44">SUM(D186:D216)</f>
        <v>86.673899999999989</v>
      </c>
      <c r="E217" s="485">
        <f t="shared" si="44"/>
        <v>49.477800000000002</v>
      </c>
    </row>
    <row r="219" spans="1:5" x14ac:dyDescent="0.25">
      <c r="A219" s="384" t="s">
        <v>343</v>
      </c>
      <c r="B219" s="489" t="s">
        <v>813</v>
      </c>
      <c r="C219" s="483">
        <v>5.0000000000000001E-4</v>
      </c>
      <c r="D219" s="490">
        <v>2.5000000000000001E-3</v>
      </c>
      <c r="E219">
        <f>IF(C219&lt;2,0,C219)</f>
        <v>0</v>
      </c>
    </row>
    <row r="220" spans="1:5" x14ac:dyDescent="0.25">
      <c r="A220" s="384" t="s">
        <v>343</v>
      </c>
      <c r="B220" s="489" t="s">
        <v>814</v>
      </c>
      <c r="C220" s="483">
        <v>3.2000000000000002E-3</v>
      </c>
      <c r="D220" s="490">
        <v>1.0999999999999999E-2</v>
      </c>
      <c r="E220">
        <f t="shared" ref="E220:E270" si="45">IF(C220&lt;2,0,C220)</f>
        <v>0</v>
      </c>
    </row>
    <row r="221" spans="1:5" x14ac:dyDescent="0.25">
      <c r="A221" s="384" t="s">
        <v>343</v>
      </c>
      <c r="B221" s="489" t="s">
        <v>815</v>
      </c>
      <c r="C221" s="483">
        <v>2.4645000000000001</v>
      </c>
      <c r="D221" s="490">
        <v>3.5</v>
      </c>
      <c r="E221">
        <f t="shared" si="45"/>
        <v>2.4645000000000001</v>
      </c>
    </row>
    <row r="222" spans="1:5" x14ac:dyDescent="0.25">
      <c r="A222" s="384" t="s">
        <v>343</v>
      </c>
      <c r="B222" s="489" t="s">
        <v>816</v>
      </c>
      <c r="C222" s="483">
        <v>1.6299999999999999E-2</v>
      </c>
      <c r="D222" s="490">
        <v>0.03</v>
      </c>
      <c r="E222">
        <f t="shared" si="45"/>
        <v>0</v>
      </c>
    </row>
    <row r="223" spans="1:5" x14ac:dyDescent="0.25">
      <c r="A223" s="384" t="s">
        <v>343</v>
      </c>
      <c r="B223" s="489" t="s">
        <v>817</v>
      </c>
      <c r="C223" s="483">
        <v>0.74060000000000004</v>
      </c>
      <c r="D223" s="490">
        <v>0.875</v>
      </c>
      <c r="E223">
        <f t="shared" si="45"/>
        <v>0</v>
      </c>
    </row>
    <row r="224" spans="1:5" x14ac:dyDescent="0.25">
      <c r="A224" s="384" t="s">
        <v>343</v>
      </c>
      <c r="B224" s="489" t="s">
        <v>818</v>
      </c>
      <c r="C224" s="483">
        <v>0.1208</v>
      </c>
      <c r="D224" s="490">
        <v>0.155</v>
      </c>
      <c r="E224">
        <f t="shared" si="45"/>
        <v>0</v>
      </c>
    </row>
    <row r="225" spans="1:5" x14ac:dyDescent="0.25">
      <c r="A225" s="384" t="s">
        <v>343</v>
      </c>
      <c r="B225" s="489" t="s">
        <v>819</v>
      </c>
      <c r="C225" s="483">
        <v>5.8999999999999999E-3</v>
      </c>
      <c r="D225" s="490">
        <v>1.0999999999999999E-2</v>
      </c>
      <c r="E225">
        <f t="shared" si="45"/>
        <v>0</v>
      </c>
    </row>
    <row r="226" spans="1:5" x14ac:dyDescent="0.25">
      <c r="A226" s="384" t="s">
        <v>343</v>
      </c>
      <c r="B226" s="489" t="s">
        <v>820</v>
      </c>
      <c r="C226" s="483">
        <v>9.0700000000000003E-2</v>
      </c>
      <c r="D226" s="490">
        <v>7.4999999999999997E-2</v>
      </c>
      <c r="E226">
        <f t="shared" si="45"/>
        <v>0</v>
      </c>
    </row>
    <row r="227" spans="1:5" x14ac:dyDescent="0.25">
      <c r="A227" s="384" t="s">
        <v>343</v>
      </c>
      <c r="B227" s="489" t="s">
        <v>821</v>
      </c>
      <c r="C227" s="483">
        <v>1.9E-2</v>
      </c>
      <c r="D227" s="490">
        <v>0.03</v>
      </c>
      <c r="E227">
        <f t="shared" si="45"/>
        <v>0</v>
      </c>
    </row>
    <row r="228" spans="1:5" x14ac:dyDescent="0.25">
      <c r="A228" s="384" t="s">
        <v>343</v>
      </c>
      <c r="B228" s="489" t="s">
        <v>822</v>
      </c>
      <c r="C228" s="483">
        <v>1.67E-2</v>
      </c>
      <c r="D228" s="490">
        <v>2.9100000000000001E-2</v>
      </c>
      <c r="E228">
        <f t="shared" si="45"/>
        <v>0</v>
      </c>
    </row>
    <row r="229" spans="1:5" x14ac:dyDescent="0.25">
      <c r="A229" s="384" t="s">
        <v>343</v>
      </c>
      <c r="B229" s="489" t="s">
        <v>823</v>
      </c>
      <c r="C229" s="483">
        <v>2.9999999999999997E-4</v>
      </c>
      <c r="D229" s="490">
        <v>7.6E-3</v>
      </c>
      <c r="E229">
        <f t="shared" si="45"/>
        <v>0</v>
      </c>
    </row>
    <row r="230" spans="1:5" x14ac:dyDescent="0.25">
      <c r="A230" s="384" t="s">
        <v>343</v>
      </c>
      <c r="B230" s="489" t="s">
        <v>824</v>
      </c>
      <c r="C230" s="483">
        <v>7.0000000000000001E-3</v>
      </c>
      <c r="D230" s="490">
        <v>1.7000000000000001E-2</v>
      </c>
      <c r="E230">
        <f t="shared" si="45"/>
        <v>0</v>
      </c>
    </row>
    <row r="231" spans="1:5" x14ac:dyDescent="0.25">
      <c r="A231" s="384" t="s">
        <v>343</v>
      </c>
      <c r="B231" s="489" t="s">
        <v>825</v>
      </c>
      <c r="C231" s="483">
        <v>6.9199999999999998E-2</v>
      </c>
      <c r="D231" s="490">
        <v>0.28999999999999998</v>
      </c>
      <c r="E231">
        <f t="shared" si="45"/>
        <v>0</v>
      </c>
    </row>
    <row r="232" spans="1:5" x14ac:dyDescent="0.25">
      <c r="A232" s="384" t="s">
        <v>343</v>
      </c>
      <c r="B232" s="489" t="s">
        <v>826</v>
      </c>
      <c r="C232" s="483">
        <v>0.86739999999999995</v>
      </c>
      <c r="D232" s="490">
        <v>1.4</v>
      </c>
      <c r="E232">
        <f t="shared" si="45"/>
        <v>0</v>
      </c>
    </row>
    <row r="233" spans="1:5" x14ac:dyDescent="0.25">
      <c r="A233" s="384" t="s">
        <v>343</v>
      </c>
      <c r="B233" s="489" t="s">
        <v>827</v>
      </c>
      <c r="C233" s="483">
        <v>2.02</v>
      </c>
      <c r="D233" s="490">
        <v>4.6100000000000003</v>
      </c>
      <c r="E233">
        <f t="shared" si="45"/>
        <v>2.02</v>
      </c>
    </row>
    <row r="234" spans="1:5" x14ac:dyDescent="0.25">
      <c r="A234" s="384" t="s">
        <v>343</v>
      </c>
      <c r="B234" s="489" t="s">
        <v>828</v>
      </c>
      <c r="C234" s="483">
        <v>2.9592999999999998</v>
      </c>
      <c r="D234" s="490">
        <v>4.8</v>
      </c>
      <c r="E234">
        <f t="shared" si="45"/>
        <v>2.9592999999999998</v>
      </c>
    </row>
    <row r="235" spans="1:5" x14ac:dyDescent="0.25">
      <c r="A235" s="384" t="s">
        <v>343</v>
      </c>
      <c r="B235" s="489" t="s">
        <v>829</v>
      </c>
      <c r="C235" s="483">
        <v>5.79E-2</v>
      </c>
      <c r="D235" s="490">
        <v>0.12509999999999999</v>
      </c>
      <c r="E235">
        <f t="shared" si="45"/>
        <v>0</v>
      </c>
    </row>
    <row r="236" spans="1:5" x14ac:dyDescent="0.25">
      <c r="A236" s="384" t="s">
        <v>343</v>
      </c>
      <c r="B236" s="489" t="s">
        <v>830</v>
      </c>
      <c r="C236" s="483">
        <v>6.7000000000000002E-3</v>
      </c>
      <c r="D236" s="490">
        <v>0.01</v>
      </c>
      <c r="E236">
        <f t="shared" si="45"/>
        <v>0</v>
      </c>
    </row>
    <row r="237" spans="1:5" x14ac:dyDescent="0.25">
      <c r="A237" s="384" t="s">
        <v>343</v>
      </c>
      <c r="B237" s="489" t="s">
        <v>831</v>
      </c>
      <c r="C237" s="483">
        <v>3.0999999999999999E-3</v>
      </c>
      <c r="D237" s="490">
        <v>1.6400000000000001E-2</v>
      </c>
      <c r="E237">
        <f t="shared" si="45"/>
        <v>0</v>
      </c>
    </row>
    <row r="238" spans="1:5" x14ac:dyDescent="0.25">
      <c r="A238" s="384" t="s">
        <v>343</v>
      </c>
      <c r="B238" s="489" t="s">
        <v>832</v>
      </c>
      <c r="C238" s="483">
        <v>4.0000000000000002E-4</v>
      </c>
      <c r="D238" s="490">
        <v>3.5000000000000001E-3</v>
      </c>
      <c r="E238">
        <f t="shared" si="45"/>
        <v>0</v>
      </c>
    </row>
    <row r="239" spans="1:5" x14ac:dyDescent="0.25">
      <c r="A239" s="384" t="s">
        <v>343</v>
      </c>
      <c r="B239" s="489" t="s">
        <v>833</v>
      </c>
      <c r="C239" s="483">
        <v>1.6E-2</v>
      </c>
      <c r="D239" s="490">
        <v>2.75E-2</v>
      </c>
      <c r="E239">
        <f t="shared" si="45"/>
        <v>0</v>
      </c>
    </row>
    <row r="240" spans="1:5" x14ac:dyDescent="0.25">
      <c r="A240" s="384" t="s">
        <v>343</v>
      </c>
      <c r="B240" s="489" t="s">
        <v>834</v>
      </c>
      <c r="C240" s="483">
        <v>1.6999999999999999E-3</v>
      </c>
      <c r="D240" s="490">
        <v>7.1000000000000004E-3</v>
      </c>
      <c r="E240">
        <f t="shared" si="45"/>
        <v>0</v>
      </c>
    </row>
    <row r="241" spans="1:5" x14ac:dyDescent="0.25">
      <c r="A241" s="384" t="s">
        <v>343</v>
      </c>
      <c r="B241" s="489" t="s">
        <v>835</v>
      </c>
      <c r="C241" s="483">
        <v>9.6799999999999997E-2</v>
      </c>
      <c r="D241" s="490">
        <v>0.1295</v>
      </c>
      <c r="E241">
        <f t="shared" si="45"/>
        <v>0</v>
      </c>
    </row>
    <row r="242" spans="1:5" x14ac:dyDescent="0.25">
      <c r="A242" s="384" t="s">
        <v>343</v>
      </c>
      <c r="B242" s="489" t="s">
        <v>836</v>
      </c>
      <c r="C242" s="483">
        <v>2.7000000000000001E-3</v>
      </c>
      <c r="D242" s="490">
        <v>7.4999999999999997E-3</v>
      </c>
      <c r="E242">
        <f t="shared" si="45"/>
        <v>0</v>
      </c>
    </row>
    <row r="243" spans="1:5" x14ac:dyDescent="0.25">
      <c r="A243" s="384" t="s">
        <v>343</v>
      </c>
      <c r="B243" s="489" t="s">
        <v>837</v>
      </c>
      <c r="C243" s="483">
        <v>2.0299999999999999E-2</v>
      </c>
      <c r="D243" s="490">
        <v>3.32E-2</v>
      </c>
      <c r="E243">
        <f t="shared" si="45"/>
        <v>0</v>
      </c>
    </row>
    <row r="244" spans="1:5" x14ac:dyDescent="0.25">
      <c r="A244" s="384" t="s">
        <v>343</v>
      </c>
      <c r="B244" s="489" t="s">
        <v>838</v>
      </c>
      <c r="C244" s="483">
        <v>6.0499999999999998E-2</v>
      </c>
      <c r="D244" s="490">
        <v>7.0699999999999999E-2</v>
      </c>
      <c r="E244">
        <f t="shared" si="45"/>
        <v>0</v>
      </c>
    </row>
    <row r="245" spans="1:5" x14ac:dyDescent="0.25">
      <c r="A245" s="384" t="s">
        <v>343</v>
      </c>
      <c r="B245" s="489" t="s">
        <v>839</v>
      </c>
      <c r="C245" s="483">
        <v>1.6000000000000001E-3</v>
      </c>
      <c r="D245" s="490">
        <v>2E-3</v>
      </c>
      <c r="E245">
        <f t="shared" si="45"/>
        <v>0</v>
      </c>
    </row>
    <row r="246" spans="1:5" x14ac:dyDescent="0.25">
      <c r="A246" s="384" t="s">
        <v>343</v>
      </c>
      <c r="B246" s="489" t="s">
        <v>840</v>
      </c>
      <c r="C246" s="483">
        <v>7.9000000000000008E-3</v>
      </c>
      <c r="D246" s="490">
        <v>0.01</v>
      </c>
      <c r="E246">
        <f t="shared" si="45"/>
        <v>0</v>
      </c>
    </row>
    <row r="247" spans="1:5" x14ac:dyDescent="0.25">
      <c r="A247" s="384" t="s">
        <v>343</v>
      </c>
      <c r="B247" s="489" t="s">
        <v>841</v>
      </c>
      <c r="C247" s="483">
        <v>3.2000000000000002E-3</v>
      </c>
      <c r="D247" s="490">
        <v>1.1599999999999999E-2</v>
      </c>
      <c r="E247">
        <f t="shared" si="45"/>
        <v>0</v>
      </c>
    </row>
    <row r="248" spans="1:5" x14ac:dyDescent="0.25">
      <c r="A248" s="384" t="s">
        <v>343</v>
      </c>
      <c r="B248" s="489" t="s">
        <v>842</v>
      </c>
      <c r="C248" s="483">
        <v>5.6970000000000001</v>
      </c>
      <c r="D248" s="490">
        <v>9.6389999999999993</v>
      </c>
      <c r="E248">
        <f t="shared" si="45"/>
        <v>5.6970000000000001</v>
      </c>
    </row>
    <row r="249" spans="1:5" x14ac:dyDescent="0.25">
      <c r="A249" s="384" t="s">
        <v>343</v>
      </c>
      <c r="B249" s="489" t="s">
        <v>843</v>
      </c>
      <c r="C249" s="483">
        <v>1.9300000000000001E-2</v>
      </c>
      <c r="D249" s="490">
        <v>2.1999999999999999E-2</v>
      </c>
      <c r="E249">
        <f t="shared" si="45"/>
        <v>0</v>
      </c>
    </row>
    <row r="250" spans="1:5" x14ac:dyDescent="0.25">
      <c r="A250" s="384" t="s">
        <v>343</v>
      </c>
      <c r="B250" s="489" t="s">
        <v>844</v>
      </c>
      <c r="C250" s="483">
        <v>0.32279999999999998</v>
      </c>
      <c r="D250" s="490">
        <v>0.45</v>
      </c>
      <c r="E250">
        <f t="shared" si="45"/>
        <v>0</v>
      </c>
    </row>
    <row r="251" spans="1:5" x14ac:dyDescent="0.25">
      <c r="A251" s="384" t="s">
        <v>343</v>
      </c>
      <c r="B251" s="489" t="s">
        <v>845</v>
      </c>
      <c r="C251" s="483">
        <v>1.8160000000000001</v>
      </c>
      <c r="D251" s="490">
        <v>3.3</v>
      </c>
      <c r="E251">
        <f t="shared" si="45"/>
        <v>0</v>
      </c>
    </row>
    <row r="252" spans="1:5" x14ac:dyDescent="0.25">
      <c r="A252" s="384" t="s">
        <v>343</v>
      </c>
      <c r="B252" s="489" t="s">
        <v>846</v>
      </c>
      <c r="C252" s="483">
        <v>0.98040000000000005</v>
      </c>
      <c r="D252" s="490">
        <v>2</v>
      </c>
      <c r="E252">
        <f t="shared" si="45"/>
        <v>0</v>
      </c>
    </row>
    <row r="253" spans="1:5" x14ac:dyDescent="0.25">
      <c r="A253" s="384" t="s">
        <v>343</v>
      </c>
      <c r="B253" s="489" t="s">
        <v>847</v>
      </c>
      <c r="C253" s="483">
        <v>0.11559999999999999</v>
      </c>
      <c r="D253" s="490">
        <v>0.20419999999999999</v>
      </c>
      <c r="E253">
        <f t="shared" si="45"/>
        <v>0</v>
      </c>
    </row>
    <row r="254" spans="1:5" x14ac:dyDescent="0.25">
      <c r="A254" s="384" t="s">
        <v>343</v>
      </c>
      <c r="B254" s="489" t="s">
        <v>848</v>
      </c>
      <c r="C254" s="483">
        <v>9.4000000000000004E-3</v>
      </c>
      <c r="D254" s="490">
        <v>0.03</v>
      </c>
      <c r="E254">
        <f t="shared" si="45"/>
        <v>0</v>
      </c>
    </row>
    <row r="255" spans="1:5" x14ac:dyDescent="0.25">
      <c r="A255" s="384" t="s">
        <v>343</v>
      </c>
      <c r="B255" s="489" t="s">
        <v>849</v>
      </c>
      <c r="C255" s="483">
        <v>0.3155</v>
      </c>
      <c r="D255" s="490">
        <v>0.5</v>
      </c>
      <c r="E255">
        <f t="shared" si="45"/>
        <v>0</v>
      </c>
    </row>
    <row r="256" spans="1:5" x14ac:dyDescent="0.25">
      <c r="A256" s="384" t="s">
        <v>343</v>
      </c>
      <c r="B256" s="489" t="s">
        <v>850</v>
      </c>
      <c r="C256" s="483">
        <v>2.4498000000000002</v>
      </c>
      <c r="D256" s="490">
        <v>4.3099999999999996</v>
      </c>
      <c r="E256">
        <f t="shared" si="45"/>
        <v>2.4498000000000002</v>
      </c>
    </row>
    <row r="257" spans="1:5" x14ac:dyDescent="0.25">
      <c r="A257" s="384" t="s">
        <v>343</v>
      </c>
      <c r="B257" s="489" t="s">
        <v>982</v>
      </c>
      <c r="C257" s="483">
        <v>0.16470000000000001</v>
      </c>
      <c r="D257" s="490">
        <v>0.17499999999999999</v>
      </c>
      <c r="E257">
        <f t="shared" si="45"/>
        <v>0</v>
      </c>
    </row>
    <row r="258" spans="1:5" x14ac:dyDescent="0.25">
      <c r="A258" s="384" t="s">
        <v>343</v>
      </c>
      <c r="B258" s="489" t="s">
        <v>851</v>
      </c>
      <c r="C258" s="483">
        <v>0.23319999999999999</v>
      </c>
      <c r="D258" s="490">
        <v>0.33</v>
      </c>
      <c r="E258">
        <f t="shared" si="45"/>
        <v>0</v>
      </c>
    </row>
    <row r="259" spans="1:5" x14ac:dyDescent="0.25">
      <c r="A259" s="384" t="s">
        <v>343</v>
      </c>
      <c r="B259" s="489" t="s">
        <v>852</v>
      </c>
      <c r="C259" s="483">
        <v>2.87E-2</v>
      </c>
      <c r="D259" s="490">
        <v>5.04E-2</v>
      </c>
      <c r="E259">
        <f t="shared" si="45"/>
        <v>0</v>
      </c>
    </row>
    <row r="260" spans="1:5" x14ac:dyDescent="0.25">
      <c r="A260" s="384" t="s">
        <v>343</v>
      </c>
      <c r="B260" s="489" t="s">
        <v>853</v>
      </c>
      <c r="C260" s="483">
        <v>10.9133</v>
      </c>
      <c r="D260" s="490">
        <v>12</v>
      </c>
      <c r="E260">
        <f t="shared" si="45"/>
        <v>10.9133</v>
      </c>
    </row>
    <row r="261" spans="1:5" x14ac:dyDescent="0.25">
      <c r="A261" s="384" t="s">
        <v>343</v>
      </c>
      <c r="B261" s="489" t="s">
        <v>854</v>
      </c>
      <c r="C261" s="483">
        <v>12.6175</v>
      </c>
      <c r="D261" s="490">
        <v>16</v>
      </c>
      <c r="E261">
        <f t="shared" si="45"/>
        <v>12.6175</v>
      </c>
    </row>
    <row r="262" spans="1:5" x14ac:dyDescent="0.25">
      <c r="A262" s="384" t="s">
        <v>343</v>
      </c>
      <c r="B262" s="489" t="s">
        <v>855</v>
      </c>
      <c r="C262" s="483">
        <v>0.11899999999999999</v>
      </c>
      <c r="D262" s="490">
        <v>0.4</v>
      </c>
      <c r="E262">
        <f t="shared" si="45"/>
        <v>0</v>
      </c>
    </row>
    <row r="263" spans="1:5" x14ac:dyDescent="0.25">
      <c r="A263" s="384" t="s">
        <v>343</v>
      </c>
      <c r="B263" s="489" t="s">
        <v>856</v>
      </c>
      <c r="C263" s="483">
        <v>1.0278</v>
      </c>
      <c r="D263" s="490">
        <v>0.9</v>
      </c>
      <c r="E263">
        <f t="shared" si="45"/>
        <v>0</v>
      </c>
    </row>
    <row r="264" spans="1:5" x14ac:dyDescent="0.25">
      <c r="A264" s="384" t="s">
        <v>343</v>
      </c>
      <c r="B264" s="489" t="s">
        <v>857</v>
      </c>
      <c r="C264" s="483">
        <v>3.7000000000000002E-3</v>
      </c>
      <c r="D264" s="490">
        <v>1.9900000000000001E-2</v>
      </c>
      <c r="E264">
        <f t="shared" si="45"/>
        <v>0</v>
      </c>
    </row>
    <row r="265" spans="1:5" x14ac:dyDescent="0.25">
      <c r="A265" s="384" t="s">
        <v>343</v>
      </c>
      <c r="B265" s="489" t="s">
        <v>858</v>
      </c>
      <c r="C265" s="483">
        <v>1E-4</v>
      </c>
      <c r="D265" s="490">
        <v>7.0000000000000001E-3</v>
      </c>
      <c r="E265">
        <f t="shared" si="45"/>
        <v>0</v>
      </c>
    </row>
    <row r="266" spans="1:5" x14ac:dyDescent="0.25">
      <c r="A266" s="384" t="s">
        <v>343</v>
      </c>
      <c r="B266" s="489" t="s">
        <v>859</v>
      </c>
      <c r="C266" s="483">
        <v>1.7101</v>
      </c>
      <c r="D266" s="490">
        <v>2</v>
      </c>
      <c r="E266">
        <f t="shared" si="45"/>
        <v>0</v>
      </c>
    </row>
    <row r="267" spans="1:5" x14ac:dyDescent="0.25">
      <c r="A267" s="384" t="s">
        <v>343</v>
      </c>
      <c r="B267" s="489" t="s">
        <v>860</v>
      </c>
      <c r="C267" s="483">
        <v>8.3000000000000001E-3</v>
      </c>
      <c r="D267" s="490">
        <v>0.04</v>
      </c>
      <c r="E267">
        <f t="shared" si="45"/>
        <v>0</v>
      </c>
    </row>
    <row r="268" spans="1:5" x14ac:dyDescent="0.25">
      <c r="A268" s="384" t="s">
        <v>343</v>
      </c>
      <c r="B268" s="489" t="s">
        <v>861</v>
      </c>
      <c r="C268" s="483">
        <v>2.3153999999999999</v>
      </c>
      <c r="D268" s="490">
        <v>3.39</v>
      </c>
      <c r="E268">
        <f t="shared" si="45"/>
        <v>2.3153999999999999</v>
      </c>
    </row>
    <row r="269" spans="1:5" x14ac:dyDescent="0.25">
      <c r="A269" s="384" t="s">
        <v>343</v>
      </c>
      <c r="B269" s="489" t="s">
        <v>862</v>
      </c>
      <c r="C269" s="483">
        <v>0.41920000000000002</v>
      </c>
      <c r="D269" s="490">
        <v>0.5</v>
      </c>
      <c r="E269">
        <f t="shared" si="45"/>
        <v>0</v>
      </c>
    </row>
    <row r="270" spans="1:5" x14ac:dyDescent="0.25">
      <c r="A270" s="384" t="s">
        <v>343</v>
      </c>
      <c r="B270" s="489" t="s">
        <v>863</v>
      </c>
      <c r="C270" s="483">
        <v>0.115</v>
      </c>
      <c r="D270" s="490">
        <v>0.24399999999999999</v>
      </c>
      <c r="E270">
        <f t="shared" si="45"/>
        <v>0</v>
      </c>
    </row>
    <row r="271" spans="1:5" x14ac:dyDescent="0.25">
      <c r="A271" s="484" t="s">
        <v>409</v>
      </c>
      <c r="B271" s="484"/>
      <c r="C271" s="485">
        <f>SUM(C219:C270)</f>
        <v>51.081999999999987</v>
      </c>
      <c r="D271" s="485">
        <f>SUM(D219:D270)</f>
        <v>72.808800000000048</v>
      </c>
      <c r="E271" s="485">
        <f>SUM(E219:E270)</f>
        <v>41.436799999999998</v>
      </c>
    </row>
    <row r="272" spans="1:5" x14ac:dyDescent="0.25">
      <c r="A272" s="384"/>
    </row>
    <row r="273" spans="1:5" x14ac:dyDescent="0.25">
      <c r="A273" s="384" t="s">
        <v>344</v>
      </c>
      <c r="B273" s="489" t="s">
        <v>864</v>
      </c>
      <c r="C273" s="483">
        <v>21.015000000000001</v>
      </c>
      <c r="D273" s="490">
        <v>32</v>
      </c>
      <c r="E273">
        <f>IF(C273&lt;2,0,C273)</f>
        <v>21.015000000000001</v>
      </c>
    </row>
    <row r="274" spans="1:5" x14ac:dyDescent="0.25">
      <c r="A274" s="384" t="s">
        <v>344</v>
      </c>
      <c r="B274" s="489" t="s">
        <v>865</v>
      </c>
      <c r="C274" s="483">
        <v>22.225000000000001</v>
      </c>
      <c r="D274" s="490">
        <v>32</v>
      </c>
      <c r="E274">
        <f t="shared" ref="E274:E280" si="46">IF(C274&lt;2,0,C274)</f>
        <v>22.225000000000001</v>
      </c>
    </row>
    <row r="275" spans="1:5" x14ac:dyDescent="0.25">
      <c r="A275" s="384" t="s">
        <v>344</v>
      </c>
      <c r="B275" s="489" t="s">
        <v>866</v>
      </c>
      <c r="C275" s="483">
        <v>6.1999999999999998E-3</v>
      </c>
      <c r="D275" s="490">
        <v>1.7000000000000001E-2</v>
      </c>
      <c r="E275">
        <f t="shared" si="46"/>
        <v>0</v>
      </c>
    </row>
    <row r="276" spans="1:5" x14ac:dyDescent="0.25">
      <c r="A276" s="384" t="s">
        <v>344</v>
      </c>
      <c r="B276" s="489" t="s">
        <v>867</v>
      </c>
      <c r="C276" s="483">
        <v>3.2899999999999999E-2</v>
      </c>
      <c r="D276" s="490">
        <v>4.4999999999999998E-2</v>
      </c>
      <c r="E276">
        <f t="shared" si="46"/>
        <v>0</v>
      </c>
    </row>
    <row r="277" spans="1:5" x14ac:dyDescent="0.25">
      <c r="A277" s="384" t="s">
        <v>344</v>
      </c>
      <c r="B277" s="489" t="s">
        <v>868</v>
      </c>
      <c r="C277" s="483">
        <v>1.61E-2</v>
      </c>
      <c r="D277" s="490">
        <v>3.5000000000000003E-2</v>
      </c>
      <c r="E277">
        <f t="shared" si="46"/>
        <v>0</v>
      </c>
    </row>
    <row r="278" spans="1:5" x14ac:dyDescent="0.25">
      <c r="A278" s="384" t="s">
        <v>344</v>
      </c>
      <c r="B278" s="489" t="s">
        <v>869</v>
      </c>
      <c r="C278" s="483">
        <v>1.95E-2</v>
      </c>
      <c r="D278" s="490">
        <v>2.6100000000000002E-2</v>
      </c>
      <c r="E278">
        <f t="shared" si="46"/>
        <v>0</v>
      </c>
    </row>
    <row r="279" spans="1:5" x14ac:dyDescent="0.25">
      <c r="A279" s="384" t="s">
        <v>344</v>
      </c>
      <c r="B279" s="489" t="s">
        <v>870</v>
      </c>
      <c r="C279" s="483">
        <v>2.7000000000000001E-3</v>
      </c>
      <c r="D279" s="490">
        <v>0.01</v>
      </c>
      <c r="E279">
        <f t="shared" si="46"/>
        <v>0</v>
      </c>
    </row>
    <row r="280" spans="1:5" x14ac:dyDescent="0.25">
      <c r="A280" s="384" t="s">
        <v>344</v>
      </c>
      <c r="B280" s="489" t="s">
        <v>871</v>
      </c>
      <c r="C280" s="483">
        <v>7.1833</v>
      </c>
      <c r="D280" s="490">
        <v>20</v>
      </c>
      <c r="E280">
        <f t="shared" si="46"/>
        <v>7.1833</v>
      </c>
    </row>
    <row r="281" spans="1:5" x14ac:dyDescent="0.25">
      <c r="A281" s="484" t="s">
        <v>409</v>
      </c>
      <c r="B281" s="484"/>
      <c r="C281" s="485">
        <f>SUM(C273:C280)</f>
        <v>50.500700000000002</v>
      </c>
      <c r="D281" s="485">
        <f t="shared" ref="D281:E281" si="47">SUM(D273:D280)</f>
        <v>84.133099999999999</v>
      </c>
      <c r="E281" s="485">
        <f t="shared" si="47"/>
        <v>50.423300000000005</v>
      </c>
    </row>
    <row r="283" spans="1:5" x14ac:dyDescent="0.25">
      <c r="A283" s="384" t="s">
        <v>345</v>
      </c>
      <c r="B283" s="489" t="s">
        <v>872</v>
      </c>
      <c r="C283" s="483">
        <v>0.79720000000000002</v>
      </c>
      <c r="D283" s="490">
        <v>1.2</v>
      </c>
      <c r="E283">
        <f>IF(C283&lt;2,0,C283)</f>
        <v>0</v>
      </c>
    </row>
    <row r="284" spans="1:5" x14ac:dyDescent="0.25">
      <c r="A284" s="384" t="s">
        <v>345</v>
      </c>
      <c r="B284" s="489" t="s">
        <v>873</v>
      </c>
      <c r="C284" s="483">
        <v>5.9900000000000002E-2</v>
      </c>
      <c r="D284" s="490">
        <v>0.1</v>
      </c>
      <c r="E284">
        <f t="shared" ref="E284:E300" si="48">IF(C284&lt;2,0,C284)</f>
        <v>0</v>
      </c>
    </row>
    <row r="285" spans="1:5" x14ac:dyDescent="0.25">
      <c r="A285" s="384" t="s">
        <v>345</v>
      </c>
      <c r="B285" s="489" t="s">
        <v>874</v>
      </c>
      <c r="C285" s="483">
        <v>8.9999999999999998E-4</v>
      </c>
      <c r="D285" s="490">
        <v>7.4999999999999997E-3</v>
      </c>
      <c r="E285">
        <f t="shared" si="48"/>
        <v>0</v>
      </c>
    </row>
    <row r="286" spans="1:5" x14ac:dyDescent="0.25">
      <c r="A286" s="384" t="s">
        <v>345</v>
      </c>
      <c r="B286" s="489" t="s">
        <v>875</v>
      </c>
      <c r="C286" s="483">
        <v>9.5999999999999992E-3</v>
      </c>
      <c r="D286" s="490">
        <v>0.05</v>
      </c>
      <c r="E286">
        <f t="shared" si="48"/>
        <v>0</v>
      </c>
    </row>
    <row r="287" spans="1:5" x14ac:dyDescent="0.25">
      <c r="A287" s="384" t="s">
        <v>345</v>
      </c>
      <c r="B287" s="489" t="s">
        <v>876</v>
      </c>
      <c r="C287" s="483">
        <v>1.9300000000000001E-2</v>
      </c>
      <c r="D287" s="490">
        <v>3.5999999999999997E-2</v>
      </c>
      <c r="E287">
        <f t="shared" si="48"/>
        <v>0</v>
      </c>
    </row>
    <row r="288" spans="1:5" x14ac:dyDescent="0.25">
      <c r="A288" s="384" t="s">
        <v>345</v>
      </c>
      <c r="B288" s="489" t="s">
        <v>877</v>
      </c>
      <c r="C288" s="483">
        <v>1.9E-3</v>
      </c>
      <c r="D288" s="490">
        <v>8.0000000000000002E-3</v>
      </c>
      <c r="E288">
        <f t="shared" si="48"/>
        <v>0</v>
      </c>
    </row>
    <row r="289" spans="1:5" x14ac:dyDescent="0.25">
      <c r="A289" s="384" t="s">
        <v>345</v>
      </c>
      <c r="B289" s="489" t="s">
        <v>878</v>
      </c>
      <c r="C289" s="483">
        <v>1.0999999999999999E-2</v>
      </c>
      <c r="D289" s="490">
        <v>1.17E-2</v>
      </c>
      <c r="E289">
        <f t="shared" si="48"/>
        <v>0</v>
      </c>
    </row>
    <row r="290" spans="1:5" x14ac:dyDescent="0.25">
      <c r="A290" s="384" t="s">
        <v>345</v>
      </c>
      <c r="B290" s="489" t="s">
        <v>879</v>
      </c>
      <c r="C290" s="483">
        <v>1.0317000000000001</v>
      </c>
      <c r="D290" s="490">
        <v>1.25</v>
      </c>
      <c r="E290">
        <f t="shared" si="48"/>
        <v>0</v>
      </c>
    </row>
    <row r="291" spans="1:5" x14ac:dyDescent="0.25">
      <c r="A291" s="384" t="s">
        <v>345</v>
      </c>
      <c r="B291" s="489" t="s">
        <v>880</v>
      </c>
      <c r="C291" s="483">
        <v>7.9916999999999998</v>
      </c>
      <c r="D291" s="490">
        <v>13.5</v>
      </c>
      <c r="E291">
        <f t="shared" si="48"/>
        <v>7.9916999999999998</v>
      </c>
    </row>
    <row r="292" spans="1:5" x14ac:dyDescent="0.25">
      <c r="A292" s="384" t="s">
        <v>345</v>
      </c>
      <c r="B292" s="489" t="s">
        <v>881</v>
      </c>
      <c r="C292" s="483">
        <v>6.7000000000000002E-3</v>
      </c>
      <c r="D292" s="490">
        <v>0.02</v>
      </c>
      <c r="E292">
        <f t="shared" si="48"/>
        <v>0</v>
      </c>
    </row>
    <row r="293" spans="1:5" x14ac:dyDescent="0.25">
      <c r="A293" s="384" t="s">
        <v>345</v>
      </c>
      <c r="B293" s="489" t="s">
        <v>882</v>
      </c>
      <c r="C293" s="483">
        <v>2.98E-2</v>
      </c>
      <c r="D293" s="490">
        <v>6.4000000000000001E-2</v>
      </c>
      <c r="E293">
        <f t="shared" si="48"/>
        <v>0</v>
      </c>
    </row>
    <row r="294" spans="1:5" x14ac:dyDescent="0.25">
      <c r="A294" s="384" t="s">
        <v>345</v>
      </c>
      <c r="B294" s="489" t="s">
        <v>883</v>
      </c>
      <c r="C294" s="483">
        <v>1.1999999999999999E-3</v>
      </c>
      <c r="D294" s="490">
        <v>5.0000000000000001E-3</v>
      </c>
      <c r="E294">
        <f t="shared" si="48"/>
        <v>0</v>
      </c>
    </row>
    <row r="295" spans="1:5" x14ac:dyDescent="0.25">
      <c r="A295" s="384" t="s">
        <v>345</v>
      </c>
      <c r="B295" s="489" t="s">
        <v>884</v>
      </c>
      <c r="C295" s="483">
        <v>4.4200000000000003E-2</v>
      </c>
      <c r="D295" s="490">
        <v>6.5000000000000002E-2</v>
      </c>
      <c r="E295">
        <f t="shared" si="48"/>
        <v>0</v>
      </c>
    </row>
    <row r="296" spans="1:5" x14ac:dyDescent="0.25">
      <c r="A296" s="384" t="s">
        <v>345</v>
      </c>
      <c r="B296" s="489" t="s">
        <v>885</v>
      </c>
      <c r="C296" s="483">
        <v>0.10829999999999999</v>
      </c>
      <c r="D296" s="490">
        <v>0.17199999999999999</v>
      </c>
      <c r="E296">
        <f t="shared" si="48"/>
        <v>0</v>
      </c>
    </row>
    <row r="297" spans="1:5" x14ac:dyDescent="0.25">
      <c r="A297" s="384" t="s">
        <v>345</v>
      </c>
      <c r="B297" s="489" t="s">
        <v>886</v>
      </c>
      <c r="C297" s="483">
        <v>7.2999999999999995E-2</v>
      </c>
      <c r="D297" s="490">
        <v>0.2</v>
      </c>
      <c r="E297">
        <f t="shared" si="48"/>
        <v>0</v>
      </c>
    </row>
    <row r="298" spans="1:5" x14ac:dyDescent="0.25">
      <c r="A298" s="384" t="s">
        <v>345</v>
      </c>
      <c r="B298" s="489" t="s">
        <v>887</v>
      </c>
      <c r="C298" s="483">
        <v>1.7100000000000001E-2</v>
      </c>
      <c r="D298" s="490">
        <v>0.02</v>
      </c>
      <c r="E298">
        <f t="shared" si="48"/>
        <v>0</v>
      </c>
    </row>
    <row r="299" spans="1:5" x14ac:dyDescent="0.25">
      <c r="A299" s="384" t="s">
        <v>345</v>
      </c>
      <c r="B299" s="489" t="s">
        <v>888</v>
      </c>
      <c r="C299" s="483">
        <v>2.3999999999999998E-3</v>
      </c>
      <c r="D299" s="490">
        <v>4.4999999999999997E-3</v>
      </c>
      <c r="E299">
        <f t="shared" si="48"/>
        <v>0</v>
      </c>
    </row>
    <row r="300" spans="1:5" x14ac:dyDescent="0.25">
      <c r="A300" s="384" t="s">
        <v>345</v>
      </c>
      <c r="B300" s="489" t="s">
        <v>889</v>
      </c>
      <c r="C300" s="483">
        <v>6.1800000000000001E-2</v>
      </c>
      <c r="D300" s="490">
        <v>9.6500000000000002E-2</v>
      </c>
      <c r="E300">
        <f t="shared" si="48"/>
        <v>0</v>
      </c>
    </row>
    <row r="301" spans="1:5" x14ac:dyDescent="0.25">
      <c r="A301" s="484" t="s">
        <v>409</v>
      </c>
      <c r="B301" s="484"/>
      <c r="C301" s="485">
        <f>SUM(C283:C300)</f>
        <v>10.2677</v>
      </c>
      <c r="D301" s="485">
        <f t="shared" ref="D301:E301" si="49">SUM(D283:D300)</f>
        <v>16.810199999999998</v>
      </c>
      <c r="E301" s="485">
        <f t="shared" si="49"/>
        <v>7.9916999999999998</v>
      </c>
    </row>
    <row r="302" spans="1:5" x14ac:dyDescent="0.25">
      <c r="A302" s="384"/>
    </row>
    <row r="303" spans="1:5" x14ac:dyDescent="0.25">
      <c r="A303" s="384" t="s">
        <v>346</v>
      </c>
      <c r="B303" s="489" t="s">
        <v>890</v>
      </c>
      <c r="C303" s="483">
        <v>0.98180000000000001</v>
      </c>
      <c r="D303" s="490">
        <v>1.3</v>
      </c>
      <c r="E303">
        <f>IF(C303&lt;2,0,C303)</f>
        <v>0</v>
      </c>
    </row>
    <row r="304" spans="1:5" ht="26.4" x14ac:dyDescent="0.25">
      <c r="A304" s="384" t="s">
        <v>346</v>
      </c>
      <c r="B304" s="489" t="s">
        <v>891</v>
      </c>
      <c r="C304" s="483">
        <v>0.02</v>
      </c>
      <c r="D304" s="490">
        <v>0.02</v>
      </c>
      <c r="E304">
        <f t="shared" ref="E304:E315" si="50">IF(C304&lt;2,0,C304)</f>
        <v>0</v>
      </c>
    </row>
    <row r="305" spans="1:5" x14ac:dyDescent="0.25">
      <c r="A305" s="384" t="s">
        <v>346</v>
      </c>
      <c r="B305" s="489" t="s">
        <v>892</v>
      </c>
      <c r="C305" s="483">
        <v>1.09E-2</v>
      </c>
      <c r="D305" s="490">
        <v>0.05</v>
      </c>
      <c r="E305">
        <f t="shared" si="50"/>
        <v>0</v>
      </c>
    </row>
    <row r="306" spans="1:5" x14ac:dyDescent="0.25">
      <c r="A306" s="384" t="s">
        <v>346</v>
      </c>
      <c r="B306" s="489" t="s">
        <v>893</v>
      </c>
      <c r="C306" s="483">
        <v>2.47E-2</v>
      </c>
      <c r="D306" s="490">
        <v>0.05</v>
      </c>
      <c r="E306">
        <f t="shared" si="50"/>
        <v>0</v>
      </c>
    </row>
    <row r="307" spans="1:5" x14ac:dyDescent="0.25">
      <c r="A307" s="384" t="s">
        <v>346</v>
      </c>
      <c r="B307" s="489" t="s">
        <v>894</v>
      </c>
      <c r="C307" s="483">
        <v>0.01</v>
      </c>
      <c r="D307" s="490">
        <v>0.03</v>
      </c>
      <c r="E307">
        <f t="shared" si="50"/>
        <v>0</v>
      </c>
    </row>
    <row r="308" spans="1:5" x14ac:dyDescent="0.25">
      <c r="A308" s="384" t="s">
        <v>346</v>
      </c>
      <c r="B308" s="489" t="s">
        <v>895</v>
      </c>
      <c r="C308" s="483">
        <v>0.38200000000000001</v>
      </c>
      <c r="D308" s="490">
        <v>0.75</v>
      </c>
      <c r="E308">
        <f t="shared" si="50"/>
        <v>0</v>
      </c>
    </row>
    <row r="309" spans="1:5" x14ac:dyDescent="0.25">
      <c r="A309" s="384" t="s">
        <v>346</v>
      </c>
      <c r="B309" s="489" t="s">
        <v>896</v>
      </c>
      <c r="C309" s="483">
        <v>1.3655999999999999</v>
      </c>
      <c r="D309" s="492">
        <v>1.875</v>
      </c>
      <c r="E309">
        <f t="shared" si="50"/>
        <v>0</v>
      </c>
    </row>
    <row r="310" spans="1:5" x14ac:dyDescent="0.25">
      <c r="A310" s="384" t="s">
        <v>346</v>
      </c>
      <c r="B310" s="489" t="s">
        <v>897</v>
      </c>
      <c r="C310" s="483">
        <v>3.0000000000000001E-3</v>
      </c>
      <c r="D310" s="490">
        <v>0.02</v>
      </c>
      <c r="E310">
        <f t="shared" si="50"/>
        <v>0</v>
      </c>
    </row>
    <row r="311" spans="1:5" x14ac:dyDescent="0.25">
      <c r="A311" s="384" t="s">
        <v>346</v>
      </c>
      <c r="B311" s="489" t="s">
        <v>898</v>
      </c>
      <c r="C311" s="483">
        <v>4.6199999999999998E-2</v>
      </c>
      <c r="D311" s="490">
        <v>7.4999999999999997E-2</v>
      </c>
      <c r="E311">
        <f t="shared" si="50"/>
        <v>0</v>
      </c>
    </row>
    <row r="312" spans="1:5" x14ac:dyDescent="0.25">
      <c r="A312" s="384" t="s">
        <v>346</v>
      </c>
      <c r="B312" s="489" t="s">
        <v>899</v>
      </c>
      <c r="C312" s="483">
        <v>1.9E-3</v>
      </c>
      <c r="D312" s="490">
        <v>1.23E-2</v>
      </c>
      <c r="E312">
        <f t="shared" si="50"/>
        <v>0</v>
      </c>
    </row>
    <row r="313" spans="1:5" x14ac:dyDescent="0.25">
      <c r="A313" s="384" t="s">
        <v>346</v>
      </c>
      <c r="B313" s="489" t="s">
        <v>900</v>
      </c>
      <c r="C313" s="483">
        <v>0.48799999999999999</v>
      </c>
      <c r="D313" s="490">
        <v>1.4</v>
      </c>
      <c r="E313">
        <f t="shared" si="50"/>
        <v>0</v>
      </c>
    </row>
    <row r="314" spans="1:5" x14ac:dyDescent="0.25">
      <c r="A314" s="384" t="s">
        <v>346</v>
      </c>
      <c r="B314" s="489" t="s">
        <v>901</v>
      </c>
      <c r="C314" s="483">
        <v>1.6999999999999999E-3</v>
      </c>
      <c r="D314" s="490">
        <v>8.9999999999999993E-3</v>
      </c>
      <c r="E314">
        <f t="shared" si="50"/>
        <v>0</v>
      </c>
    </row>
    <row r="315" spans="1:5" x14ac:dyDescent="0.25">
      <c r="A315" s="384" t="s">
        <v>346</v>
      </c>
      <c r="B315" s="489" t="s">
        <v>902</v>
      </c>
      <c r="C315" s="483">
        <v>0.31509999999999999</v>
      </c>
      <c r="D315" s="490">
        <v>0.53</v>
      </c>
      <c r="E315">
        <f t="shared" si="50"/>
        <v>0</v>
      </c>
    </row>
    <row r="316" spans="1:5" x14ac:dyDescent="0.25">
      <c r="A316" s="484" t="s">
        <v>409</v>
      </c>
      <c r="B316" s="484"/>
      <c r="C316" s="485">
        <f>SUM(C303:C315)</f>
        <v>3.6509</v>
      </c>
      <c r="D316" s="485">
        <f t="shared" ref="D316:E316" si="51">SUM(D303:D315)</f>
        <v>6.1213000000000006</v>
      </c>
      <c r="E316" s="485">
        <f t="shared" si="51"/>
        <v>0</v>
      </c>
    </row>
    <row r="317" spans="1:5" x14ac:dyDescent="0.25">
      <c r="A317" s="384"/>
    </row>
    <row r="318" spans="1:5" x14ac:dyDescent="0.25">
      <c r="A318" s="384" t="s">
        <v>347</v>
      </c>
      <c r="B318" s="489" t="s">
        <v>903</v>
      </c>
      <c r="C318" s="483">
        <v>4.7999999999999996E-3</v>
      </c>
      <c r="D318" s="490">
        <v>2.9600000000000001E-2</v>
      </c>
      <c r="E318">
        <f>IF(C318&lt;2,0,C318)</f>
        <v>0</v>
      </c>
    </row>
    <row r="319" spans="1:5" x14ac:dyDescent="0.25">
      <c r="A319" s="384" t="s">
        <v>347</v>
      </c>
      <c r="B319" s="489" t="s">
        <v>904</v>
      </c>
      <c r="C319" s="483">
        <v>4.8999999999999998E-3</v>
      </c>
      <c r="D319" s="490">
        <v>0.03</v>
      </c>
      <c r="E319">
        <f t="shared" ref="E319:E345" si="52">IF(C319&lt;2,0,C319)</f>
        <v>0</v>
      </c>
    </row>
    <row r="320" spans="1:5" x14ac:dyDescent="0.25">
      <c r="A320" s="384" t="s">
        <v>347</v>
      </c>
      <c r="B320" s="489" t="s">
        <v>905</v>
      </c>
      <c r="C320" s="483">
        <v>1.2028000000000001</v>
      </c>
      <c r="D320" s="490">
        <v>2.1</v>
      </c>
      <c r="E320">
        <f t="shared" si="52"/>
        <v>0</v>
      </c>
    </row>
    <row r="321" spans="1:5" x14ac:dyDescent="0.25">
      <c r="A321" s="384" t="s">
        <v>347</v>
      </c>
      <c r="B321" s="489" t="s">
        <v>906</v>
      </c>
      <c r="C321" s="483">
        <v>5.5999999999999999E-3</v>
      </c>
      <c r="D321" s="490">
        <v>6.7000000000000002E-3</v>
      </c>
      <c r="E321">
        <f t="shared" si="52"/>
        <v>0</v>
      </c>
    </row>
    <row r="322" spans="1:5" x14ac:dyDescent="0.25">
      <c r="A322" s="384" t="s">
        <v>347</v>
      </c>
      <c r="B322" s="489" t="s">
        <v>907</v>
      </c>
      <c r="C322" s="483">
        <v>1.6722999999999999</v>
      </c>
      <c r="D322" s="490">
        <v>2.5</v>
      </c>
      <c r="E322">
        <f t="shared" si="52"/>
        <v>0</v>
      </c>
    </row>
    <row r="323" spans="1:5" x14ac:dyDescent="0.25">
      <c r="A323" s="384" t="s">
        <v>347</v>
      </c>
      <c r="B323" s="489" t="s">
        <v>908</v>
      </c>
      <c r="C323" s="483">
        <v>9.5000000000000001E-2</v>
      </c>
      <c r="D323" s="490">
        <v>0.4</v>
      </c>
      <c r="E323">
        <f t="shared" si="52"/>
        <v>0</v>
      </c>
    </row>
    <row r="324" spans="1:5" x14ac:dyDescent="0.25">
      <c r="A324" s="384" t="s">
        <v>347</v>
      </c>
      <c r="B324" s="489" t="s">
        <v>909</v>
      </c>
      <c r="C324" s="483">
        <v>0.60919999999999996</v>
      </c>
      <c r="D324" s="490">
        <v>0.8</v>
      </c>
      <c r="E324">
        <f t="shared" si="52"/>
        <v>0</v>
      </c>
    </row>
    <row r="325" spans="1:5" x14ac:dyDescent="0.25">
      <c r="A325" s="384" t="s">
        <v>347</v>
      </c>
      <c r="B325" s="489" t="s">
        <v>910</v>
      </c>
      <c r="C325" s="483">
        <v>19.635000000000002</v>
      </c>
      <c r="D325" s="490">
        <v>21.3</v>
      </c>
      <c r="E325">
        <f t="shared" si="52"/>
        <v>19.635000000000002</v>
      </c>
    </row>
    <row r="326" spans="1:5" x14ac:dyDescent="0.25">
      <c r="A326" s="384" t="s">
        <v>347</v>
      </c>
      <c r="B326" s="489" t="s">
        <v>911</v>
      </c>
      <c r="C326" s="483">
        <v>4.0000000000000002E-4</v>
      </c>
      <c r="D326" s="490">
        <v>6.3E-3</v>
      </c>
      <c r="E326">
        <f t="shared" si="52"/>
        <v>0</v>
      </c>
    </row>
    <row r="327" spans="1:5" x14ac:dyDescent="0.25">
      <c r="A327" s="384" t="s">
        <v>347</v>
      </c>
      <c r="B327" s="489" t="s">
        <v>912</v>
      </c>
      <c r="C327" s="483">
        <v>4.1000000000000003E-3</v>
      </c>
      <c r="D327" s="490">
        <v>3.8100000000000002E-2</v>
      </c>
      <c r="E327">
        <f t="shared" si="52"/>
        <v>0</v>
      </c>
    </row>
    <row r="328" spans="1:5" x14ac:dyDescent="0.25">
      <c r="A328" s="384" t="s">
        <v>347</v>
      </c>
      <c r="B328" s="489" t="s">
        <v>913</v>
      </c>
      <c r="C328" s="483">
        <v>6.4000000000000001E-2</v>
      </c>
      <c r="D328" s="490">
        <v>0.5</v>
      </c>
      <c r="E328">
        <f t="shared" si="52"/>
        <v>0</v>
      </c>
    </row>
    <row r="329" spans="1:5" x14ac:dyDescent="0.25">
      <c r="A329" s="384" t="s">
        <v>347</v>
      </c>
      <c r="B329" s="489" t="s">
        <v>914</v>
      </c>
      <c r="C329" s="483">
        <v>1.54E-2</v>
      </c>
      <c r="D329" s="490">
        <v>3.5000000000000003E-2</v>
      </c>
      <c r="E329">
        <f t="shared" si="52"/>
        <v>0</v>
      </c>
    </row>
    <row r="330" spans="1:5" x14ac:dyDescent="0.25">
      <c r="A330" s="384" t="s">
        <v>347</v>
      </c>
      <c r="B330" s="489" t="s">
        <v>915</v>
      </c>
      <c r="C330" s="483">
        <v>2.93E-2</v>
      </c>
      <c r="D330" s="490">
        <v>0.05</v>
      </c>
      <c r="E330">
        <f t="shared" si="52"/>
        <v>0</v>
      </c>
    </row>
    <row r="331" spans="1:5" x14ac:dyDescent="0.25">
      <c r="A331" s="384" t="s">
        <v>347</v>
      </c>
      <c r="B331" s="489" t="s">
        <v>916</v>
      </c>
      <c r="C331" s="483">
        <v>9.2799999999999994E-2</v>
      </c>
      <c r="D331" s="490">
        <v>0.05</v>
      </c>
      <c r="E331">
        <f t="shared" si="52"/>
        <v>0</v>
      </c>
    </row>
    <row r="332" spans="1:5" x14ac:dyDescent="0.25">
      <c r="A332" s="384" t="s">
        <v>347</v>
      </c>
      <c r="B332" s="489" t="s">
        <v>917</v>
      </c>
      <c r="C332" s="483">
        <v>7.1999999999999998E-3</v>
      </c>
      <c r="D332" s="490">
        <v>1.5299999999999999E-2</v>
      </c>
      <c r="E332">
        <f t="shared" si="52"/>
        <v>0</v>
      </c>
    </row>
    <row r="333" spans="1:5" x14ac:dyDescent="0.25">
      <c r="A333" s="384" t="s">
        <v>347</v>
      </c>
      <c r="B333" s="489" t="s">
        <v>918</v>
      </c>
      <c r="C333" s="483">
        <v>0.45419999999999999</v>
      </c>
      <c r="D333" s="490">
        <v>0.63</v>
      </c>
      <c r="E333">
        <f t="shared" si="52"/>
        <v>0</v>
      </c>
    </row>
    <row r="334" spans="1:5" x14ac:dyDescent="0.25">
      <c r="A334" s="384" t="s">
        <v>347</v>
      </c>
      <c r="B334" s="489" t="s">
        <v>919</v>
      </c>
      <c r="C334" s="483">
        <v>6.8900000000000003E-2</v>
      </c>
      <c r="D334" s="490">
        <v>0.14499999999999999</v>
      </c>
      <c r="E334">
        <f t="shared" si="52"/>
        <v>0</v>
      </c>
    </row>
    <row r="335" spans="1:5" x14ac:dyDescent="0.25">
      <c r="A335" s="384" t="s">
        <v>347</v>
      </c>
      <c r="B335" s="489" t="s">
        <v>920</v>
      </c>
      <c r="C335" s="483">
        <v>0.40860000000000002</v>
      </c>
      <c r="D335" s="490">
        <v>0.67</v>
      </c>
      <c r="E335">
        <f t="shared" si="52"/>
        <v>0</v>
      </c>
    </row>
    <row r="336" spans="1:5" x14ac:dyDescent="0.25">
      <c r="A336" s="384" t="s">
        <v>347</v>
      </c>
      <c r="B336" s="489" t="s">
        <v>921</v>
      </c>
      <c r="C336" s="483">
        <v>3.5700000000000003E-2</v>
      </c>
      <c r="D336" s="490">
        <v>8.7999999999999995E-2</v>
      </c>
      <c r="E336">
        <f t="shared" si="52"/>
        <v>0</v>
      </c>
    </row>
    <row r="337" spans="1:5" x14ac:dyDescent="0.25">
      <c r="A337" s="384" t="s">
        <v>347</v>
      </c>
      <c r="B337" s="489" t="s">
        <v>922</v>
      </c>
      <c r="C337" s="483">
        <v>2.3E-3</v>
      </c>
      <c r="D337" s="490">
        <v>1.14E-2</v>
      </c>
      <c r="E337">
        <f t="shared" si="52"/>
        <v>0</v>
      </c>
    </row>
    <row r="338" spans="1:5" x14ac:dyDescent="0.25">
      <c r="A338" s="384" t="s">
        <v>347</v>
      </c>
      <c r="B338" s="489" t="s">
        <v>923</v>
      </c>
      <c r="C338" s="483">
        <v>0.1668</v>
      </c>
      <c r="D338" s="490">
        <v>0.28599999999999998</v>
      </c>
      <c r="E338">
        <f t="shared" si="52"/>
        <v>0</v>
      </c>
    </row>
    <row r="339" spans="1:5" x14ac:dyDescent="0.25">
      <c r="A339" s="384" t="s">
        <v>347</v>
      </c>
      <c r="B339" s="489" t="s">
        <v>924</v>
      </c>
      <c r="C339" s="483">
        <v>2E-3</v>
      </c>
      <c r="D339" s="490">
        <v>2E-3</v>
      </c>
      <c r="E339">
        <f t="shared" si="52"/>
        <v>0</v>
      </c>
    </row>
    <row r="340" spans="1:5" x14ac:dyDescent="0.25">
      <c r="A340" s="384" t="s">
        <v>347</v>
      </c>
      <c r="B340" s="489" t="s">
        <v>925</v>
      </c>
      <c r="C340" s="483">
        <v>4.0000000000000002E-4</v>
      </c>
      <c r="D340" s="490">
        <v>3.2000000000000002E-3</v>
      </c>
      <c r="E340">
        <f t="shared" si="52"/>
        <v>0</v>
      </c>
    </row>
    <row r="341" spans="1:5" x14ac:dyDescent="0.25">
      <c r="A341" s="384" t="s">
        <v>347</v>
      </c>
      <c r="B341" s="489" t="s">
        <v>926</v>
      </c>
      <c r="C341" s="483">
        <v>9.7999999999999997E-3</v>
      </c>
      <c r="D341" s="490">
        <v>0.08</v>
      </c>
      <c r="E341">
        <f t="shared" si="52"/>
        <v>0</v>
      </c>
    </row>
    <row r="342" spans="1:5" x14ac:dyDescent="0.25">
      <c r="A342" s="384" t="s">
        <v>347</v>
      </c>
      <c r="B342" s="489" t="s">
        <v>927</v>
      </c>
      <c r="C342" s="483">
        <v>0.37740000000000001</v>
      </c>
      <c r="D342" s="490">
        <v>0.47</v>
      </c>
      <c r="E342">
        <f t="shared" si="52"/>
        <v>0</v>
      </c>
    </row>
    <row r="343" spans="1:5" x14ac:dyDescent="0.25">
      <c r="A343" s="384" t="s">
        <v>347</v>
      </c>
      <c r="B343" s="489" t="s">
        <v>928</v>
      </c>
      <c r="C343" s="483">
        <v>0.32429999999999998</v>
      </c>
      <c r="D343" s="490">
        <v>0.8</v>
      </c>
      <c r="E343">
        <f t="shared" si="52"/>
        <v>0</v>
      </c>
    </row>
    <row r="344" spans="1:5" x14ac:dyDescent="0.25">
      <c r="A344" s="384" t="s">
        <v>347</v>
      </c>
      <c r="B344" s="489" t="s">
        <v>929</v>
      </c>
      <c r="C344" s="483">
        <v>0.18729999999999999</v>
      </c>
      <c r="D344" s="490">
        <v>0.38</v>
      </c>
      <c r="E344">
        <f t="shared" si="52"/>
        <v>0</v>
      </c>
    </row>
    <row r="345" spans="1:5" x14ac:dyDescent="0.25">
      <c r="A345" s="384" t="s">
        <v>347</v>
      </c>
      <c r="B345" s="489" t="s">
        <v>930</v>
      </c>
      <c r="C345" s="483">
        <v>8.2000000000000007E-3</v>
      </c>
      <c r="D345" s="490">
        <v>1.7500000000000002E-2</v>
      </c>
      <c r="E345">
        <f t="shared" si="52"/>
        <v>0</v>
      </c>
    </row>
    <row r="346" spans="1:5" x14ac:dyDescent="0.25">
      <c r="A346" s="484" t="s">
        <v>409</v>
      </c>
      <c r="B346" s="484"/>
      <c r="C346" s="485">
        <f>SUM(C318:C345)</f>
        <v>25.488699999999998</v>
      </c>
      <c r="D346" s="485">
        <f t="shared" ref="D346:E346" si="53">SUM(D318:D345)</f>
        <v>31.444099999999995</v>
      </c>
      <c r="E346" s="485">
        <f t="shared" si="53"/>
        <v>19.635000000000002</v>
      </c>
    </row>
    <row r="347" spans="1:5" x14ac:dyDescent="0.25">
      <c r="A347" s="384"/>
    </row>
    <row r="348" spans="1:5" x14ac:dyDescent="0.25">
      <c r="A348" s="384" t="s">
        <v>348</v>
      </c>
      <c r="B348" s="489" t="s">
        <v>931</v>
      </c>
      <c r="C348" s="483">
        <v>1.5E-3</v>
      </c>
      <c r="D348" s="490">
        <v>0.01</v>
      </c>
      <c r="E348">
        <f>IF(C348&lt;2,0,C348)</f>
        <v>0</v>
      </c>
    </row>
    <row r="349" spans="1:5" x14ac:dyDescent="0.25">
      <c r="A349" s="384" t="s">
        <v>348</v>
      </c>
      <c r="B349" s="489" t="s">
        <v>932</v>
      </c>
      <c r="C349" s="483">
        <v>7.1000000000000004E-3</v>
      </c>
      <c r="D349" s="490">
        <v>0.02</v>
      </c>
      <c r="E349">
        <f t="shared" ref="E349:E374" si="54">IF(C349&lt;2,0,C349)</f>
        <v>0</v>
      </c>
    </row>
    <row r="350" spans="1:5" x14ac:dyDescent="0.25">
      <c r="A350" s="384" t="s">
        <v>348</v>
      </c>
      <c r="B350" s="489" t="s">
        <v>933</v>
      </c>
      <c r="C350" s="483">
        <v>0.12429999999999999</v>
      </c>
      <c r="D350" s="490">
        <v>0.14000000000000001</v>
      </c>
      <c r="E350">
        <f t="shared" si="54"/>
        <v>0</v>
      </c>
    </row>
    <row r="351" spans="1:5" x14ac:dyDescent="0.25">
      <c r="A351" s="384" t="s">
        <v>348</v>
      </c>
      <c r="B351" s="489" t="s">
        <v>934</v>
      </c>
      <c r="C351" s="483">
        <v>9.4000000000000004E-3</v>
      </c>
      <c r="D351" s="490">
        <v>0.05</v>
      </c>
      <c r="E351">
        <f t="shared" si="54"/>
        <v>0</v>
      </c>
    </row>
    <row r="352" spans="1:5" x14ac:dyDescent="0.25">
      <c r="A352" s="384" t="s">
        <v>348</v>
      </c>
      <c r="B352" s="489" t="s">
        <v>935</v>
      </c>
      <c r="C352" s="483">
        <v>2.0000000000000001E-4</v>
      </c>
      <c r="D352" s="490">
        <v>2.9999999999999997E-4</v>
      </c>
      <c r="E352">
        <f t="shared" si="54"/>
        <v>0</v>
      </c>
    </row>
    <row r="353" spans="1:5" x14ac:dyDescent="0.25">
      <c r="A353" s="384" t="s">
        <v>348</v>
      </c>
      <c r="B353" s="489" t="s">
        <v>936</v>
      </c>
      <c r="C353" s="483">
        <v>1.7000000000000001E-2</v>
      </c>
      <c r="D353" s="490">
        <v>0.05</v>
      </c>
      <c r="E353">
        <f t="shared" si="54"/>
        <v>0</v>
      </c>
    </row>
    <row r="354" spans="1:5" x14ac:dyDescent="0.25">
      <c r="A354" s="384" t="s">
        <v>348</v>
      </c>
      <c r="B354" s="489" t="s">
        <v>937</v>
      </c>
      <c r="C354" s="483">
        <v>1.5E-3</v>
      </c>
      <c r="D354" s="490">
        <v>2E-3</v>
      </c>
      <c r="E354">
        <f t="shared" si="54"/>
        <v>0</v>
      </c>
    </row>
    <row r="355" spans="1:5" x14ac:dyDescent="0.25">
      <c r="A355" s="384" t="s">
        <v>348</v>
      </c>
      <c r="B355" s="489" t="s">
        <v>938</v>
      </c>
      <c r="C355" s="483">
        <v>1.0699999999999999E-2</v>
      </c>
      <c r="D355" s="490">
        <v>3.4799999999999998E-2</v>
      </c>
      <c r="E355">
        <f t="shared" si="54"/>
        <v>0</v>
      </c>
    </row>
    <row r="356" spans="1:5" x14ac:dyDescent="0.25">
      <c r="A356" s="384" t="s">
        <v>348</v>
      </c>
      <c r="B356" s="489" t="s">
        <v>939</v>
      </c>
      <c r="C356" s="483">
        <v>1.26E-2</v>
      </c>
      <c r="D356" s="490">
        <v>0.02</v>
      </c>
      <c r="E356">
        <f t="shared" si="54"/>
        <v>0</v>
      </c>
    </row>
    <row r="357" spans="1:5" x14ac:dyDescent="0.25">
      <c r="A357" s="384" t="s">
        <v>348</v>
      </c>
      <c r="B357" s="489" t="s">
        <v>940</v>
      </c>
      <c r="C357" s="483">
        <v>3.7699999999999997E-2</v>
      </c>
      <c r="D357" s="490">
        <v>0.05</v>
      </c>
      <c r="E357">
        <f t="shared" si="54"/>
        <v>0</v>
      </c>
    </row>
    <row r="358" spans="1:5" x14ac:dyDescent="0.25">
      <c r="A358" s="384" t="s">
        <v>348</v>
      </c>
      <c r="B358" s="489" t="s">
        <v>941</v>
      </c>
      <c r="C358" s="483">
        <v>1.7326999999999999</v>
      </c>
      <c r="D358" s="490">
        <v>2.5</v>
      </c>
      <c r="E358">
        <f t="shared" si="54"/>
        <v>0</v>
      </c>
    </row>
    <row r="359" spans="1:5" x14ac:dyDescent="0.25">
      <c r="A359" s="384" t="s">
        <v>348</v>
      </c>
      <c r="B359" s="489" t="s">
        <v>942</v>
      </c>
      <c r="C359" s="483">
        <v>2.3E-3</v>
      </c>
      <c r="D359" s="490">
        <v>2.1999999999999999E-2</v>
      </c>
      <c r="E359">
        <f t="shared" si="54"/>
        <v>0</v>
      </c>
    </row>
    <row r="360" spans="1:5" x14ac:dyDescent="0.25">
      <c r="A360" s="384" t="s">
        <v>348</v>
      </c>
      <c r="B360" s="489" t="s">
        <v>943</v>
      </c>
      <c r="C360" s="483">
        <v>1.1000000000000001E-3</v>
      </c>
      <c r="D360" s="490">
        <v>8.9999999999999993E-3</v>
      </c>
      <c r="E360">
        <f t="shared" si="54"/>
        <v>0</v>
      </c>
    </row>
    <row r="361" spans="1:5" x14ac:dyDescent="0.25">
      <c r="A361" s="384" t="s">
        <v>348</v>
      </c>
      <c r="B361" s="489" t="s">
        <v>944</v>
      </c>
      <c r="C361" s="483">
        <v>1.0491999999999999</v>
      </c>
      <c r="D361" s="490">
        <v>1.4</v>
      </c>
      <c r="E361">
        <f t="shared" si="54"/>
        <v>0</v>
      </c>
    </row>
    <row r="362" spans="1:5" x14ac:dyDescent="0.25">
      <c r="A362" s="384" t="s">
        <v>348</v>
      </c>
      <c r="B362" s="489" t="s">
        <v>945</v>
      </c>
      <c r="C362" s="483">
        <v>4.7999999999999996E-3</v>
      </c>
      <c r="D362" s="490">
        <v>2.8799999999999999E-2</v>
      </c>
      <c r="E362">
        <f t="shared" si="54"/>
        <v>0</v>
      </c>
    </row>
    <row r="363" spans="1:5" x14ac:dyDescent="0.25">
      <c r="A363" s="384" t="s">
        <v>348</v>
      </c>
      <c r="B363" s="489" t="s">
        <v>946</v>
      </c>
      <c r="C363" s="483">
        <v>4.7999999999999996E-3</v>
      </c>
      <c r="D363" s="490">
        <v>1.9800000000000002E-2</v>
      </c>
      <c r="E363">
        <f t="shared" si="54"/>
        <v>0</v>
      </c>
    </row>
    <row r="364" spans="1:5" x14ac:dyDescent="0.25">
      <c r="A364" s="384" t="s">
        <v>348</v>
      </c>
      <c r="B364" s="489" t="s">
        <v>947</v>
      </c>
      <c r="C364" s="483">
        <v>4.7999999999999996E-3</v>
      </c>
      <c r="D364" s="490">
        <v>2.01E-2</v>
      </c>
      <c r="E364">
        <f t="shared" si="54"/>
        <v>0</v>
      </c>
    </row>
    <row r="365" spans="1:5" x14ac:dyDescent="0.25">
      <c r="A365" s="384" t="s">
        <v>348</v>
      </c>
      <c r="B365" s="489" t="s">
        <v>948</v>
      </c>
      <c r="C365" s="483">
        <v>3.3399999999999999E-2</v>
      </c>
      <c r="D365" s="490">
        <v>0.05</v>
      </c>
      <c r="E365">
        <f t="shared" si="54"/>
        <v>0</v>
      </c>
    </row>
    <row r="366" spans="1:5" x14ac:dyDescent="0.25">
      <c r="A366" s="384" t="s">
        <v>348</v>
      </c>
      <c r="B366" s="489" t="s">
        <v>949</v>
      </c>
      <c r="C366" s="483">
        <v>2.3999999999999998E-3</v>
      </c>
      <c r="D366" s="490">
        <v>2.5000000000000001E-2</v>
      </c>
      <c r="E366">
        <f t="shared" si="54"/>
        <v>0</v>
      </c>
    </row>
    <row r="367" spans="1:5" x14ac:dyDescent="0.25">
      <c r="A367" s="384" t="s">
        <v>348</v>
      </c>
      <c r="B367" s="489" t="s">
        <v>950</v>
      </c>
      <c r="C367" s="483">
        <v>5.3E-3</v>
      </c>
      <c r="D367" s="490">
        <v>1.7999999999999999E-2</v>
      </c>
      <c r="E367">
        <f t="shared" si="54"/>
        <v>0</v>
      </c>
    </row>
    <row r="368" spans="1:5" x14ac:dyDescent="0.25">
      <c r="A368" s="384" t="s">
        <v>348</v>
      </c>
      <c r="B368" s="489" t="s">
        <v>951</v>
      </c>
      <c r="C368" s="483">
        <v>1.9E-3</v>
      </c>
      <c r="D368" s="490">
        <v>2.2499999999999999E-2</v>
      </c>
      <c r="E368">
        <f t="shared" si="54"/>
        <v>0</v>
      </c>
    </row>
    <row r="369" spans="1:5" x14ac:dyDescent="0.25">
      <c r="A369" s="384" t="s">
        <v>348</v>
      </c>
      <c r="B369" s="489" t="s">
        <v>952</v>
      </c>
      <c r="C369" s="483">
        <v>6.1999999999999998E-3</v>
      </c>
      <c r="D369" s="490">
        <v>1.2E-2</v>
      </c>
      <c r="E369">
        <f t="shared" si="54"/>
        <v>0</v>
      </c>
    </row>
    <row r="370" spans="1:5" x14ac:dyDescent="0.25">
      <c r="A370" s="384" t="s">
        <v>348</v>
      </c>
      <c r="B370" s="489" t="s">
        <v>953</v>
      </c>
      <c r="C370" s="483">
        <v>9.1999999999999998E-3</v>
      </c>
      <c r="D370" s="490">
        <v>3.2000000000000001E-2</v>
      </c>
      <c r="E370">
        <f t="shared" si="54"/>
        <v>0</v>
      </c>
    </row>
    <row r="371" spans="1:5" x14ac:dyDescent="0.25">
      <c r="A371" s="384" t="s">
        <v>348</v>
      </c>
      <c r="B371" s="489" t="s">
        <v>954</v>
      </c>
      <c r="C371" s="483">
        <v>8.0399999999999999E-2</v>
      </c>
      <c r="D371" s="490">
        <v>0.35</v>
      </c>
      <c r="E371">
        <f t="shared" si="54"/>
        <v>0</v>
      </c>
    </row>
    <row r="372" spans="1:5" x14ac:dyDescent="0.25">
      <c r="A372" s="384" t="s">
        <v>348</v>
      </c>
      <c r="B372" s="489" t="s">
        <v>955</v>
      </c>
      <c r="C372" s="483">
        <v>6.6E-3</v>
      </c>
      <c r="D372" s="490">
        <v>1.9E-2</v>
      </c>
      <c r="E372">
        <f t="shared" si="54"/>
        <v>0</v>
      </c>
    </row>
    <row r="373" spans="1:5" x14ac:dyDescent="0.25">
      <c r="A373" s="384" t="s">
        <v>348</v>
      </c>
      <c r="B373" s="489" t="s">
        <v>956</v>
      </c>
      <c r="C373" s="483">
        <v>8.3000000000000001E-3</v>
      </c>
      <c r="D373" s="490">
        <v>0.08</v>
      </c>
      <c r="E373">
        <f t="shared" si="54"/>
        <v>0</v>
      </c>
    </row>
    <row r="374" spans="1:5" x14ac:dyDescent="0.25">
      <c r="A374" s="384" t="s">
        <v>348</v>
      </c>
      <c r="B374" s="489" t="s">
        <v>957</v>
      </c>
      <c r="C374" s="483">
        <v>4.7999999999999996E-3</v>
      </c>
      <c r="D374" s="490">
        <v>0.03</v>
      </c>
      <c r="E374">
        <f t="shared" si="54"/>
        <v>0</v>
      </c>
    </row>
    <row r="375" spans="1:5" x14ac:dyDescent="0.25">
      <c r="A375" s="484" t="s">
        <v>409</v>
      </c>
      <c r="B375" s="484"/>
      <c r="C375" s="485">
        <f>SUM(C348:C374)</f>
        <v>3.1802000000000001</v>
      </c>
      <c r="D375" s="485">
        <f t="shared" ref="D375:E375" si="55">SUM(D348:D374)</f>
        <v>5.0152999999999999</v>
      </c>
      <c r="E375" s="485">
        <f t="shared" si="55"/>
        <v>0</v>
      </c>
    </row>
    <row r="377" spans="1:5" x14ac:dyDescent="0.25">
      <c r="A377" s="384" t="s">
        <v>349</v>
      </c>
      <c r="B377" s="489" t="s">
        <v>958</v>
      </c>
      <c r="C377" s="483">
        <v>1.5103</v>
      </c>
      <c r="D377" s="490">
        <v>3.1</v>
      </c>
      <c r="E377">
        <f>IF(C377&lt;2,0,C377)</f>
        <v>0</v>
      </c>
    </row>
    <row r="378" spans="1:5" x14ac:dyDescent="0.25">
      <c r="A378" s="384" t="s">
        <v>349</v>
      </c>
      <c r="B378" s="489" t="s">
        <v>959</v>
      </c>
      <c r="C378" s="483">
        <v>0.53</v>
      </c>
      <c r="D378" s="490">
        <v>1.5</v>
      </c>
      <c r="E378">
        <f t="shared" ref="E378:E381" si="56">IF(C378&lt;2,0,C378)</f>
        <v>0</v>
      </c>
    </row>
    <row r="379" spans="1:5" x14ac:dyDescent="0.25">
      <c r="A379" s="384" t="s">
        <v>349</v>
      </c>
      <c r="B379" s="489" t="s">
        <v>960</v>
      </c>
      <c r="C379" s="483">
        <v>63.340600000000002</v>
      </c>
      <c r="D379" s="490">
        <v>85</v>
      </c>
      <c r="E379">
        <f t="shared" si="56"/>
        <v>63.340600000000002</v>
      </c>
    </row>
    <row r="380" spans="1:5" x14ac:dyDescent="0.25">
      <c r="A380" s="384" t="s">
        <v>349</v>
      </c>
      <c r="B380" s="489" t="s">
        <v>961</v>
      </c>
      <c r="C380" s="483">
        <v>11.0654</v>
      </c>
      <c r="D380" s="490">
        <v>17</v>
      </c>
      <c r="E380">
        <f t="shared" si="56"/>
        <v>11.0654</v>
      </c>
    </row>
    <row r="381" spans="1:5" x14ac:dyDescent="0.25">
      <c r="A381" s="384" t="s">
        <v>349</v>
      </c>
      <c r="B381" s="489" t="s">
        <v>962</v>
      </c>
      <c r="C381" s="483">
        <v>28.65</v>
      </c>
      <c r="D381" s="490">
        <v>40</v>
      </c>
      <c r="E381" s="483">
        <f t="shared" si="56"/>
        <v>28.65</v>
      </c>
    </row>
    <row r="382" spans="1:5" x14ac:dyDescent="0.25">
      <c r="A382" s="484" t="s">
        <v>409</v>
      </c>
      <c r="B382" s="484"/>
      <c r="C382" s="485">
        <f>SUM(C377:C381)</f>
        <v>105.09629999999999</v>
      </c>
      <c r="D382" s="485">
        <f t="shared" ref="D382:E382" si="57">SUM(D377:D381)</f>
        <v>146.6</v>
      </c>
      <c r="E382" s="485">
        <f t="shared" si="57"/>
        <v>103.05600000000001</v>
      </c>
    </row>
    <row r="384" spans="1:5" x14ac:dyDescent="0.25">
      <c r="A384" s="384" t="s">
        <v>350</v>
      </c>
      <c r="B384" s="489" t="s">
        <v>963</v>
      </c>
      <c r="C384" s="483">
        <v>0.28289999999999998</v>
      </c>
      <c r="D384" s="490">
        <v>0.6</v>
      </c>
      <c r="E384">
        <f>IF(C384&lt;2,0,C384)</f>
        <v>0</v>
      </c>
    </row>
    <row r="385" spans="1:5" x14ac:dyDescent="0.25">
      <c r="A385" s="384" t="s">
        <v>350</v>
      </c>
      <c r="B385" s="489" t="s">
        <v>964</v>
      </c>
      <c r="C385" s="483">
        <v>1.1000000000000001E-3</v>
      </c>
      <c r="D385" s="490">
        <v>4.4999999999999997E-3</v>
      </c>
      <c r="E385">
        <f t="shared" ref="E385:E402" si="58">IF(C385&lt;2,0,C385)</f>
        <v>0</v>
      </c>
    </row>
    <row r="386" spans="1:5" x14ac:dyDescent="0.25">
      <c r="A386" s="384" t="s">
        <v>350</v>
      </c>
      <c r="B386" s="489" t="s">
        <v>965</v>
      </c>
      <c r="C386" s="483">
        <v>0.31219999999999998</v>
      </c>
      <c r="D386" s="490">
        <v>0.5</v>
      </c>
      <c r="E386">
        <f t="shared" si="58"/>
        <v>0</v>
      </c>
    </row>
    <row r="387" spans="1:5" x14ac:dyDescent="0.25">
      <c r="A387" s="384" t="s">
        <v>350</v>
      </c>
      <c r="B387" s="489" t="s">
        <v>966</v>
      </c>
      <c r="C387" s="483">
        <v>2.8199999999999999E-2</v>
      </c>
      <c r="D387" s="490">
        <v>0.05</v>
      </c>
      <c r="E387">
        <f t="shared" si="58"/>
        <v>0</v>
      </c>
    </row>
    <row r="388" spans="1:5" x14ac:dyDescent="0.25">
      <c r="A388" s="384" t="s">
        <v>350</v>
      </c>
      <c r="B388" s="489" t="s">
        <v>967</v>
      </c>
      <c r="C388" s="483">
        <v>4.8999999999999998E-3</v>
      </c>
      <c r="D388" s="490">
        <v>0.02</v>
      </c>
      <c r="E388">
        <f t="shared" si="58"/>
        <v>0</v>
      </c>
    </row>
    <row r="389" spans="1:5" x14ac:dyDescent="0.25">
      <c r="A389" s="384" t="s">
        <v>350</v>
      </c>
      <c r="B389" s="489" t="s">
        <v>968</v>
      </c>
      <c r="C389" s="483">
        <v>2.8999999999999998E-3</v>
      </c>
      <c r="D389" s="490">
        <v>8.9999999999999993E-3</v>
      </c>
      <c r="E389">
        <f t="shared" si="58"/>
        <v>0</v>
      </c>
    </row>
    <row r="390" spans="1:5" x14ac:dyDescent="0.25">
      <c r="A390" s="384" t="s">
        <v>350</v>
      </c>
      <c r="B390" s="489" t="s">
        <v>969</v>
      </c>
      <c r="C390" s="483">
        <v>4.0000000000000002E-4</v>
      </c>
      <c r="D390" s="490">
        <v>5.7999999999999996E-3</v>
      </c>
      <c r="E390">
        <f t="shared" si="58"/>
        <v>0</v>
      </c>
    </row>
    <row r="391" spans="1:5" x14ac:dyDescent="0.25">
      <c r="A391" s="384" t="s">
        <v>350</v>
      </c>
      <c r="B391" s="489" t="s">
        <v>970</v>
      </c>
      <c r="C391" s="483">
        <v>5.5999999999999999E-3</v>
      </c>
      <c r="D391" s="490">
        <v>1.2E-2</v>
      </c>
      <c r="E391">
        <f t="shared" si="58"/>
        <v>0</v>
      </c>
    </row>
    <row r="392" spans="1:5" x14ac:dyDescent="0.25">
      <c r="A392" s="384" t="s">
        <v>350</v>
      </c>
      <c r="B392" s="489" t="s">
        <v>971</v>
      </c>
      <c r="C392" s="483">
        <v>7.7000000000000002E-3</v>
      </c>
      <c r="D392" s="490">
        <v>0.01</v>
      </c>
      <c r="E392">
        <f t="shared" si="58"/>
        <v>0</v>
      </c>
    </row>
    <row r="393" spans="1:5" x14ac:dyDescent="0.25">
      <c r="A393" s="384" t="s">
        <v>350</v>
      </c>
      <c r="B393" s="489" t="s">
        <v>972</v>
      </c>
      <c r="C393" s="483">
        <v>6.4999999999999997E-3</v>
      </c>
      <c r="D393" s="490">
        <v>1.35E-2</v>
      </c>
      <c r="E393">
        <f t="shared" si="58"/>
        <v>0</v>
      </c>
    </row>
    <row r="394" spans="1:5" x14ac:dyDescent="0.25">
      <c r="A394" s="384" t="s">
        <v>350</v>
      </c>
      <c r="B394" s="489" t="s">
        <v>973</v>
      </c>
      <c r="C394" s="483">
        <v>2.1000000000000001E-2</v>
      </c>
      <c r="D394" s="490">
        <v>0.14000000000000001</v>
      </c>
      <c r="E394">
        <f t="shared" si="58"/>
        <v>0</v>
      </c>
    </row>
    <row r="395" spans="1:5" x14ac:dyDescent="0.25">
      <c r="A395" s="384" t="s">
        <v>350</v>
      </c>
      <c r="B395" s="489" t="s">
        <v>974</v>
      </c>
      <c r="C395" s="483">
        <v>1E-3</v>
      </c>
      <c r="D395" s="490">
        <v>1E-3</v>
      </c>
      <c r="E395">
        <f t="shared" si="58"/>
        <v>0</v>
      </c>
    </row>
    <row r="396" spans="1:5" x14ac:dyDescent="0.25">
      <c r="A396" s="384" t="s">
        <v>350</v>
      </c>
      <c r="B396" s="489" t="s">
        <v>975</v>
      </c>
      <c r="C396" s="483">
        <v>1.1000000000000001E-3</v>
      </c>
      <c r="D396" s="490">
        <v>7.4999999999999997E-3</v>
      </c>
      <c r="E396">
        <f t="shared" si="58"/>
        <v>0</v>
      </c>
    </row>
    <row r="397" spans="1:5" x14ac:dyDescent="0.25">
      <c r="A397" s="384" t="s">
        <v>350</v>
      </c>
      <c r="B397" s="489" t="s">
        <v>976</v>
      </c>
      <c r="C397" s="483">
        <v>0.2974</v>
      </c>
      <c r="D397" s="490">
        <v>0.5</v>
      </c>
      <c r="E397">
        <f t="shared" si="58"/>
        <v>0</v>
      </c>
    </row>
    <row r="398" spans="1:5" x14ac:dyDescent="0.25">
      <c r="A398" s="384" t="s">
        <v>350</v>
      </c>
      <c r="B398" s="489" t="s">
        <v>977</v>
      </c>
      <c r="C398" s="483">
        <v>2.2200000000000002</v>
      </c>
      <c r="D398" s="490">
        <v>3.5</v>
      </c>
      <c r="E398">
        <f t="shared" si="58"/>
        <v>2.2200000000000002</v>
      </c>
    </row>
    <row r="399" spans="1:5" x14ac:dyDescent="0.25">
      <c r="A399" s="384" t="s">
        <v>350</v>
      </c>
      <c r="B399" s="489" t="s">
        <v>978</v>
      </c>
      <c r="C399" s="483">
        <v>1.3599999999999999E-2</v>
      </c>
      <c r="D399" s="490">
        <v>8.2000000000000003E-2</v>
      </c>
      <c r="E399">
        <f t="shared" si="58"/>
        <v>0</v>
      </c>
    </row>
    <row r="400" spans="1:5" x14ac:dyDescent="0.25">
      <c r="A400" s="384" t="s">
        <v>350</v>
      </c>
      <c r="B400" s="489" t="s">
        <v>979</v>
      </c>
      <c r="C400" s="483">
        <v>0.75980000000000003</v>
      </c>
      <c r="D400" s="490">
        <v>1.5</v>
      </c>
      <c r="E400">
        <f t="shared" si="58"/>
        <v>0</v>
      </c>
    </row>
    <row r="401" spans="1:5" x14ac:dyDescent="0.25">
      <c r="A401" s="384" t="s">
        <v>350</v>
      </c>
      <c r="B401" s="489" t="s">
        <v>980</v>
      </c>
      <c r="C401" s="483">
        <v>8.0000000000000002E-3</v>
      </c>
      <c r="D401" s="490">
        <v>2.1999999999999999E-2</v>
      </c>
      <c r="E401">
        <f t="shared" si="58"/>
        <v>0</v>
      </c>
    </row>
    <row r="402" spans="1:5" x14ac:dyDescent="0.25">
      <c r="A402" s="384" t="s">
        <v>350</v>
      </c>
      <c r="B402" s="489" t="s">
        <v>981</v>
      </c>
      <c r="C402" s="483">
        <v>8.0000000000000004E-4</v>
      </c>
      <c r="D402" s="490">
        <v>2.7000000000000001E-3</v>
      </c>
      <c r="E402">
        <f t="shared" si="58"/>
        <v>0</v>
      </c>
    </row>
    <row r="403" spans="1:5" x14ac:dyDescent="0.25">
      <c r="A403" s="484" t="s">
        <v>409</v>
      </c>
      <c r="B403" s="484"/>
      <c r="C403" s="485">
        <f>SUM(C384:C402)</f>
        <v>3.9751000000000003</v>
      </c>
      <c r="D403" s="485">
        <f t="shared" ref="D403:E403" si="59">SUM(D384:D402)</f>
        <v>6.9799999999999995</v>
      </c>
      <c r="E403" s="485">
        <f t="shared" si="59"/>
        <v>2.2200000000000002</v>
      </c>
    </row>
    <row r="404" spans="1:5" x14ac:dyDescent="0.25">
      <c r="A404" s="384"/>
    </row>
    <row r="406" spans="1:5" x14ac:dyDescent="0.25">
      <c r="A406" s="56" t="s">
        <v>426</v>
      </c>
    </row>
    <row r="407" spans="1:5" x14ac:dyDescent="0.25">
      <c r="A407" t="s">
        <v>1320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2"/>
  <sheetViews>
    <sheetView workbookViewId="0">
      <selection activeCell="C25" sqref="C25"/>
    </sheetView>
  </sheetViews>
  <sheetFormatPr defaultRowHeight="13.2" x14ac:dyDescent="0.25"/>
  <cols>
    <col min="1" max="1" width="37.6640625" customWidth="1"/>
    <col min="2" max="2" width="11.6640625" customWidth="1"/>
    <col min="3" max="3" width="16.6640625" customWidth="1"/>
    <col min="4" max="4" width="25.6640625" customWidth="1"/>
    <col min="5" max="5" width="18.109375" customWidth="1"/>
    <col min="6" max="6" width="22.6640625" customWidth="1"/>
    <col min="7" max="7" width="10.6640625" customWidth="1"/>
    <col min="8" max="8" width="60.6640625" customWidth="1"/>
  </cols>
  <sheetData>
    <row r="2" spans="1:9" ht="37.5" customHeight="1" x14ac:dyDescent="0.25">
      <c r="A2" s="809" t="s">
        <v>1157</v>
      </c>
      <c r="B2" s="809" t="s">
        <v>322</v>
      </c>
      <c r="C2" s="809" t="s">
        <v>1178</v>
      </c>
      <c r="D2" s="810" t="s">
        <v>1186</v>
      </c>
      <c r="E2" s="810" t="s">
        <v>1179</v>
      </c>
      <c r="F2" s="810" t="s">
        <v>1181</v>
      </c>
      <c r="G2" s="810" t="s">
        <v>1182</v>
      </c>
      <c r="H2" s="810" t="s">
        <v>426</v>
      </c>
    </row>
    <row r="3" spans="1:9" x14ac:dyDescent="0.25">
      <c r="A3" s="2" t="s">
        <v>91</v>
      </c>
      <c r="B3" s="2" t="s">
        <v>403</v>
      </c>
      <c r="C3" s="2" t="s">
        <v>103</v>
      </c>
      <c r="D3" s="806">
        <v>737.42353600000001</v>
      </c>
      <c r="E3" s="2">
        <v>5.4</v>
      </c>
      <c r="F3" s="807">
        <v>1046.740401</v>
      </c>
      <c r="G3" s="808">
        <f>IF('LFG Estimates by Landfill'!D3="N/A", 'LFG Estimates by Landfill'!F3, 'LFG Estimates by Landfill'!F3-'LFG Estimates by Landfill'!D3)</f>
        <v>309.31686500000001</v>
      </c>
      <c r="H3" s="811" t="s">
        <v>1291</v>
      </c>
    </row>
    <row r="4" spans="1:9" x14ac:dyDescent="0.25">
      <c r="A4" s="2" t="s">
        <v>1154</v>
      </c>
      <c r="B4" s="2" t="s">
        <v>403</v>
      </c>
      <c r="C4" s="2" t="s">
        <v>92</v>
      </c>
      <c r="D4" s="806" t="s">
        <v>1010</v>
      </c>
      <c r="E4" s="2" t="s">
        <v>1010</v>
      </c>
      <c r="F4" s="807">
        <v>591.26095036869981</v>
      </c>
      <c r="G4" s="808">
        <f>IF('LFG Estimates by Landfill'!D4="N/A", 'LFG Estimates by Landfill'!F4, 'LFG Estimates by Landfill'!F4-'LFG Estimates by Landfill'!D4)</f>
        <v>591.26095036869981</v>
      </c>
      <c r="H4" s="129" t="s">
        <v>1307</v>
      </c>
    </row>
    <row r="5" spans="1:9" x14ac:dyDescent="0.25">
      <c r="A5" s="2" t="s">
        <v>1155</v>
      </c>
      <c r="B5" s="2" t="s">
        <v>325</v>
      </c>
      <c r="C5" s="2" t="s">
        <v>92</v>
      </c>
      <c r="D5" s="807" t="s">
        <v>1010</v>
      </c>
      <c r="E5" s="2" t="s">
        <v>1010</v>
      </c>
      <c r="F5" s="807">
        <v>405.76319999999998</v>
      </c>
      <c r="G5" s="808">
        <f>IF('LFG Estimates by Landfill'!D5="N/A", 'LFG Estimates by Landfill'!F5, 'LFG Estimates by Landfill'!F5-'LFG Estimates by Landfill'!D5)</f>
        <v>405.76319999999998</v>
      </c>
      <c r="H5" s="129" t="s">
        <v>1321</v>
      </c>
    </row>
    <row r="6" spans="1:9" x14ac:dyDescent="0.25">
      <c r="A6" s="2" t="s">
        <v>1156</v>
      </c>
      <c r="B6" s="2" t="s">
        <v>325</v>
      </c>
      <c r="C6" s="2" t="s">
        <v>92</v>
      </c>
      <c r="D6" s="807" t="s">
        <v>1010</v>
      </c>
      <c r="E6" s="2" t="s">
        <v>1010</v>
      </c>
      <c r="F6" s="807">
        <v>788.4</v>
      </c>
      <c r="G6" s="808">
        <f>IF('LFG Estimates by Landfill'!D6="N/A", 'LFG Estimates by Landfill'!F6, 'LFG Estimates by Landfill'!F6-'LFG Estimates by Landfill'!D6)</f>
        <v>788.4</v>
      </c>
      <c r="H6" s="129" t="s">
        <v>1321</v>
      </c>
    </row>
    <row r="7" spans="1:9" x14ac:dyDescent="0.25">
      <c r="A7" s="2" t="s">
        <v>93</v>
      </c>
      <c r="B7" s="2" t="s">
        <v>328</v>
      </c>
      <c r="C7" s="2" t="s">
        <v>103</v>
      </c>
      <c r="D7" s="806">
        <v>1019.152098</v>
      </c>
      <c r="E7" s="2">
        <v>7.5</v>
      </c>
      <c r="F7" s="807">
        <v>1596.5663024400001</v>
      </c>
      <c r="G7" s="808">
        <f>IF('LFG Estimates by Landfill'!D7="N/A", 'LFG Estimates by Landfill'!F7, 'LFG Estimates by Landfill'!F7-'LFG Estimates by Landfill'!D7)</f>
        <v>577.41420444000005</v>
      </c>
      <c r="H7" s="129" t="s">
        <v>1293</v>
      </c>
    </row>
    <row r="8" spans="1:9" x14ac:dyDescent="0.25">
      <c r="A8" s="2" t="s">
        <v>96</v>
      </c>
      <c r="B8" s="2" t="s">
        <v>328</v>
      </c>
      <c r="C8" s="2" t="s">
        <v>92</v>
      </c>
      <c r="D8" s="807" t="s">
        <v>1010</v>
      </c>
      <c r="E8" s="2" t="s">
        <v>1010</v>
      </c>
      <c r="F8" s="807">
        <v>125.22520784943943</v>
      </c>
      <c r="G8" s="808">
        <f>IF('LFG Estimates by Landfill'!D8="N/A", 'LFG Estimates by Landfill'!F8, 'LFG Estimates by Landfill'!F8-'LFG Estimates by Landfill'!D8)</f>
        <v>125.22520784943943</v>
      </c>
      <c r="H8" s="129" t="s">
        <v>1307</v>
      </c>
    </row>
    <row r="9" spans="1:9" x14ac:dyDescent="0.25">
      <c r="A9" s="2" t="s">
        <v>94</v>
      </c>
      <c r="B9" s="2" t="s">
        <v>328</v>
      </c>
      <c r="C9" s="2" t="s">
        <v>92</v>
      </c>
      <c r="D9" s="807" t="s">
        <v>1010</v>
      </c>
      <c r="E9" s="2" t="s">
        <v>1010</v>
      </c>
      <c r="F9" s="807">
        <v>51.563595950312575</v>
      </c>
      <c r="G9" s="808">
        <f>IF('LFG Estimates by Landfill'!D9="N/A", 'LFG Estimates by Landfill'!F9, 'LFG Estimates by Landfill'!F9-'LFG Estimates by Landfill'!D9)</f>
        <v>51.563595950312575</v>
      </c>
      <c r="H9" s="129" t="s">
        <v>1307</v>
      </c>
      <c r="I9" s="682"/>
    </row>
    <row r="10" spans="1:9" x14ac:dyDescent="0.25">
      <c r="A10" s="2" t="s">
        <v>1158</v>
      </c>
      <c r="B10" s="2" t="s">
        <v>328</v>
      </c>
      <c r="C10" s="2" t="s">
        <v>92</v>
      </c>
      <c r="D10" s="807" t="s">
        <v>1010</v>
      </c>
      <c r="E10" s="2" t="s">
        <v>1010</v>
      </c>
      <c r="F10" s="807">
        <v>495.58010194913936</v>
      </c>
      <c r="G10" s="808">
        <f>IF('LFG Estimates by Landfill'!D10="N/A", 'LFG Estimates by Landfill'!F10, 'LFG Estimates by Landfill'!F10-'LFG Estimates by Landfill'!D10)</f>
        <v>495.58010194913936</v>
      </c>
      <c r="H10" s="129" t="s">
        <v>1307</v>
      </c>
      <c r="I10" s="682"/>
    </row>
    <row r="11" spans="1:9" x14ac:dyDescent="0.25">
      <c r="A11" s="2" t="s">
        <v>95</v>
      </c>
      <c r="B11" s="2" t="s">
        <v>328</v>
      </c>
      <c r="C11" s="2" t="s">
        <v>92</v>
      </c>
      <c r="D11" s="807" t="s">
        <v>1010</v>
      </c>
      <c r="E11" s="2" t="s">
        <v>1010</v>
      </c>
      <c r="F11" s="807">
        <v>136.10184759000509</v>
      </c>
      <c r="G11" s="808">
        <f>IF('LFG Estimates by Landfill'!D11="N/A", 'LFG Estimates by Landfill'!F11, 'LFG Estimates by Landfill'!F11-'LFG Estimates by Landfill'!D11)</f>
        <v>136.10184759000509</v>
      </c>
      <c r="H11" s="129" t="s">
        <v>1307</v>
      </c>
    </row>
    <row r="12" spans="1:9" x14ac:dyDescent="0.25">
      <c r="A12" s="2" t="s">
        <v>1159</v>
      </c>
      <c r="B12" s="2" t="s">
        <v>328</v>
      </c>
      <c r="C12" s="2" t="s">
        <v>92</v>
      </c>
      <c r="D12" s="807" t="s">
        <v>1010</v>
      </c>
      <c r="E12" s="2" t="s">
        <v>1010</v>
      </c>
      <c r="F12" s="807">
        <v>272.47967138577809</v>
      </c>
      <c r="G12" s="808">
        <f>IF('LFG Estimates by Landfill'!D12="N/A", 'LFG Estimates by Landfill'!F12, 'LFG Estimates by Landfill'!F12-'LFG Estimates by Landfill'!D12)</f>
        <v>272.47967138577809</v>
      </c>
      <c r="H12" s="129" t="s">
        <v>1307</v>
      </c>
    </row>
    <row r="13" spans="1:9" x14ac:dyDescent="0.25">
      <c r="A13" s="2" t="s">
        <v>1160</v>
      </c>
      <c r="B13" s="2" t="s">
        <v>331</v>
      </c>
      <c r="C13" s="2" t="s">
        <v>103</v>
      </c>
      <c r="D13" s="807">
        <v>297.00299999999999</v>
      </c>
      <c r="E13" s="2">
        <v>2.8</v>
      </c>
      <c r="F13" s="807">
        <v>297.00299999999999</v>
      </c>
      <c r="G13" s="808">
        <f>IF('LFG Estimates by Landfill'!D13="N/A", 'LFG Estimates by Landfill'!F13, 'LFG Estimates by Landfill'!F13-'LFG Estimates by Landfill'!D13)</f>
        <v>0</v>
      </c>
      <c r="H13" s="129" t="s">
        <v>1294</v>
      </c>
    </row>
    <row r="14" spans="1:9" x14ac:dyDescent="0.25">
      <c r="A14" s="2" t="s">
        <v>97</v>
      </c>
      <c r="B14" s="2" t="s">
        <v>331</v>
      </c>
      <c r="C14" s="2" t="s">
        <v>92</v>
      </c>
      <c r="D14" s="807" t="s">
        <v>1010</v>
      </c>
      <c r="E14" s="2" t="s">
        <v>1010</v>
      </c>
      <c r="F14" s="807">
        <v>22.866403519479135</v>
      </c>
      <c r="G14" s="808">
        <f>IF('LFG Estimates by Landfill'!D14="N/A", 'LFG Estimates by Landfill'!F14, 'LFG Estimates by Landfill'!F14-'LFG Estimates by Landfill'!D14)</f>
        <v>22.866403519479135</v>
      </c>
      <c r="H14" s="129" t="s">
        <v>1307</v>
      </c>
    </row>
    <row r="15" spans="1:9" x14ac:dyDescent="0.25">
      <c r="A15" s="2" t="s">
        <v>1167</v>
      </c>
      <c r="B15" s="2" t="s">
        <v>333</v>
      </c>
      <c r="C15" s="2" t="s">
        <v>1176</v>
      </c>
      <c r="D15" s="807">
        <v>70.643416999999999</v>
      </c>
      <c r="E15" s="2">
        <v>0.5</v>
      </c>
      <c r="F15" s="807">
        <v>803.04450240124095</v>
      </c>
      <c r="G15" s="808">
        <f>IF('LFG Estimates by Landfill'!D15="N/A", 'LFG Estimates by Landfill'!F15, 'LFG Estimates by Landfill'!F15-'LFG Estimates by Landfill'!D15)</f>
        <v>732.40108540124095</v>
      </c>
      <c r="H15" s="129" t="s">
        <v>1295</v>
      </c>
    </row>
    <row r="16" spans="1:9" x14ac:dyDescent="0.25">
      <c r="A16" s="2" t="s">
        <v>1168</v>
      </c>
      <c r="B16" s="2" t="s">
        <v>335</v>
      </c>
      <c r="C16" s="2" t="s">
        <v>103</v>
      </c>
      <c r="D16" s="807">
        <v>699.89516800000001</v>
      </c>
      <c r="E16" s="2">
        <v>4.8</v>
      </c>
      <c r="F16" s="807">
        <v>890.08005734746496</v>
      </c>
      <c r="G16" s="808">
        <f>IF('LFG Estimates by Landfill'!D16="N/A", 'LFG Estimates by Landfill'!F16, 'LFG Estimates by Landfill'!F16-'LFG Estimates by Landfill'!D16)</f>
        <v>190.18488934746495</v>
      </c>
      <c r="H16" s="129" t="s">
        <v>1296</v>
      </c>
    </row>
    <row r="17" spans="1:9" x14ac:dyDescent="0.25">
      <c r="A17" s="2" t="s">
        <v>1172</v>
      </c>
      <c r="B17" s="2" t="s">
        <v>337</v>
      </c>
      <c r="C17" s="2" t="s">
        <v>1177</v>
      </c>
      <c r="D17" s="807">
        <v>0</v>
      </c>
      <c r="E17" s="2">
        <v>1.5</v>
      </c>
      <c r="F17" s="807">
        <v>470.70451590354145</v>
      </c>
      <c r="G17" s="808">
        <f>IF('LFG Estimates by Landfill'!D17="N/A", 'LFG Estimates by Landfill'!F17, 'LFG Estimates by Landfill'!F17-'LFG Estimates by Landfill'!D17)</f>
        <v>470.70451590354145</v>
      </c>
      <c r="H17" s="129" t="s">
        <v>1297</v>
      </c>
    </row>
    <row r="18" spans="1:9" x14ac:dyDescent="0.25">
      <c r="A18" s="2" t="s">
        <v>98</v>
      </c>
      <c r="B18" s="2" t="s">
        <v>337</v>
      </c>
      <c r="C18" s="2" t="s">
        <v>92</v>
      </c>
      <c r="D18" s="807" t="s">
        <v>1010</v>
      </c>
      <c r="E18" s="2" t="s">
        <v>1010</v>
      </c>
      <c r="F18" s="807">
        <v>317.89294995007447</v>
      </c>
      <c r="G18" s="808">
        <f>IF('LFG Estimates by Landfill'!D18="N/A", 'LFG Estimates by Landfill'!F18, 'LFG Estimates by Landfill'!F18-'LFG Estimates by Landfill'!D18)</f>
        <v>317.89294995007447</v>
      </c>
      <c r="H18" s="129" t="s">
        <v>1307</v>
      </c>
    </row>
    <row r="19" spans="1:9" x14ac:dyDescent="0.25">
      <c r="A19" s="2" t="s">
        <v>99</v>
      </c>
      <c r="B19" s="2" t="s">
        <v>337</v>
      </c>
      <c r="C19" s="2" t="s">
        <v>92</v>
      </c>
      <c r="D19" s="807" t="s">
        <v>1010</v>
      </c>
      <c r="E19" s="2" t="s">
        <v>1010</v>
      </c>
      <c r="F19" s="807">
        <v>64.454494937890715</v>
      </c>
      <c r="G19" s="808">
        <f>IF('LFG Estimates by Landfill'!D19="N/A", 'LFG Estimates by Landfill'!F19, 'LFG Estimates by Landfill'!F19-'LFG Estimates by Landfill'!D19)</f>
        <v>64.454494937890715</v>
      </c>
      <c r="H19" s="129" t="s">
        <v>1307</v>
      </c>
    </row>
    <row r="20" spans="1:9" x14ac:dyDescent="0.25">
      <c r="A20" s="2" t="s">
        <v>1180</v>
      </c>
      <c r="B20" s="2" t="s">
        <v>337</v>
      </c>
      <c r="C20" s="2" t="s">
        <v>92</v>
      </c>
      <c r="D20" s="807" t="s">
        <v>1010</v>
      </c>
      <c r="E20" s="2" t="s">
        <v>1010</v>
      </c>
      <c r="F20" s="807">
        <v>1856.4846276859969</v>
      </c>
      <c r="G20" s="808">
        <f>IF('LFG Estimates by Landfill'!D20="N/A", 'LFG Estimates by Landfill'!F20, 'LFG Estimates by Landfill'!F20-'LFG Estimates by Landfill'!D20)</f>
        <v>1856.4846276859969</v>
      </c>
      <c r="H20" s="129" t="s">
        <v>1307</v>
      </c>
    </row>
    <row r="21" spans="1:9" x14ac:dyDescent="0.25">
      <c r="A21" s="2" t="s">
        <v>1169</v>
      </c>
      <c r="B21" s="2" t="s">
        <v>341</v>
      </c>
      <c r="C21" s="2" t="s">
        <v>1177</v>
      </c>
      <c r="D21" s="807">
        <v>1674.5</v>
      </c>
      <c r="E21" s="2">
        <v>16.3</v>
      </c>
      <c r="F21" s="807">
        <v>1923.4</v>
      </c>
      <c r="G21" s="808">
        <f>IF('LFG Estimates by Landfill'!D21="N/A", 'LFG Estimates by Landfill'!F21, 'LFG Estimates by Landfill'!F21-'LFG Estimates by Landfill'!D21)</f>
        <v>248.90000000000009</v>
      </c>
      <c r="H21" s="811" t="s">
        <v>1298</v>
      </c>
      <c r="I21" s="682"/>
    </row>
    <row r="22" spans="1:9" x14ac:dyDescent="0.25">
      <c r="A22" s="2" t="s">
        <v>1161</v>
      </c>
      <c r="B22" s="2" t="s">
        <v>341</v>
      </c>
      <c r="C22" s="2" t="s">
        <v>1177</v>
      </c>
      <c r="D22" s="807">
        <v>1576.8</v>
      </c>
      <c r="E22" s="2">
        <v>9.1999999999999993</v>
      </c>
      <c r="F22" s="807">
        <v>1576.8</v>
      </c>
      <c r="G22" s="808">
        <f>IF('LFG Estimates by Landfill'!D22="N/A", 'LFG Estimates by Landfill'!F22, 'LFG Estimates by Landfill'!F22-'LFG Estimates by Landfill'!D22)</f>
        <v>0</v>
      </c>
      <c r="H22" s="129" t="s">
        <v>1299</v>
      </c>
    </row>
    <row r="23" spans="1:9" x14ac:dyDescent="0.25">
      <c r="A23" s="2" t="s">
        <v>1162</v>
      </c>
      <c r="B23" s="2" t="s">
        <v>341</v>
      </c>
      <c r="C23" s="2" t="s">
        <v>103</v>
      </c>
      <c r="D23" s="807">
        <v>0</v>
      </c>
      <c r="E23" s="2">
        <v>6.6</v>
      </c>
      <c r="F23" s="807">
        <v>151.40205229777266</v>
      </c>
      <c r="G23" s="808">
        <f>IF('LFG Estimates by Landfill'!D23="N/A", 'LFG Estimates by Landfill'!F23, 'LFG Estimates by Landfill'!F23-'LFG Estimates by Landfill'!D23)</f>
        <v>151.40205229777266</v>
      </c>
      <c r="H23" s="129" t="s">
        <v>1298</v>
      </c>
    </row>
    <row r="24" spans="1:9" x14ac:dyDescent="0.25">
      <c r="A24" s="2" t="s">
        <v>1163</v>
      </c>
      <c r="B24" s="2" t="s">
        <v>341</v>
      </c>
      <c r="C24" s="2" t="s">
        <v>103</v>
      </c>
      <c r="D24" s="807">
        <v>391.392</v>
      </c>
      <c r="E24" s="2">
        <v>6.7</v>
      </c>
      <c r="F24" s="807">
        <v>473.04</v>
      </c>
      <c r="G24" s="808">
        <f>IF('LFG Estimates by Landfill'!D24="N/A", 'LFG Estimates by Landfill'!F24, 'LFG Estimates by Landfill'!F24-'LFG Estimates by Landfill'!D24)</f>
        <v>81.648000000000025</v>
      </c>
      <c r="H24" s="129" t="s">
        <v>1298</v>
      </c>
    </row>
    <row r="25" spans="1:9" x14ac:dyDescent="0.25">
      <c r="A25" s="2" t="s">
        <v>100</v>
      </c>
      <c r="B25" s="2" t="s">
        <v>341</v>
      </c>
      <c r="C25" s="2" t="s">
        <v>92</v>
      </c>
      <c r="D25" s="807" t="s">
        <v>1010</v>
      </c>
      <c r="E25" s="2" t="s">
        <v>1010</v>
      </c>
      <c r="F25" s="807">
        <v>303.91555301193665</v>
      </c>
      <c r="G25" s="808">
        <f>IF('LFG Estimates by Landfill'!D25="N/A", 'LFG Estimates by Landfill'!F25, 'LFG Estimates by Landfill'!F25-'LFG Estimates by Landfill'!D25)</f>
        <v>303.91555301193665</v>
      </c>
      <c r="H25" s="129" t="s">
        <v>1307</v>
      </c>
    </row>
    <row r="26" spans="1:9" x14ac:dyDescent="0.25">
      <c r="A26" s="2" t="s">
        <v>1164</v>
      </c>
      <c r="B26" s="2" t="s">
        <v>342</v>
      </c>
      <c r="C26" s="2" t="s">
        <v>1177</v>
      </c>
      <c r="D26" s="807"/>
      <c r="E26" s="2"/>
      <c r="F26" s="807">
        <v>492.16016955631693</v>
      </c>
      <c r="G26" s="808">
        <f>IF('LFG Estimates by Landfill'!D26="N/A", 'LFG Estimates by Landfill'!F26, 'LFG Estimates by Landfill'!F26-'LFG Estimates by Landfill'!D26)</f>
        <v>492.16016955631693</v>
      </c>
      <c r="H26" s="129" t="s">
        <v>1307</v>
      </c>
    </row>
    <row r="27" spans="1:9" x14ac:dyDescent="0.25">
      <c r="A27" s="2" t="s">
        <v>1165</v>
      </c>
      <c r="B27" s="2" t="s">
        <v>342</v>
      </c>
      <c r="C27" s="2" t="s">
        <v>1177</v>
      </c>
      <c r="D27" s="807"/>
      <c r="E27" s="2"/>
      <c r="F27" s="807">
        <v>636.64862571969491</v>
      </c>
      <c r="G27" s="808">
        <f>IF('LFG Estimates by Landfill'!D27="N/A", 'LFG Estimates by Landfill'!F27, 'LFG Estimates by Landfill'!F27-'LFG Estimates by Landfill'!D27)</f>
        <v>636.64862571969491</v>
      </c>
      <c r="H27" s="129" t="s">
        <v>1307</v>
      </c>
    </row>
    <row r="28" spans="1:9" x14ac:dyDescent="0.25">
      <c r="A28" s="2" t="s">
        <v>1166</v>
      </c>
      <c r="B28" s="2" t="s">
        <v>342</v>
      </c>
      <c r="C28" s="2" t="s">
        <v>1177</v>
      </c>
      <c r="D28" s="807"/>
      <c r="E28" s="2"/>
      <c r="F28" s="807">
        <v>881.91317560784069</v>
      </c>
      <c r="G28" s="808">
        <f>IF('LFG Estimates by Landfill'!D28="N/A", 'LFG Estimates by Landfill'!F28, 'LFG Estimates by Landfill'!F28-'LFG Estimates by Landfill'!D28)</f>
        <v>881.91317560784069</v>
      </c>
      <c r="H28" s="129" t="s">
        <v>1307</v>
      </c>
    </row>
    <row r="29" spans="1:9" x14ac:dyDescent="0.25">
      <c r="A29" s="2" t="s">
        <v>101</v>
      </c>
      <c r="B29" s="2" t="s">
        <v>343</v>
      </c>
      <c r="C29" s="2" t="s">
        <v>92</v>
      </c>
      <c r="D29" s="807" t="s">
        <v>1010</v>
      </c>
      <c r="E29" s="2" t="s">
        <v>1010</v>
      </c>
      <c r="F29" s="807">
        <v>210.55135013044298</v>
      </c>
      <c r="G29" s="808">
        <f>IF('LFG Estimates by Landfill'!D29="N/A", 'LFG Estimates by Landfill'!F29, 'LFG Estimates by Landfill'!F29-'LFG Estimates by Landfill'!D29)</f>
        <v>210.55135013044298</v>
      </c>
      <c r="H29" s="129" t="s">
        <v>1307</v>
      </c>
    </row>
    <row r="30" spans="1:9" x14ac:dyDescent="0.25">
      <c r="A30" s="2" t="s">
        <v>102</v>
      </c>
      <c r="B30" s="2" t="s">
        <v>343</v>
      </c>
      <c r="C30" s="2" t="s">
        <v>92</v>
      </c>
      <c r="D30" s="807" t="s">
        <v>1010</v>
      </c>
      <c r="E30" s="2" t="s">
        <v>1010</v>
      </c>
      <c r="F30" s="807">
        <v>236.33314810559929</v>
      </c>
      <c r="G30" s="808">
        <f>IF('LFG Estimates by Landfill'!D30="N/A", 'LFG Estimates by Landfill'!F30, 'LFG Estimates by Landfill'!F30-'LFG Estimates by Landfill'!D30)</f>
        <v>236.33314810559929</v>
      </c>
      <c r="H30" s="129" t="s">
        <v>1307</v>
      </c>
    </row>
    <row r="31" spans="1:9" x14ac:dyDescent="0.25">
      <c r="A31" s="2" t="s">
        <v>1170</v>
      </c>
      <c r="B31" s="2" t="s">
        <v>344</v>
      </c>
      <c r="C31" s="2" t="s">
        <v>103</v>
      </c>
      <c r="D31" s="807">
        <v>2242.7352000000001</v>
      </c>
      <c r="E31" s="2">
        <v>14.4</v>
      </c>
      <c r="F31" s="807">
        <v>3153.6</v>
      </c>
      <c r="G31" s="808">
        <f>IF('LFG Estimates by Landfill'!D31="N/A", 'LFG Estimates by Landfill'!F31, 'LFG Estimates by Landfill'!F31-'LFG Estimates by Landfill'!D31)</f>
        <v>910.86479999999983</v>
      </c>
      <c r="H31" s="129" t="s">
        <v>1300</v>
      </c>
    </row>
    <row r="32" spans="1:9" x14ac:dyDescent="0.25">
      <c r="A32" s="2" t="s">
        <v>1171</v>
      </c>
      <c r="B32" s="2" t="s">
        <v>346</v>
      </c>
      <c r="C32" s="2" t="s">
        <v>92</v>
      </c>
      <c r="D32" s="807">
        <v>351.62639999999999</v>
      </c>
      <c r="E32" s="2"/>
      <c r="F32" s="807">
        <v>660.768552</v>
      </c>
      <c r="G32" s="808">
        <f>IF('LFG Estimates by Landfill'!D32="N/A", 'LFG Estimates by Landfill'!F32, 'LFG Estimates by Landfill'!F32-'LFG Estimates by Landfill'!D32)</f>
        <v>309.14215200000001</v>
      </c>
      <c r="H32" s="129" t="s">
        <v>1301</v>
      </c>
    </row>
    <row r="33" spans="1:8" x14ac:dyDescent="0.25">
      <c r="A33" s="2" t="s">
        <v>1173</v>
      </c>
      <c r="B33" s="2" t="s">
        <v>348</v>
      </c>
      <c r="C33" s="2" t="s">
        <v>103</v>
      </c>
      <c r="D33" s="806" t="s">
        <v>1010</v>
      </c>
      <c r="E33" s="129" t="s">
        <v>1010</v>
      </c>
      <c r="F33" s="807">
        <v>0</v>
      </c>
      <c r="G33" s="808">
        <f>IF('LFG Estimates by Landfill'!D33="N/A", 'LFG Estimates by Landfill'!F33, 'LFG Estimates by Landfill'!F33-'LFG Estimates by Landfill'!D33)</f>
        <v>0</v>
      </c>
      <c r="H33" s="129" t="s">
        <v>1305</v>
      </c>
    </row>
    <row r="34" spans="1:8" x14ac:dyDescent="0.25">
      <c r="A34" s="2" t="s">
        <v>1174</v>
      </c>
      <c r="B34" s="2" t="s">
        <v>348</v>
      </c>
      <c r="C34" s="2" t="s">
        <v>103</v>
      </c>
      <c r="D34" s="807">
        <v>289.17588932806325</v>
      </c>
      <c r="E34" s="2">
        <v>1.5</v>
      </c>
      <c r="F34" s="807">
        <v>306.94063244064165</v>
      </c>
      <c r="G34" s="808">
        <f>IF('LFG Estimates by Landfill'!D34="N/A", 'LFG Estimates by Landfill'!F34, 'LFG Estimates by Landfill'!F34-'LFG Estimates by Landfill'!D34)</f>
        <v>17.764743112578401</v>
      </c>
      <c r="H34" s="129" t="s">
        <v>1305</v>
      </c>
    </row>
    <row r="35" spans="1:8" x14ac:dyDescent="0.25">
      <c r="A35" s="2" t="s">
        <v>1175</v>
      </c>
      <c r="B35" s="2" t="s">
        <v>350</v>
      </c>
      <c r="C35" s="2" t="s">
        <v>103</v>
      </c>
      <c r="D35" s="807">
        <v>182.89423300000001</v>
      </c>
      <c r="E35" s="2">
        <v>1.9</v>
      </c>
      <c r="F35" s="807">
        <v>276.52688999999998</v>
      </c>
      <c r="G35" s="808">
        <f>IF('LFG Estimates by Landfill'!D35="N/A", 'LFG Estimates by Landfill'!F35, 'LFG Estimates by Landfill'!F35-'LFG Estimates by Landfill'!D35)</f>
        <v>93.632656999999966</v>
      </c>
      <c r="H35" s="129" t="s">
        <v>1306</v>
      </c>
    </row>
    <row r="37" spans="1:8" x14ac:dyDescent="0.25">
      <c r="A37" t="s">
        <v>1317</v>
      </c>
    </row>
    <row r="38" spans="1:8" x14ac:dyDescent="0.25">
      <c r="A38" t="s">
        <v>1315</v>
      </c>
    </row>
    <row r="39" spans="1:8" x14ac:dyDescent="0.25">
      <c r="A39" t="s">
        <v>1316</v>
      </c>
    </row>
    <row r="41" spans="1:8" x14ac:dyDescent="0.25">
      <c r="A41" t="s">
        <v>1318</v>
      </c>
    </row>
    <row r="42" spans="1:8" x14ac:dyDescent="0.25">
      <c r="A42" t="s">
        <v>1319</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32</vt:i4>
      </vt:variant>
    </vt:vector>
  </HeadingPairs>
  <TitlesOfParts>
    <vt:vector size="76" baseType="lpstr">
      <vt:lpstr>Copyright Protection</vt:lpstr>
      <vt:lpstr>Instructions</vt:lpstr>
      <vt:lpstr>Bioenergy Calculator</vt:lpstr>
      <vt:lpstr>Prac. Rec. Assumptions</vt:lpstr>
      <vt:lpstr>Energy Content Assumptions</vt:lpstr>
      <vt:lpstr>Technology Assumptions</vt:lpstr>
      <vt:lpstr>Conversion Tables</vt:lpstr>
      <vt:lpstr>WWTP</vt:lpstr>
      <vt:lpstr>LFG Estimates by Landfill</vt:lpstr>
      <vt:lpstr>Biomass Data Assumptions</vt:lpstr>
      <vt:lpstr>Fuel Yields Eth. and DA Hydrol.</vt:lpstr>
      <vt:lpstr>Summary Tables</vt:lpstr>
      <vt:lpstr>GHG - LFG Power</vt:lpstr>
      <vt:lpstr>GHG - LFG Transportation</vt:lpstr>
      <vt:lpstr>GHG - FW Power</vt:lpstr>
      <vt:lpstr>GHG - FW Transportation</vt:lpstr>
      <vt:lpstr>Biodiesel for transportation </vt:lpstr>
      <vt:lpstr>timberland for energy</vt:lpstr>
      <vt:lpstr>GHG-LandfilledMSW-Power</vt:lpstr>
      <vt:lpstr>GHG - Biosolids Power</vt:lpstr>
      <vt:lpstr>Contact Info</vt:lpstr>
      <vt:lpstr>Atlantic</vt:lpstr>
      <vt:lpstr>Bergen</vt:lpstr>
      <vt:lpstr>Burlington</vt:lpstr>
      <vt:lpstr>Camden</vt:lpstr>
      <vt:lpstr>Cape May</vt:lpstr>
      <vt:lpstr>Cumberland</vt:lpstr>
      <vt:lpstr>Essex</vt:lpstr>
      <vt:lpstr>Gloucester</vt:lpstr>
      <vt:lpstr>Hudson</vt:lpstr>
      <vt:lpstr>Hunterdon</vt:lpstr>
      <vt:lpstr>Mercer</vt:lpstr>
      <vt:lpstr>Middlesex</vt:lpstr>
      <vt:lpstr>Monmouth</vt:lpstr>
      <vt:lpstr>Morris</vt:lpstr>
      <vt:lpstr>Ocean</vt:lpstr>
      <vt:lpstr>Passaic</vt:lpstr>
      <vt:lpstr>Salem</vt:lpstr>
      <vt:lpstr>Somerset</vt:lpstr>
      <vt:lpstr>Sussex</vt:lpstr>
      <vt:lpstr>Union</vt:lpstr>
      <vt:lpstr>Warren</vt:lpstr>
      <vt:lpstr>Charts &amp; Tables</vt:lpstr>
      <vt:lpstr>Incineration Data</vt:lpstr>
      <vt:lpstr>Instructions!_ftn1</vt:lpstr>
      <vt:lpstr>Instructions!_ftn2</vt:lpstr>
      <vt:lpstr>Atlantic!Print_Area</vt:lpstr>
      <vt:lpstr>Bergen!Print_Area</vt:lpstr>
      <vt:lpstr>'Bioenergy Calculator'!Print_Area</vt:lpstr>
      <vt:lpstr>'Biomass Data Assumptions'!Print_Area</vt:lpstr>
      <vt:lpstr>Burlington!Print_Area</vt:lpstr>
      <vt:lpstr>Camden!Print_Area</vt:lpstr>
      <vt:lpstr>'Cape May'!Print_Area</vt:lpstr>
      <vt:lpstr>'Conversion Tables'!Print_Area</vt:lpstr>
      <vt:lpstr>'Copyright Protection'!Print_Area</vt:lpstr>
      <vt:lpstr>Cumberland!Print_Area</vt:lpstr>
      <vt:lpstr>'Energy Content Assumptions'!Print_Area</vt:lpstr>
      <vt:lpstr>Essex!Print_Area</vt:lpstr>
      <vt:lpstr>'Fuel Yields Eth. and DA Hydrol.'!Print_Area</vt:lpstr>
      <vt:lpstr>Gloucester!Print_Area</vt:lpstr>
      <vt:lpstr>Hudson!Print_Area</vt:lpstr>
      <vt:lpstr>Hunterdon!Print_Area</vt:lpstr>
      <vt:lpstr>Mercer!Print_Area</vt:lpstr>
      <vt:lpstr>Middlesex!Print_Area</vt:lpstr>
      <vt:lpstr>Monmouth!Print_Area</vt:lpstr>
      <vt:lpstr>Morris!Print_Area</vt:lpstr>
      <vt:lpstr>Ocean!Print_Area</vt:lpstr>
      <vt:lpstr>Passaic!Print_Area</vt:lpstr>
      <vt:lpstr>Salem!Print_Area</vt:lpstr>
      <vt:lpstr>Somerset!Print_Area</vt:lpstr>
      <vt:lpstr>'Summary Tables'!Print_Area</vt:lpstr>
      <vt:lpstr>Sussex!Print_Area</vt:lpstr>
      <vt:lpstr>'Technology Assumptions'!Print_Area</vt:lpstr>
      <vt:lpstr>Union!Print_Area</vt:lpstr>
      <vt:lpstr>Warren!Print_Area</vt:lpstr>
      <vt:lpstr>'Conversion Tables'!Print_Titles</vt:lpstr>
    </vt:vector>
  </TitlesOfParts>
  <Company>Rutgers, The State University of New Jersey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Schilling</dc:creator>
  <cp:lastModifiedBy>David Specca</cp:lastModifiedBy>
  <cp:lastPrinted>2013-10-10T14:59:08Z</cp:lastPrinted>
  <dcterms:created xsi:type="dcterms:W3CDTF">2006-09-20T18:00:00Z</dcterms:created>
  <dcterms:modified xsi:type="dcterms:W3CDTF">2016-03-18T20:21:06Z</dcterms:modified>
</cp:coreProperties>
</file>