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ctrlProps/ctrlProp15.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A:\Jeevan\Rutgers 2023-2024\Work\Aresty Summer 2024\Work2\backend\digestion\"/>
    </mc:Choice>
  </mc:AlternateContent>
  <bookViews>
    <workbookView xWindow="7130" yWindow="0" windowWidth="24640" windowHeight="16830" tabRatio="741" activeTab="6"/>
  </bookViews>
  <sheets>
    <sheet name="Cover" sheetId="18" r:id="rId1"/>
    <sheet name="AD ST History" sheetId="44" r:id="rId2"/>
    <sheet name="Contents" sheetId="19" state="hidden" r:id="rId3"/>
    <sheet name="1-Introduction" sheetId="14" r:id="rId4"/>
    <sheet name="2-Instructions" sheetId="15" r:id="rId5"/>
    <sheet name="Default Feedstock Inputs List" sheetId="21" state="hidden" r:id="rId6"/>
    <sheet name="3-Digester Inputs" sheetId="2" r:id="rId7"/>
    <sheet name="4-Emissions Inputs" sheetId="25" r:id="rId8"/>
    <sheet name="5-Annual Summary" sheetId="12" r:id="rId9"/>
    <sheet name="6-Biogas Production" sheetId="7" r:id="rId10"/>
    <sheet name="7-Digestate Production" sheetId="16" r:id="rId11"/>
    <sheet name="8-Emission Reductions" sheetId="39" r:id="rId12"/>
    <sheet name="9-Feedstock Characteristics" sheetId="4" r:id="rId13"/>
    <sheet name="10-Feedstock Toxicity Info" sheetId="22" r:id="rId14"/>
    <sheet name="11-Calibration Factors" sheetId="42" r:id="rId15"/>
    <sheet name="12-OrganEcs Input Sheet" sheetId="38" r:id="rId16"/>
    <sheet name="13-MCF" sheetId="36" r:id="rId17"/>
    <sheet name="14-References" sheetId="6" r:id="rId18"/>
    <sheet name="15-Help" sheetId="24" r:id="rId19"/>
    <sheet name="16-Methodology" sheetId="20" r:id="rId20"/>
    <sheet name="17-Manure Related Reductions" sheetId="35" r:id="rId21"/>
    <sheet name="18-Other Wastes Reductions" sheetId="37" r:id="rId22"/>
    <sheet name="19-Storage" sheetId="41" r:id="rId23"/>
    <sheet name="20-Methane Gen. &amp; Utilization" sheetId="32" r:id="rId24"/>
    <sheet name="21-Electricity Use" sheetId="33" r:id="rId25"/>
    <sheet name="22-Flaring &amp; Leakage" sheetId="26" r:id="rId26"/>
    <sheet name="23-Look up values" sheetId="43" state="hidden" r:id="rId27"/>
  </sheets>
  <definedNames>
    <definedName name="_xlnm._FilterDatabase" localSheetId="12" hidden="1">'9-Feedstock Characteristics'!$A$9:$U$118</definedName>
    <definedName name="AnalysisCombustionEffValue">'22-Flaring &amp; Leakage'!$B$9</definedName>
    <definedName name="Annual_Avg_Biogas_Production">'6-Biogas Production'!$F$76</definedName>
    <definedName name="Assumed_Biogas_Density">'3-Digester Inputs'!$C$63</definedName>
    <definedName name="Assumed_Fraction_of_Methane_Leakage">'4-Emissions Inputs'!$B$49</definedName>
    <definedName name="Average_Days_Waste_Stored">'4-Emissions Inputs'!$B$18</definedName>
    <definedName name="AvgTemp">'23-Look up values'!$B$35</definedName>
    <definedName name="Black_Carbon_GWP">'8-Emission Reductions'!$B$40</definedName>
    <definedName name="CH4_Emissions_from_Consumption">'21-Electricity Use'!$B$17</definedName>
    <definedName name="Chosen_Reactor_Volume">'3-Digester Inputs'!$L$3</definedName>
    <definedName name="Combustion_Process_Efficiency">'4-Emissions Inputs'!$B$30</definedName>
    <definedName name="Continuous_monitoring">'22-Flaring &amp; Leakage'!$B$7</definedName>
    <definedName name="ConversionFactor">'22-Flaring &amp; Leakage'!$B$11</definedName>
    <definedName name="DensityofWater">'9-Feedstock Characteristics'!$R$117</definedName>
    <definedName name="Electricity_from_Biogas">'4-Emissions Inputs'!$B$37</definedName>
    <definedName name="ElectricityRelatedEmissions">'21-Electricity Use'!$B$15</definedName>
    <definedName name="Estimated_Avg_Daily_Methane_Production">'6-Biogas Production'!$F$79</definedName>
    <definedName name="Estimated_Electricity_Use">'4-Emissions Inputs'!$B$41</definedName>
    <definedName name="Estimated_Max_Daily_Biogas_Production">'6-Biogas Production'!$T$73</definedName>
    <definedName name="Estimated_Max_Daily_Methane_Production">'6-Biogas Production'!$R$73</definedName>
    <definedName name="FeedstockList">'23-Look up values'!$F$4:$F$5</definedName>
    <definedName name="FlareRelatedEmissions">'22-Flaring &amp; Leakage'!$B$13</definedName>
    <definedName name="FlareType">'4-Emissions Inputs'!$B$28</definedName>
    <definedName name="General">'23-Look up values'!$H$4:$H$12</definedName>
    <definedName name="GridGrossLoss">'4-Emissions Inputs'!$B$45</definedName>
    <definedName name="ManureMethane">'17-Manure Related Reductions'!$F$20</definedName>
    <definedName name="Measured_Methane_sent_to_Flare">'22-Flaring &amp; Leakage'!$B$19</definedName>
    <definedName name="Methane_CH4_Percent">'3-Digester Inputs'!$C$58</definedName>
    <definedName name="Methane_Flare_Percentage">'4-Emissions Inputs'!$B$27</definedName>
    <definedName name="Methane_fossil_GWP">'8-Emission Reductions'!$B$42</definedName>
    <definedName name="Methane_Utilization">'20-Methane Gen. &amp; Utilization'!$B$15</definedName>
    <definedName name="Methane_Utilization_Percentage">'4-Emissions Inputs'!$B$22</definedName>
    <definedName name="Methane_Utilization_Related_Emissions">'20-Methane Gen. &amp; Utilization'!$B$13</definedName>
    <definedName name="Not_continually_operational">'22-Flaring &amp; Leakage'!$B$6</definedName>
    <definedName name="OtherWasteMethane">'18-Other Wastes Reductions'!$F$20</definedName>
    <definedName name="PrimaryManureMang">'4-Emissions Inputs'!$B$12</definedName>
    <definedName name="PrimaryOtherWasteMng">'4-Emissions Inputs'!$B$13</definedName>
    <definedName name="ProjectMethaneLeakage">'22-Flaring &amp; Leakage'!$B$16</definedName>
    <definedName name="ReactorTemp">'3-Digester Inputs'!$C$10</definedName>
    <definedName name="ReactorType">'3-Digester Inputs'!$C$9</definedName>
    <definedName name="solid_capture_efficenicy_of_dewatering_equipment">'3-Digester Inputs'!$C$12</definedName>
    <definedName name="Solids_Retention_Time">'3-Digester Inputs'!$C$40</definedName>
    <definedName name="solver_adj" localSheetId="6" hidden="1">'3-Digester Inputs'!$BE$17:$BE$31</definedName>
    <definedName name="solver_cvg" localSheetId="6" hidden="1">0.0000001</definedName>
    <definedName name="solver_cvg" localSheetId="9" hidden="1">0.0001</definedName>
    <definedName name="solver_drv" localSheetId="6" hidden="1">1</definedName>
    <definedName name="solver_drv" localSheetId="9" hidden="1">2</definedName>
    <definedName name="solver_eng" localSheetId="6" hidden="1">1</definedName>
    <definedName name="solver_eng" localSheetId="9" hidden="1">2</definedName>
    <definedName name="solver_est" localSheetId="6" hidden="1">1</definedName>
    <definedName name="solver_est" localSheetId="9" hidden="1">1</definedName>
    <definedName name="solver_itr" localSheetId="6" hidden="1">2147483647</definedName>
    <definedName name="solver_itr" localSheetId="9" hidden="1">2147483647</definedName>
    <definedName name="solver_lhs1" localSheetId="6" hidden="1">'3-Digester Inputs'!$BE$17</definedName>
    <definedName name="solver_lhs1" localSheetId="9" hidden="1">'6-Biogas Production'!#REF!</definedName>
    <definedName name="solver_lhs10" localSheetId="6" hidden="1">'3-Digester Inputs'!$BE$26</definedName>
    <definedName name="solver_lhs11" localSheetId="6" hidden="1">'3-Digester Inputs'!$BE$27</definedName>
    <definedName name="solver_lhs12" localSheetId="6" hidden="1">'3-Digester Inputs'!$BE$28</definedName>
    <definedName name="solver_lhs13" localSheetId="6" hidden="1">'3-Digester Inputs'!$BE$29</definedName>
    <definedName name="solver_lhs14" localSheetId="6" hidden="1">'3-Digester Inputs'!$BE$30</definedName>
    <definedName name="solver_lhs15" localSheetId="6" hidden="1">'3-Digester Inputs'!$BE$31</definedName>
    <definedName name="solver_lhs16" localSheetId="6" hidden="1">'3-Digester Inputs'!$C$36</definedName>
    <definedName name="solver_lhs17" localSheetId="6" hidden="1">'3-Digester Inputs'!$C$41</definedName>
    <definedName name="solver_lhs18" localSheetId="6" hidden="1">'3-Digester Inputs'!$C$41</definedName>
    <definedName name="solver_lhs19" localSheetId="6" hidden="1">'3-Digester Inputs'!$L$3</definedName>
    <definedName name="solver_lhs2" localSheetId="6" hidden="1">'3-Digester Inputs'!$BE$18</definedName>
    <definedName name="solver_lhs2" localSheetId="9" hidden="1">'6-Biogas Production'!#REF!</definedName>
    <definedName name="solver_lhs20" localSheetId="6" hidden="1">'3-Digester Inputs'!#REF!</definedName>
    <definedName name="solver_lhs21" localSheetId="6" hidden="1">'3-Digester Inputs'!#REF!</definedName>
    <definedName name="solver_lhs3" localSheetId="6" hidden="1">'3-Digester Inputs'!$BE$19</definedName>
    <definedName name="solver_lhs4" localSheetId="6" hidden="1">'3-Digester Inputs'!$BE$20</definedName>
    <definedName name="solver_lhs5" localSheetId="6" hidden="1">'3-Digester Inputs'!$BE$21</definedName>
    <definedName name="solver_lhs6" localSheetId="6" hidden="1">'3-Digester Inputs'!$BE$22</definedName>
    <definedName name="solver_lhs7" localSheetId="6" hidden="1">'3-Digester Inputs'!$BE$23</definedName>
    <definedName name="solver_lhs8" localSheetId="6" hidden="1">'3-Digester Inputs'!$BE$24</definedName>
    <definedName name="solver_lhs9" localSheetId="6" hidden="1">'3-Digester Inputs'!$BE$25</definedName>
    <definedName name="solver_mip" localSheetId="6" hidden="1">1</definedName>
    <definedName name="solver_mip" localSheetId="9" hidden="1">2147483647</definedName>
    <definedName name="solver_mni" localSheetId="6" hidden="1">30</definedName>
    <definedName name="solver_mni" localSheetId="9" hidden="1">30</definedName>
    <definedName name="solver_mrt" localSheetId="6" hidden="1">0.075</definedName>
    <definedName name="solver_mrt" localSheetId="9" hidden="1">0.075</definedName>
    <definedName name="solver_msl" localSheetId="6" hidden="1">2</definedName>
    <definedName name="solver_msl" localSheetId="9" hidden="1">2</definedName>
    <definedName name="solver_neg" localSheetId="6" hidden="1">1</definedName>
    <definedName name="solver_neg" localSheetId="9" hidden="1">1</definedName>
    <definedName name="solver_nod" localSheetId="6" hidden="1">2147483647</definedName>
    <definedName name="solver_nod" localSheetId="9" hidden="1">2147483647</definedName>
    <definedName name="solver_num" localSheetId="6" hidden="1">21</definedName>
    <definedName name="solver_num" localSheetId="9" hidden="1">2</definedName>
    <definedName name="solver_nwt" localSheetId="6" hidden="1">1</definedName>
    <definedName name="solver_nwt" localSheetId="9" hidden="1">1</definedName>
    <definedName name="solver_opt" localSheetId="6" hidden="1">'3-Digester Inputs'!$C$41</definedName>
    <definedName name="solver_opt" localSheetId="9" hidden="1">'6-Biogas Production'!$T$73</definedName>
    <definedName name="solver_pre" localSheetId="6" hidden="1">0.0000001</definedName>
    <definedName name="solver_pre" localSheetId="9" hidden="1">0.000001</definedName>
    <definedName name="solver_rbv" localSheetId="6" hidden="1">1</definedName>
    <definedName name="solver_rbv" localSheetId="9" hidden="1">2</definedName>
    <definedName name="solver_rel1" localSheetId="6" hidden="1">1</definedName>
    <definedName name="solver_rel1" localSheetId="9" hidden="1">1</definedName>
    <definedName name="solver_rel10" localSheetId="6" hidden="1">1</definedName>
    <definedName name="solver_rel11" localSheetId="6" hidden="1">1</definedName>
    <definedName name="solver_rel12" localSheetId="6" hidden="1">1</definedName>
    <definedName name="solver_rel13" localSheetId="6" hidden="1">1</definedName>
    <definedName name="solver_rel14" localSheetId="6" hidden="1">1</definedName>
    <definedName name="solver_rel15" localSheetId="6" hidden="1">1</definedName>
    <definedName name="solver_rel16" localSheetId="6" hidden="1">1</definedName>
    <definedName name="solver_rel17" localSheetId="6" hidden="1">1</definedName>
    <definedName name="solver_rel18" localSheetId="6" hidden="1">3</definedName>
    <definedName name="solver_rel19" localSheetId="6" hidden="1">3</definedName>
    <definedName name="solver_rel2" localSheetId="6" hidden="1">1</definedName>
    <definedName name="solver_rel2" localSheetId="9" hidden="1">3</definedName>
    <definedName name="solver_rel20" localSheetId="6" hidden="1">1</definedName>
    <definedName name="solver_rel21" localSheetId="6" hidden="1">3</definedName>
    <definedName name="solver_rel3" localSheetId="6" hidden="1">1</definedName>
    <definedName name="solver_rel4" localSheetId="6" hidden="1">1</definedName>
    <definedName name="solver_rel5" localSheetId="6" hidden="1">1</definedName>
    <definedName name="solver_rel6" localSheetId="6" hidden="1">1</definedName>
    <definedName name="solver_rel7" localSheetId="6" hidden="1">1</definedName>
    <definedName name="solver_rel8" localSheetId="6" hidden="1">1</definedName>
    <definedName name="solver_rel9" localSheetId="6" hidden="1">1</definedName>
    <definedName name="solver_rhs1" localSheetId="6" hidden="1">'3-Digester Inputs'!$D$136</definedName>
    <definedName name="solver_rhs1" localSheetId="9" hidden="1">35</definedName>
    <definedName name="solver_rhs10" localSheetId="6" hidden="1">'3-Digester Inputs'!$D$145</definedName>
    <definedName name="solver_rhs11" localSheetId="6" hidden="1">'3-Digester Inputs'!$D$146</definedName>
    <definedName name="solver_rhs12" localSheetId="6" hidden="1">'3-Digester Inputs'!$D$147</definedName>
    <definedName name="solver_rhs13" localSheetId="6" hidden="1">'3-Digester Inputs'!$D$148</definedName>
    <definedName name="solver_rhs14" localSheetId="6" hidden="1">'3-Digester Inputs'!$D$149</definedName>
    <definedName name="solver_rhs15" localSheetId="6" hidden="1">'3-Digester Inputs'!$D$150</definedName>
    <definedName name="solver_rhs16" localSheetId="6" hidden="1">0.4</definedName>
    <definedName name="solver_rhs17" localSheetId="6" hidden="1">35</definedName>
    <definedName name="solver_rhs18" localSheetId="6" hidden="1">25</definedName>
    <definedName name="solver_rhs19" localSheetId="6" hidden="1">Minimum_Reactor_Volume</definedName>
    <definedName name="solver_rhs2" localSheetId="6" hidden="1">'3-Digester Inputs'!$D$137</definedName>
    <definedName name="solver_rhs2" localSheetId="9" hidden="1">25</definedName>
    <definedName name="solver_rhs20" localSheetId="6" hidden="1">3.2</definedName>
    <definedName name="solver_rhs21" localSheetId="6" hidden="1">1.6</definedName>
    <definedName name="solver_rhs3" localSheetId="6" hidden="1">'3-Digester Inputs'!$D$138</definedName>
    <definedName name="solver_rhs4" localSheetId="6" hidden="1">'3-Digester Inputs'!$D$139</definedName>
    <definedName name="solver_rhs5" localSheetId="6" hidden="1">'3-Digester Inputs'!$D$140</definedName>
    <definedName name="solver_rhs6" localSheetId="6" hidden="1">'3-Digester Inputs'!$D$141</definedName>
    <definedName name="solver_rhs7" localSheetId="6" hidden="1">'3-Digester Inputs'!$D$142</definedName>
    <definedName name="solver_rhs8" localSheetId="6" hidden="1">'3-Digester Inputs'!$D$143</definedName>
    <definedName name="solver_rhs9" localSheetId="6" hidden="1">'3-Digester Inputs'!$D$144</definedName>
    <definedName name="solver_rlx" localSheetId="6" hidden="1">2</definedName>
    <definedName name="solver_rlx" localSheetId="9" hidden="1">2</definedName>
    <definedName name="solver_rsd" localSheetId="6" hidden="1">0</definedName>
    <definedName name="solver_rsd" localSheetId="9" hidden="1">0</definedName>
    <definedName name="solver_scl" localSheetId="6" hidden="1">1</definedName>
    <definedName name="solver_scl" localSheetId="9" hidden="1">2</definedName>
    <definedName name="solver_sho" localSheetId="6" hidden="1">1</definedName>
    <definedName name="solver_sho" localSheetId="9" hidden="1">2</definedName>
    <definedName name="solver_ssz" localSheetId="6" hidden="1">100</definedName>
    <definedName name="solver_ssz" localSheetId="9" hidden="1">100</definedName>
    <definedName name="solver_tim" localSheetId="6" hidden="1">2147483647</definedName>
    <definedName name="solver_tim" localSheetId="9" hidden="1">2147483647</definedName>
    <definedName name="solver_tol" localSheetId="6" hidden="1">0.01</definedName>
    <definedName name="solver_tol" localSheetId="9" hidden="1">0.01</definedName>
    <definedName name="solver_typ" localSheetId="6" hidden="1">3</definedName>
    <definedName name="solver_typ" localSheetId="9" hidden="1">1</definedName>
    <definedName name="solver_val" localSheetId="6" hidden="1">30</definedName>
    <definedName name="solver_val" localSheetId="9" hidden="1">0</definedName>
    <definedName name="solver_ver" localSheetId="6" hidden="1">3</definedName>
    <definedName name="solver_ver" localSheetId="9" hidden="1">3</definedName>
    <definedName name="Specific">'23-Look up values'!$J$4:$J$102</definedName>
    <definedName name="StorageMng">'4-Emissions Inputs'!$B$17</definedName>
    <definedName name="TempStorage">'19-Storage'!$F$20</definedName>
    <definedName name="Total_Waste">'3-Digester Inputs'!$BE$32</definedName>
    <definedName name="TotalFats">'3-Digester Inputs'!$N$32</definedName>
    <definedName name="TotalProtein">'3-Digester Inputs'!$M$32</definedName>
    <definedName name="TotalSolidsPercent">'3-Digester Inputs'!$G$32</definedName>
    <definedName name="TotalSugar">'3-Digester Inputs'!$O$32</definedName>
    <definedName name="Use_Defaults_Flare">'4-Emissions Inputs'!$B$29</definedName>
    <definedName name="Waste_Item_Table">'9-Feedstock Characteristics'!$A$10:$U$117</definedName>
    <definedName name="WasteDensity">'3-Digester Inputs'!$L$32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8" i="2" l="1"/>
  <c r="C19" i="2"/>
  <c r="C17" i="2"/>
  <c r="C63" i="2" l="1"/>
  <c r="H99" i="4"/>
  <c r="O30" i="2"/>
  <c r="O31" i="2"/>
  <c r="N30" i="2"/>
  <c r="N31" i="2"/>
  <c r="M30" i="2"/>
  <c r="M31" i="2"/>
  <c r="I30" i="2"/>
  <c r="I31" i="2"/>
  <c r="H30" i="2"/>
  <c r="B18" i="41" s="1"/>
  <c r="H31" i="2"/>
  <c r="B19" i="41" s="1"/>
  <c r="G30" i="2"/>
  <c r="G31" i="2"/>
  <c r="F30" i="2"/>
  <c r="J30" i="2" s="1"/>
  <c r="F31" i="2"/>
  <c r="J31" i="2" s="1"/>
  <c r="A6" i="41"/>
  <c r="A7" i="41"/>
  <c r="A8" i="41"/>
  <c r="A9" i="41"/>
  <c r="A10" i="41"/>
  <c r="A11" i="41"/>
  <c r="A12" i="41"/>
  <c r="A13" i="41"/>
  <c r="A14" i="41"/>
  <c r="A15" i="41"/>
  <c r="A16" i="41"/>
  <c r="A17" i="41"/>
  <c r="A18" i="41"/>
  <c r="A19" i="41"/>
  <c r="A5" i="41"/>
  <c r="A5" i="37"/>
  <c r="K31" i="2" l="1"/>
  <c r="K30" i="2"/>
  <c r="M29" i="2"/>
  <c r="M28" i="2"/>
  <c r="M27" i="2"/>
  <c r="M26" i="2"/>
  <c r="M25" i="2"/>
  <c r="M24" i="2"/>
  <c r="M23" i="2"/>
  <c r="M22" i="2"/>
  <c r="M21" i="2"/>
  <c r="M20" i="2"/>
  <c r="M19" i="2"/>
  <c r="M18" i="2"/>
  <c r="M17" i="2"/>
  <c r="N29" i="2"/>
  <c r="N28" i="2"/>
  <c r="N27" i="2"/>
  <c r="N26" i="2"/>
  <c r="N25" i="2"/>
  <c r="N24" i="2"/>
  <c r="N23" i="2"/>
  <c r="N22" i="2"/>
  <c r="N21" i="2"/>
  <c r="N20" i="2"/>
  <c r="N19" i="2"/>
  <c r="N18" i="2"/>
  <c r="N17" i="2"/>
  <c r="O29" i="2"/>
  <c r="O28" i="2"/>
  <c r="O27" i="2"/>
  <c r="O26" i="2"/>
  <c r="O25" i="2"/>
  <c r="O24" i="2"/>
  <c r="O23" i="2"/>
  <c r="O22" i="2"/>
  <c r="O21" i="2"/>
  <c r="O20" i="2"/>
  <c r="O19" i="2"/>
  <c r="O18" i="2"/>
  <c r="O17" i="2"/>
  <c r="I29" i="2"/>
  <c r="I28" i="2"/>
  <c r="I27" i="2"/>
  <c r="I26" i="2"/>
  <c r="I25" i="2"/>
  <c r="I24" i="2"/>
  <c r="I23" i="2"/>
  <c r="I22" i="2"/>
  <c r="I21" i="2"/>
  <c r="I20" i="2"/>
  <c r="I19" i="2"/>
  <c r="I18" i="2"/>
  <c r="I17" i="2"/>
  <c r="F29" i="2"/>
  <c r="J29" i="2" s="1"/>
  <c r="F28" i="2"/>
  <c r="J28" i="2" s="1"/>
  <c r="F27" i="2"/>
  <c r="F26" i="2"/>
  <c r="J26" i="2" s="1"/>
  <c r="F25" i="2"/>
  <c r="F24" i="2"/>
  <c r="J24" i="2" s="1"/>
  <c r="F23" i="2"/>
  <c r="J23" i="2" s="1"/>
  <c r="F22" i="2"/>
  <c r="J22" i="2" s="1"/>
  <c r="F21" i="2"/>
  <c r="F20" i="2"/>
  <c r="J20" i="2" s="1"/>
  <c r="F19" i="2"/>
  <c r="J19" i="2" s="1"/>
  <c r="F18" i="2"/>
  <c r="J18" i="2" s="1"/>
  <c r="F17" i="2"/>
  <c r="G29" i="2"/>
  <c r="G28" i="2"/>
  <c r="G27" i="2"/>
  <c r="G26" i="2"/>
  <c r="G25" i="2"/>
  <c r="G24" i="2"/>
  <c r="G23" i="2"/>
  <c r="G22" i="2"/>
  <c r="G21" i="2"/>
  <c r="G20" i="2"/>
  <c r="G19" i="2"/>
  <c r="G18" i="2"/>
  <c r="G17" i="2"/>
  <c r="H29" i="2"/>
  <c r="H28" i="2"/>
  <c r="B16" i="41" s="1"/>
  <c r="H27" i="2"/>
  <c r="B15" i="41" s="1"/>
  <c r="H26" i="2"/>
  <c r="H25" i="2"/>
  <c r="B13" i="41" s="1"/>
  <c r="H24" i="2"/>
  <c r="B12" i="41" s="1"/>
  <c r="H23" i="2"/>
  <c r="B11" i="41" s="1"/>
  <c r="H22" i="2"/>
  <c r="B10" i="41" s="1"/>
  <c r="H21" i="2"/>
  <c r="B9" i="41" s="1"/>
  <c r="H20" i="2"/>
  <c r="H19" i="2"/>
  <c r="K19" i="2" s="1"/>
  <c r="H18" i="2"/>
  <c r="H17" i="2"/>
  <c r="J27" i="2"/>
  <c r="J25" i="2"/>
  <c r="K21" i="2" l="1"/>
  <c r="J21" i="2"/>
  <c r="K17" i="2"/>
  <c r="J17" i="2"/>
  <c r="K20" i="2"/>
  <c r="K24" i="2"/>
  <c r="B17" i="41"/>
  <c r="K29" i="2"/>
  <c r="K27" i="2"/>
  <c r="K28" i="2"/>
  <c r="K26" i="2"/>
  <c r="B14" i="41"/>
  <c r="K25" i="2"/>
  <c r="K18" i="2"/>
  <c r="K22" i="2"/>
  <c r="K23" i="2"/>
  <c r="A73" i="16"/>
  <c r="A74" i="16"/>
  <c r="A75" i="16"/>
  <c r="A76" i="16"/>
  <c r="A77" i="16"/>
  <c r="A78" i="16"/>
  <c r="A79" i="16"/>
  <c r="A80" i="16"/>
  <c r="A81" i="16"/>
  <c r="A82" i="16"/>
  <c r="A83" i="16"/>
  <c r="A84" i="16"/>
  <c r="A85" i="16"/>
  <c r="A86" i="16"/>
  <c r="A72" i="16"/>
  <c r="A36" i="16"/>
  <c r="A37" i="16"/>
  <c r="A38" i="16"/>
  <c r="A39" i="16"/>
  <c r="A40" i="16"/>
  <c r="A41" i="16"/>
  <c r="A42" i="16"/>
  <c r="A43" i="16"/>
  <c r="A44" i="16"/>
  <c r="A45" i="16"/>
  <c r="A46" i="16"/>
  <c r="A47" i="16"/>
  <c r="A48" i="16"/>
  <c r="A49" i="16"/>
  <c r="A35" i="16"/>
  <c r="A38" i="7"/>
  <c r="V59" i="7"/>
  <c r="X59" i="7" s="1"/>
  <c r="V60" i="7"/>
  <c r="X60" i="7" s="1"/>
  <c r="V61" i="7"/>
  <c r="X61" i="7" s="1"/>
  <c r="V62" i="7"/>
  <c r="X62" i="7" s="1"/>
  <c r="V63" i="7"/>
  <c r="X63" i="7" s="1"/>
  <c r="V64" i="7"/>
  <c r="X64" i="7" s="1"/>
  <c r="V65" i="7"/>
  <c r="X65" i="7" s="1"/>
  <c r="V66" i="7"/>
  <c r="X66" i="7" s="1"/>
  <c r="V67" i="7"/>
  <c r="X67" i="7" s="1"/>
  <c r="V68" i="7"/>
  <c r="X68" i="7" s="1"/>
  <c r="V69" i="7"/>
  <c r="X69" i="7" s="1"/>
  <c r="V70" i="7"/>
  <c r="X70" i="7" s="1"/>
  <c r="V71" i="7"/>
  <c r="X71" i="7" s="1"/>
  <c r="V72" i="7"/>
  <c r="X72" i="7" s="1"/>
  <c r="V58" i="7"/>
  <c r="X58" i="7" s="1"/>
  <c r="O58" i="7"/>
  <c r="Q58" i="7" s="1"/>
  <c r="A36" i="7"/>
  <c r="A6" i="37"/>
  <c r="A7" i="37"/>
  <c r="A8" i="37"/>
  <c r="A9" i="37"/>
  <c r="A10" i="37"/>
  <c r="A11" i="37"/>
  <c r="A12" i="37"/>
  <c r="A13" i="37"/>
  <c r="A14" i="37"/>
  <c r="A15" i="37"/>
  <c r="A16" i="37"/>
  <c r="A17" i="37"/>
  <c r="A18" i="37"/>
  <c r="A19" i="37"/>
  <c r="H59" i="7" l="1"/>
  <c r="J59" i="7" s="1"/>
  <c r="H60" i="7"/>
  <c r="J60" i="7" s="1"/>
  <c r="H61" i="7"/>
  <c r="J61" i="7" s="1"/>
  <c r="H62" i="7"/>
  <c r="H63" i="7"/>
  <c r="J63" i="7" s="1"/>
  <c r="H64" i="7"/>
  <c r="J64" i="7" s="1"/>
  <c r="H65" i="7"/>
  <c r="J65" i="7" s="1"/>
  <c r="H66" i="7"/>
  <c r="J66" i="7" s="1"/>
  <c r="H67" i="7"/>
  <c r="J67" i="7" s="1"/>
  <c r="H68" i="7"/>
  <c r="J68" i="7" s="1"/>
  <c r="H69" i="7"/>
  <c r="J69" i="7" s="1"/>
  <c r="H70" i="7"/>
  <c r="J70" i="7" s="1"/>
  <c r="H71" i="7"/>
  <c r="J71" i="7" s="1"/>
  <c r="H72" i="7"/>
  <c r="J72" i="7" s="1"/>
  <c r="H58" i="7"/>
  <c r="J58" i="7" s="1"/>
  <c r="A59" i="7"/>
  <c r="C59" i="7" s="1"/>
  <c r="A60" i="7"/>
  <c r="C60" i="7" s="1"/>
  <c r="A61" i="7"/>
  <c r="C61" i="7" s="1"/>
  <c r="A62" i="7"/>
  <c r="C62" i="7" s="1"/>
  <c r="A63" i="7"/>
  <c r="C63" i="7" s="1"/>
  <c r="A64" i="7"/>
  <c r="C64" i="7" s="1"/>
  <c r="A65" i="7"/>
  <c r="C65" i="7" s="1"/>
  <c r="A66" i="7"/>
  <c r="C66" i="7" s="1"/>
  <c r="A67" i="7"/>
  <c r="C67" i="7" s="1"/>
  <c r="A68" i="7"/>
  <c r="C68" i="7" s="1"/>
  <c r="A69" i="7"/>
  <c r="C69" i="7" s="1"/>
  <c r="A70" i="7"/>
  <c r="C70" i="7" s="1"/>
  <c r="A71" i="7"/>
  <c r="C71" i="7" s="1"/>
  <c r="A72" i="7"/>
  <c r="C72" i="7" s="1"/>
  <c r="A58" i="7"/>
  <c r="C58" i="7" s="1"/>
  <c r="J62" i="7"/>
  <c r="B14" i="12"/>
  <c r="A10" i="7"/>
  <c r="A33" i="16"/>
  <c r="A8" i="16"/>
  <c r="B35" i="43"/>
  <c r="O59" i="7"/>
  <c r="Q59" i="7" s="1"/>
  <c r="O60" i="7"/>
  <c r="Q60" i="7" s="1"/>
  <c r="O61" i="7"/>
  <c r="Q61" i="7" s="1"/>
  <c r="O62" i="7"/>
  <c r="Q62" i="7" s="1"/>
  <c r="O63" i="7"/>
  <c r="Q63" i="7" s="1"/>
  <c r="O64" i="7"/>
  <c r="Q64" i="7" s="1"/>
  <c r="O65" i="7"/>
  <c r="Q65" i="7" s="1"/>
  <c r="O66" i="7"/>
  <c r="Q66" i="7" s="1"/>
  <c r="O67" i="7"/>
  <c r="Q67" i="7" s="1"/>
  <c r="O68" i="7"/>
  <c r="Q68" i="7" s="1"/>
  <c r="O69" i="7"/>
  <c r="Q69" i="7" s="1"/>
  <c r="O70" i="7"/>
  <c r="Q70" i="7" s="1"/>
  <c r="O71" i="7"/>
  <c r="Q71" i="7" s="1"/>
  <c r="O72" i="7"/>
  <c r="Q72" i="7" s="1"/>
  <c r="F72" i="16"/>
  <c r="F73" i="16"/>
  <c r="F74" i="16"/>
  <c r="F75" i="16"/>
  <c r="F76" i="16"/>
  <c r="F77" i="16"/>
  <c r="F78" i="16"/>
  <c r="F79" i="16"/>
  <c r="F80" i="16"/>
  <c r="F81" i="16"/>
  <c r="F82" i="16"/>
  <c r="F83" i="16"/>
  <c r="F84" i="16"/>
  <c r="F85" i="16"/>
  <c r="F86" i="16"/>
  <c r="C38" i="7"/>
  <c r="F49" i="16"/>
  <c r="F48" i="16"/>
  <c r="F47" i="16"/>
  <c r="F46" i="16"/>
  <c r="F45" i="16"/>
  <c r="F44" i="16"/>
  <c r="F43" i="16"/>
  <c r="F42" i="16"/>
  <c r="F41" i="16"/>
  <c r="F40" i="16"/>
  <c r="F39" i="16"/>
  <c r="F38" i="16"/>
  <c r="F37" i="16"/>
  <c r="F36" i="16"/>
  <c r="F35" i="16"/>
  <c r="F37" i="7"/>
  <c r="E37" i="7"/>
  <c r="D37" i="7"/>
  <c r="A39" i="7"/>
  <c r="C39" i="7" s="1"/>
  <c r="A40" i="7"/>
  <c r="A41" i="7"/>
  <c r="A42" i="7"/>
  <c r="C42" i="7" s="1"/>
  <c r="A43" i="7"/>
  <c r="C43" i="7" s="1"/>
  <c r="A44" i="7"/>
  <c r="C44" i="7" s="1"/>
  <c r="A45" i="7"/>
  <c r="A46" i="7"/>
  <c r="A47" i="7"/>
  <c r="A48" i="7"/>
  <c r="A49" i="7"/>
  <c r="A50" i="7"/>
  <c r="C50" i="7" s="1"/>
  <c r="A51" i="7"/>
  <c r="C51" i="7" s="1"/>
  <c r="A52" i="7"/>
  <c r="C52" i="7" s="1"/>
  <c r="F87" i="16" l="1"/>
  <c r="C46" i="7"/>
  <c r="C47" i="7"/>
  <c r="C45" i="7"/>
  <c r="C48" i="7"/>
  <c r="C40" i="7"/>
  <c r="C49" i="7"/>
  <c r="C41" i="7"/>
  <c r="F50" i="16"/>
  <c r="BE17" i="2" l="1"/>
  <c r="D73" i="16"/>
  <c r="B5" i="37"/>
  <c r="B30" i="25"/>
  <c r="B27" i="25"/>
  <c r="B39" i="25"/>
  <c r="B38" i="25"/>
  <c r="B43" i="25"/>
  <c r="B78" i="25"/>
  <c r="C65" i="39"/>
  <c r="C63" i="39"/>
  <c r="C62" i="39"/>
  <c r="C61" i="39"/>
  <c r="C60" i="39"/>
  <c r="C58" i="39"/>
  <c r="E5" i="37" l="1"/>
  <c r="D46" i="16"/>
  <c r="D83" i="16"/>
  <c r="D47" i="16"/>
  <c r="D84" i="16"/>
  <c r="D77" i="16"/>
  <c r="D40" i="16"/>
  <c r="D85" i="16"/>
  <c r="D48" i="16"/>
  <c r="D41" i="16"/>
  <c r="D78" i="16"/>
  <c r="D49" i="16"/>
  <c r="D86" i="16"/>
  <c r="D42" i="16"/>
  <c r="D79" i="16"/>
  <c r="D38" i="16"/>
  <c r="D75" i="16"/>
  <c r="D80" i="16"/>
  <c r="D43" i="16"/>
  <c r="D81" i="16"/>
  <c r="D44" i="16"/>
  <c r="D74" i="16"/>
  <c r="D37" i="16"/>
  <c r="D82" i="16"/>
  <c r="D45" i="16"/>
  <c r="D39" i="16"/>
  <c r="D76" i="16"/>
  <c r="B35" i="16"/>
  <c r="D35" i="16"/>
  <c r="D72" i="16"/>
  <c r="B72" i="16"/>
  <c r="D36" i="16"/>
  <c r="D87" i="16" l="1"/>
  <c r="D50" i="16"/>
  <c r="L31" i="2"/>
  <c r="L30" i="2"/>
  <c r="L29" i="2"/>
  <c r="L28" i="2"/>
  <c r="L27" i="2"/>
  <c r="L26" i="2"/>
  <c r="L25" i="2"/>
  <c r="L24" i="2"/>
  <c r="L23" i="2"/>
  <c r="L22" i="2"/>
  <c r="L21" i="2"/>
  <c r="L20" i="2"/>
  <c r="L19" i="2"/>
  <c r="L18" i="2"/>
  <c r="L17" i="2"/>
  <c r="B5" i="33" l="1"/>
  <c r="C116" i="2" l="1"/>
  <c r="BE18" i="2"/>
  <c r="BE19" i="2"/>
  <c r="BE20" i="2"/>
  <c r="BE21" i="2"/>
  <c r="BE22" i="2"/>
  <c r="BE23" i="2"/>
  <c r="BE24" i="2"/>
  <c r="BE25" i="2"/>
  <c r="BE26" i="2"/>
  <c r="BE27" i="2"/>
  <c r="BE28" i="2"/>
  <c r="BE29" i="2"/>
  <c r="BE30" i="2"/>
  <c r="BE31" i="2"/>
  <c r="G32" i="2" l="1"/>
  <c r="H32" i="2"/>
  <c r="I32" i="2"/>
  <c r="F32" i="2"/>
  <c r="J32" i="2"/>
  <c r="K32" i="2"/>
  <c r="B78" i="16"/>
  <c r="B41" i="16"/>
  <c r="B86" i="16"/>
  <c r="B49" i="16"/>
  <c r="B77" i="16"/>
  <c r="B40" i="16"/>
  <c r="B47" i="16"/>
  <c r="B84" i="16"/>
  <c r="B76" i="16"/>
  <c r="B39" i="16"/>
  <c r="B38" i="16"/>
  <c r="B75" i="16"/>
  <c r="B83" i="16"/>
  <c r="B46" i="16"/>
  <c r="B45" i="16"/>
  <c r="B82" i="16"/>
  <c r="B74" i="16"/>
  <c r="B37" i="16"/>
  <c r="B85" i="16"/>
  <c r="B48" i="16"/>
  <c r="B36" i="16"/>
  <c r="B73" i="16"/>
  <c r="B79" i="16"/>
  <c r="B42" i="16"/>
  <c r="B44" i="16"/>
  <c r="B81" i="16"/>
  <c r="B43" i="16"/>
  <c r="B80" i="16"/>
  <c r="C36" i="2"/>
  <c r="L32" i="2"/>
  <c r="BE32" i="2"/>
  <c r="B50" i="16" l="1"/>
  <c r="B87" i="16"/>
  <c r="B11" i="12" s="1"/>
  <c r="B72" i="25"/>
  <c r="D36" i="39" l="1"/>
  <c r="S108" i="4" l="1"/>
  <c r="N108" i="4"/>
  <c r="M108" i="4"/>
  <c r="O108" i="4"/>
  <c r="L108" i="4"/>
  <c r="H108" i="4"/>
  <c r="B108" i="4"/>
  <c r="S99" i="4" l="1"/>
  <c r="N99" i="4"/>
  <c r="O99" i="4"/>
  <c r="M99" i="4"/>
  <c r="L99" i="4"/>
  <c r="G99" i="4"/>
  <c r="B99" i="4"/>
  <c r="R97" i="4"/>
  <c r="S97" i="4" s="1"/>
  <c r="L98" i="4"/>
  <c r="B98" i="4"/>
  <c r="G98" i="4"/>
  <c r="H98" i="4" s="1"/>
  <c r="S98" i="4"/>
  <c r="O97" i="4"/>
  <c r="N97" i="4"/>
  <c r="M96" i="4"/>
  <c r="L97" i="4"/>
  <c r="G97" i="4"/>
  <c r="M97" i="4" s="1"/>
  <c r="H97" i="4"/>
  <c r="B97" i="4"/>
  <c r="S96" i="4"/>
  <c r="L96" i="4"/>
  <c r="R84" i="4"/>
  <c r="R85" i="4"/>
  <c r="L20" i="4"/>
  <c r="L29" i="4"/>
  <c r="G96" i="4"/>
  <c r="O96" i="4" s="1"/>
  <c r="B96" i="4"/>
  <c r="H96" i="4" l="1"/>
  <c r="N96" i="4"/>
  <c r="M98" i="4"/>
  <c r="N98" i="4"/>
  <c r="O98" i="4"/>
  <c r="B6" i="33"/>
  <c r="B12" i="33"/>
  <c r="B11" i="33"/>
  <c r="B16" i="33" s="1"/>
  <c r="B10" i="33"/>
  <c r="B15" i="33" l="1"/>
  <c r="D19" i="41"/>
  <c r="D18" i="41"/>
  <c r="D17" i="41"/>
  <c r="D16" i="41"/>
  <c r="D15" i="41"/>
  <c r="D14" i="41"/>
  <c r="D13" i="41"/>
  <c r="D12" i="41"/>
  <c r="D11" i="41"/>
  <c r="D10" i="41"/>
  <c r="D9" i="41"/>
  <c r="D8" i="41"/>
  <c r="D7" i="41"/>
  <c r="D6" i="41"/>
  <c r="D5" i="41"/>
  <c r="S114" i="4" l="1"/>
  <c r="B114" i="4" l="1"/>
  <c r="L114" i="4" s="1"/>
  <c r="C114" i="4"/>
  <c r="G114" i="4" s="1"/>
  <c r="H114" i="4" s="1"/>
  <c r="G93" i="4"/>
  <c r="F113" i="4"/>
  <c r="G109" i="4"/>
  <c r="B106" i="4" l="1"/>
  <c r="B77" i="25" l="1"/>
  <c r="B76" i="25"/>
  <c r="B8" i="26"/>
  <c r="B9" i="26" s="1"/>
  <c r="Q23" i="4" l="1"/>
  <c r="S18" i="2" l="1"/>
  <c r="S19" i="2"/>
  <c r="S20" i="2"/>
  <c r="S21" i="2"/>
  <c r="S22" i="2"/>
  <c r="AN22" i="2" s="1"/>
  <c r="S23" i="2"/>
  <c r="AT23" i="2" s="1"/>
  <c r="S24" i="2"/>
  <c r="AM24" i="2" s="1"/>
  <c r="S25" i="2"/>
  <c r="AT25" i="2" s="1"/>
  <c r="S26" i="2"/>
  <c r="S27" i="2"/>
  <c r="AM27" i="2" s="1"/>
  <c r="S28" i="2"/>
  <c r="AS28" i="2" s="1"/>
  <c r="S29" i="2"/>
  <c r="AU29" i="2" s="1"/>
  <c r="S30" i="2"/>
  <c r="AN30" i="2" s="1"/>
  <c r="S31" i="2"/>
  <c r="AT31" i="2" s="1"/>
  <c r="S17" i="2"/>
  <c r="V17" i="2" s="1"/>
  <c r="AV18" i="2" l="1"/>
  <c r="U18" i="2"/>
  <c r="AM17" i="2"/>
  <c r="D9" i="38"/>
  <c r="E9" i="38"/>
  <c r="G9" i="38"/>
  <c r="B9" i="38"/>
  <c r="C9" i="38"/>
  <c r="F9" i="38"/>
  <c r="AP22" i="2"/>
  <c r="AV27" i="2"/>
  <c r="V27" i="2"/>
  <c r="AA27" i="2"/>
  <c r="AG31" i="2"/>
  <c r="AO29" i="2"/>
  <c r="AP30" i="2"/>
  <c r="AQ22" i="2"/>
  <c r="W27" i="2"/>
  <c r="AB27" i="2"/>
  <c r="AJ17" i="2"/>
  <c r="AF27" i="2"/>
  <c r="AQ30" i="2"/>
  <c r="AL24" i="2"/>
  <c r="AW28" i="2"/>
  <c r="AF31" i="2"/>
  <c r="AU27" i="2"/>
  <c r="V31" i="2"/>
  <c r="X24" i="2"/>
  <c r="AA31" i="2"/>
  <c r="AC24" i="2"/>
  <c r="AK29" i="2"/>
  <c r="AN29" i="2"/>
  <c r="AV31" i="2"/>
  <c r="AW24" i="2"/>
  <c r="AE17" i="2"/>
  <c r="AK25" i="2"/>
  <c r="AB31" i="2"/>
  <c r="U30" i="2"/>
  <c r="W23" i="2"/>
  <c r="Z30" i="2"/>
  <c r="AB23" i="2"/>
  <c r="AJ29" i="2"/>
  <c r="AM28" i="2"/>
  <c r="AU31" i="2"/>
  <c r="AV23" i="2"/>
  <c r="T30" i="2"/>
  <c r="V23" i="2"/>
  <c r="AE29" i="2"/>
  <c r="AA23" i="2"/>
  <c r="AI28" i="2"/>
  <c r="AF23" i="2"/>
  <c r="AL28" i="2"/>
  <c r="AT30" i="2"/>
  <c r="AU23" i="2"/>
  <c r="Y28" i="2"/>
  <c r="U22" i="2"/>
  <c r="AD28" i="2"/>
  <c r="Z22" i="2"/>
  <c r="AO17" i="2"/>
  <c r="AO25" i="2"/>
  <c r="AS30" i="2"/>
  <c r="AT22" i="2"/>
  <c r="T17" i="2"/>
  <c r="W31" i="2"/>
  <c r="Y24" i="2"/>
  <c r="AD24" i="2"/>
  <c r="AI24" i="2"/>
  <c r="X28" i="2"/>
  <c r="T22" i="2"/>
  <c r="AC28" i="2"/>
  <c r="AK17" i="2"/>
  <c r="AR29" i="2"/>
  <c r="AS22" i="2"/>
  <c r="BA26" i="2"/>
  <c r="BC26" i="2"/>
  <c r="AX26" i="2"/>
  <c r="BB26" i="2"/>
  <c r="Z26" i="2"/>
  <c r="AK18" i="2"/>
  <c r="T26" i="2"/>
  <c r="AJ25" i="2"/>
  <c r="AP26" i="2"/>
  <c r="AN18" i="2"/>
  <c r="BB17" i="2"/>
  <c r="BC17" i="2"/>
  <c r="AX24" i="2"/>
  <c r="BA24" i="2"/>
  <c r="BB24" i="2"/>
  <c r="BC24" i="2"/>
  <c r="Y17" i="2"/>
  <c r="U31" i="2"/>
  <c r="Y29" i="2"/>
  <c r="W28" i="2"/>
  <c r="U27" i="2"/>
  <c r="Y25" i="2"/>
  <c r="W24" i="2"/>
  <c r="U23" i="2"/>
  <c r="Y18" i="2"/>
  <c r="AD17" i="2"/>
  <c r="Z31" i="2"/>
  <c r="AD29" i="2"/>
  <c r="AB28" i="2"/>
  <c r="Z27" i="2"/>
  <c r="AD25" i="2"/>
  <c r="AB24" i="2"/>
  <c r="Z23" i="2"/>
  <c r="AD18" i="2"/>
  <c r="AI17" i="2"/>
  <c r="AK30" i="2"/>
  <c r="AI29" i="2"/>
  <c r="AG28" i="2"/>
  <c r="AK26" i="2"/>
  <c r="AI25" i="2"/>
  <c r="AK22" i="2"/>
  <c r="AI18" i="2"/>
  <c r="AQ31" i="2"/>
  <c r="AO30" i="2"/>
  <c r="AM29" i="2"/>
  <c r="AQ27" i="2"/>
  <c r="AO26" i="2"/>
  <c r="AM25" i="2"/>
  <c r="AQ23" i="2"/>
  <c r="AO22" i="2"/>
  <c r="AM18" i="2"/>
  <c r="AR30" i="2"/>
  <c r="AV28" i="2"/>
  <c r="AT27" i="2"/>
  <c r="AR26" i="2"/>
  <c r="AV24" i="2"/>
  <c r="AR22" i="2"/>
  <c r="AO18" i="2"/>
  <c r="AR25" i="2"/>
  <c r="AE18" i="2"/>
  <c r="AJ18" i="2"/>
  <c r="BB31" i="2"/>
  <c r="AX31" i="2"/>
  <c r="AY31" i="2"/>
  <c r="BC31" i="2"/>
  <c r="BA31" i="2"/>
  <c r="BC23" i="2"/>
  <c r="BA23" i="2"/>
  <c r="BB23" i="2"/>
  <c r="X17" i="2"/>
  <c r="T31" i="2"/>
  <c r="X29" i="2"/>
  <c r="V28" i="2"/>
  <c r="T27" i="2"/>
  <c r="X25" i="2"/>
  <c r="V24" i="2"/>
  <c r="T23" i="2"/>
  <c r="X18" i="2"/>
  <c r="AC17" i="2"/>
  <c r="AE30" i="2"/>
  <c r="AC29" i="2"/>
  <c r="AA28" i="2"/>
  <c r="AE26" i="2"/>
  <c r="AC25" i="2"/>
  <c r="AA24" i="2"/>
  <c r="AE22" i="2"/>
  <c r="AC18" i="2"/>
  <c r="AJ30" i="2"/>
  <c r="AF28" i="2"/>
  <c r="AJ26" i="2"/>
  <c r="AF24" i="2"/>
  <c r="AJ22" i="2"/>
  <c r="AP31" i="2"/>
  <c r="AL29" i="2"/>
  <c r="AP27" i="2"/>
  <c r="AN26" i="2"/>
  <c r="AL25" i="2"/>
  <c r="AP23" i="2"/>
  <c r="AW17" i="2"/>
  <c r="AS31" i="2"/>
  <c r="AW29" i="2"/>
  <c r="AU28" i="2"/>
  <c r="AS27" i="2"/>
  <c r="AW25" i="2"/>
  <c r="AU24" i="2"/>
  <c r="AS23" i="2"/>
  <c r="AW18" i="2"/>
  <c r="AE25" i="2"/>
  <c r="AS26" i="2"/>
  <c r="BB30" i="2"/>
  <c r="BC30" i="2"/>
  <c r="BA30" i="2"/>
  <c r="AX30" i="2"/>
  <c r="AY30" i="2"/>
  <c r="BA22" i="2"/>
  <c r="BC22" i="2"/>
  <c r="BB22" i="2"/>
  <c r="AX22" i="2"/>
  <c r="W17" i="2"/>
  <c r="Y30" i="2"/>
  <c r="W29" i="2"/>
  <c r="U28" i="2"/>
  <c r="Y26" i="2"/>
  <c r="W25" i="2"/>
  <c r="U24" i="2"/>
  <c r="Y22" i="2"/>
  <c r="W18" i="2"/>
  <c r="AA17" i="2"/>
  <c r="AD30" i="2"/>
  <c r="AB29" i="2"/>
  <c r="Z28" i="2"/>
  <c r="AD26" i="2"/>
  <c r="AB25" i="2"/>
  <c r="Z24" i="2"/>
  <c r="AD22" i="2"/>
  <c r="AK31" i="2"/>
  <c r="AI30" i="2"/>
  <c r="AG29" i="2"/>
  <c r="AK27" i="2"/>
  <c r="AI26" i="2"/>
  <c r="AK23" i="2"/>
  <c r="AI22" i="2"/>
  <c r="AO31" i="2"/>
  <c r="AM30" i="2"/>
  <c r="AQ28" i="2"/>
  <c r="AO27" i="2"/>
  <c r="AM26" i="2"/>
  <c r="AQ24" i="2"/>
  <c r="AO23" i="2"/>
  <c r="AM22" i="2"/>
  <c r="AV17" i="2"/>
  <c r="AR31" i="2"/>
  <c r="AV29" i="2"/>
  <c r="AT28" i="2"/>
  <c r="AR27" i="2"/>
  <c r="AV25" i="2"/>
  <c r="AT24" i="2"/>
  <c r="AR23" i="2"/>
  <c r="BC18" i="2"/>
  <c r="BB18" i="2"/>
  <c r="AQ26" i="2"/>
  <c r="AT26" i="2"/>
  <c r="AN25" i="2"/>
  <c r="BB21" i="2"/>
  <c r="BC21" i="2"/>
  <c r="AX21" i="2"/>
  <c r="U17" i="2"/>
  <c r="X30" i="2"/>
  <c r="V29" i="2"/>
  <c r="T28" i="2"/>
  <c r="X26" i="2"/>
  <c r="V25" i="2"/>
  <c r="T24" i="2"/>
  <c r="X22" i="2"/>
  <c r="V18" i="2"/>
  <c r="AE31" i="2"/>
  <c r="AC30" i="2"/>
  <c r="AA29" i="2"/>
  <c r="AE27" i="2"/>
  <c r="AC26" i="2"/>
  <c r="AA25" i="2"/>
  <c r="AE23" i="2"/>
  <c r="AC22" i="2"/>
  <c r="AA18" i="2"/>
  <c r="AJ31" i="2"/>
  <c r="AF29" i="2"/>
  <c r="AJ27" i="2"/>
  <c r="AF25" i="2"/>
  <c r="AJ23" i="2"/>
  <c r="AL17" i="2"/>
  <c r="AN31" i="2"/>
  <c r="AL30" i="2"/>
  <c r="AP28" i="2"/>
  <c r="AN27" i="2"/>
  <c r="AL26" i="2"/>
  <c r="AP24" i="2"/>
  <c r="AN23" i="2"/>
  <c r="AL22" i="2"/>
  <c r="AU17" i="2"/>
  <c r="AW30" i="2"/>
  <c r="AW26" i="2"/>
  <c r="AU25" i="2"/>
  <c r="AS24" i="2"/>
  <c r="AW22" i="2"/>
  <c r="AU18" i="2"/>
  <c r="AY29" i="2"/>
  <c r="BA29" i="2"/>
  <c r="BB29" i="2"/>
  <c r="BC29" i="2"/>
  <c r="AX29" i="2"/>
  <c r="AX28" i="2"/>
  <c r="BA28" i="2"/>
  <c r="BB28" i="2"/>
  <c r="BC28" i="2"/>
  <c r="AY28" i="2"/>
  <c r="AU20" i="2"/>
  <c r="BB20" i="2"/>
  <c r="BC20" i="2"/>
  <c r="Y31" i="2"/>
  <c r="W30" i="2"/>
  <c r="U29" i="2"/>
  <c r="Y27" i="2"/>
  <c r="W26" i="2"/>
  <c r="U25" i="2"/>
  <c r="Y23" i="2"/>
  <c r="W22" i="2"/>
  <c r="AD31" i="2"/>
  <c r="AB30" i="2"/>
  <c r="Z29" i="2"/>
  <c r="AD27" i="2"/>
  <c r="AB26" i="2"/>
  <c r="Z25" i="2"/>
  <c r="AD23" i="2"/>
  <c r="AB22" i="2"/>
  <c r="AI31" i="2"/>
  <c r="AG30" i="2"/>
  <c r="AK28" i="2"/>
  <c r="AI27" i="2"/>
  <c r="AK24" i="2"/>
  <c r="AI23" i="2"/>
  <c r="AQ17" i="2"/>
  <c r="AM31" i="2"/>
  <c r="AQ29" i="2"/>
  <c r="AO28" i="2"/>
  <c r="AQ25" i="2"/>
  <c r="AO24" i="2"/>
  <c r="AM23" i="2"/>
  <c r="AQ18" i="2"/>
  <c r="AS17" i="2"/>
  <c r="AV30" i="2"/>
  <c r="AT29" i="2"/>
  <c r="AR28" i="2"/>
  <c r="AV26" i="2"/>
  <c r="AR24" i="2"/>
  <c r="AV22" i="2"/>
  <c r="U26" i="2"/>
  <c r="BB25" i="2"/>
  <c r="BC25" i="2"/>
  <c r="BA25" i="2"/>
  <c r="AX25" i="2"/>
  <c r="AX27" i="2"/>
  <c r="BA27" i="2"/>
  <c r="BB27" i="2"/>
  <c r="BC27" i="2"/>
  <c r="AX19" i="2"/>
  <c r="BC19" i="2"/>
  <c r="X31" i="2"/>
  <c r="V30" i="2"/>
  <c r="T29" i="2"/>
  <c r="X27" i="2"/>
  <c r="V26" i="2"/>
  <c r="T25" i="2"/>
  <c r="X23" i="2"/>
  <c r="V22" i="2"/>
  <c r="T18" i="2"/>
  <c r="AC31" i="2"/>
  <c r="AA30" i="2"/>
  <c r="AE28" i="2"/>
  <c r="AC27" i="2"/>
  <c r="AA26" i="2"/>
  <c r="AE24" i="2"/>
  <c r="AC23" i="2"/>
  <c r="AF30" i="2"/>
  <c r="AJ28" i="2"/>
  <c r="AF26" i="2"/>
  <c r="AJ24" i="2"/>
  <c r="AF22" i="2"/>
  <c r="AP17" i="2"/>
  <c r="AL31" i="2"/>
  <c r="AP29" i="2"/>
  <c r="AN28" i="2"/>
  <c r="AL27" i="2"/>
  <c r="AP25" i="2"/>
  <c r="AN24" i="2"/>
  <c r="AL23" i="2"/>
  <c r="AP18" i="2"/>
  <c r="AW31" i="2"/>
  <c r="AU30" i="2"/>
  <c r="AS29" i="2"/>
  <c r="AW27" i="2"/>
  <c r="AU26" i="2"/>
  <c r="AS25" i="2"/>
  <c r="AW23" i="2"/>
  <c r="AU22" i="2"/>
  <c r="AS18" i="2"/>
  <c r="Y21" i="2"/>
  <c r="AL21" i="2"/>
  <c r="X21" i="2"/>
  <c r="AB21" i="2"/>
  <c r="AW21" i="2"/>
  <c r="W21" i="2"/>
  <c r="AF21" i="2"/>
  <c r="AV21" i="2"/>
  <c r="U21" i="2"/>
  <c r="AP21" i="2"/>
  <c r="AT21" i="2"/>
  <c r="T21" i="2"/>
  <c r="AK21" i="2"/>
  <c r="AS21" i="2"/>
  <c r="AE21" i="2"/>
  <c r="AJ21" i="2"/>
  <c r="AN21" i="2"/>
  <c r="AR21" i="2"/>
  <c r="AD21" i="2"/>
  <c r="AM21" i="2"/>
  <c r="V21" i="2"/>
  <c r="Z21" i="2"/>
  <c r="AQ21" i="2"/>
  <c r="AE20" i="2"/>
  <c r="AT20" i="2"/>
  <c r="T20" i="2"/>
  <c r="AD20" i="2"/>
  <c r="AQ20" i="2"/>
  <c r="AP20" i="2"/>
  <c r="Y20" i="2"/>
  <c r="AN20" i="2"/>
  <c r="AC20" i="2"/>
  <c r="AB20" i="2"/>
  <c r="X20" i="2"/>
  <c r="AK20" i="2"/>
  <c r="AW20" i="2"/>
  <c r="U20" i="2"/>
  <c r="AR20" i="2"/>
  <c r="AO20" i="2"/>
  <c r="W20" i="2"/>
  <c r="AJ20" i="2"/>
  <c r="AL20" i="2"/>
  <c r="AV20" i="2"/>
  <c r="V20" i="2"/>
  <c r="AI20" i="2"/>
  <c r="W19" i="2"/>
  <c r="AE19" i="2"/>
  <c r="AF19" i="2"/>
  <c r="AS19" i="2"/>
  <c r="T19" i="2"/>
  <c r="AK19" i="2"/>
  <c r="AW19" i="2"/>
  <c r="Z19" i="2"/>
  <c r="AO19" i="2"/>
  <c r="Y19" i="2"/>
  <c r="AN19" i="2"/>
  <c r="AU19" i="2"/>
  <c r="AL19" i="2"/>
  <c r="AQ19" i="2"/>
  <c r="X19" i="2"/>
  <c r="AM19" i="2"/>
  <c r="V19" i="2"/>
  <c r="AR19" i="2"/>
  <c r="U19" i="2"/>
  <c r="G19" i="38" l="1"/>
  <c r="G11" i="38"/>
  <c r="G16" i="38" s="1"/>
  <c r="G13" i="38"/>
  <c r="G17" i="38" s="1"/>
  <c r="G12" i="38"/>
  <c r="G14" i="38"/>
  <c r="G18" i="38" s="1"/>
  <c r="G10" i="38" l="1"/>
  <c r="G15" i="38" s="1"/>
  <c r="B8" i="33" l="1"/>
  <c r="B17" i="33" s="1"/>
  <c r="F25" i="33"/>
  <c r="B21" i="39" l="1"/>
  <c r="B34" i="39" s="1"/>
  <c r="C21" i="39" l="1"/>
  <c r="F36" i="33"/>
  <c r="F50" i="33"/>
  <c r="F23" i="33"/>
  <c r="F33" i="33"/>
  <c r="F42" i="33"/>
  <c r="F28" i="33"/>
  <c r="F32" i="33"/>
  <c r="F37" i="33"/>
  <c r="F38" i="33"/>
  <c r="F43" i="33"/>
  <c r="F46" i="33"/>
  <c r="F49" i="33"/>
  <c r="F34" i="33"/>
  <c r="F39" i="33"/>
  <c r="F47" i="33"/>
  <c r="F27" i="33"/>
  <c r="F41" i="33"/>
  <c r="F29" i="33"/>
  <c r="F30" i="33"/>
  <c r="F35" i="33"/>
  <c r="F44" i="33"/>
  <c r="F45" i="33"/>
  <c r="F51" i="33"/>
  <c r="F26" i="33"/>
  <c r="F22" i="33"/>
  <c r="F24" i="33"/>
  <c r="F31" i="33"/>
  <c r="F40" i="33"/>
  <c r="F48" i="33"/>
  <c r="B13" i="37" l="1"/>
  <c r="D13" i="37"/>
  <c r="D6" i="37"/>
  <c r="D15" i="37"/>
  <c r="D16" i="37"/>
  <c r="D12" i="37"/>
  <c r="D5" i="37"/>
  <c r="D14" i="37"/>
  <c r="D7" i="37"/>
  <c r="D9" i="37"/>
  <c r="D17" i="37"/>
  <c r="D10" i="37"/>
  <c r="D18" i="37"/>
  <c r="C18" i="37"/>
  <c r="D11" i="37"/>
  <c r="D19" i="37"/>
  <c r="B19" i="37"/>
  <c r="C19" i="37" s="1"/>
  <c r="B16" i="37"/>
  <c r="C16" i="37" s="1"/>
  <c r="B12" i="37"/>
  <c r="F12" i="37" s="1"/>
  <c r="B11" i="37"/>
  <c r="B18" i="37"/>
  <c r="F18" i="37" s="1"/>
  <c r="B10" i="37"/>
  <c r="B17" i="37"/>
  <c r="C17" i="37" s="1"/>
  <c r="B15" i="37"/>
  <c r="F15" i="37" s="1"/>
  <c r="B14" i="37"/>
  <c r="F14" i="37" s="1"/>
  <c r="A18" i="35"/>
  <c r="A19" i="35"/>
  <c r="A6" i="35"/>
  <c r="A7" i="35"/>
  <c r="A8" i="35"/>
  <c r="A9" i="35"/>
  <c r="A10" i="35"/>
  <c r="A11" i="35"/>
  <c r="A12" i="35"/>
  <c r="A13" i="35"/>
  <c r="A14" i="35"/>
  <c r="A15" i="35"/>
  <c r="A16" i="35"/>
  <c r="A17" i="35"/>
  <c r="A5" i="35"/>
  <c r="D5" i="35" s="1"/>
  <c r="E18" i="37" l="1"/>
  <c r="E11" i="37"/>
  <c r="F11" i="37" s="1"/>
  <c r="E12" i="37"/>
  <c r="E16" i="37"/>
  <c r="F16" i="37" s="1"/>
  <c r="E14" i="37"/>
  <c r="E19" i="37"/>
  <c r="F19" i="37" s="1"/>
  <c r="E15" i="37"/>
  <c r="E17" i="37"/>
  <c r="F17" i="37" s="1"/>
  <c r="E10" i="37"/>
  <c r="F10" i="37" s="1"/>
  <c r="E13" i="37"/>
  <c r="F13" i="37" s="1"/>
  <c r="C15" i="37"/>
  <c r="C14" i="37"/>
  <c r="C13" i="37"/>
  <c r="C12" i="37"/>
  <c r="C11" i="37"/>
  <c r="C10" i="37"/>
  <c r="D18" i="35"/>
  <c r="B18" i="35"/>
  <c r="D11" i="35"/>
  <c r="B11" i="35"/>
  <c r="F11" i="35" s="1"/>
  <c r="D6" i="35"/>
  <c r="D10" i="35"/>
  <c r="B10" i="35"/>
  <c r="B15" i="35"/>
  <c r="D15" i="35"/>
  <c r="D7" i="35"/>
  <c r="B14" i="35"/>
  <c r="D14" i="35"/>
  <c r="D13" i="35"/>
  <c r="B13" i="35"/>
  <c r="F13" i="35" s="1"/>
  <c r="D19" i="35"/>
  <c r="B19" i="35"/>
  <c r="F19" i="35" s="1"/>
  <c r="D12" i="35"/>
  <c r="B12" i="35"/>
  <c r="B17" i="35"/>
  <c r="F17" i="35" s="1"/>
  <c r="D17" i="35"/>
  <c r="B9" i="35"/>
  <c r="D9" i="35"/>
  <c r="B16" i="35"/>
  <c r="D16" i="35"/>
  <c r="B8" i="35"/>
  <c r="F8" i="35" s="1"/>
  <c r="D8" i="35"/>
  <c r="C16" i="35" l="1"/>
  <c r="C12" i="35"/>
  <c r="E11" i="35"/>
  <c r="E17" i="35"/>
  <c r="E14" i="35"/>
  <c r="F14" i="35" s="1"/>
  <c r="E12" i="35"/>
  <c r="F12" i="35" s="1"/>
  <c r="E18" i="35"/>
  <c r="F18" i="35" s="1"/>
  <c r="E8" i="35"/>
  <c r="E19" i="35"/>
  <c r="E15" i="35"/>
  <c r="F15" i="35" s="1"/>
  <c r="E16" i="35"/>
  <c r="F16" i="35" s="1"/>
  <c r="E10" i="35"/>
  <c r="F10" i="35" s="1"/>
  <c r="E13" i="35"/>
  <c r="E9" i="35"/>
  <c r="F9" i="35" s="1"/>
  <c r="C19" i="35"/>
  <c r="C13" i="35"/>
  <c r="C17" i="35"/>
  <c r="C11" i="35"/>
  <c r="C14" i="35"/>
  <c r="C9" i="35"/>
  <c r="C10" i="35"/>
  <c r="C18" i="35"/>
  <c r="C15" i="35"/>
  <c r="C8" i="35"/>
  <c r="D54" i="33" l="1"/>
  <c r="H50" i="33" s="1"/>
  <c r="D55" i="33"/>
  <c r="H29" i="33" s="1"/>
  <c r="H31" i="33" l="1"/>
  <c r="H41" i="33"/>
  <c r="H23" i="33"/>
  <c r="H46" i="33"/>
  <c r="H33" i="33"/>
  <c r="H25" i="33"/>
  <c r="H43" i="33"/>
  <c r="H38" i="33"/>
  <c r="H24" i="33"/>
  <c r="H22" i="33"/>
  <c r="H30" i="33"/>
  <c r="H36" i="33"/>
  <c r="C34" i="39"/>
  <c r="C36" i="39" s="1"/>
  <c r="B74" i="25"/>
  <c r="H26" i="33"/>
  <c r="H27" i="33"/>
  <c r="H37" i="33"/>
  <c r="H51" i="33"/>
  <c r="H47" i="33"/>
  <c r="H32" i="33"/>
  <c r="H45" i="33"/>
  <c r="H39" i="33"/>
  <c r="H28" i="33"/>
  <c r="H48" i="33"/>
  <c r="H44" i="33"/>
  <c r="H34" i="33"/>
  <c r="H42" i="33"/>
  <c r="H40" i="33"/>
  <c r="H35" i="33"/>
  <c r="H49" i="33"/>
  <c r="E34" i="39" l="1"/>
  <c r="B8" i="41" l="1"/>
  <c r="Q31" i="2"/>
  <c r="Q30" i="2"/>
  <c r="Q29" i="2"/>
  <c r="Q28" i="2"/>
  <c r="Q27" i="2"/>
  <c r="Q26" i="2"/>
  <c r="Q25" i="2"/>
  <c r="Q24" i="2"/>
  <c r="Q23" i="2"/>
  <c r="Q22" i="2"/>
  <c r="Q21" i="2"/>
  <c r="Q20" i="2"/>
  <c r="AA22" i="2"/>
  <c r="AL18" i="2"/>
  <c r="B13" i="38" s="1"/>
  <c r="B17" i="38" s="1"/>
  <c r="AN17" i="2"/>
  <c r="D13" i="38" s="1"/>
  <c r="D17" i="38" s="1"/>
  <c r="D151" i="2"/>
  <c r="C117" i="2"/>
  <c r="C118" i="2"/>
  <c r="C119" i="2"/>
  <c r="C120" i="2"/>
  <c r="C121" i="2"/>
  <c r="L121" i="2" s="1"/>
  <c r="C122" i="2"/>
  <c r="L122" i="2" s="1"/>
  <c r="C123" i="2"/>
  <c r="L123" i="2" s="1"/>
  <c r="C124" i="2"/>
  <c r="L124" i="2" s="1"/>
  <c r="C125" i="2"/>
  <c r="L125" i="2" s="1"/>
  <c r="C126" i="2"/>
  <c r="L126" i="2" s="1"/>
  <c r="C127" i="2"/>
  <c r="L127" i="2" s="1"/>
  <c r="C128" i="2"/>
  <c r="L128" i="2" s="1"/>
  <c r="C129" i="2"/>
  <c r="L129" i="2" s="1"/>
  <c r="C130" i="2"/>
  <c r="L130" i="2" s="1"/>
  <c r="C40" i="2"/>
  <c r="S117" i="4"/>
  <c r="S106" i="4"/>
  <c r="S107" i="4"/>
  <c r="S109" i="4"/>
  <c r="S110" i="4"/>
  <c r="S111" i="4"/>
  <c r="S112" i="4"/>
  <c r="S113" i="4"/>
  <c r="S102" i="4"/>
  <c r="S103" i="4"/>
  <c r="S101" i="4"/>
  <c r="S90" i="4"/>
  <c r="S91" i="4"/>
  <c r="S92" i="4"/>
  <c r="S94" i="4"/>
  <c r="S95" i="4"/>
  <c r="S89" i="4"/>
  <c r="S73" i="4"/>
  <c r="S74" i="4"/>
  <c r="S75" i="4"/>
  <c r="S76" i="4"/>
  <c r="S77" i="4"/>
  <c r="S78" i="4"/>
  <c r="S79" i="4"/>
  <c r="S80" i="4"/>
  <c r="S85" i="4"/>
  <c r="S86" i="4"/>
  <c r="S87" i="4"/>
  <c r="S72" i="4"/>
  <c r="S69" i="4"/>
  <c r="S70" i="4"/>
  <c r="S66" i="4"/>
  <c r="S63" i="4"/>
  <c r="S64" i="4"/>
  <c r="S62" i="4"/>
  <c r="S35" i="4"/>
  <c r="S37" i="4"/>
  <c r="S38" i="4"/>
  <c r="S40" i="4"/>
  <c r="S43" i="4"/>
  <c r="S46" i="4"/>
  <c r="S47" i="4"/>
  <c r="S49" i="4"/>
  <c r="S51" i="4"/>
  <c r="S52" i="4"/>
  <c r="S53" i="4"/>
  <c r="S57" i="4"/>
  <c r="S58" i="4"/>
  <c r="S59" i="4"/>
  <c r="S60" i="4"/>
  <c r="S33" i="4"/>
  <c r="T58" i="22"/>
  <c r="T7" i="22"/>
  <c r="T8" i="22"/>
  <c r="T9" i="22"/>
  <c r="T10" i="22"/>
  <c r="T11" i="22"/>
  <c r="T12" i="22"/>
  <c r="T13" i="22"/>
  <c r="T14" i="22"/>
  <c r="T15" i="22"/>
  <c r="T16" i="22"/>
  <c r="T17" i="22"/>
  <c r="T18" i="22"/>
  <c r="T19" i="22"/>
  <c r="T20" i="22"/>
  <c r="T21" i="22"/>
  <c r="T22" i="22"/>
  <c r="T23" i="22"/>
  <c r="T24" i="22"/>
  <c r="T25" i="22"/>
  <c r="T26" i="22"/>
  <c r="T27" i="22"/>
  <c r="T28" i="22"/>
  <c r="T29" i="22"/>
  <c r="T30" i="22"/>
  <c r="T31" i="22"/>
  <c r="T32" i="22"/>
  <c r="T33" i="22"/>
  <c r="T34" i="22"/>
  <c r="T35" i="22"/>
  <c r="T36" i="22"/>
  <c r="T37" i="22"/>
  <c r="T38" i="22"/>
  <c r="T39" i="22"/>
  <c r="T40" i="22"/>
  <c r="T41" i="22"/>
  <c r="T42" i="22"/>
  <c r="T43" i="22"/>
  <c r="T44" i="22"/>
  <c r="T45" i="22"/>
  <c r="T46" i="22"/>
  <c r="T47" i="22"/>
  <c r="T48" i="22"/>
  <c r="T49" i="22"/>
  <c r="T50" i="22"/>
  <c r="T51" i="22"/>
  <c r="T52" i="22"/>
  <c r="T53" i="22"/>
  <c r="T54" i="22"/>
  <c r="T55" i="22"/>
  <c r="T56" i="22"/>
  <c r="T57" i="22"/>
  <c r="T59" i="22"/>
  <c r="T60" i="22"/>
  <c r="T61" i="22"/>
  <c r="T62" i="22"/>
  <c r="T63" i="22"/>
  <c r="T64" i="22"/>
  <c r="T65" i="22"/>
  <c r="T66" i="22"/>
  <c r="T67" i="22"/>
  <c r="T68" i="22"/>
  <c r="T69" i="22"/>
  <c r="T70" i="22"/>
  <c r="T71" i="22"/>
  <c r="T72" i="22"/>
  <c r="T73" i="22"/>
  <c r="T74" i="22"/>
  <c r="T75" i="22"/>
  <c r="T76" i="22"/>
  <c r="T77" i="22"/>
  <c r="T78" i="22"/>
  <c r="T79" i="22"/>
  <c r="T80" i="22"/>
  <c r="T81" i="22"/>
  <c r="T82" i="22"/>
  <c r="T83" i="22"/>
  <c r="T84" i="22"/>
  <c r="T85" i="22"/>
  <c r="T86" i="22"/>
  <c r="T87" i="22"/>
  <c r="T88" i="22"/>
  <c r="T89" i="22"/>
  <c r="T90" i="22"/>
  <c r="T91" i="22"/>
  <c r="T96" i="22"/>
  <c r="T97" i="22"/>
  <c r="T98" i="22"/>
  <c r="T99" i="22"/>
  <c r="T100" i="22"/>
  <c r="T101" i="22"/>
  <c r="T102" i="22"/>
  <c r="T103" i="22"/>
  <c r="T104" i="22"/>
  <c r="T105" i="22"/>
  <c r="T106" i="22"/>
  <c r="T107" i="22"/>
  <c r="T108" i="22"/>
  <c r="T109" i="22"/>
  <c r="T112" i="22"/>
  <c r="T113" i="22"/>
  <c r="T114" i="22"/>
  <c r="L12" i="4"/>
  <c r="L13" i="4"/>
  <c r="L14" i="4"/>
  <c r="L15" i="4"/>
  <c r="L16" i="4"/>
  <c r="L17" i="4"/>
  <c r="L18" i="4"/>
  <c r="L19" i="4"/>
  <c r="L21" i="4"/>
  <c r="L22" i="4"/>
  <c r="L23" i="4"/>
  <c r="L24" i="4"/>
  <c r="L25" i="4"/>
  <c r="L26" i="4"/>
  <c r="L27" i="4"/>
  <c r="L28" i="4"/>
  <c r="L30" i="4"/>
  <c r="L31" i="4"/>
  <c r="L11" i="4"/>
  <c r="R67" i="4"/>
  <c r="S67" i="4" s="1"/>
  <c r="R68" i="4"/>
  <c r="S68" i="4" s="1"/>
  <c r="R105" i="4"/>
  <c r="S105" i="4" s="1"/>
  <c r="A31" i="12"/>
  <c r="E31" i="12" s="1"/>
  <c r="A32" i="12"/>
  <c r="D32" i="12" s="1"/>
  <c r="A33" i="12"/>
  <c r="E33" i="12" s="1"/>
  <c r="A34" i="12"/>
  <c r="E34" i="12" s="1"/>
  <c r="A35" i="12"/>
  <c r="B35" i="12" s="1"/>
  <c r="A36" i="12"/>
  <c r="E36" i="12" s="1"/>
  <c r="A37" i="12"/>
  <c r="C37" i="12" s="1"/>
  <c r="A38" i="12"/>
  <c r="B38" i="12" s="1"/>
  <c r="A39" i="12"/>
  <c r="D39" i="12" s="1"/>
  <c r="A40" i="12"/>
  <c r="A41" i="12"/>
  <c r="E41" i="12" s="1"/>
  <c r="A42" i="12"/>
  <c r="F42" i="12" s="1"/>
  <c r="A43" i="12"/>
  <c r="B43" i="12" s="1"/>
  <c r="A44" i="12"/>
  <c r="F44" i="12" s="1"/>
  <c r="A30" i="12"/>
  <c r="D30" i="12" s="1"/>
  <c r="M117" i="2"/>
  <c r="N117" i="2"/>
  <c r="M118" i="2"/>
  <c r="N118" i="2"/>
  <c r="M119" i="2"/>
  <c r="N119" i="2"/>
  <c r="M120" i="2"/>
  <c r="N120" i="2"/>
  <c r="G121" i="2"/>
  <c r="H121" i="2"/>
  <c r="I121" i="2"/>
  <c r="M121" i="2"/>
  <c r="N121" i="2"/>
  <c r="O121" i="2"/>
  <c r="M122" i="2"/>
  <c r="N122" i="2"/>
  <c r="G123" i="2"/>
  <c r="H123" i="2"/>
  <c r="I123" i="2"/>
  <c r="M123" i="2"/>
  <c r="N123" i="2"/>
  <c r="O123" i="2"/>
  <c r="G124" i="2"/>
  <c r="H124" i="2"/>
  <c r="I124" i="2"/>
  <c r="M124" i="2"/>
  <c r="N124" i="2"/>
  <c r="O124" i="2"/>
  <c r="M125" i="2"/>
  <c r="N125" i="2"/>
  <c r="M126" i="2"/>
  <c r="N126" i="2"/>
  <c r="G127" i="2"/>
  <c r="H127" i="2"/>
  <c r="I127" i="2"/>
  <c r="M127" i="2"/>
  <c r="N127" i="2"/>
  <c r="O127" i="2"/>
  <c r="G128" i="2"/>
  <c r="H128" i="2"/>
  <c r="I128" i="2"/>
  <c r="M128" i="2"/>
  <c r="N128" i="2"/>
  <c r="O128" i="2"/>
  <c r="G129" i="2"/>
  <c r="H129" i="2"/>
  <c r="I129" i="2"/>
  <c r="M129" i="2"/>
  <c r="N129" i="2"/>
  <c r="O129" i="2"/>
  <c r="M130" i="2"/>
  <c r="N130" i="2"/>
  <c r="N116" i="2"/>
  <c r="M116" i="2"/>
  <c r="F117" i="2"/>
  <c r="J117" i="2" s="1"/>
  <c r="F118" i="2"/>
  <c r="F119" i="2"/>
  <c r="J119" i="2" s="1"/>
  <c r="F120" i="2"/>
  <c r="J120" i="2" s="1"/>
  <c r="F121" i="2"/>
  <c r="J121" i="2" s="1"/>
  <c r="F122" i="2"/>
  <c r="J122" i="2" s="1"/>
  <c r="F123" i="2"/>
  <c r="F124" i="2"/>
  <c r="J124" i="2" s="1"/>
  <c r="F125" i="2"/>
  <c r="F126" i="2"/>
  <c r="J126" i="2" s="1"/>
  <c r="F127" i="2"/>
  <c r="F128" i="2"/>
  <c r="J128" i="2" s="1"/>
  <c r="F129" i="2"/>
  <c r="F130" i="2"/>
  <c r="J130" i="2" s="1"/>
  <c r="F116" i="2"/>
  <c r="B137" i="2"/>
  <c r="B138" i="2"/>
  <c r="B139" i="2"/>
  <c r="B140" i="2"/>
  <c r="B141" i="2"/>
  <c r="B142" i="2"/>
  <c r="B143" i="2"/>
  <c r="B144" i="2"/>
  <c r="B145" i="2"/>
  <c r="B146" i="2"/>
  <c r="B147" i="2"/>
  <c r="B148" i="2"/>
  <c r="B149" i="2"/>
  <c r="B150" i="2"/>
  <c r="B136" i="2"/>
  <c r="F105" i="4"/>
  <c r="C105" i="4"/>
  <c r="B85" i="4"/>
  <c r="F85" i="4"/>
  <c r="G60" i="4"/>
  <c r="H60" i="4" s="1"/>
  <c r="M60" i="4" s="1"/>
  <c r="B60" i="4"/>
  <c r="M34" i="4"/>
  <c r="M36" i="4"/>
  <c r="M38" i="4"/>
  <c r="M40" i="4"/>
  <c r="M41" i="4"/>
  <c r="M42" i="4"/>
  <c r="M43" i="4"/>
  <c r="M44" i="4"/>
  <c r="M45" i="4"/>
  <c r="M46" i="4"/>
  <c r="M48" i="4"/>
  <c r="M50" i="4"/>
  <c r="M51" i="4"/>
  <c r="M94" i="4"/>
  <c r="B107" i="4"/>
  <c r="F107" i="4"/>
  <c r="H107" i="4"/>
  <c r="M107" i="4" s="1"/>
  <c r="M87" i="4"/>
  <c r="M86" i="4"/>
  <c r="O87" i="4"/>
  <c r="O86" i="4"/>
  <c r="N87" i="4"/>
  <c r="N86" i="4"/>
  <c r="L87" i="4"/>
  <c r="L86" i="4"/>
  <c r="H87" i="4"/>
  <c r="H86" i="4"/>
  <c r="F86" i="4"/>
  <c r="F87" i="4"/>
  <c r="B87" i="4"/>
  <c r="B86" i="4"/>
  <c r="F34" i="4"/>
  <c r="F35" i="4"/>
  <c r="F36" i="4"/>
  <c r="F37" i="4"/>
  <c r="F57" i="4"/>
  <c r="F58" i="4"/>
  <c r="F59" i="4"/>
  <c r="F112" i="4"/>
  <c r="F111" i="4"/>
  <c r="F106" i="4"/>
  <c r="F103" i="4"/>
  <c r="F95" i="4"/>
  <c r="F94" i="4"/>
  <c r="F92" i="4"/>
  <c r="F91" i="4"/>
  <c r="M62" i="4"/>
  <c r="M95" i="4"/>
  <c r="M53" i="4"/>
  <c r="M52" i="4"/>
  <c r="R93" i="4"/>
  <c r="S93" i="4" s="1"/>
  <c r="H93" i="4"/>
  <c r="B93" i="4"/>
  <c r="M64" i="4"/>
  <c r="M63" i="4"/>
  <c r="N91" i="4"/>
  <c r="N92" i="4"/>
  <c r="O92" i="4"/>
  <c r="O91" i="4"/>
  <c r="O103" i="4"/>
  <c r="O102" i="4"/>
  <c r="O101" i="4"/>
  <c r="N103" i="4"/>
  <c r="N102" i="4"/>
  <c r="N101" i="4"/>
  <c r="H112" i="4"/>
  <c r="M112" i="4" s="1"/>
  <c r="H113" i="4"/>
  <c r="M113" i="4" s="1"/>
  <c r="H111" i="4"/>
  <c r="M111" i="4" s="1"/>
  <c r="B113" i="4"/>
  <c r="B112" i="4"/>
  <c r="B111" i="4"/>
  <c r="G110" i="4"/>
  <c r="H110" i="4" s="1"/>
  <c r="M110" i="4" s="1"/>
  <c r="B110" i="4"/>
  <c r="H109" i="4"/>
  <c r="B109" i="4"/>
  <c r="H106" i="4"/>
  <c r="M106" i="4"/>
  <c r="Q58" i="4"/>
  <c r="H58" i="4"/>
  <c r="M58" i="4" s="1"/>
  <c r="H57" i="4"/>
  <c r="B57" i="4"/>
  <c r="H49" i="4"/>
  <c r="M49" i="4" s="1"/>
  <c r="H35" i="4"/>
  <c r="M35" i="4" s="1"/>
  <c r="B35" i="4"/>
  <c r="H37" i="4"/>
  <c r="M37" i="4" s="1"/>
  <c r="B37" i="4"/>
  <c r="B47" i="4"/>
  <c r="G47" i="4" s="1"/>
  <c r="C66" i="4"/>
  <c r="G66" i="4" s="1"/>
  <c r="R83" i="4"/>
  <c r="S83" i="4" s="1"/>
  <c r="S84" i="4"/>
  <c r="R82" i="4"/>
  <c r="S82" i="4" s="1"/>
  <c r="R81" i="4"/>
  <c r="S81" i="4" s="1"/>
  <c r="C84" i="4"/>
  <c r="H84" i="4" s="1"/>
  <c r="C83" i="4"/>
  <c r="F83" i="4" s="1"/>
  <c r="C82" i="4"/>
  <c r="F82" i="4" s="1"/>
  <c r="F81" i="4"/>
  <c r="C81" i="4"/>
  <c r="G81" i="4" s="1"/>
  <c r="H81" i="4" s="1"/>
  <c r="H83" i="4"/>
  <c r="H59" i="4"/>
  <c r="M59" i="4" s="1"/>
  <c r="B59" i="4"/>
  <c r="F38" i="4"/>
  <c r="F22" i="4"/>
  <c r="R55" i="4"/>
  <c r="S55" i="4" s="1"/>
  <c r="R56" i="4"/>
  <c r="S56" i="4" s="1"/>
  <c r="L56" i="4"/>
  <c r="L55" i="4"/>
  <c r="L54" i="4"/>
  <c r="G56" i="4"/>
  <c r="H56" i="4" s="1"/>
  <c r="G54" i="4"/>
  <c r="F54" i="4" s="1"/>
  <c r="G55" i="4"/>
  <c r="H55" i="4" s="1"/>
  <c r="B55" i="4"/>
  <c r="B56" i="4"/>
  <c r="B54" i="4"/>
  <c r="B39" i="4"/>
  <c r="B58" i="4"/>
  <c r="Q24" i="4"/>
  <c r="H103" i="4"/>
  <c r="B103" i="4"/>
  <c r="G102" i="4"/>
  <c r="B102" i="4"/>
  <c r="G101" i="4"/>
  <c r="F101" i="4" s="1"/>
  <c r="B101" i="4"/>
  <c r="H92" i="4"/>
  <c r="B92" i="4"/>
  <c r="L92" i="4" s="1"/>
  <c r="H91" i="4"/>
  <c r="B91" i="4"/>
  <c r="L91" i="4" s="1"/>
  <c r="C90" i="4"/>
  <c r="C89" i="4"/>
  <c r="G89" i="4" s="1"/>
  <c r="H89" i="4" s="1"/>
  <c r="C80" i="4"/>
  <c r="G80" i="4" s="1"/>
  <c r="H80" i="4" s="1"/>
  <c r="M80" i="4" s="1"/>
  <c r="C79" i="4"/>
  <c r="G79" i="4" s="1"/>
  <c r="C78" i="4"/>
  <c r="G78" i="4"/>
  <c r="H78" i="4" s="1"/>
  <c r="M78" i="4" s="1"/>
  <c r="C77" i="4"/>
  <c r="C76" i="4"/>
  <c r="G76" i="4" s="1"/>
  <c r="H76" i="4" s="1"/>
  <c r="M76" i="4" s="1"/>
  <c r="C75" i="4"/>
  <c r="Q19" i="2" s="1"/>
  <c r="C74" i="4"/>
  <c r="C73" i="4"/>
  <c r="G73" i="4" s="1"/>
  <c r="H73" i="4" s="1"/>
  <c r="M73" i="4" s="1"/>
  <c r="C72" i="4"/>
  <c r="G72" i="4" s="1"/>
  <c r="H72" i="4" s="1"/>
  <c r="M72" i="4" s="1"/>
  <c r="C70" i="4"/>
  <c r="G70" i="4" s="1"/>
  <c r="C69" i="4"/>
  <c r="G69" i="4" s="1"/>
  <c r="H69" i="4" s="1"/>
  <c r="M69" i="4" s="1"/>
  <c r="C68" i="4"/>
  <c r="G68" i="4" s="1"/>
  <c r="C67" i="4"/>
  <c r="Q18" i="2" s="1"/>
  <c r="F64" i="4"/>
  <c r="F63" i="4"/>
  <c r="F62" i="4"/>
  <c r="R54" i="4"/>
  <c r="S54" i="4" s="1"/>
  <c r="C53" i="4"/>
  <c r="G53" i="4" s="1"/>
  <c r="F53" i="4" s="1"/>
  <c r="Q52" i="4"/>
  <c r="C52" i="4"/>
  <c r="G52" i="4"/>
  <c r="F52" i="4" s="1"/>
  <c r="F51" i="4"/>
  <c r="R50" i="4"/>
  <c r="S50" i="4" s="1"/>
  <c r="Q50" i="4"/>
  <c r="D8" i="37" s="1"/>
  <c r="F50" i="4"/>
  <c r="F49" i="4"/>
  <c r="R48" i="4"/>
  <c r="S48" i="4" s="1"/>
  <c r="F48" i="4"/>
  <c r="F46" i="4"/>
  <c r="R45" i="4"/>
  <c r="S45" i="4" s="1"/>
  <c r="F45" i="4"/>
  <c r="R44" i="4"/>
  <c r="S44" i="4" s="1"/>
  <c r="F44" i="4"/>
  <c r="Q43" i="4"/>
  <c r="F43" i="4"/>
  <c r="R42" i="4"/>
  <c r="S42" i="4" s="1"/>
  <c r="Q42" i="4"/>
  <c r="F42" i="4"/>
  <c r="R41" i="4"/>
  <c r="S41" i="4" s="1"/>
  <c r="Q41" i="4"/>
  <c r="F41" i="4"/>
  <c r="F40" i="4"/>
  <c r="R39" i="4"/>
  <c r="S39" i="4" s="1"/>
  <c r="H39" i="4"/>
  <c r="M39" i="4" s="1"/>
  <c r="F39" i="4"/>
  <c r="Q38" i="4"/>
  <c r="R36" i="4"/>
  <c r="S36" i="4" s="1"/>
  <c r="Q36" i="4"/>
  <c r="R34" i="4"/>
  <c r="S34" i="4" s="1"/>
  <c r="Q34" i="4"/>
  <c r="C33" i="4"/>
  <c r="G126" i="2" s="1"/>
  <c r="R31" i="4"/>
  <c r="S31" i="4" s="1"/>
  <c r="Q31" i="4"/>
  <c r="I31" i="4"/>
  <c r="C31" i="4"/>
  <c r="F31" i="4"/>
  <c r="R30" i="4"/>
  <c r="S30" i="4" s="1"/>
  <c r="I30" i="4"/>
  <c r="C30" i="4"/>
  <c r="G122" i="2" s="1"/>
  <c r="F30" i="4"/>
  <c r="R29" i="4"/>
  <c r="S29" i="4" s="1"/>
  <c r="Q29" i="4"/>
  <c r="I29" i="4"/>
  <c r="C29" i="4"/>
  <c r="F29" i="4"/>
  <c r="R28" i="4"/>
  <c r="S28" i="4" s="1"/>
  <c r="Q28" i="4"/>
  <c r="I28" i="4"/>
  <c r="C28" i="4"/>
  <c r="G120" i="2" s="1"/>
  <c r="F28" i="4"/>
  <c r="R27" i="4"/>
  <c r="S27" i="4" s="1"/>
  <c r="Q27" i="4"/>
  <c r="I27" i="4"/>
  <c r="C27" i="4"/>
  <c r="G119" i="2" s="1"/>
  <c r="F27" i="4"/>
  <c r="R26" i="4"/>
  <c r="S26" i="4" s="1"/>
  <c r="Q26" i="4"/>
  <c r="I26" i="4"/>
  <c r="C26" i="4"/>
  <c r="G118" i="2" s="1"/>
  <c r="F26" i="4"/>
  <c r="R25" i="4"/>
  <c r="S25" i="4" s="1"/>
  <c r="Q25" i="4"/>
  <c r="I25" i="4"/>
  <c r="C25" i="4"/>
  <c r="G117" i="2" s="1"/>
  <c r="F25" i="4"/>
  <c r="R24" i="4"/>
  <c r="S24" i="4" s="1"/>
  <c r="I24" i="4"/>
  <c r="C24" i="4"/>
  <c r="G116" i="2" s="1"/>
  <c r="F24" i="4"/>
  <c r="R23" i="4"/>
  <c r="S23" i="4" s="1"/>
  <c r="I23" i="4"/>
  <c r="C23" i="4"/>
  <c r="F23" i="4"/>
  <c r="R22" i="4"/>
  <c r="S22" i="4" s="1"/>
  <c r="Q22" i="4"/>
  <c r="I22" i="4"/>
  <c r="C22" i="4"/>
  <c r="G130" i="2" s="1"/>
  <c r="R21" i="4"/>
  <c r="S21" i="4" s="1"/>
  <c r="Q21" i="4"/>
  <c r="I21" i="4"/>
  <c r="C21" i="4"/>
  <c r="F21" i="4"/>
  <c r="R20" i="4"/>
  <c r="S20" i="4" s="1"/>
  <c r="Q20" i="4"/>
  <c r="I20" i="4"/>
  <c r="C20" i="4"/>
  <c r="F20" i="4"/>
  <c r="G20" i="4" s="1"/>
  <c r="H20" i="4" s="1"/>
  <c r="M20" i="4" s="1"/>
  <c r="R19" i="4"/>
  <c r="S19" i="4" s="1"/>
  <c r="Q19" i="4"/>
  <c r="I19" i="4"/>
  <c r="C19" i="4"/>
  <c r="F19" i="4"/>
  <c r="R18" i="4"/>
  <c r="S18" i="4" s="1"/>
  <c r="Q18" i="4"/>
  <c r="I18" i="4"/>
  <c r="C18" i="4"/>
  <c r="F18" i="4"/>
  <c r="R17" i="4"/>
  <c r="S17" i="4" s="1"/>
  <c r="Q17" i="4"/>
  <c r="I17" i="4"/>
  <c r="C17" i="4"/>
  <c r="F17" i="4"/>
  <c r="R16" i="4"/>
  <c r="S16" i="4" s="1"/>
  <c r="Q16" i="4"/>
  <c r="I16" i="4"/>
  <c r="C16" i="4"/>
  <c r="F16" i="4"/>
  <c r="R15" i="4"/>
  <c r="S15" i="4" s="1"/>
  <c r="Q15" i="4"/>
  <c r="I15" i="4"/>
  <c r="C15" i="4"/>
  <c r="F15" i="4"/>
  <c r="R14" i="4"/>
  <c r="S14" i="4" s="1"/>
  <c r="Q14" i="4"/>
  <c r="I14" i="4"/>
  <c r="C14" i="4"/>
  <c r="H14" i="4" s="1"/>
  <c r="M14" i="4" s="1"/>
  <c r="G14" i="4"/>
  <c r="R13" i="4"/>
  <c r="S13" i="4" s="1"/>
  <c r="Q13" i="4"/>
  <c r="I13" i="4"/>
  <c r="C13" i="4"/>
  <c r="G13" i="4"/>
  <c r="R12" i="4"/>
  <c r="S12" i="4" s="1"/>
  <c r="Q12" i="4"/>
  <c r="Q30" i="4" s="1"/>
  <c r="I12" i="4"/>
  <c r="C12" i="4"/>
  <c r="G12" i="4"/>
  <c r="F12" i="4" s="1"/>
  <c r="R11" i="4"/>
  <c r="S11" i="4" s="1"/>
  <c r="Q11" i="4"/>
  <c r="I11" i="4"/>
  <c r="C11" i="4"/>
  <c r="G11" i="4"/>
  <c r="F11" i="4" s="1"/>
  <c r="A2" i="4"/>
  <c r="B2" i="4"/>
  <c r="C2" i="4" s="1"/>
  <c r="D2" i="4" s="1"/>
  <c r="E2" i="4" s="1"/>
  <c r="F2" i="4" s="1"/>
  <c r="G2" i="4" s="1"/>
  <c r="H2" i="4" s="1"/>
  <c r="I2" i="4" s="1"/>
  <c r="J2" i="4" s="1"/>
  <c r="K2" i="4" s="1"/>
  <c r="L2" i="4" s="1"/>
  <c r="M2" i="4" s="1"/>
  <c r="N2" i="4" s="1"/>
  <c r="O2" i="4" s="1"/>
  <c r="P2" i="4" s="1"/>
  <c r="Q2" i="4" s="1"/>
  <c r="R2" i="4" s="1"/>
  <c r="V2" i="4" s="1"/>
  <c r="W2" i="4" s="1"/>
  <c r="AZ21" i="2"/>
  <c r="AX23" i="2"/>
  <c r="AZ28" i="2"/>
  <c r="AZ29" i="2"/>
  <c r="F102" i="4"/>
  <c r="H101" i="4"/>
  <c r="M101" i="4" s="1"/>
  <c r="B52" i="4"/>
  <c r="G77" i="4"/>
  <c r="H77" i="4" s="1"/>
  <c r="M77" i="4" s="1"/>
  <c r="G27" i="4"/>
  <c r="H27" i="4" s="1"/>
  <c r="H102" i="4"/>
  <c r="M102" i="4" s="1"/>
  <c r="H12" i="4"/>
  <c r="M12" i="4" s="1"/>
  <c r="AY18" i="2" l="1"/>
  <c r="BA18" i="2"/>
  <c r="D35" i="12"/>
  <c r="D44" i="12"/>
  <c r="E39" i="12"/>
  <c r="D40" i="12"/>
  <c r="F36" i="12"/>
  <c r="D36" i="12"/>
  <c r="AZ27" i="2"/>
  <c r="AY27" i="2"/>
  <c r="AZ26" i="2"/>
  <c r="AY26" i="2"/>
  <c r="B36" i="12"/>
  <c r="AZ25" i="2"/>
  <c r="AY25" i="2"/>
  <c r="E37" i="12"/>
  <c r="AZ24" i="2"/>
  <c r="AY24" i="2"/>
  <c r="AZ23" i="2"/>
  <c r="AY23" i="2"/>
  <c r="AY22" i="2"/>
  <c r="AZ22" i="2"/>
  <c r="C39" i="12"/>
  <c r="F43" i="12"/>
  <c r="C43" i="12"/>
  <c r="E43" i="12"/>
  <c r="G15" i="4"/>
  <c r="H15" i="4" s="1"/>
  <c r="G28" i="4"/>
  <c r="H120" i="2" s="1"/>
  <c r="K120" i="2" s="1"/>
  <c r="G105" i="4"/>
  <c r="H105" i="4" s="1"/>
  <c r="J118" i="2"/>
  <c r="G17" i="4"/>
  <c r="H17" i="4" s="1"/>
  <c r="M17" i="4" s="1"/>
  <c r="G90" i="4"/>
  <c r="H90" i="4" s="1"/>
  <c r="H54" i="4"/>
  <c r="F38" i="12"/>
  <c r="M103" i="4"/>
  <c r="G22" i="4"/>
  <c r="H22" i="4" s="1"/>
  <c r="H13" i="4"/>
  <c r="M13" i="4" s="1"/>
  <c r="G31" i="4"/>
  <c r="H31" i="4" s="1"/>
  <c r="M31" i="4" s="1"/>
  <c r="M92" i="4"/>
  <c r="F35" i="12"/>
  <c r="C35" i="12"/>
  <c r="BA21" i="2"/>
  <c r="AY21" i="2"/>
  <c r="B34" i="12"/>
  <c r="B41" i="12"/>
  <c r="B39" i="12"/>
  <c r="F39" i="12"/>
  <c r="E40" i="12"/>
  <c r="C44" i="12"/>
  <c r="F34" i="12"/>
  <c r="D42" i="12"/>
  <c r="C42" i="12"/>
  <c r="C34" i="12"/>
  <c r="E42" i="12"/>
  <c r="D34" i="12"/>
  <c r="B42" i="12"/>
  <c r="B33" i="12"/>
  <c r="BA19" i="2"/>
  <c r="AY19" i="2"/>
  <c r="C32" i="12"/>
  <c r="F32" i="12"/>
  <c r="BB19" i="2"/>
  <c r="F19" i="38" s="1"/>
  <c r="AZ19" i="2"/>
  <c r="F33" i="12"/>
  <c r="AX18" i="2"/>
  <c r="AZ18" i="2"/>
  <c r="C31" i="12"/>
  <c r="E8" i="41"/>
  <c r="F8" i="41" s="1"/>
  <c r="C8" i="41"/>
  <c r="P28" i="2"/>
  <c r="E9" i="41"/>
  <c r="F9" i="41" s="1"/>
  <c r="C9" i="41"/>
  <c r="E17" i="41"/>
  <c r="F17" i="41" s="1"/>
  <c r="C17" i="41"/>
  <c r="P27" i="2"/>
  <c r="P30" i="2"/>
  <c r="P23" i="2"/>
  <c r="P31" i="2"/>
  <c r="P22" i="2"/>
  <c r="E12" i="41"/>
  <c r="F12" i="41" s="1"/>
  <c r="C12" i="41"/>
  <c r="P25" i="2"/>
  <c r="P26" i="2"/>
  <c r="H70" i="4"/>
  <c r="M70" i="4" s="1"/>
  <c r="G125" i="2"/>
  <c r="H82" i="4"/>
  <c r="G67" i="4"/>
  <c r="H125" i="2" s="1"/>
  <c r="K125" i="2" s="1"/>
  <c r="G16" i="4"/>
  <c r="H16" i="4" s="1"/>
  <c r="M16" i="4" s="1"/>
  <c r="H119" i="2"/>
  <c r="K119" i="2" s="1"/>
  <c r="G29" i="4"/>
  <c r="H29" i="4" s="1"/>
  <c r="M29" i="4" s="1"/>
  <c r="H33" i="4"/>
  <c r="G18" i="4"/>
  <c r="H18" i="4" s="1"/>
  <c r="M18" i="4" s="1"/>
  <c r="G21" i="4"/>
  <c r="G23" i="4"/>
  <c r="H23" i="4" s="1"/>
  <c r="M23" i="4" s="1"/>
  <c r="G25" i="4"/>
  <c r="H117" i="2" s="1"/>
  <c r="K117" i="2" s="1"/>
  <c r="H66" i="4"/>
  <c r="G33" i="4"/>
  <c r="H126" i="2" s="1"/>
  <c r="K126" i="2" s="1"/>
  <c r="G19" i="4"/>
  <c r="H19" i="4" s="1"/>
  <c r="M19" i="4" s="1"/>
  <c r="G75" i="4"/>
  <c r="H75" i="4" s="1"/>
  <c r="M75" i="4" s="1"/>
  <c r="E35" i="12"/>
  <c r="D43" i="12"/>
  <c r="D37" i="12"/>
  <c r="C30" i="12"/>
  <c r="B30" i="12"/>
  <c r="E30" i="12"/>
  <c r="B37" i="12"/>
  <c r="F37" i="12"/>
  <c r="C38" i="12"/>
  <c r="D38" i="12"/>
  <c r="F30" i="12"/>
  <c r="E38" i="12"/>
  <c r="B44" i="12"/>
  <c r="C36" i="12"/>
  <c r="E44" i="12"/>
  <c r="M22" i="4"/>
  <c r="O130" i="2" s="1"/>
  <c r="I130" i="2"/>
  <c r="I119" i="2"/>
  <c r="M27" i="4"/>
  <c r="O119" i="2" s="1"/>
  <c r="H28" i="4"/>
  <c r="H79" i="4"/>
  <c r="M79" i="4" s="1"/>
  <c r="H130" i="2"/>
  <c r="K130" i="2" s="1"/>
  <c r="F14" i="4"/>
  <c r="H11" i="4"/>
  <c r="M11" i="4" s="1"/>
  <c r="F55" i="4"/>
  <c r="G30" i="4"/>
  <c r="H122" i="2" s="1"/>
  <c r="K122" i="2" s="1"/>
  <c r="M91" i="4"/>
  <c r="G74" i="4"/>
  <c r="H74" i="4" s="1"/>
  <c r="M74" i="4" s="1"/>
  <c r="G26" i="4"/>
  <c r="H118" i="2" s="1"/>
  <c r="K118" i="2" s="1"/>
  <c r="AZ31" i="2"/>
  <c r="L120" i="2"/>
  <c r="L119" i="2"/>
  <c r="L118" i="2"/>
  <c r="F41" i="12"/>
  <c r="C41" i="12"/>
  <c r="C33" i="12"/>
  <c r="D41" i="12"/>
  <c r="D33" i="12"/>
  <c r="AO21" i="2"/>
  <c r="E13" i="38" s="1"/>
  <c r="E17" i="38" s="1"/>
  <c r="AU21" i="2"/>
  <c r="E14" i="38" s="1"/>
  <c r="E18" i="38" s="1"/>
  <c r="B9" i="37"/>
  <c r="F9" i="37" s="1"/>
  <c r="AM20" i="2"/>
  <c r="C13" i="38" s="1"/>
  <c r="C17" i="38" s="1"/>
  <c r="P20" i="2"/>
  <c r="AS20" i="2"/>
  <c r="C14" i="38" s="1"/>
  <c r="C18" i="38" s="1"/>
  <c r="B8" i="37"/>
  <c r="AP19" i="2"/>
  <c r="F13" i="38" s="1"/>
  <c r="F17" i="38" s="1"/>
  <c r="E32" i="12"/>
  <c r="B32" i="12"/>
  <c r="B40" i="12"/>
  <c r="F40" i="12"/>
  <c r="AZ30" i="2"/>
  <c r="C40" i="12"/>
  <c r="H30" i="4"/>
  <c r="F47" i="4"/>
  <c r="H47" i="4"/>
  <c r="M47" i="4" s="1"/>
  <c r="M15" i="4"/>
  <c r="F13" i="4"/>
  <c r="H68" i="4"/>
  <c r="M68" i="4" s="1"/>
  <c r="L117" i="2"/>
  <c r="B53" i="4"/>
  <c r="H21" i="4"/>
  <c r="M21" i="4" s="1"/>
  <c r="F56" i="4"/>
  <c r="F84" i="4"/>
  <c r="G24" i="4"/>
  <c r="H116" i="2" s="1"/>
  <c r="K116" i="2" s="1"/>
  <c r="J116" i="2"/>
  <c r="L116" i="2"/>
  <c r="K129" i="2"/>
  <c r="B31" i="12"/>
  <c r="F31" i="12"/>
  <c r="D31" i="12"/>
  <c r="K121" i="2"/>
  <c r="K128" i="2"/>
  <c r="K123" i="2"/>
  <c r="J129" i="2"/>
  <c r="AH29" i="2"/>
  <c r="AH31" i="2"/>
  <c r="K127" i="2"/>
  <c r="AH30" i="2"/>
  <c r="J125" i="2"/>
  <c r="AH28" i="2"/>
  <c r="K124" i="2"/>
  <c r="P21" i="2"/>
  <c r="P29" i="2"/>
  <c r="J127" i="2"/>
  <c r="J123" i="2"/>
  <c r="P24" i="2"/>
  <c r="C35" i="2"/>
  <c r="Q17" i="2"/>
  <c r="N32" i="2" l="1"/>
  <c r="M32" i="2"/>
  <c r="O32" i="2"/>
  <c r="P66" i="7"/>
  <c r="R66" i="7" s="1"/>
  <c r="W66" i="7"/>
  <c r="B66" i="7"/>
  <c r="D66" i="7" s="1"/>
  <c r="I66" i="7"/>
  <c r="K66" i="7" s="1"/>
  <c r="P64" i="7"/>
  <c r="R64" i="7" s="1"/>
  <c r="W64" i="7"/>
  <c r="B64" i="7"/>
  <c r="D64" i="7" s="1"/>
  <c r="I64" i="7"/>
  <c r="K64" i="7" s="1"/>
  <c r="P61" i="7"/>
  <c r="W61" i="7"/>
  <c r="I61" i="7"/>
  <c r="K61" i="7" s="1"/>
  <c r="B61" i="7"/>
  <c r="D61" i="7" s="1"/>
  <c r="P71" i="7"/>
  <c r="R71" i="7" s="1"/>
  <c r="W71" i="7"/>
  <c r="B71" i="7"/>
  <c r="D71" i="7" s="1"/>
  <c r="I71" i="7"/>
  <c r="K71" i="7" s="1"/>
  <c r="P69" i="7"/>
  <c r="R69" i="7" s="1"/>
  <c r="W69" i="7"/>
  <c r="I69" i="7"/>
  <c r="K69" i="7" s="1"/>
  <c r="B69" i="7"/>
  <c r="D69" i="7" s="1"/>
  <c r="P62" i="7"/>
  <c r="R62" i="7" s="1"/>
  <c r="W62" i="7"/>
  <c r="I62" i="7"/>
  <c r="K62" i="7" s="1"/>
  <c r="B62" i="7"/>
  <c r="D62" i="7" s="1"/>
  <c r="P63" i="7"/>
  <c r="R63" i="7" s="1"/>
  <c r="W63" i="7"/>
  <c r="B63" i="7"/>
  <c r="D63" i="7" s="1"/>
  <c r="I63" i="7"/>
  <c r="K63" i="7" s="1"/>
  <c r="P68" i="7"/>
  <c r="R68" i="7" s="1"/>
  <c r="W68" i="7"/>
  <c r="I68" i="7"/>
  <c r="K68" i="7" s="1"/>
  <c r="B68" i="7"/>
  <c r="D68" i="7" s="1"/>
  <c r="P67" i="7"/>
  <c r="R67" i="7" s="1"/>
  <c r="W67" i="7"/>
  <c r="B67" i="7"/>
  <c r="D67" i="7" s="1"/>
  <c r="I67" i="7"/>
  <c r="K67" i="7" s="1"/>
  <c r="P72" i="7"/>
  <c r="R72" i="7" s="1"/>
  <c r="W72" i="7"/>
  <c r="B72" i="7"/>
  <c r="D72" i="7" s="1"/>
  <c r="I72" i="7"/>
  <c r="K72" i="7" s="1"/>
  <c r="P70" i="7"/>
  <c r="R70" i="7" s="1"/>
  <c r="W70" i="7"/>
  <c r="I70" i="7"/>
  <c r="K70" i="7" s="1"/>
  <c r="B70" i="7"/>
  <c r="D70" i="7" s="1"/>
  <c r="P65" i="7"/>
  <c r="R65" i="7" s="1"/>
  <c r="W65" i="7"/>
  <c r="B65" i="7"/>
  <c r="D65" i="7" s="1"/>
  <c r="I65" i="7"/>
  <c r="K65" i="7" s="1"/>
  <c r="R61" i="7"/>
  <c r="B48" i="7"/>
  <c r="B45" i="7"/>
  <c r="B50" i="7"/>
  <c r="B47" i="7"/>
  <c r="B52" i="7"/>
  <c r="B43" i="7"/>
  <c r="B42" i="7"/>
  <c r="B46" i="7"/>
  <c r="B44" i="7"/>
  <c r="B41" i="7"/>
  <c r="B51" i="7"/>
  <c r="B49" i="7"/>
  <c r="AY17" i="2"/>
  <c r="BA17" i="2"/>
  <c r="AZ20" i="2"/>
  <c r="BA20" i="2"/>
  <c r="AH27" i="2"/>
  <c r="AG27" i="2"/>
  <c r="AH26" i="2"/>
  <c r="AG26" i="2"/>
  <c r="AH25" i="2"/>
  <c r="AG25" i="2"/>
  <c r="AH24" i="2"/>
  <c r="AG24" i="2"/>
  <c r="AH23" i="2"/>
  <c r="AG23" i="2"/>
  <c r="AG21" i="2"/>
  <c r="AH21" i="2"/>
  <c r="AG22" i="2"/>
  <c r="AH22" i="2"/>
  <c r="D44" i="2"/>
  <c r="E44" i="2" s="1"/>
  <c r="AF20" i="2"/>
  <c r="AH20" i="2"/>
  <c r="AC21" i="2"/>
  <c r="AA21" i="2"/>
  <c r="AA20" i="2"/>
  <c r="Z20" i="2"/>
  <c r="AY20" i="2"/>
  <c r="AX20" i="2"/>
  <c r="AC19" i="2"/>
  <c r="AA19" i="2"/>
  <c r="P19" i="2"/>
  <c r="AT19" i="2"/>
  <c r="B7" i="35"/>
  <c r="AD19" i="2"/>
  <c r="F11" i="38" s="1"/>
  <c r="F16" i="38" s="1"/>
  <c r="AB19" i="2"/>
  <c r="AB17" i="2"/>
  <c r="Z17" i="2"/>
  <c r="AZ17" i="2"/>
  <c r="AX17" i="2"/>
  <c r="B5" i="41"/>
  <c r="E5" i="41" s="1"/>
  <c r="AR17" i="2"/>
  <c r="Z18" i="2"/>
  <c r="AB18" i="2"/>
  <c r="C13" i="41"/>
  <c r="E13" i="41"/>
  <c r="F13" i="41" s="1"/>
  <c r="E11" i="41"/>
  <c r="F11" i="41" s="1"/>
  <c r="C11" i="41"/>
  <c r="E14" i="41"/>
  <c r="F14" i="41" s="1"/>
  <c r="C14" i="41"/>
  <c r="E18" i="41"/>
  <c r="F18" i="41" s="1"/>
  <c r="C18" i="41"/>
  <c r="E16" i="41"/>
  <c r="F16" i="41" s="1"/>
  <c r="C16" i="41"/>
  <c r="E19" i="41"/>
  <c r="F19" i="41" s="1"/>
  <c r="C19" i="41"/>
  <c r="E10" i="41"/>
  <c r="F10" i="41" s="1"/>
  <c r="C10" i="41"/>
  <c r="E15" i="41"/>
  <c r="F15" i="41" s="1"/>
  <c r="C15" i="41"/>
  <c r="AV19" i="2"/>
  <c r="F14" i="38" s="1"/>
  <c r="F18" i="38" s="1"/>
  <c r="B7" i="41"/>
  <c r="P17" i="2"/>
  <c r="H67" i="4"/>
  <c r="F33" i="4"/>
  <c r="H25" i="4"/>
  <c r="M33" i="4"/>
  <c r="O126" i="2" s="1"/>
  <c r="I126" i="2"/>
  <c r="B7" i="37"/>
  <c r="F7" i="37" s="1"/>
  <c r="M25" i="4"/>
  <c r="O117" i="2" s="1"/>
  <c r="I117" i="2"/>
  <c r="M28" i="4"/>
  <c r="O120" i="2" s="1"/>
  <c r="I120" i="2"/>
  <c r="H26" i="4"/>
  <c r="AI21" i="2"/>
  <c r="B5" i="35"/>
  <c r="E5" i="35" s="1"/>
  <c r="AT17" i="2"/>
  <c r="E9" i="37"/>
  <c r="C9" i="37"/>
  <c r="E8" i="37"/>
  <c r="F8" i="37" s="1"/>
  <c r="C8" i="37"/>
  <c r="AG20" i="2"/>
  <c r="AG17" i="2"/>
  <c r="H24" i="4"/>
  <c r="I122" i="2"/>
  <c r="M30" i="4"/>
  <c r="O122" i="2" s="1"/>
  <c r="D48" i="7" l="1"/>
  <c r="D50" i="7"/>
  <c r="D41" i="7"/>
  <c r="D42" i="7"/>
  <c r="D49" i="7"/>
  <c r="D43" i="7"/>
  <c r="D52" i="7"/>
  <c r="D47" i="7"/>
  <c r="D45" i="7"/>
  <c r="D44" i="7"/>
  <c r="D51" i="7"/>
  <c r="Y66" i="7"/>
  <c r="D46" i="7"/>
  <c r="I97" i="2"/>
  <c r="C56" i="2" s="1"/>
  <c r="Y65" i="7"/>
  <c r="Y71" i="7"/>
  <c r="Y72" i="7"/>
  <c r="Y64" i="7"/>
  <c r="Y70" i="7"/>
  <c r="Y69" i="7"/>
  <c r="Y67" i="7"/>
  <c r="Y61" i="7"/>
  <c r="P60" i="7"/>
  <c r="R60" i="7" s="1"/>
  <c r="W60" i="7"/>
  <c r="I60" i="7"/>
  <c r="K60" i="7" s="1"/>
  <c r="B60" i="7"/>
  <c r="D60" i="7" s="1"/>
  <c r="Y68" i="7"/>
  <c r="Y62" i="7"/>
  <c r="Y63" i="7"/>
  <c r="P58" i="7"/>
  <c r="R58" i="7" s="1"/>
  <c r="F5" i="37" s="1"/>
  <c r="W58" i="7"/>
  <c r="I58" i="7"/>
  <c r="K58" i="7" s="1"/>
  <c r="B58" i="7"/>
  <c r="E19" i="38"/>
  <c r="D19" i="38"/>
  <c r="B38" i="7"/>
  <c r="B40" i="7"/>
  <c r="C7" i="37"/>
  <c r="N56" i="2"/>
  <c r="N60" i="2" s="1"/>
  <c r="C19" i="38"/>
  <c r="C5" i="41"/>
  <c r="C11" i="38"/>
  <c r="C16" i="38" s="1"/>
  <c r="B19" i="38"/>
  <c r="E11" i="38"/>
  <c r="E16" i="38" s="1"/>
  <c r="AI19" i="2"/>
  <c r="E12" i="38" s="1"/>
  <c r="AG19" i="2"/>
  <c r="B11" i="38"/>
  <c r="B16" i="38" s="1"/>
  <c r="D11" i="38"/>
  <c r="D16" i="38" s="1"/>
  <c r="AJ19" i="2"/>
  <c r="F12" i="38" s="1"/>
  <c r="F10" i="38" s="1"/>
  <c r="F15" i="38" s="1"/>
  <c r="AH19" i="2"/>
  <c r="E7" i="35"/>
  <c r="C7" i="35"/>
  <c r="C5" i="37"/>
  <c r="AH17" i="2"/>
  <c r="AF17" i="2"/>
  <c r="B6" i="41"/>
  <c r="C6" i="41" s="1"/>
  <c r="AT18" i="2"/>
  <c r="D14" i="38" s="1"/>
  <c r="D18" i="38" s="1"/>
  <c r="B6" i="35"/>
  <c r="C37" i="2"/>
  <c r="E7" i="41"/>
  <c r="C7" i="41"/>
  <c r="I125" i="2"/>
  <c r="M67" i="4"/>
  <c r="AR18" i="2"/>
  <c r="B14" i="38" s="1"/>
  <c r="B18" i="38" s="1"/>
  <c r="P18" i="2"/>
  <c r="B6" i="37"/>
  <c r="AG18" i="2"/>
  <c r="E7" i="37"/>
  <c r="I118" i="2"/>
  <c r="M26" i="4"/>
  <c r="O118" i="2" s="1"/>
  <c r="C5" i="35"/>
  <c r="M24" i="4"/>
  <c r="O116" i="2" s="1"/>
  <c r="I116" i="2"/>
  <c r="F7" i="41" l="1"/>
  <c r="F7" i="35"/>
  <c r="F5" i="35"/>
  <c r="F5" i="41"/>
  <c r="Y60" i="7"/>
  <c r="D40" i="7"/>
  <c r="J99" i="2"/>
  <c r="I99" i="2"/>
  <c r="C58" i="2" s="1"/>
  <c r="I100" i="2"/>
  <c r="C59" i="2" s="1"/>
  <c r="I102" i="2"/>
  <c r="C61" i="2" s="1"/>
  <c r="I101" i="2"/>
  <c r="C60" i="2" s="1"/>
  <c r="P59" i="7"/>
  <c r="R59" i="7" s="1"/>
  <c r="W59" i="7"/>
  <c r="X73" i="7" s="1"/>
  <c r="B59" i="7"/>
  <c r="D59" i="7" s="1"/>
  <c r="I59" i="7"/>
  <c r="K59" i="7" s="1"/>
  <c r="D58" i="7"/>
  <c r="B39" i="7"/>
  <c r="C53" i="7" s="1"/>
  <c r="N61" i="2"/>
  <c r="N58" i="2"/>
  <c r="N59" i="2"/>
  <c r="C12" i="38"/>
  <c r="C10" i="38" s="1"/>
  <c r="C15" i="38" s="1"/>
  <c r="E10" i="38"/>
  <c r="E15" i="38" s="1"/>
  <c r="E6" i="41"/>
  <c r="F6" i="41" s="1"/>
  <c r="E6" i="35"/>
  <c r="C6" i="35"/>
  <c r="AF18" i="2"/>
  <c r="B12" i="38" s="1"/>
  <c r="B10" i="38" s="1"/>
  <c r="B15" i="38" s="1"/>
  <c r="AH18" i="2"/>
  <c r="D12" i="38" s="1"/>
  <c r="D10" i="38" s="1"/>
  <c r="D15" i="38" s="1"/>
  <c r="C20" i="41"/>
  <c r="C6" i="37"/>
  <c r="E6" i="37"/>
  <c r="F6" i="37" s="1"/>
  <c r="O125" i="2"/>
  <c r="C38" i="2"/>
  <c r="F6" i="35" l="1"/>
  <c r="F20" i="35" s="1"/>
  <c r="B15" i="39" s="1"/>
  <c r="P73" i="7"/>
  <c r="F20" i="37"/>
  <c r="Y58" i="7"/>
  <c r="D38" i="7"/>
  <c r="F38" i="7" s="1"/>
  <c r="Y59" i="7"/>
  <c r="D39" i="7"/>
  <c r="Q73" i="7"/>
  <c r="C62" i="2"/>
  <c r="B73" i="7"/>
  <c r="C73" i="7"/>
  <c r="W73" i="7"/>
  <c r="I73" i="7"/>
  <c r="J73" i="7"/>
  <c r="M58" i="7"/>
  <c r="K73" i="7"/>
  <c r="M64" i="7"/>
  <c r="L64" i="7" s="1"/>
  <c r="F69" i="7"/>
  <c r="E69" i="7" s="1"/>
  <c r="M71" i="7"/>
  <c r="L71" i="7" s="1"/>
  <c r="M63" i="7"/>
  <c r="L63" i="7" s="1"/>
  <c r="F60" i="7"/>
  <c r="E60" i="7" s="1"/>
  <c r="F61" i="7"/>
  <c r="E61" i="7" s="1"/>
  <c r="F63" i="7"/>
  <c r="E63" i="7" s="1"/>
  <c r="M59" i="7"/>
  <c r="L59" i="7" s="1"/>
  <c r="F65" i="7"/>
  <c r="E65" i="7" s="1"/>
  <c r="F62" i="7"/>
  <c r="E62" i="7" s="1"/>
  <c r="F72" i="7"/>
  <c r="E72" i="7" s="1"/>
  <c r="F68" i="7"/>
  <c r="E68" i="7" s="1"/>
  <c r="M60" i="7"/>
  <c r="L60" i="7" s="1"/>
  <c r="M69" i="7"/>
  <c r="L69" i="7" s="1"/>
  <c r="M65" i="7"/>
  <c r="L65" i="7" s="1"/>
  <c r="M66" i="7"/>
  <c r="L66" i="7" s="1"/>
  <c r="F59" i="7"/>
  <c r="E59" i="7" s="1"/>
  <c r="M68" i="7"/>
  <c r="L68" i="7" s="1"/>
  <c r="M70" i="7"/>
  <c r="L70" i="7" s="1"/>
  <c r="AA63" i="7"/>
  <c r="M72" i="7"/>
  <c r="L72" i="7" s="1"/>
  <c r="F64" i="7"/>
  <c r="E64" i="7" s="1"/>
  <c r="F67" i="7"/>
  <c r="E67" i="7" s="1"/>
  <c r="M67" i="7"/>
  <c r="L67" i="7" s="1"/>
  <c r="F71" i="7"/>
  <c r="E71" i="7" s="1"/>
  <c r="M62" i="7"/>
  <c r="L62" i="7" s="1"/>
  <c r="AA64" i="7"/>
  <c r="F70" i="7"/>
  <c r="E70" i="7" s="1"/>
  <c r="M61" i="7"/>
  <c r="L61" i="7" s="1"/>
  <c r="F66" i="7"/>
  <c r="E66" i="7" s="1"/>
  <c r="AA61" i="7"/>
  <c r="AA71" i="7"/>
  <c r="AA65" i="7"/>
  <c r="AA72" i="7"/>
  <c r="AA60" i="7"/>
  <c r="AA69" i="7"/>
  <c r="AA66" i="7"/>
  <c r="AA68" i="7"/>
  <c r="AA67" i="7"/>
  <c r="AA62" i="7"/>
  <c r="AA70" i="7"/>
  <c r="T58" i="7"/>
  <c r="S58" i="7" s="1"/>
  <c r="D73" i="7"/>
  <c r="F58" i="7"/>
  <c r="T59" i="7"/>
  <c r="S59" i="7" s="1"/>
  <c r="F46" i="7"/>
  <c r="E46" i="7" s="1"/>
  <c r="T68" i="7"/>
  <c r="S68" i="7" s="1"/>
  <c r="T69" i="7"/>
  <c r="S69" i="7" s="1"/>
  <c r="T67" i="7"/>
  <c r="S67" i="7" s="1"/>
  <c r="T64" i="7"/>
  <c r="S64" i="7" s="1"/>
  <c r="T61" i="7"/>
  <c r="S61" i="7" s="1"/>
  <c r="T70" i="7"/>
  <c r="S70" i="7" s="1"/>
  <c r="T65" i="7"/>
  <c r="S65" i="7" s="1"/>
  <c r="T62" i="7"/>
  <c r="S62" i="7" s="1"/>
  <c r="T72" i="7"/>
  <c r="S72" i="7" s="1"/>
  <c r="T71" i="7"/>
  <c r="S71" i="7" s="1"/>
  <c r="T63" i="7"/>
  <c r="S63" i="7" s="1"/>
  <c r="T66" i="7"/>
  <c r="S66" i="7" s="1"/>
  <c r="B53" i="7"/>
  <c r="R73" i="7"/>
  <c r="T60" i="7"/>
  <c r="S60" i="7" s="1"/>
  <c r="F40" i="7"/>
  <c r="E40" i="7" s="1"/>
  <c r="F41" i="7"/>
  <c r="E41" i="7" s="1"/>
  <c r="F44" i="7"/>
  <c r="E44" i="7" s="1"/>
  <c r="F47" i="7"/>
  <c r="E47" i="7" s="1"/>
  <c r="F43" i="7"/>
  <c r="E43" i="7" s="1"/>
  <c r="F42" i="7"/>
  <c r="E42" i="7" s="1"/>
  <c r="F51" i="7"/>
  <c r="E51" i="7" s="1"/>
  <c r="F45" i="7"/>
  <c r="E45" i="7" s="1"/>
  <c r="F52" i="7"/>
  <c r="E52" i="7" s="1"/>
  <c r="F50" i="7"/>
  <c r="E50" i="7" s="1"/>
  <c r="F48" i="7"/>
  <c r="E48" i="7" s="1"/>
  <c r="F49" i="7"/>
  <c r="E49" i="7" s="1"/>
  <c r="F20" i="41"/>
  <c r="B22" i="39" s="1"/>
  <c r="C20" i="37"/>
  <c r="Z67" i="7" l="1"/>
  <c r="C81" i="16"/>
  <c r="Z68" i="7"/>
  <c r="C82" i="16"/>
  <c r="Z66" i="7"/>
  <c r="C80" i="16"/>
  <c r="Z61" i="7"/>
  <c r="C75" i="16"/>
  <c r="Z69" i="7"/>
  <c r="C83" i="16"/>
  <c r="Z63" i="7"/>
  <c r="C77" i="16"/>
  <c r="Z60" i="7"/>
  <c r="C74" i="16"/>
  <c r="Z64" i="7"/>
  <c r="C78" i="16"/>
  <c r="Z72" i="7"/>
  <c r="C86" i="16"/>
  <c r="Z70" i="7"/>
  <c r="C84" i="16"/>
  <c r="Z65" i="7"/>
  <c r="C79" i="16"/>
  <c r="Z62" i="7"/>
  <c r="C76" i="16"/>
  <c r="Z71" i="7"/>
  <c r="C85" i="16"/>
  <c r="D9" i="12"/>
  <c r="D78" i="7"/>
  <c r="B78" i="7" s="1"/>
  <c r="AA59" i="7"/>
  <c r="E58" i="7"/>
  <c r="F73" i="7"/>
  <c r="E73" i="7" s="1"/>
  <c r="AA58" i="7"/>
  <c r="C72" i="16" s="1"/>
  <c r="C35" i="16" s="1"/>
  <c r="E35" i="16" s="1"/>
  <c r="G35" i="16" s="1"/>
  <c r="Y73" i="7"/>
  <c r="L58" i="7"/>
  <c r="M73" i="7"/>
  <c r="L73" i="7" s="1"/>
  <c r="B28" i="39"/>
  <c r="T73" i="7"/>
  <c r="F39" i="7"/>
  <c r="F53" i="7" s="1"/>
  <c r="D53" i="7"/>
  <c r="B8" i="7" s="1"/>
  <c r="E38" i="7"/>
  <c r="B16" i="39"/>
  <c r="B29" i="39" s="1"/>
  <c r="E29" i="39" s="1"/>
  <c r="C22" i="39"/>
  <c r="B35" i="39"/>
  <c r="E35" i="39" s="1"/>
  <c r="E79" i="16" l="1"/>
  <c r="G79" i="16" s="1"/>
  <c r="C42" i="16"/>
  <c r="E42" i="16" s="1"/>
  <c r="G42" i="16" s="1"/>
  <c r="C37" i="16"/>
  <c r="E37" i="16" s="1"/>
  <c r="G37" i="16" s="1"/>
  <c r="E74" i="16"/>
  <c r="G74" i="16" s="1"/>
  <c r="Z59" i="7"/>
  <c r="C73" i="16"/>
  <c r="C87" i="16" s="1"/>
  <c r="B12" i="12" s="1"/>
  <c r="E80" i="16"/>
  <c r="G80" i="16" s="1"/>
  <c r="C43" i="16"/>
  <c r="E43" i="16" s="1"/>
  <c r="G43" i="16" s="1"/>
  <c r="C47" i="16"/>
  <c r="E47" i="16" s="1"/>
  <c r="G47" i="16" s="1"/>
  <c r="E84" i="16"/>
  <c r="G84" i="16" s="1"/>
  <c r="C40" i="16"/>
  <c r="E40" i="16" s="1"/>
  <c r="G40" i="16" s="1"/>
  <c r="E77" i="16"/>
  <c r="G77" i="16" s="1"/>
  <c r="C45" i="16"/>
  <c r="E45" i="16" s="1"/>
  <c r="G45" i="16" s="1"/>
  <c r="E82" i="16"/>
  <c r="G82" i="16" s="1"/>
  <c r="C49" i="16"/>
  <c r="E49" i="16" s="1"/>
  <c r="G49" i="16" s="1"/>
  <c r="E86" i="16"/>
  <c r="G86" i="16" s="1"/>
  <c r="E85" i="16"/>
  <c r="G85" i="16" s="1"/>
  <c r="C48" i="16"/>
  <c r="E48" i="16" s="1"/>
  <c r="G48" i="16" s="1"/>
  <c r="C46" i="16"/>
  <c r="E46" i="16" s="1"/>
  <c r="G46" i="16" s="1"/>
  <c r="E83" i="16"/>
  <c r="G83" i="16" s="1"/>
  <c r="C44" i="16"/>
  <c r="E44" i="16" s="1"/>
  <c r="G44" i="16" s="1"/>
  <c r="E81" i="16"/>
  <c r="G81" i="16" s="1"/>
  <c r="C39" i="16"/>
  <c r="E39" i="16" s="1"/>
  <c r="G39" i="16" s="1"/>
  <c r="E76" i="16"/>
  <c r="G76" i="16" s="1"/>
  <c r="C41" i="16"/>
  <c r="E41" i="16" s="1"/>
  <c r="G41" i="16" s="1"/>
  <c r="E78" i="16"/>
  <c r="G78" i="16" s="1"/>
  <c r="C38" i="16"/>
  <c r="E38" i="16" s="1"/>
  <c r="G38" i="16" s="1"/>
  <c r="E75" i="16"/>
  <c r="G75" i="16" s="1"/>
  <c r="B7" i="7"/>
  <c r="E53" i="7"/>
  <c r="D8" i="12"/>
  <c r="B8" i="12" s="1"/>
  <c r="D76" i="7"/>
  <c r="B76" i="7" s="1"/>
  <c r="E72" i="16"/>
  <c r="Z58" i="7"/>
  <c r="AA73" i="7"/>
  <c r="Z73" i="7" s="1"/>
  <c r="C9" i="12"/>
  <c r="B9" i="12"/>
  <c r="C78" i="7"/>
  <c r="C79" i="7" s="1"/>
  <c r="D79" i="7"/>
  <c r="S73" i="7"/>
  <c r="E39" i="7"/>
  <c r="C16" i="39"/>
  <c r="C15" i="39"/>
  <c r="E28" i="39"/>
  <c r="B8" i="39" s="1"/>
  <c r="C36" i="16" l="1"/>
  <c r="E73" i="16"/>
  <c r="G73" i="16" s="1"/>
  <c r="C8" i="12"/>
  <c r="G72" i="16"/>
  <c r="B79" i="7"/>
  <c r="F79" i="7" s="1"/>
  <c r="B15" i="32" s="1"/>
  <c r="B13" i="32" s="1"/>
  <c r="F78" i="7"/>
  <c r="C76" i="7"/>
  <c r="C77" i="7" s="1"/>
  <c r="D77" i="7"/>
  <c r="G87" i="16" l="1"/>
  <c r="B15" i="12" s="1"/>
  <c r="E87" i="16"/>
  <c r="B13" i="12" s="1"/>
  <c r="E36" i="16"/>
  <c r="C50" i="16"/>
  <c r="F76" i="7"/>
  <c r="G79" i="7"/>
  <c r="B16" i="26"/>
  <c r="B18" i="39" s="1"/>
  <c r="B19" i="26"/>
  <c r="B13" i="26" s="1"/>
  <c r="B19" i="39" s="1"/>
  <c r="B77" i="7"/>
  <c r="F77" i="7" s="1"/>
  <c r="G77" i="7" s="1"/>
  <c r="G36" i="16" l="1"/>
  <c r="G50" i="16" s="1"/>
  <c r="B6" i="16" s="1"/>
  <c r="E50" i="16"/>
  <c r="B20" i="39"/>
  <c r="B32" i="39"/>
  <c r="E32" i="39" s="1"/>
  <c r="B22" i="12"/>
  <c r="B21" i="12"/>
  <c r="B17" i="12"/>
  <c r="B20" i="12"/>
  <c r="B19" i="12"/>
  <c r="B18" i="12"/>
  <c r="B31" i="39"/>
  <c r="E31" i="39" s="1"/>
  <c r="C18" i="39"/>
  <c r="C19" i="39"/>
  <c r="B33" i="39" l="1"/>
  <c r="E33" i="39" s="1"/>
  <c r="B9" i="39" s="1"/>
  <c r="B10" i="39" s="1"/>
  <c r="B23" i="39"/>
  <c r="C20" i="39"/>
  <c r="C23" i="39" s="1"/>
  <c r="C42" i="2"/>
  <c r="Q32" i="2"/>
  <c r="B36" i="39" l="1"/>
  <c r="E36" i="39"/>
  <c r="C41" i="2"/>
  <c r="D45" i="2" s="1"/>
  <c r="E45" i="2" s="1"/>
  <c r="P32" i="2"/>
</calcChain>
</file>

<file path=xl/sharedStrings.xml><?xml version="1.0" encoding="utf-8"?>
<sst xmlns="http://schemas.openxmlformats.org/spreadsheetml/2006/main" count="1911" uniqueCount="776">
  <si>
    <t>V1.0</t>
  </si>
  <si>
    <t>Content</t>
  </si>
  <si>
    <t>Introduction</t>
  </si>
  <si>
    <t>Instructions</t>
  </si>
  <si>
    <t>Tool Concept Notes</t>
  </si>
  <si>
    <t>Default Feedstocks Inputs List</t>
  </si>
  <si>
    <t>Gas to Volume</t>
  </si>
  <si>
    <t>Digester Inputs</t>
  </si>
  <si>
    <t>Emissions Inputs</t>
  </si>
  <si>
    <t>Biogas Production</t>
  </si>
  <si>
    <t>Digestate Production</t>
  </si>
  <si>
    <t>Annual Summary</t>
  </si>
  <si>
    <t>Estimated Emissions Reductions</t>
  </si>
  <si>
    <t>Feedstocks Characteristics</t>
  </si>
  <si>
    <t>Feedstocks Toxicity Info</t>
  </si>
  <si>
    <t>OrganEcs Input Sheet</t>
  </si>
  <si>
    <t>MCF</t>
  </si>
  <si>
    <t>References</t>
  </si>
  <si>
    <t>Help</t>
  </si>
  <si>
    <t>Introduction to the Anaerobic Digestion (AD) Screening Tool</t>
  </si>
  <si>
    <t>Tool Instructions</t>
  </si>
  <si>
    <t xml:space="preserve">This sheet lists all default Feedstocks inputs available for the user to select.
</t>
  </si>
  <si>
    <t>Fruit and Vegetable Feedstocks</t>
  </si>
  <si>
    <t>Livestock Excreted Feedstocks</t>
  </si>
  <si>
    <t>Other Organic Municipal Feedstocks</t>
  </si>
  <si>
    <t>Kitchen Feedstocks and Food Scraps</t>
  </si>
  <si>
    <t>Energy and Cash Crops</t>
  </si>
  <si>
    <t>Garden Feedstock</t>
  </si>
  <si>
    <t>Dairy Feedstocks</t>
  </si>
  <si>
    <t>Seafood Feedstock Silages</t>
  </si>
  <si>
    <t>Other Inputs</t>
  </si>
  <si>
    <t>Alfalfa</t>
  </si>
  <si>
    <t>Adolescents Pigs</t>
  </si>
  <si>
    <t>Composite Wastewater</t>
  </si>
  <si>
    <t>Boiled Rice</t>
  </si>
  <si>
    <t>Agave (Agave sisalana)</t>
  </si>
  <si>
    <t>Water Hyacinths</t>
  </si>
  <si>
    <t>Dairy Wastewater</t>
  </si>
  <si>
    <t>Cuttle Fish Waste Silage</t>
  </si>
  <si>
    <t>Added Water</t>
  </si>
  <si>
    <t>Bananas</t>
  </si>
  <si>
    <t>Boar (200 kg.)</t>
  </si>
  <si>
    <t>Corrugated Cardboard</t>
  </si>
  <si>
    <t>Bread Feedstocks</t>
  </si>
  <si>
    <t>De-oiled Cake</t>
  </si>
  <si>
    <t>Branches</t>
  </si>
  <si>
    <t>Whey - Acid Cheese</t>
  </si>
  <si>
    <t>Mackerel Fish Waste Silage</t>
  </si>
  <si>
    <t>Broccoli</t>
  </si>
  <si>
    <t>Broiler Chicken</t>
  </si>
  <si>
    <t>Diverted Municipal Waste (All Organics)</t>
  </si>
  <si>
    <t>Brewery Grain Feedstocks</t>
  </si>
  <si>
    <t>Palms (Decanter Cake)</t>
  </si>
  <si>
    <t>Grass</t>
  </si>
  <si>
    <t>Whey - Sweet Cheese</t>
  </si>
  <si>
    <t>Pacific Saury Fish Waste Silage</t>
  </si>
  <si>
    <t>Cabbage</t>
  </si>
  <si>
    <t>Calf</t>
  </si>
  <si>
    <t>Diverted Municipal Waste (Food Only)</t>
  </si>
  <si>
    <t>Cooked Meat</t>
  </si>
  <si>
    <t>Palms (Empty Fruit)</t>
  </si>
  <si>
    <t>Leaves</t>
  </si>
  <si>
    <t>Carrot Root</t>
  </si>
  <si>
    <t>Calf In Shelter (200 -350 kg.)</t>
  </si>
  <si>
    <t>Folding Cartons</t>
  </si>
  <si>
    <t>Mixed Cafeteria or Canteen Waste</t>
  </si>
  <si>
    <t>Palms (Pressed Fibers)</t>
  </si>
  <si>
    <t>Wood</t>
  </si>
  <si>
    <t>Cauliflower</t>
  </si>
  <si>
    <t>Cattle With Corn Supplement to Diet</t>
  </si>
  <si>
    <t>Graywater</t>
  </si>
  <si>
    <t>Mixed Food Waste With Non‐Veg.</t>
  </si>
  <si>
    <t>Pressmud</t>
  </si>
  <si>
    <t>Chinese Cabbage (Pak-Choi)</t>
  </si>
  <si>
    <t>Cattle With Other Diet Supplements</t>
  </si>
  <si>
    <t>Human Waste</t>
  </si>
  <si>
    <t>Mixed Vegetable Waste Only</t>
  </si>
  <si>
    <t>Rapeseed Meal</t>
  </si>
  <si>
    <t>Coffee Grounds</t>
  </si>
  <si>
    <t>Cattle with Primarily Grain/Grass Diet</t>
  </si>
  <si>
    <t>Junk Mail &amp; Paper</t>
  </si>
  <si>
    <t>Sugar Beet Tops</t>
  </si>
  <si>
    <t>Kale</t>
  </si>
  <si>
    <t>Dry Dairy Cow</t>
  </si>
  <si>
    <t>Magazines</t>
  </si>
  <si>
    <t>Sugarcane Pretreated (Bagasse)</t>
  </si>
  <si>
    <t>Lettuce</t>
  </si>
  <si>
    <t>Duck</t>
  </si>
  <si>
    <t>Newsprint</t>
  </si>
  <si>
    <t>Sugarcane Untreated (Bagasse)</t>
  </si>
  <si>
    <t>Maize (Early Harvest Or Milk Ripeness)</t>
  </si>
  <si>
    <t>Heifer</t>
  </si>
  <si>
    <t>Office Paper</t>
  </si>
  <si>
    <t>Sunflower Meal</t>
  </si>
  <si>
    <t xml:space="preserve">Maize (Middle Harvest Or Wax Ripeness) </t>
  </si>
  <si>
    <t>Horse</t>
  </si>
  <si>
    <t>Paper Bags And Sacks</t>
  </si>
  <si>
    <t>Maize Cob</t>
  </si>
  <si>
    <t>Lactating Cow</t>
  </si>
  <si>
    <t>Paper Non‐Recyclable</t>
  </si>
  <si>
    <t>Onions</t>
  </si>
  <si>
    <t>Lamb/Sheep/Goat</t>
  </si>
  <si>
    <t>Raw Sewage Sludge</t>
  </si>
  <si>
    <t>Orange Pulp</t>
  </si>
  <si>
    <t>Piglets</t>
  </si>
  <si>
    <t>Septage Tank Wastewater</t>
  </si>
  <si>
    <t>Orange, Flesh</t>
  </si>
  <si>
    <t>Poultry Chicken</t>
  </si>
  <si>
    <t>Textiles</t>
  </si>
  <si>
    <t>Potato Peel</t>
  </si>
  <si>
    <t>Swine - Gestating (190 kg.)</t>
  </si>
  <si>
    <t>Potato, Top, Mature</t>
  </si>
  <si>
    <t>Swine - Lactating (190 kg.)</t>
  </si>
  <si>
    <t>Pumpkins</t>
  </si>
  <si>
    <t>Turkey Female</t>
  </si>
  <si>
    <t>Rice Husk</t>
  </si>
  <si>
    <t>Turkey Male</t>
  </si>
  <si>
    <t>Rice Residue (Dried)</t>
  </si>
  <si>
    <t>Veal</t>
  </si>
  <si>
    <t>Rice Straw</t>
  </si>
  <si>
    <t>Spinach</t>
  </si>
  <si>
    <t>Sweet Corn</t>
  </si>
  <si>
    <t>Tea Leaves</t>
  </si>
  <si>
    <t>Tomatoes</t>
  </si>
  <si>
    <t>Tomatoes (Solid Waste)</t>
  </si>
  <si>
    <t>Wheat Straw</t>
  </si>
  <si>
    <t>Anaerobic Digester Feedstock Inputs</t>
  </si>
  <si>
    <t>Project Name</t>
  </si>
  <si>
    <t>City/Municipality</t>
  </si>
  <si>
    <t>Country</t>
  </si>
  <si>
    <t>General Information &amp; Questions</t>
  </si>
  <si>
    <t>Answer</t>
  </si>
  <si>
    <t xml:space="preserve">Is the planned AD a wet or dry system? </t>
  </si>
  <si>
    <t>Wet</t>
  </si>
  <si>
    <t xml:space="preserve">What will the reactor temperature be? </t>
  </si>
  <si>
    <t>Mesophilic</t>
  </si>
  <si>
    <t>Will the system installation include post-digestion dewatering equipment?</t>
  </si>
  <si>
    <t>If "Yes", what is the solid capture efficiency of the dewatering equipment?</t>
  </si>
  <si>
    <r>
      <t xml:space="preserve">Note: </t>
    </r>
    <r>
      <rPr>
        <sz val="11"/>
        <rFont val="Arial"/>
        <family val="2"/>
      </rPr>
      <t xml:space="preserve">In the Feedstock List column, select from either </t>
    </r>
    <r>
      <rPr>
        <b/>
        <sz val="11"/>
        <rFont val="Arial"/>
        <family val="2"/>
      </rPr>
      <t xml:space="preserve">General </t>
    </r>
    <r>
      <rPr>
        <i/>
        <sz val="11"/>
        <rFont val="Arial"/>
        <family val="2"/>
      </rPr>
      <t xml:space="preserve">or </t>
    </r>
    <r>
      <rPr>
        <b/>
        <sz val="11"/>
        <rFont val="Arial"/>
        <family val="2"/>
      </rPr>
      <t xml:space="preserve">Specific. </t>
    </r>
    <r>
      <rPr>
        <sz val="11"/>
        <rFont val="Arial"/>
        <family val="2"/>
      </rPr>
      <t xml:space="preserve">Select </t>
    </r>
    <r>
      <rPr>
        <b/>
        <sz val="11"/>
        <rFont val="Arial"/>
        <family val="2"/>
      </rPr>
      <t>General</t>
    </r>
    <r>
      <rPr>
        <sz val="11"/>
        <rFont val="Arial"/>
        <family val="2"/>
      </rPr>
      <t xml:space="preserve"> from the Feedstock list to show general categories in the Feedstock Type column to streamline data entry. If the user knows specific animal waste or food products, select </t>
    </r>
    <r>
      <rPr>
        <b/>
        <sz val="11"/>
        <rFont val="Arial"/>
        <family val="2"/>
      </rPr>
      <t xml:space="preserve">Specific </t>
    </r>
    <r>
      <rPr>
        <sz val="11"/>
        <rFont val="Arial"/>
        <family val="2"/>
      </rPr>
      <t>from the Feedstock List to show the full list of option in the Feedstock Type column.</t>
    </r>
  </si>
  <si>
    <r>
      <t xml:space="preserve">Note:  </t>
    </r>
    <r>
      <rPr>
        <sz val="11"/>
        <rFont val="Arial"/>
        <family val="2"/>
      </rPr>
      <t xml:space="preserve">For more accurate results, the user may wish to override the default assumptions with site-specific information, if known. Type over any value in a yellow cell to override the default value. The RESET buttons below each category reset the original default values for that category. </t>
    </r>
  </si>
  <si>
    <t>Feedstock Stream Information</t>
  </si>
  <si>
    <t>Feedstock Characteristics</t>
  </si>
  <si>
    <t>Mass</t>
  </si>
  <si>
    <t>Nitrogen</t>
  </si>
  <si>
    <t>C/N ratio</t>
  </si>
  <si>
    <t>Moisture</t>
  </si>
  <si>
    <t>VS</t>
  </si>
  <si>
    <t>Methane Yield</t>
  </si>
  <si>
    <t>Feedstock List</t>
  </si>
  <si>
    <t>Feedstock Type</t>
  </si>
  <si>
    <t>Feedstock Totals</t>
  </si>
  <si>
    <t>Units</t>
  </si>
  <si>
    <t>User Notes</t>
  </si>
  <si>
    <t>Moisture Content (% w.b.)</t>
  </si>
  <si>
    <t>Total Solids (% w.b)</t>
  </si>
  <si>
    <t>Volatile Solids (% w.b)</t>
  </si>
  <si>
    <t>Inert Material and Ash (% w.b.)</t>
  </si>
  <si>
    <t>Nitrogen Content (d.w.)</t>
  </si>
  <si>
    <t>Carbon Content (d.w.)</t>
  </si>
  <si>
    <t>Feedstock Density (kg/m3)</t>
  </si>
  <si>
    <t>Proteins (% of TS)</t>
  </si>
  <si>
    <t>Fats (% of TS)</t>
  </si>
  <si>
    <t>Sugars and Starches (% of TS)</t>
  </si>
  <si>
    <t>VS (kg)</t>
  </si>
  <si>
    <t>TS (kg)</t>
  </si>
  <si>
    <t>Category</t>
  </si>
  <si>
    <t>Yard Waste</t>
  </si>
  <si>
    <t>Food Waste</t>
  </si>
  <si>
    <t>Manure</t>
  </si>
  <si>
    <t>Sewage Sludge</t>
  </si>
  <si>
    <t>Mixed Paper</t>
  </si>
  <si>
    <t>Corrugated
Cardboard</t>
  </si>
  <si>
    <t>Feedstock Totals (kg/day)</t>
  </si>
  <si>
    <t>Specific</t>
  </si>
  <si>
    <t>short tons/day</t>
  </si>
  <si>
    <t>General</t>
  </si>
  <si>
    <t>kg/day</t>
  </si>
  <si>
    <t>AD Waste Substrate Summary Information</t>
  </si>
  <si>
    <t>Percent</t>
  </si>
  <si>
    <t xml:space="preserve">Unit </t>
  </si>
  <si>
    <t>Notes</t>
  </si>
  <si>
    <t>Moisture Content</t>
  </si>
  <si>
    <t>% w.b.</t>
  </si>
  <si>
    <t>Total Solids (TS)</t>
  </si>
  <si>
    <t>Volatile Solids (VS)</t>
  </si>
  <si>
    <t>Inserts or Ash</t>
  </si>
  <si>
    <t>Bioreactor Design Summary Information</t>
  </si>
  <si>
    <t>Value</t>
  </si>
  <si>
    <t>Unit</t>
  </si>
  <si>
    <t>Solid Retention Time</t>
  </si>
  <si>
    <t>days</t>
  </si>
  <si>
    <t>Waste Stream C:N ratio</t>
  </si>
  <si>
    <t>ratio</t>
  </si>
  <si>
    <t>Reccomendation Bioreactor Type</t>
  </si>
  <si>
    <t xml:space="preserve">Note: this reccomendation is not definitive. Most waste streams can be converted to a liquid, slurry, or dry solids reactor with additional processing. </t>
  </si>
  <si>
    <t>Science &amp; Error Check Box</t>
  </si>
  <si>
    <t>Results</t>
  </si>
  <si>
    <t>Error Explanation</t>
  </si>
  <si>
    <t>Does the reactor have the optimal mix of Total Solids based on system design?</t>
  </si>
  <si>
    <t>Is the C:N ratio optimal for Anaerobic Digestion?</t>
  </si>
  <si>
    <r>
      <t xml:space="preserve">Instructions: </t>
    </r>
    <r>
      <rPr>
        <sz val="11"/>
        <color theme="1"/>
        <rFont val="Arial"/>
        <family val="2"/>
      </rPr>
      <t xml:space="preserve">The model automatically recommends a default gas composition.  However, if the user desires, they may override AD Screening Tool's recommended default gas composition. The button to the right of the table resets the formulas for the default values. </t>
    </r>
  </si>
  <si>
    <t>Biogas Composition</t>
  </si>
  <si>
    <t>What will the composition of the planned AD System Substrate be composed of?</t>
  </si>
  <si>
    <t>%</t>
  </si>
  <si>
    <t>Total</t>
  </si>
  <si>
    <t>Biogas Density</t>
  </si>
  <si>
    <r>
      <t>kg/m</t>
    </r>
    <r>
      <rPr>
        <vertAlign val="superscript"/>
        <sz val="11"/>
        <color theme="1"/>
        <rFont val="Arial"/>
        <family val="2"/>
      </rPr>
      <t>3</t>
    </r>
  </si>
  <si>
    <t>Other Default Assumptions</t>
  </si>
  <si>
    <t>Energy Content Methane</t>
  </si>
  <si>
    <r>
      <t>kWh/m</t>
    </r>
    <r>
      <rPr>
        <vertAlign val="superscript"/>
        <sz val="11"/>
        <color theme="1"/>
        <rFont val="Arial"/>
        <family val="2"/>
      </rPr>
      <t>3</t>
    </r>
  </si>
  <si>
    <t>Energy Content Biogas</t>
  </si>
  <si>
    <t>Home Cooking Consumption</t>
  </si>
  <si>
    <t>liters/day</t>
  </si>
  <si>
    <t>Home Heating Consumption</t>
  </si>
  <si>
    <t>Substrate Composition Includes</t>
  </si>
  <si>
    <t>Methane</t>
  </si>
  <si>
    <t>Carbon Dioxide</t>
  </si>
  <si>
    <r>
      <t>Hydrogen Sulfide (H</t>
    </r>
    <r>
      <rPr>
        <vertAlign val="subscript"/>
        <sz val="11"/>
        <color theme="1"/>
        <rFont val="Arial"/>
        <family val="2"/>
      </rPr>
      <t>2</t>
    </r>
    <r>
      <rPr>
        <sz val="11"/>
        <color theme="1"/>
        <rFont val="Arial"/>
        <family val="2"/>
      </rPr>
      <t>S), Ammonia (NH3), Carbon Monoxide (CO)</t>
    </r>
  </si>
  <si>
    <t>Mostly Sugars &amp; Starches</t>
  </si>
  <si>
    <t>Equal Parts Sugars, Starches, Proteins, &amp; Fats</t>
  </si>
  <si>
    <t>Equal Parts Proteins, Fats, Sugars, Starches, &amp; Oils</t>
  </si>
  <si>
    <t>Mostly Proteins &amp; Oils</t>
  </si>
  <si>
    <t>Biogas Composition Assumptions</t>
  </si>
  <si>
    <t>Macro Formulas do not edit or delete will be hidden with final publication of the tool</t>
  </si>
  <si>
    <t>Turkey male</t>
  </si>
  <si>
    <t>Turkey female</t>
  </si>
  <si>
    <t>Lamb/Sheep</t>
  </si>
  <si>
    <t>Horse - Active</t>
  </si>
  <si>
    <t>Horse - Inactive</t>
  </si>
  <si>
    <t>Banana, fresh</t>
  </si>
  <si>
    <t>Broccoli, leaf</t>
  </si>
  <si>
    <t>Cabbage, leaf</t>
  </si>
  <si>
    <t>Reset Table for Macro</t>
  </si>
  <si>
    <t>Anaerobic Digester Emissions Calculation Inputs</t>
  </si>
  <si>
    <r>
      <rPr>
        <b/>
        <sz val="14"/>
        <rFont val="Arial"/>
        <family val="2"/>
      </rPr>
      <t xml:space="preserve">Waste Management and Storage Emission Reduction Instructions: </t>
    </r>
    <r>
      <rPr>
        <sz val="14"/>
        <rFont val="Arial"/>
        <family val="2"/>
      </rPr>
      <t xml:space="preserve">
Baseline emissions are determined based on the management systems in place for manure and co-digested wastes prior to the use of the AD system. Users should select a primary management system for the waste and an average reporting temperature. These factors determine the Methane Conversion Factor (MCF) used in subsequent calculations. MCF values can be viewed in the MCF tab of this workbook.</t>
    </r>
  </si>
  <si>
    <t xml:space="preserve"> Waste Management and Storage Emission Reductions</t>
  </si>
  <si>
    <t xml:space="preserve">Value </t>
  </si>
  <si>
    <t xml:space="preserve"> </t>
  </si>
  <si>
    <t>Primary Previous Management System for Manure</t>
  </si>
  <si>
    <t>Pit storage below animal confinements &gt;1 mo.</t>
  </si>
  <si>
    <t>(select one)</t>
  </si>
  <si>
    <t>Primary Previous Management System for Other Waste</t>
  </si>
  <si>
    <t>Uncovered anaerobic lagoon</t>
  </si>
  <si>
    <t>Average Reporting Period Temperature</t>
  </si>
  <si>
    <t>Storage</t>
  </si>
  <si>
    <t>Does the facility temporarily store any organic Feedstocks on-site?</t>
  </si>
  <si>
    <t>(Yes/No)</t>
  </si>
  <si>
    <t>If Yes, please choose a storage system</t>
  </si>
  <si>
    <t>Total Days Waste Stored Temporarily per Year</t>
  </si>
  <si>
    <t xml:space="preserve"> days per year</t>
  </si>
  <si>
    <t xml:space="preserve">Methane Utilization </t>
  </si>
  <si>
    <t>Methane Utilization Percent</t>
  </si>
  <si>
    <t>percent</t>
  </si>
  <si>
    <t>Combustion Process</t>
  </si>
  <si>
    <t>Boiler or Furnace</t>
  </si>
  <si>
    <r>
      <rPr>
        <b/>
        <sz val="14"/>
        <color theme="1"/>
        <rFont val="Arial"/>
        <family val="2"/>
      </rPr>
      <t xml:space="preserve">Flaring Instructions: </t>
    </r>
    <r>
      <rPr>
        <sz val="14"/>
        <color theme="1"/>
        <rFont val="Arial"/>
        <family val="2"/>
      </rPr>
      <t xml:space="preserve">
Methane sent to a flare is combusted, but this process is not 100 percent efficient. Some methane is released to the environment due to incomplete combustion, or flaring may take place if the generator is offline. Additionally, some projects may flare all methane instead of utilizing it on-site. The measured methane sent to flaring is calculated using the percentage entered above in cell B22. The sum of methane utilization and methane sent to flare should equal 100 percent.
To calculate methane released due to flaring, the amount of methane sent to flare is multiplied by the combustion process efficiency. Default combustion efficiencies are from the UNFCCC CDM (2017) and are based on the type of flare used. If more specific information about a flare's efficiency is known, users may override the recommended default. The button to the right resets the flaring default value.</t>
    </r>
  </si>
  <si>
    <t>Flaring</t>
  </si>
  <si>
    <t>Percentage of Methane sent to Flare</t>
  </si>
  <si>
    <t xml:space="preserve">percent </t>
  </si>
  <si>
    <t>Flare Type</t>
  </si>
  <si>
    <t>Enclosed Flare</t>
  </si>
  <si>
    <t>Use Default Efficiency?</t>
  </si>
  <si>
    <t>Combustion Process Efficiency</t>
  </si>
  <si>
    <t>Electricity Consumption and Generation</t>
  </si>
  <si>
    <t>United States</t>
  </si>
  <si>
    <t>Electricity Generation</t>
  </si>
  <si>
    <t>Is electricity generated and used onsite?</t>
  </si>
  <si>
    <t>How much onsite generation is consumed?</t>
  </si>
  <si>
    <t>kWh per day</t>
  </si>
  <si>
    <r>
      <t>Project Biogas CO</t>
    </r>
    <r>
      <rPr>
        <vertAlign val="subscript"/>
        <sz val="12"/>
        <color theme="1"/>
        <rFont val="Arial"/>
        <family val="2"/>
      </rPr>
      <t>2</t>
    </r>
    <r>
      <rPr>
        <sz val="12"/>
        <color theme="1"/>
        <rFont val="Arial"/>
        <family val="2"/>
      </rPr>
      <t xml:space="preserve"> Emissions Factor</t>
    </r>
  </si>
  <si>
    <t>kg/MMBtu</t>
  </si>
  <si>
    <r>
      <t>Project Biogas CH</t>
    </r>
    <r>
      <rPr>
        <vertAlign val="subscript"/>
        <sz val="12"/>
        <color theme="1"/>
        <rFont val="Arial"/>
        <family val="2"/>
      </rPr>
      <t>4</t>
    </r>
    <r>
      <rPr>
        <sz val="12"/>
        <color theme="1"/>
        <rFont val="Arial"/>
        <family val="2"/>
      </rPr>
      <t xml:space="preserve"> Emissions Factor</t>
    </r>
  </si>
  <si>
    <t>g/MMBtu</t>
  </si>
  <si>
    <t>Direct Electricity Use</t>
  </si>
  <si>
    <t>How much Electricity is consumed from the grid?</t>
  </si>
  <si>
    <t>Use Default Grid Data?</t>
  </si>
  <si>
    <t>Default Grid Emissions Rate</t>
  </si>
  <si>
    <r>
      <t>kgCO</t>
    </r>
    <r>
      <rPr>
        <vertAlign val="subscript"/>
        <sz val="12"/>
        <color theme="1"/>
        <rFont val="Arial"/>
        <family val="2"/>
      </rPr>
      <t>2</t>
    </r>
    <r>
      <rPr>
        <sz val="12"/>
        <color theme="1"/>
        <rFont val="Arial"/>
        <family val="2"/>
      </rPr>
      <t>/kWh</t>
    </r>
  </si>
  <si>
    <t>If no, what is your Grid Emissions factor?</t>
  </si>
  <si>
    <t>Grid Gross Loss</t>
  </si>
  <si>
    <r>
      <rPr>
        <b/>
        <sz val="14"/>
        <color theme="1"/>
        <rFont val="Arial"/>
        <family val="2"/>
      </rPr>
      <t xml:space="preserve">Leakage Instructions: </t>
    </r>
    <r>
      <rPr>
        <sz val="14"/>
        <color theme="1"/>
        <rFont val="Arial"/>
        <family val="2"/>
      </rPr>
      <t xml:space="preserve">
Some degree of leakage occurs from all Anaerobic Digesters. Leakage is the methane released through pipes, equipment, and other apparatuses used to generate biogas. This tool uses the UNFCCC CDM (2017) default leakage rate of 10% of methane production, but the user may override the recommended defaults. The tool using the previously entered waste and equipment inputs calculates methane production. The button to the right resets the leakage default values.</t>
    </r>
  </si>
  <si>
    <t>Leakage</t>
  </si>
  <si>
    <t>Assumed Fraction of Methane Leakage</t>
  </si>
  <si>
    <t>Defaults -hide</t>
  </si>
  <si>
    <r>
      <t>CO</t>
    </r>
    <r>
      <rPr>
        <vertAlign val="subscript"/>
        <sz val="12"/>
        <color theme="1"/>
        <rFont val="Arial"/>
        <family val="2"/>
      </rPr>
      <t>2</t>
    </r>
    <r>
      <rPr>
        <sz val="12"/>
        <color theme="1"/>
        <rFont val="Arial"/>
        <family val="2"/>
      </rPr>
      <t xml:space="preserve"> Emissions Factor</t>
    </r>
  </si>
  <si>
    <r>
      <t>CH</t>
    </r>
    <r>
      <rPr>
        <vertAlign val="subscript"/>
        <sz val="12"/>
        <color theme="1"/>
        <rFont val="Arial"/>
        <family val="2"/>
      </rPr>
      <t>4</t>
    </r>
    <r>
      <rPr>
        <sz val="12"/>
        <color theme="1"/>
        <rFont val="Arial"/>
        <family val="2"/>
      </rPr>
      <t xml:space="preserve"> Emissions Factor</t>
    </r>
  </si>
  <si>
    <t>Default methane sent to flare</t>
  </si>
  <si>
    <t>Annual Output Summary Information</t>
  </si>
  <si>
    <t xml:space="preserve">The table below shows the planned Anaerobic Digester’s annual digestate and biogas production and options for energy recovery based on the user’s inputs, calculated by taking the daily production and multiplying it by 365 days per year. This should be considered a first-order estimate. In reality, anaerobic digester production may vary based on waste characteristics, reactor temperature, system design limitations, and daily operations. </t>
  </si>
  <si>
    <r>
      <t xml:space="preserve">Biogas Production - 
</t>
    </r>
    <r>
      <rPr>
        <sz val="10"/>
        <color theme="0"/>
        <rFont val="Arial"/>
        <family val="2"/>
      </rPr>
      <t xml:space="preserve">The estimated low and high production values use calibration factors from actual observations that represent the 25th and 75th percentile values of the ratio between measured and modeled data. These values are used to adjust the maximum potential biogas generation values to estimate the likely biogas generation potential values. </t>
    </r>
  </si>
  <si>
    <t>Estimated Value (low)</t>
  </si>
  <si>
    <t>Estimated Value (high)</t>
  </si>
  <si>
    <t>Theoretical Maximum Potential</t>
  </si>
  <si>
    <t>Estimated Biogas Production - low (m3/year)</t>
  </si>
  <si>
    <t>Estimated Biogas Production - high (m3/year)</t>
  </si>
  <si>
    <t>Maximum Potential (m3/year)</t>
  </si>
  <si>
    <t>Annual Biogas Production</t>
  </si>
  <si>
    <t>scf/year</t>
  </si>
  <si>
    <t>Annual Methane Production</t>
  </si>
  <si>
    <t>Total Non- Biodegradable Solids</t>
  </si>
  <si>
    <t>kg/year</t>
  </si>
  <si>
    <t>Remaining Volatile Solids</t>
  </si>
  <si>
    <t>Digester Solids</t>
  </si>
  <si>
    <t>Dry Sludge</t>
  </si>
  <si>
    <t>Liquid Effluent</t>
  </si>
  <si>
    <t>lb/year</t>
  </si>
  <si>
    <r>
      <t xml:space="preserve">Energy Recovery Options - </t>
    </r>
    <r>
      <rPr>
        <sz val="10"/>
        <color theme="0"/>
        <rFont val="Arial"/>
        <family val="2"/>
      </rPr>
      <t>Each energy recovery option is an "or" estimate (i.e., the plant will not be capable of producing both X kWh of electricity and Y m3/year natural gas, but is capable of producing either X kWh of electricity hours or Y m3/year of natural gas).</t>
    </r>
  </si>
  <si>
    <t>Electricity Production (cleaned biogas to natural gas quality)</t>
  </si>
  <si>
    <t>MWh</t>
  </si>
  <si>
    <t>Electricity Production (biogas only)</t>
  </si>
  <si>
    <t>Renewable Natural Gas (RNG) Production</t>
  </si>
  <si>
    <t>Cooking Gas Potential</t>
  </si>
  <si>
    <t>homes/year</t>
  </si>
  <si>
    <t>Home Heating Potential</t>
  </si>
  <si>
    <t>Gas Lamps Powered</t>
  </si>
  <si>
    <t>lamps/year</t>
  </si>
  <si>
    <r>
      <rPr>
        <b/>
        <sz val="11"/>
        <color theme="1"/>
        <rFont val="Arial"/>
        <family val="2"/>
      </rPr>
      <t>Additional Operational Notes on Bioreactor Toxicity:</t>
    </r>
    <r>
      <rPr>
        <sz val="11"/>
        <color theme="1"/>
        <rFont val="Calibri"/>
        <family val="2"/>
        <scheme val="minor"/>
      </rPr>
      <t xml:space="preserve">
</t>
    </r>
    <r>
      <rPr>
        <sz val="11"/>
        <color theme="1"/>
        <rFont val="Arial"/>
        <family val="2"/>
      </rPr>
      <t>The first table below lists additional information about your modeled waste stream's possible Anaerobic Inhibitors to consider while designing your project. The definitions list below shows design and process solutions to consider to address those toxic inhibitors or ensure the stay at a manageable level. For further reading and sources see Chen et al. 2007 and Arinbaatar et al. 2014. Light metal include sodium, potassium, magnesium, calcium and aluminum. Heavy Metals includes chromium, iron, cobalt, copper, zinc, cadmium and nickel. Organic Components includes Chlorophenols, Halogenated Alophatics, N-substituted aromatics, LCFAs, and Lignin. For important definitions see the green box below.</t>
    </r>
  </si>
  <si>
    <t>Which waste stream inhibitors may impact the digester?</t>
  </si>
  <si>
    <t>Ammonia</t>
  </si>
  <si>
    <t>Sulfides</t>
  </si>
  <si>
    <t>Light Metals</t>
  </si>
  <si>
    <t>Heavy Metals</t>
  </si>
  <si>
    <t>Organic Components</t>
  </si>
  <si>
    <t>Pretreatment or Design Options to Address Inhibitors</t>
  </si>
  <si>
    <t>Biogas Production Summary Information</t>
  </si>
  <si>
    <t>Volatile Solids (kg / day)</t>
  </si>
  <si>
    <r>
      <t>Methane Yields (m</t>
    </r>
    <r>
      <rPr>
        <b/>
        <vertAlign val="superscript"/>
        <sz val="11"/>
        <color theme="0"/>
        <rFont val="Arial"/>
        <family val="2"/>
      </rPr>
      <t>3</t>
    </r>
    <r>
      <rPr>
        <b/>
        <sz val="11"/>
        <color theme="0"/>
        <rFont val="Arial"/>
        <family val="2"/>
      </rPr>
      <t>/kg of VS)</t>
    </r>
  </si>
  <si>
    <r>
      <t>Methane Production (m</t>
    </r>
    <r>
      <rPr>
        <b/>
        <vertAlign val="superscript"/>
        <sz val="11"/>
        <color theme="0"/>
        <rFont val="Arial"/>
        <family val="2"/>
      </rPr>
      <t>3</t>
    </r>
    <r>
      <rPr>
        <b/>
        <sz val="11"/>
        <color theme="0"/>
        <rFont val="Arial"/>
        <family val="2"/>
      </rPr>
      <t>/day)</t>
    </r>
  </si>
  <si>
    <r>
      <t>Other Gases (m</t>
    </r>
    <r>
      <rPr>
        <b/>
        <vertAlign val="superscript"/>
        <sz val="11"/>
        <color theme="0"/>
        <rFont val="Arial"/>
        <family val="2"/>
      </rPr>
      <t>3</t>
    </r>
    <r>
      <rPr>
        <b/>
        <sz val="11"/>
        <color theme="0"/>
        <rFont val="Arial"/>
        <family val="2"/>
      </rPr>
      <t>/day)</t>
    </r>
  </si>
  <si>
    <r>
      <t>Total Biogas Production (m</t>
    </r>
    <r>
      <rPr>
        <b/>
        <vertAlign val="superscript"/>
        <sz val="11"/>
        <color theme="0"/>
        <rFont val="Arial"/>
        <family val="2"/>
      </rPr>
      <t>3</t>
    </r>
    <r>
      <rPr>
        <b/>
        <sz val="11"/>
        <color theme="0"/>
        <rFont val="Arial"/>
        <family val="2"/>
      </rPr>
      <t>/day)</t>
    </r>
  </si>
  <si>
    <t>Digestate Production Summary Information</t>
  </si>
  <si>
    <t>Digestate Production (kg / day)</t>
  </si>
  <si>
    <t>Waste Type</t>
  </si>
  <si>
    <t xml:space="preserve">Non biodegradable solids </t>
  </si>
  <si>
    <t>Annual Project Net Emissions</t>
  </si>
  <si>
    <r>
      <t>Annual Baseline Emissions (MtCO</t>
    </r>
    <r>
      <rPr>
        <b/>
        <vertAlign val="subscript"/>
        <sz val="14"/>
        <color theme="0"/>
        <rFont val="Arial"/>
        <family val="2"/>
      </rPr>
      <t>2</t>
    </r>
    <r>
      <rPr>
        <b/>
        <sz val="14"/>
        <color theme="0"/>
        <rFont val="Arial"/>
        <family val="2"/>
      </rPr>
      <t>e)</t>
    </r>
  </si>
  <si>
    <r>
      <t>Annual Project  Emissions (MtCO</t>
    </r>
    <r>
      <rPr>
        <b/>
        <vertAlign val="subscript"/>
        <sz val="14"/>
        <color theme="0"/>
        <rFont val="Arial"/>
        <family val="2"/>
      </rPr>
      <t>2</t>
    </r>
    <r>
      <rPr>
        <b/>
        <sz val="14"/>
        <color theme="0"/>
        <rFont val="Arial"/>
        <family val="2"/>
      </rPr>
      <t>e)</t>
    </r>
  </si>
  <si>
    <r>
      <t>Annual Projected Net Emissions Reductions (MtCO</t>
    </r>
    <r>
      <rPr>
        <b/>
        <vertAlign val="subscript"/>
        <sz val="14"/>
        <color theme="0"/>
        <rFont val="Arial"/>
        <family val="2"/>
      </rPr>
      <t>2</t>
    </r>
    <r>
      <rPr>
        <b/>
        <sz val="14"/>
        <color theme="0"/>
        <rFont val="Arial"/>
        <family val="2"/>
      </rPr>
      <t>e)</t>
    </r>
  </si>
  <si>
    <t>Annual Project Net Emissions (Methane only)</t>
  </si>
  <si>
    <t>Emissions Category</t>
  </si>
  <si>
    <r>
      <t>kg CH</t>
    </r>
    <r>
      <rPr>
        <vertAlign val="subscript"/>
        <sz val="11"/>
        <color theme="0"/>
        <rFont val="Arial"/>
        <family val="2"/>
      </rPr>
      <t>4</t>
    </r>
    <r>
      <rPr>
        <sz val="11"/>
        <color theme="0"/>
        <rFont val="Arial"/>
        <family val="2"/>
      </rPr>
      <t xml:space="preserve"> per year</t>
    </r>
  </si>
  <si>
    <r>
      <t>metric tons CH</t>
    </r>
    <r>
      <rPr>
        <vertAlign val="subscript"/>
        <sz val="11"/>
        <color theme="0"/>
        <rFont val="Arial"/>
        <family val="2"/>
      </rPr>
      <t>4</t>
    </r>
    <r>
      <rPr>
        <sz val="11"/>
        <color theme="0"/>
        <rFont val="Arial"/>
        <family val="2"/>
      </rPr>
      <t xml:space="preserve"> per year</t>
    </r>
  </si>
  <si>
    <t>Baseline Emissions</t>
  </si>
  <si>
    <t>Gross Methane Emissions from Manure</t>
  </si>
  <si>
    <t>Gross Methane Emissions from Co-Digested Waste</t>
  </si>
  <si>
    <t>Project Emissions</t>
  </si>
  <si>
    <t>Methane Leakage</t>
  </si>
  <si>
    <t>Flare-Related Emissions</t>
  </si>
  <si>
    <t>Methane Utilization</t>
  </si>
  <si>
    <t>Electricity Generation (Biogas Consumption only)</t>
  </si>
  <si>
    <t>Temporary Storage</t>
  </si>
  <si>
    <t>Annual Projected Net Methane Emissions Reduction</t>
  </si>
  <si>
    <r>
      <t>Annual Project Net Emissions  (MtCO</t>
    </r>
    <r>
      <rPr>
        <vertAlign val="subscript"/>
        <sz val="11"/>
        <color theme="0"/>
        <rFont val="Arial"/>
        <family val="2"/>
      </rPr>
      <t>2</t>
    </r>
    <r>
      <rPr>
        <sz val="11"/>
        <color theme="0"/>
        <rFont val="Arial"/>
        <family val="2"/>
      </rPr>
      <t>e per year)</t>
    </r>
  </si>
  <si>
    <t>Black Carbon</t>
  </si>
  <si>
    <t>All GHG Pollutants</t>
  </si>
  <si>
    <t>Electricity Use (including Biogas Consumption)</t>
  </si>
  <si>
    <t>Annual Projected Net Emissions Reduction</t>
  </si>
  <si>
    <t>SLCP Global Warming Potentials</t>
  </si>
  <si>
    <t>SLCP</t>
  </si>
  <si>
    <t>Information Source</t>
  </si>
  <si>
    <t>Based on total climate forcing (all effects). This GWP is cited in the IPCC AR5 (Myhre et al., 2013).</t>
  </si>
  <si>
    <t>Myhre et al., 2013; Bond et al., 2013</t>
  </si>
  <si>
    <t>Methane (bio)</t>
  </si>
  <si>
    <t>Forster et al., 2007</t>
  </si>
  <si>
    <t>Methane (fossil)</t>
  </si>
  <si>
    <t>Waste Characteristics</t>
  </si>
  <si>
    <t xml:space="preserve">lb./d/1000 lb. </t>
  </si>
  <si>
    <t>% of TS</t>
  </si>
  <si>
    <r>
      <t>m</t>
    </r>
    <r>
      <rPr>
        <b/>
        <vertAlign val="superscript"/>
        <sz val="11"/>
        <color theme="0"/>
        <rFont val="Arial"/>
        <family val="2"/>
      </rPr>
      <t>3</t>
    </r>
    <r>
      <rPr>
        <b/>
        <sz val="11"/>
        <color theme="0"/>
        <rFont val="Arial"/>
        <family val="2"/>
      </rPr>
      <t xml:space="preserve"> / Mg of VS</t>
    </r>
  </si>
  <si>
    <r>
      <t>kg/m</t>
    </r>
    <r>
      <rPr>
        <b/>
        <vertAlign val="superscript"/>
        <sz val="11"/>
        <color theme="0"/>
        <rFont val="Arial"/>
        <family val="2"/>
      </rPr>
      <t>3</t>
    </r>
  </si>
  <si>
    <t>Waste Item</t>
  </si>
  <si>
    <t>Total Solids</t>
  </si>
  <si>
    <t>Volatile Solids</t>
  </si>
  <si>
    <t>Fixed Solids (Ash)</t>
  </si>
  <si>
    <t>Fixed Solids</t>
  </si>
  <si>
    <t>BOD</t>
  </si>
  <si>
    <t>N</t>
  </si>
  <si>
    <t>Sugars &amp; Starches</t>
  </si>
  <si>
    <t>Fats</t>
  </si>
  <si>
    <t>Proteins</t>
  </si>
  <si>
    <t>Bulk Density</t>
  </si>
  <si>
    <t>Specific Gravity</t>
  </si>
  <si>
    <t>Manure?</t>
  </si>
  <si>
    <t>Type</t>
  </si>
  <si>
    <t>Source:</t>
  </si>
  <si>
    <t>Y</t>
  </si>
  <si>
    <t>Methane Yields from Ward et al. All other waste characteristics derived from USDA 2008. Protein and Fat percent taken from Table 1 in Fen et al. 2017. It was assumed remaining material Volatile Solid Material is sugars and starches</t>
  </si>
  <si>
    <t>USDA 2008; Ward et. al 2008; Fen et al. 2017</t>
  </si>
  <si>
    <t>Calculated methane yields from biogas yields and assumption that biogas is 60% CH4 (IAEA 2008). All other waste characteristics derived from USDA 2008. In cases where information for veal was missing assumptions for calf were used. Protein, Sugar, Starch, and Fat content derived from Fen et al. 2017. It was assumed Duck and Turkey manure protein and fat content were similar to chicken.</t>
  </si>
  <si>
    <t>USDA 2008; IAEA 2008; Fen et al. 2017</t>
  </si>
  <si>
    <t>USDA 2008; IAEA 2008</t>
  </si>
  <si>
    <t>USDA 2008; IAEA 2008; Fen et al. 2017; Mönch-Tegeder et al. 2013</t>
  </si>
  <si>
    <t>Fruit And Vegetable Feedstocks</t>
  </si>
  <si>
    <t>Salman et al. 2011; Oklahoma Cooperative Extension Service BAE-1762; FAO 2012</t>
  </si>
  <si>
    <t>Methane yield for just peel; Density for 1 cup mashed banana</t>
  </si>
  <si>
    <t>USDA 2008; USDA 2016</t>
  </si>
  <si>
    <t>USDA 2008; Yan et al. 2017; USDA 2016</t>
  </si>
  <si>
    <t>Density of shredded cabbage</t>
  </si>
  <si>
    <t>USDA 2008; Rittenschober et al. 2012; USDA 2016</t>
  </si>
  <si>
    <t>Density for 1 cup raw Cauliflower, chopped in 1/2" pieces</t>
  </si>
  <si>
    <t>FAO 2017; Yan et al. 2017; USDA 2016</t>
  </si>
  <si>
    <t>USDA 2008; Salter 2007; USDA 2016</t>
  </si>
  <si>
    <t>Density for 1 cup Kale, cooked, boiled, and drained</t>
  </si>
  <si>
    <t>USDA 2008; USDA 2016; IEA Bioenergy 2010</t>
  </si>
  <si>
    <t>Density for shredded lettuce</t>
  </si>
  <si>
    <t>Orange Flesh</t>
  </si>
  <si>
    <t>Density for orange peel. Raw</t>
  </si>
  <si>
    <t>USDA 2008; USDA 2016; Wikandari et al. 2015</t>
  </si>
  <si>
    <t>Density cup of orange sections without membranes</t>
  </si>
  <si>
    <t>USDA 2008; Hamilton; Salter 2007</t>
  </si>
  <si>
    <t>Methane yield is laboratory results for pumpkin flesh mixed with cow manure.</t>
  </si>
  <si>
    <t>USDA 2008; USDA 2016; Dubrovskis 2017</t>
  </si>
  <si>
    <t>Methane yield for whole spinach</t>
  </si>
  <si>
    <t>USDA 2008; FAO 2012; Yan et al. 2017; USDA 2016</t>
  </si>
  <si>
    <t>Density for cup chopped or sliced</t>
  </si>
  <si>
    <t xml:space="preserve">Protein, Fat, Sugar and Starch content taken from Gao et al. 2012. </t>
  </si>
  <si>
    <t>Gao et al. 2012; USDA 2008</t>
  </si>
  <si>
    <t>Maize (Middle Harvest Or Wax Ripeness)</t>
  </si>
  <si>
    <t>Density average of range in Liu et al. 2011. Rice waste characteristics taken from Contreras et al. 2012. Methane yield average of estimates from first-order method. A value for protein and fat content of rice husk, straw and residue, could not be identified so these values were assumed to be zero</t>
  </si>
  <si>
    <t>Liu et al. 2011; Contreras et al. 2012</t>
  </si>
  <si>
    <t>Read from graph for Wheat</t>
  </si>
  <si>
    <t>IRENA 2016; Salter 2007; Xi et al. 2015</t>
  </si>
  <si>
    <t>"The average bulk density was 282.38, 81.61 and 127.32 kg m−3 for the corn cobs, leaves and stalks, respectively." (Zhang et al. 2012)</t>
  </si>
  <si>
    <t>Yavini et al. 2014; Salter 2007; Leke et al. 2013</t>
  </si>
  <si>
    <t>Vitez et al. 2016</t>
  </si>
  <si>
    <t>Zheng et al. 2013; Goel et al. 2001</t>
  </si>
  <si>
    <t>The waste characteristics are taken from USDA 2008. The density is taken from Rittenschober 2012, and the methane yield from Mes et al. 2003.</t>
  </si>
  <si>
    <t>USDA 2008; Mes et al. 2003; Rittenschober 2012</t>
  </si>
  <si>
    <t>USDA 2008; Mes et al. 2003; Antonopoulou et al. 2008; Rittenschober 2012</t>
  </si>
  <si>
    <t>Garden Feedstocks</t>
  </si>
  <si>
    <t>Salman et al. 2011; Barua et al. 2016; Tiwari 2005</t>
  </si>
  <si>
    <t>Wood and tree branch density can range from 400 - 1000 kg/m3. The methane yield and density of leaves and grasses may also vary depending on the waste’s characteristics. The user is encourages to enter more specific information more reflective of their respective waste stream for this waste category.</t>
  </si>
  <si>
    <t>Levis et al. 2013; Cornell Waste Management 1990; Carolinas Composting Council; Zheng et al. 2013</t>
  </si>
  <si>
    <t>Density is the bulk density of wool fiber.</t>
  </si>
  <si>
    <t>Levis et al. 2013; Priadi et al. 2014; Merrick 1998; WRAP 2009</t>
  </si>
  <si>
    <t>Levis et al. 2013; Priadi et al. 2014; Zheng et al. 2013; WRAP 2009</t>
  </si>
  <si>
    <t xml:space="preserve">These characteristics are mostly derived from USDA 2008. However, the USDA did not provide methane yields. Methane yields for primary sludge from general wastewater treatment facilities and converted from their original values into cubic meters per dry Mg from Bachmann 2015. They original range in Bachmann 2015 suggested methane yields range from 315 – 400 cubic meters per Mg of TS. Using USDA information, these values were converted into the values presented on the left. The presented value is an average of the range 315 - 400 cubic meters  per Mg range. </t>
  </si>
  <si>
    <t>USDA 2008; Bachmann 2015; Rose et al. 2015; WRAP 2009</t>
  </si>
  <si>
    <t>USDA 2008; Bachmann 2015; WRAP 2009</t>
  </si>
  <si>
    <t>Bulk densities taken from WRAP 2009</t>
  </si>
  <si>
    <t>Zhang et al. 2012; Zhang et al. 2015; WRAP 2009</t>
  </si>
  <si>
    <t>Kitchen Feedstocks And Food Scraps</t>
  </si>
  <si>
    <t>Levis et al did not provide batch densities or nitrogen contents. Li et al values were used to determine bulk density and nitrogen content. These assumptions are based on a generic kitchen waste stream in China. Protein, Fat, and Sugar content taken from Browne and Murphy 2013.</t>
  </si>
  <si>
    <t>Levis et al. 2013; Li et al. 2009; Browne and Murphy 2013</t>
  </si>
  <si>
    <t xml:space="preserve">The waste density is estimated by the experiment design. Samples 200 grams in mass were stored in 1 Liter containers. Nitrogen content came from Mathias et al. 2011. The "Hot trub" was used as Brewery Grains Waste and "Brewer's spent grain" as the Bread Wastes nitrogen content. </t>
  </si>
  <si>
    <t>Kafle et al. 2013; Mathias et al. 2011</t>
  </si>
  <si>
    <t>Mixed Cafeteria Or Canteen Waste</t>
  </si>
  <si>
    <t>Browne and Murphy 2013; Li et al. 2009</t>
  </si>
  <si>
    <t xml:space="preserve">Density values taken from Rittenschober et al. 2012. Cooked meat is the value for "Beef and noodles in gravy." Protein, Fat and Sugar content taken from USDA 2016. Values are for ground beef and boiled wild rice. </t>
  </si>
  <si>
    <t>Rittenschober et al. 2012; Cho et al. 1995; USDA 2016</t>
  </si>
  <si>
    <t>Slaughterhouse Waste (Raw waste)</t>
  </si>
  <si>
    <t>measurements were derived from swine slaughterhouse waste</t>
  </si>
  <si>
    <t>Hejnfelt et al. 2009</t>
  </si>
  <si>
    <t>Slaughterhouse Waste (Animal Hair)</t>
  </si>
  <si>
    <t>some values read from Figure 1</t>
  </si>
  <si>
    <t>Hejnfelt et al. 2009; Hapman 2019</t>
  </si>
  <si>
    <t>Slaughterhouse Waste (Blood)</t>
  </si>
  <si>
    <t>Slaughterhouse Waste (Carcass/Paunch)</t>
  </si>
  <si>
    <t>Ware et al. 2016; Hapman 2019</t>
  </si>
  <si>
    <t>Seafood Waste Silages</t>
  </si>
  <si>
    <t xml:space="preserve">Fish silage are defined as a liquid product made from whole fish or parts of fish that are liquefied. Often this waste is generated from fish canning operations. The waste density is estimated by the experiment design. Samples 200 grams in mass were stored in 1 Liter containers. </t>
  </si>
  <si>
    <t>Kafle et al. 2013; Ramirez et al. 2013</t>
  </si>
  <si>
    <t>Energy And Cash Crops</t>
  </si>
  <si>
    <r>
      <t xml:space="preserve">Agave </t>
    </r>
    <r>
      <rPr>
        <i/>
        <sz val="11"/>
        <color theme="1"/>
        <rFont val="Arial"/>
        <family val="2"/>
      </rPr>
      <t>(Agave sisalana)</t>
    </r>
  </si>
  <si>
    <t xml:space="preserve">Values used are for sisal leaf decortications waste (fresh). This type of agave is traditonally used for making textiles. </t>
  </si>
  <si>
    <t>Maik et al. 2016; Muthangya et al. 2013</t>
  </si>
  <si>
    <t>Sumardiono et al. 2017; Inyang 2010</t>
  </si>
  <si>
    <t>Lehtomäki et al. 2008; Kythreotou et al. 2014; Hapman 2019</t>
  </si>
  <si>
    <t>A value for protein and fat content of Rapeseed could not be identified so these values were assumed to be zero. A source for nitrogen content could not be identified so the value was assumed to be 0.9%, the same as the general grass default.</t>
  </si>
  <si>
    <t>Antonopoulou et al. 2010; Petersson et al. 2007</t>
  </si>
  <si>
    <t>Antonopoulou et al. 2010; USDA 2016</t>
  </si>
  <si>
    <t xml:space="preserve">Empty fruit density is taken from Alucilja et al. 2013. Due to lack of available substitutes, this bulk density is assumed for pressed fibers and decanter cake as well. </t>
  </si>
  <si>
    <t>Chaikitkaew et al. 2015; Alucilja et al. 2013</t>
  </si>
  <si>
    <t>Agrawal et al. 2009; Sundaranayagi et al. 2017</t>
  </si>
  <si>
    <t>Suresh et al. 2017; Jimoh et al. 2018</t>
  </si>
  <si>
    <t>CHOOSE AT LEAST ONE</t>
  </si>
  <si>
    <t>Waste Toxicity Characteristics</t>
  </si>
  <si>
    <t>The table below lists waste category and the anaerobic digestion inhibitors commonly associated with that type of waste. Sources for this table include Chen et al. 2007, Lefebvre et al. 2007, and Arinbaatar et al. 2014. Some information was also sourced from the sources listed on the Default Waste Assumptions tab for individual waste types.</t>
  </si>
  <si>
    <t>Inhibitor Category</t>
  </si>
  <si>
    <t>Organic Contaminants</t>
  </si>
  <si>
    <t>Inhibitor Name or Example</t>
  </si>
  <si>
    <t>Ammonia Ions, free Ammonia</t>
  </si>
  <si>
    <t>Aluminum</t>
  </si>
  <si>
    <t>Calcium</t>
  </si>
  <si>
    <t>Magnesium</t>
  </si>
  <si>
    <t>Potassium</t>
  </si>
  <si>
    <t>Sodium</t>
  </si>
  <si>
    <t>e.g. Fe, Co, Cu, Zn, Pb, etc.</t>
  </si>
  <si>
    <t>e.g. Chlorophenols, Halogenated, Alophatics, N-substituted aromatics, LCFAs, and Lignins</t>
  </si>
  <si>
    <t>Lactating Cow (100 Lb./Day)</t>
  </si>
  <si>
    <t>✔</t>
  </si>
  <si>
    <t>Beef Cattle In Confinement</t>
  </si>
  <si>
    <t>Calf In Confinement (450 -750 Lbs.)</t>
  </si>
  <si>
    <t>Finishing Cattle With Corn Supplement</t>
  </si>
  <si>
    <t>Finishing Cattle Without Corn Supplement</t>
  </si>
  <si>
    <t>Swine - Gestating (423 Lb.)</t>
  </si>
  <si>
    <t>Swine - Lactating (423 Lb.)</t>
  </si>
  <si>
    <t>Boar (440 Lb.)</t>
  </si>
  <si>
    <r>
      <t xml:space="preserve">Agave </t>
    </r>
    <r>
      <rPr>
        <i/>
        <sz val="10"/>
        <color theme="1"/>
        <rFont val="Arial"/>
        <family val="2"/>
      </rPr>
      <t>(Agave sisalana)</t>
    </r>
  </si>
  <si>
    <t>Tequila Vinasses</t>
  </si>
  <si>
    <t>Calibration Factors</t>
  </si>
  <si>
    <t>System Type</t>
  </si>
  <si>
    <t>Calibration Factor  - low</t>
  </si>
  <si>
    <t>Calibration Factor  - high</t>
  </si>
  <si>
    <t>Wet_Mesophilic</t>
  </si>
  <si>
    <t>Wet_Thermophilic</t>
  </si>
  <si>
    <t>Wet_Unheated/Ambient</t>
  </si>
  <si>
    <t>Dry_Mesophilic</t>
  </si>
  <si>
    <t>Dry_Thermophilic</t>
  </si>
  <si>
    <t>Dry_Unheated/Ambient</t>
  </si>
  <si>
    <t>Tonnes Per Year</t>
  </si>
  <si>
    <t>Carbon (% dry weight)</t>
  </si>
  <si>
    <t>Nitrogen (% dry weight)</t>
  </si>
  <si>
    <t>C:N Ratio (parts carbon to 1 part nitrogen)</t>
  </si>
  <si>
    <t>Moisture %</t>
  </si>
  <si>
    <t xml:space="preserve">Volatile Solids </t>
  </si>
  <si>
    <t>Tonnes Carbon</t>
  </si>
  <si>
    <t>Tonnes Nitrogen</t>
  </si>
  <si>
    <t>Tonnes of Moisture</t>
  </si>
  <si>
    <t>Tonnes of Volatile Solids</t>
  </si>
  <si>
    <r>
      <t>Methane Yield (m</t>
    </r>
    <r>
      <rPr>
        <vertAlign val="superscript"/>
        <sz val="10"/>
        <color theme="1"/>
        <rFont val="Arial"/>
        <family val="2"/>
      </rPr>
      <t>3</t>
    </r>
    <r>
      <rPr>
        <sz val="10"/>
        <color theme="1"/>
        <rFont val="Arial"/>
        <family val="2"/>
      </rPr>
      <t xml:space="preserve"> CH</t>
    </r>
    <r>
      <rPr>
        <vertAlign val="subscript"/>
        <sz val="10"/>
        <color theme="1"/>
        <rFont val="Arial"/>
        <family val="2"/>
      </rPr>
      <t>4</t>
    </r>
    <r>
      <rPr>
        <sz val="10"/>
        <color theme="1"/>
        <rFont val="Arial"/>
        <family val="2"/>
      </rPr>
      <t>/dry metric tonne)</t>
    </r>
  </si>
  <si>
    <t>Methane Conversion Factors (MCF)</t>
  </si>
  <si>
    <t>MCF Values By Temperature for Manure Management Systems</t>
  </si>
  <si>
    <t>Temperature (°C)</t>
  </si>
  <si>
    <t>Cool</t>
  </si>
  <si>
    <t>Temperate</t>
  </si>
  <si>
    <t>Warm</t>
  </si>
  <si>
    <t>System</t>
  </si>
  <si>
    <t>Aerobic Treatment</t>
  </si>
  <si>
    <t>Alternative Anaerobic Digester</t>
  </si>
  <si>
    <t>Cattle and Swine deep bedding &lt;1 mo.</t>
  </si>
  <si>
    <t>Dry lot</t>
  </si>
  <si>
    <t>Cattle and Swine deep bedding &gt;1 mo.</t>
  </si>
  <si>
    <t>Liquid Slurry w/ natural crust cover</t>
  </si>
  <si>
    <t>Composting in Vessel</t>
  </si>
  <si>
    <t>Liquid Slurry w/o natural crust cover</t>
  </si>
  <si>
    <t>Composting Intensive windrow</t>
  </si>
  <si>
    <t>Pit storage below animal confinements &lt;1 mo.</t>
  </si>
  <si>
    <t>Composting Passive window</t>
  </si>
  <si>
    <t>Composting Static Pile</t>
  </si>
  <si>
    <t>Solid Storage</t>
  </si>
  <si>
    <t>Daily Spread</t>
  </si>
  <si>
    <t>Landfill</t>
  </si>
  <si>
    <t xml:space="preserve">Landfill (semi-aerobic) </t>
  </si>
  <si>
    <t>Open Burning or Burned for Fuel</t>
  </si>
  <si>
    <t>Pasture/Range/Paddock</t>
  </si>
  <si>
    <t>Uncategoizable Dumpsite</t>
  </si>
  <si>
    <t>Unmanaged Dumpsite ( &lt;5 m deep)</t>
  </si>
  <si>
    <t xml:space="preserve">Unmanaged Dumpsite ( &gt;5 m deep) and /or high water table </t>
  </si>
  <si>
    <t xml:space="preserve">Sources: 
</t>
  </si>
  <si>
    <t>(1) California Air Resources Board. “Compliance Offset Protocol Livestock Projects Capturing and Destroying Methane FromManure Management Systems,” November 14, 2014. https://www.arb.ca.gov/regact/2014/capandtrade14/ctlivestockprotocol.pdf.</t>
  </si>
  <si>
    <t xml:space="preserve">(2) Pipatti, Ritta, et al. “Chapter 3: Solid Waste Disposal.” In 2006 IPCC Guidelines for National Greenhouse Gas Inventories, 2006. https://www.ipcc-nggip.iges.or.jp/public/2006gl/pdf/5_Volume5/V5_3_Ch3_SWDS.pdf.
</t>
  </si>
  <si>
    <t>References and Background Information</t>
  </si>
  <si>
    <t>Agrawal, Karan, B. R. Barbe, and Shareena Khan. 2009. “Biogas from Pressmud.” IOSR Journal of Mechanical and Civil Engineering, 37–41.</t>
  </si>
  <si>
    <t>Alucilja, Renel M., Pepito M. Bato, Delfin S. Suministrado, and Engelbert K. Peralta. “Determination of Some Physical and Mechanical Properties of Oil Palm Fruit.” USM R&amp;D Journal 21, no. 2 (December 31, 2013): 61–70.</t>
  </si>
  <si>
    <t>Antonopoulou, Georgia, Katerina Stamatelatou, Nikolaos Venetsaneas, Michael Kornaros, and Gerasimos Lyberatos. “Biohydrogen and Methane Production from Cheese Whey in a Two-Stage Anaerobic Process.” Industrial &amp; Engineering Chemistry Research 47, no. 15 (August 1, 2008): 5227–33. https://doi.org/10.1021/ie071622x.</t>
  </si>
  <si>
    <t>Antonopoulou, G, Katerina Stamatelatou, and Gerasimos Lyberatos. Exploitation of Rapeseed and Sunflower Residues for Methane Generation through Anaerobic Digestion: The Effect of Pretreatment. Vol. 20, 2010. https://doi.org/10.3303/CET1020043.</t>
  </si>
  <si>
    <t xml:space="preserve">Ariunbaatar, Javkhlan, Antonio Panico, Giovanni Esposito, Francesco Pirozzi, and Piet N. L. Lens. “Pretreatment Methods to Enhance Anaerobic Digestion of Organic Solid Waste.” Applied Energy 123 (June 15, 2014): 143–56. https://doi.org/10.1016/j.apenergy.2014.02.035.
</t>
  </si>
  <si>
    <t>Bachmann, Nathalie. “Sustainable Biogas Production in Municipal Wastewater Treatment Plants.” IEA Bioenergy, n.d. https://ec.europa.eu/jrc/en/publication/sustainable-biogas-production-municipal-wastewater-treatment-plants.</t>
  </si>
  <si>
    <t>Barua, Visva, and Ajay Kalamdhad. “Water Hyacinth to Biogas: A Review.” Pollution Research 35 (May 15, 2016): 491–501.</t>
  </si>
  <si>
    <t>BP. "Statistical Review of World Energy," June 2018. https://www.bp.com/en/global/corporate/energy-economics/statistical-review-of-world-energy.html</t>
  </si>
  <si>
    <t>Browne, James D., and Jerry D. Murphy. “Assessment of the Resource Associated with Biomethane from Food Waste.” Applied Energy 104, no. Supplement C (April 1, 2013): 170–77. https://doi.org/10.1016/j.apenergy.2012.11.017.</t>
  </si>
  <si>
    <t>Carolinas Composting Council, and Carolina Recycling Association. “Yes You Can! (Compost and Naturescape),” n.d. www.carolinascompostingcouncil.org.</t>
  </si>
  <si>
    <t>California Air Resources Board. “Compliance Offset Protocol Livestock Projects Capturing and Destroying Methane FromManure Management Systems,” November 14, 2014. https://www.arb.ca.gov/regact/2014/capandtrade14/ctlivestockprotocol.pdf.</t>
  </si>
  <si>
    <t>Chaikitkaew, Srisuda, Prawit Kongjan, and Sompong O-Thong. “Biogas Production from Biomass Residues of Palm Oil Mill by Solid State Anaerobic Digestion.” Energy Procedia, 2015 International Conference on Alternative Energy in Developing Countries and Emerging Economies, 79 (November 1, 2015): 838–44. https://doi.org/10.1016/j.egypro.2015.11.575.</t>
  </si>
  <si>
    <t>Chavez-Vazquez, Mariana, and David M. Bagley. 2002. “Evaluation Of The Performance Of Different Anaerobic Digestion Technologies For Solid Waste Treatment.” In . Niagara.</t>
  </si>
  <si>
    <t xml:space="preserve">Chen, Ye, Jay J. Cheng, and Kurt S. Creamer. “Inhibition of Anaerobic Digestion Process: A Review.” Bioresource Technology 99, no. 10 (July 1, 2008): 4044–64. https://doi.org/10.1016/j.biortech.2007.01.057.
</t>
  </si>
  <si>
    <t>Contreras, L. M., H. Schelle, C. R. Sebrango, and I. Pereda. “Methane Potential and Biodegradability of Rice Straw, Rice Husk and Rice Residues from the Drying Process.” Water Science and Technology 65, no. 6 (February 1, 2012): 1142–49. https://doi.org/10.2166/wst.2012.951.</t>
  </si>
  <si>
    <t>Cornell Waste Management Institute. “Yard Waste Composting.” Cornell University, 1990.</t>
  </si>
  <si>
    <t>Dubrovskis, V., and I. Plume. “Biogas from Wastes of Pumpkin, Marrow and Apple.” Agronomy Research 15, no. 1 (2017): 69–78.</t>
  </si>
  <si>
    <t>Food and Agriculture Orginization of the United Nations (FAO). “Table 32. Description of Major Feedstuffs Available in the Philippines.” Aquaculture Feed and Fertilizer Resource Atlas of the Philippines, 1997. http://www.fao.org/docrep/003/W6928E/w6928e17.htm.</t>
  </si>
  <si>
    <t>Fen, Chen, Yu Gao, Li Wei, Liu Fenwu, Zhang Wuping, Bu Yushan, and Li Xiaomei. “Maximal Methane Potential of Different Animal Manures Collected in Northwest Region of China.” International Journal of Agricultural and Biological Engineering 10, no. 1 (January 23, 2017): 202–8. https://doi.org/10.3965/ijabe.v10i1.2469.</t>
  </si>
  <si>
    <r>
      <t xml:space="preserve">Gao, Ruifang, Xufeng Yuan, Wanbin Zhu, Xiaofen Wang, Shaojiang Chen, Xu Cheng, and Zongjun Cui. “Methane Yield through Anaerobic Digestion for Various Maize Varieties in China.” </t>
    </r>
    <r>
      <rPr>
        <i/>
        <sz val="11"/>
        <color theme="1"/>
        <rFont val="Arial"/>
        <family val="2"/>
      </rPr>
      <t>Bioresource Technology</t>
    </r>
    <r>
      <rPr>
        <sz val="11"/>
        <color theme="1"/>
        <rFont val="Arial"/>
        <family val="2"/>
      </rPr>
      <t xml:space="preserve"> 118, no. Supplement C (August 1, 2012): 611–14. https://doi.org/10.1016/j.biortech.2012.05.051.</t>
    </r>
  </si>
  <si>
    <t>Gautam, Dhan Prasad, Shafiqur Rahman, Md Saidul Borhan, and Chanda Engel. “The Effect of Feeding High Fat Diet to Beef Cattle on Manure Composition and Gaseous Emission from a Feedlot Pen Surface.” Journal of Animal Science and Technology 58 (June 10, 2016). https://doi.org/10.1186/s40781-016-0104-6.</t>
  </si>
  <si>
    <t>Goel, B, D. C Pant, and V. V. N Kishore. “Two-Phase Anaerobic Digestion of Spent Tea Leaves for Biogas and Manure Generation.” Bioresource Technology 80, no. 2 (November 1, 2001): 153–56. https://doi.org/10.1016/S0960-8524(01)00083-9.</t>
  </si>
  <si>
    <t>Hamilton, Douglas. “Methane Production Potential of Waste Materials.” Oklahoma State University, n.d. pods.dasnr.okstate.edu/docushare/dsweb/Get/Document-8544/BAE-1762web.pdf.</t>
  </si>
  <si>
    <t xml:space="preserve">Hapman. 2019. “Bulk Material Density Guide.” Hapman. 2019. https://www.hapman.com/education-support/bulk-material-density-guide/.
</t>
  </si>
  <si>
    <t xml:space="preserve">Hejnfelt, Anette, and Irini Angelidaki. 2009. “Anaerobic Digestion of Slaughterhouse By-Products.” Biomass and Bioenergy 33 (8): 1046–54. https://doi.org/10.1016/j.biombioe.2009.03.004.
</t>
  </si>
  <si>
    <r>
      <t>International Energy Agency (IEA). "CO</t>
    </r>
    <r>
      <rPr>
        <vertAlign val="subscript"/>
        <sz val="11"/>
        <color theme="1"/>
        <rFont val="Arial"/>
        <family val="2"/>
      </rPr>
      <t>2</t>
    </r>
    <r>
      <rPr>
        <sz val="11"/>
        <color theme="1"/>
        <rFont val="Arial"/>
        <family val="2"/>
      </rPr>
      <t xml:space="preserve"> Emissions from Fuel Combustion (2018 Edition)." OECD/IEA, Paris, 2018. https://webstore.iea.org/co2-emissions-from-fuel-combustion-2018-highlights</t>
    </r>
  </si>
  <si>
    <t>International Renewable Energy Agency (IRENA). “Measuring Small-Scale Biogas Capacity and Production.” Abu Dhabi: IRENA, 2016. http://www.irena.org/menu/index.aspx?mnu=Subcat&amp;PriMenuID=36&amp;CatID=141&amp;SubcatID=3798.</t>
  </si>
  <si>
    <t>Inyang, Mandu, Bin Gao, Pratap Pullammanappallil, Wenchuan Ding, and Andrew R. Zimmerman. “Biochar from Anaerobically Digested Sugarcane Bagasse.” Bioresource Technology 101, no. 22 (November 1, 2010): 8868–72. https://doi.org/10.1016/j.biortech.2010.06.088.</t>
  </si>
  <si>
    <t>Intergovernmental Panel on Climate Change (IPCC). "2006 IPCC Guidelines for National Greenhouse Has Inventories, Volume 2: Energy, Chapter 2: Stationary Combustion." https://www.ipcc-nggip.iges.or.jp/public/2006gl/pdf/2_Volume2/V2_2_Ch2_Stationary_Combustion.pdf</t>
  </si>
  <si>
    <t>Jimoh, M. O., and J. O. Babatola. 2018. “Investigative Study on the Use of De-Oiled Palm Kernel Cake for Biogas Production.” Nigerian Journal of Technological Development 15 (3): 72. https://doi.org/10.4314/njtd.v15i3.1.</t>
  </si>
  <si>
    <t>Kafle, Gopi Krishna, Sang Hun Kim, and Kyung Ill Sung. “Ensiling of Fish Industry Waste for Biogas Production: A Lab Scale Evaluation of Biochemical Methane Potential (BMP) and Kinetics.” Bioresource Technology 127, no. Supplement C (January 1, 2013): 326–36. https://doi.org/10.1016/j.biortech.2012.09.032.</t>
  </si>
  <si>
    <t>Kryvoruchko, Vitaliy, Andrea Machmüller, Vitomir Bodiroza, Barbara Amon, and Thomas Amon. 2009. “Anaerobic Digestion of By-Products of Sugar Beet and Starch Potato Processing.” Biomass and Bioenergy 33 (4): 620–27. https://doi.org/10.1016/j.biombioe.2008.10.003.</t>
  </si>
  <si>
    <t xml:space="preserve">Lefebvre, O., S. Quentin, M. Torrijos, J. J. Godon, J. P. Delgenès, and R. Moletta. “Impact of Increasing NaCl Concentrations on the Performance and Community Composition of Two Anaerobic Reactors.” Applied Microbiology and Biotechnology 75, no. 1 (May 1, 2007): 61–69. https://doi.org/10.1007/s00253-006-0799-2.
</t>
  </si>
  <si>
    <t xml:space="preserve">Lehtomäki, A., T. A. Viinikainen, and J. A. Rintala. 2008. “Screening Boreal Energy Crops and Crop Residues for Methane Biofuel Production.” Biomass and Bioenergy 32 (6): 541–50. https://doi.org/10.1016/j.biombioe.2007.11.013.
</t>
  </si>
  <si>
    <t>Leke, Luter, Anne Ada Ogbanje, Dekaa Henry Terfa, and Tyoalumun Ikyaagba. “Production of Bio-Gas from Maize Cobs.” International Journal of Energy and Environment 4, no. 1 (2013): 153–60.</t>
  </si>
  <si>
    <t>Levis, James, and Morton Barlaz. “Anaerobic Digestion Process Model Documentation.” Raleigh, NC: North Carolina State University, 2013.</t>
  </si>
  <si>
    <t>Liu, Z., Xu, A., &amp; Long, B. (2011). Energy from combustion of rice straw: status and challenges to China. Energy and Power Engineering, 3(03), 325.</t>
  </si>
  <si>
    <t>Mathias, Thiago Rocha dos Santos, Verônica Marinho Fontes Alexandre, Magali Christe Cammarota, Pedro Paulo Moretzsohn de Mello, and Eliana Flávia Camporese Sérvulo. “Characterization and Determination of Brewer’s Solid Wastes Composition.” Journal of the Institute of Brewing 121, no. 3 (July 1, 2015): 400–404. https://doi.org/10.1002/jib.229.</t>
  </si>
  <si>
    <t>Merrick, Norma C. “Measurement of Density and Medullation in Wool.” Thesis, Lincoln University, 1998. https://researcharchive.lincoln.ac.nz/handle/10182/3014.</t>
  </si>
  <si>
    <t>Mes, T.Z.D. de, A.J.M. Stams, J.H. Reith, and G. Zeeman. “Chapter 4. Methane Production by Anaerobic Digestion of Wastewater and Solid Wastes.” In Biomethane and Biohydrogen. Status and Perspectives of Biological Methane and Hydrogen Production. Netherlands Agency for Energy and the Environment, 2003.</t>
  </si>
  <si>
    <t>Mönch-Tegeder, Matthias, Andreas Lemmer, Hans Oechsner, and Thomas Jungbluth. “Investigation of the Methane Potential of Horse Manure.” Agricultural Engineering International: CIGR Journal 15, no. 2 (July 1, 2013): 161–72.</t>
  </si>
  <si>
    <t>Muthangya, M, S.O. Hashim, J.M Amana, A.M. Mshandete, and A.K. Kivasi. “Auditing and Characteristics of Sisal Processing Waste: A Bioresource for Value Addition.” ARPN Journal of Agricultural and Biological Science 8, no. 7 (July 2013): 518–24.</t>
  </si>
  <si>
    <t>Naik, R.K, R.C. Dash, D Behera, and A.K. Goel. “Studies On Physical Properties Of Sisal (Agave Sisalana) Plant Leaves.” International Journal of Agriculture Sciences 8, no. 48 (2016): 2004–7.</t>
  </si>
  <si>
    <t>Petersson, Anneli, Mette H. Thomsen, Henrik Hauggaard-Nielsen, and Anne-Belinda Thomsen. “Potential Bioethanol and Biogas Production Using Lignocellulosic Biomass from Winter Rye, Oilseed Rape and Faba Bean.” Biomass and Bioenergy 31, no. 11 (November 1, 2007): 812–19. https://doi.org/10.1016/j.biombioe.2007.06.001.</t>
  </si>
  <si>
    <t>Pipatti, Ritta, and et al. “Chapter 3: Solid Waste Disposal.” In 2006 IPCC Guidelines for National Greenhouse Gas Inventories, 2006. https://www.ipcc-nggip.iges.or.jp/public/2006gl/pdf/5_Volume5/V5_3_Ch3_SWDS.pdf.</t>
  </si>
  <si>
    <t>Priadi, Cindy, Dwica Wulandari, Iftita Rahmatika, and Setyo Sarwanto Moersidik. “Biogas Production in the Anaerobic Digestion of Paper Sludge.” APCBEE Procedia, 5th International Conference on Chemical, Biological and Environmental Engineering - ICBEE 2013 &amp; 2nd International Conference on Civil Engineering - ICCEN 2013, 9, no. Supplement C (January 1, 2014): 65–69. https://doi.org/10.1016/j.apcbee.2014.01.012.</t>
  </si>
  <si>
    <t>Ramírez, José Carmen Ramírez, José Inés Ibarra, Francisco Arce Romero, Petra Rosas Ulloa, José Armando Ulloa, Keiko Shirai Matsumoto, Belinda Vallejo Cordoba, and Miguel Ángel Mazorra Manzano. “Preparation of Biological Fish Silage and Its Effect on the Performance and Meat Quality Characteristics of Quails (Coturnix Coturnix Japonica).” Brazilian Archives of Biology and Technology 56, no. 6 (December 2013): 1002–10. https://doi.org/10.1590/S1516-89132013000600016.</t>
  </si>
  <si>
    <t>Rittenschober, Doris, Barbara Stadlmayr, Ruth Charrondiere, Diedelinde Persijn, and Verena Nowak. 2012. “FAO/INFOODS Databases Density Database Version 2.0.” Food and Agriculture Organization of the United Nations.</t>
  </si>
  <si>
    <t>Sacher, Niels, Maria Isabel R. Dumlao, Robert Gensch, and Swiss Federal Institute of Aquatic Science and Technology. 2014. “Direct Use of Biogas.” Sustainable Sanitation and Water Management Toolbox. 2014. https://www.sswm.info/category/implementation-tools/reuse-and-recharge/hardware/energy-products-sludge/direct-use-biogas#reference_book7934.</t>
  </si>
  <si>
    <t>Salman, A. Kh., M. A. E. Al- Rajhi, A. I. El-Rayes, and A. F. Abd El-Mottaleb. “Rapid Composting Of Rice Straw With Some Agriculture Green Residues And Animal Waste Under Full Control Systems.” J.Soil Sci. and Agric. Eng 2, no. 12 (2011): 1229–42.</t>
  </si>
  <si>
    <t>Salter, Andrew. “Crops for Biogas Production; Yields, Suitability and Energy Balances.” presented at the 15th European Biomass Conference, Berlin, Germany, 2007.</t>
  </si>
  <si>
    <t>Sumardiono, Siswo, Aldi Budi Riyanta, Hashfi Hawali Abdul Matin, Tutuk Djoko Kusworo, and Bakti Jos. “Increasing Biogas Production from Sugar Cane Baggase by Anaerobic Co-Digestion with Animal Manure.” MATEC Web of Conferences 101 (2017): 02014. https://doi.org/10.1051/matecconf/201710102014.</t>
  </si>
  <si>
    <t>Sundaranayagi, S., A. Sirajunnisa, and V. Ramasamy. 2017. “Production Of Biogas By Anaerobic Digestion Of Press Mud Using Iron, Cobalt And Nickel.” Indian Journal of Scientific Research 14 (1): 374–77.</t>
  </si>
  <si>
    <t>Suresh, R, and S Vivekanandan. 2017. “Investigation On Edible De-Oiled And Non Edible De-Oiled Cakes In Anaerobic Co- Digestion For Biogas Production.” International Journal of Mechanical Engineering and Technology 8 (1): 7.</t>
  </si>
  <si>
    <t>Tiwari, Ghanshyam, Ajay Kumar Sharma, and Pratap Singh. “Short Communication: Volume-Weight Relationship of Water Hyacinth Plant (Eichhornia Crassipes) Under Axial Loading.” Annals of Arid Zone 44, no. 1 (2005): 101–3.</t>
  </si>
  <si>
    <t>United Nations Framework Convention on Climate Change/Clean Development Mechanism (UNFCCC CDM). "AMS-III.D. Small-scale Methodology: Methane recovery in animal manure management systems v21," September 2017. https://cdm.unfccc.int/filestorage/1/A/W/1AWXEKHVTYF423LCN56Z9GIMQOS8JR/EB96_repan09_AMS-III.Dv21.pdf?t=N1d8cG8wY3ZmfDDEJvUs6CfSuwO8P4-bPZ2h</t>
  </si>
  <si>
    <t>United States Dept. of Agriculture (USDA). “Chapter 4: Agricultural Waste Characteristics.” In Agricultural Waste Management Field Handbook. Washington D.C.: USDA, 2008.</t>
  </si>
  <si>
    <t>United States Dept. of Agriculture (USDA). “National Nutrient Database for Standard Reference Release 28.” United States Dept. of Agriculture, May 2016. https://www.ars.usda.gov/northeast-area/beltsville-md/beltsville-human-nutrition-research-center/nutrient-data-laboratory/.</t>
  </si>
  <si>
    <t xml:space="preserve">United States Environmental Protection Agency AgSTAR Program. "Protocol for Quantifying and Reporting the Performance of Anaerobic Digestion Systems for Livestock Manures, March 2011. https://www.epa.gov/sites/production/files/2014-12/documents/protocol.pdf </t>
  </si>
  <si>
    <t>Vitez, Tomas, Tomas Koutny, Martin Sotnar, and Jan Chovanec. “On The Spent Coffee Grounds Biogas Production.” ACTA UNIVERSITATIS AGRICULTURAE ET SILVICULTURAE MENDELIANAE BRUNENSIS 64 (November 4, 2016). https://doi.org/http://dx.doi.org/10.11118/actaun201664041279.</t>
  </si>
  <si>
    <t>Ward, Alastair J., Phil J. Hobbs, Peter J. Holliman, and David L. Jones. “Optimisation of the Anaerobic Digestion of Agricultural Resources.” Bioresource Technology 99, no. 17 (November 1, 2008): 7928–40. https://doi.org/10.1016/j.biortech.2008.02.044.</t>
  </si>
  <si>
    <t>Ware, Aidan, and Niamh Power. 2016. “Biogas from Cattle Slaughterhouse Waste: Energy Recovery towards an Energy Self-Sufficient Industry in Ireland.” Renewable Energy 97 (November): 541–49. https://doi.org/10.1016/j.renene.2016.05.068.</t>
  </si>
  <si>
    <t>Wikandari, Rachma, Huong Nguyen, Ria Millati, Claes Niklasson, and Mohammad J. Taherzadeh. “Improvement of Biogas Production from Orange Peel Waste by Leaching of Limonene.” BioMed Research International 2015 (2015). https://doi.org/http://dx.doi.org/10.1155/2015/494182.</t>
  </si>
  <si>
    <t xml:space="preserve">Wisconsin Department of Natural Resources Bureau of Science Services. “Advanced Anaerobic Digestion Study Guide.” Wisconsin Department of Natural Resources Bureau of Science Services, June 1992.
</t>
  </si>
  <si>
    <t xml:space="preserve">The Waste and Resources Action Programme. “Summary Report – Material Bulk Densities,” 2009.
</t>
  </si>
  <si>
    <t>Yan, Hu, Chen Zhao, Jiafu Zhang, Ruihong Zhang, Chunyu Xue, Guangqing Liu, and Chang Chen. “Study on Biomethane Production and Biodegradability of Different Leafy Vegetables in Anaerobic Digestion.” AMB Express 7 (January 25, 2017). https://doi.org/10.1186/s13568-017-0325-1.</t>
  </si>
  <si>
    <t>Yavini, Tsunatu, Kiman Silas, Mustapha Grema, and Jang Luria. “Kinetic Study of Agricultural Wastes Conversion to Biogas Using Cow Dung/Poultry Droppings as Inoculums.” IOSR Journal Of Environmental Science, Toxicology And Food Technology 8, no. 1 (February 2014): 46–51.</t>
  </si>
  <si>
    <t>Zhang, Yue, Charles J. Banks, and Sonia Heaven. “Anaerobic Digestion of Two Biodegradable Municipal Waste Streams.” Journal of Environmental Management 104, no. Supplement C (August 15, 2012): 166–74. https://doi.org/10.1016/j.jenvman.2012.03.043.</t>
  </si>
  <si>
    <r>
      <t xml:space="preserve">Zhang, Hai-long, Xiang-ping Li, Jian-ying Qi, Yong-heng Chen, and Jian-de Fang. “Analysis of composition characteristics of municipal solid waste in south China.” </t>
    </r>
    <r>
      <rPr>
        <i/>
        <sz val="12"/>
        <color theme="1"/>
        <rFont val="Calibri"/>
        <family val="2"/>
        <scheme val="minor"/>
      </rPr>
      <t>Huan Jing Ke Xue Huanjing Kexue</t>
    </r>
    <r>
      <rPr>
        <sz val="12"/>
        <color theme="1"/>
        <rFont val="Calibri"/>
        <family val="2"/>
        <scheme val="minor"/>
      </rPr>
      <t xml:space="preserve"> 36, no. 1 (January 2015): 325–32.</t>
    </r>
  </si>
  <si>
    <t>Zheng, Wei, Khamphe Phoungthong, Fan Lü, Li-Ming Shao, and Pin-Jing He. “Evaluation of a Classification Method for Biodegradable Solid Wastes Using Anaerobic Degradation Parameters.” Waste Management 33, no. 12 (December 1, 2013): 2632–40. https://doi.org/10.1016/j.wasman.2013.08.015.</t>
  </si>
  <si>
    <t>Baseline Emissions from Manure</t>
  </si>
  <si>
    <t>Annual Manure Volatile Solids</t>
  </si>
  <si>
    <t>Annual Methane Emissions from Manure</t>
  </si>
  <si>
    <t>Waste Category</t>
  </si>
  <si>
    <t>Volatile Solids (% d.w.)</t>
  </si>
  <si>
    <t>Total Volatile Solids (Mg/year)</t>
  </si>
  <si>
    <t>Methane Conversion Factor</t>
  </si>
  <si>
    <t>na</t>
  </si>
  <si>
    <t>Baseline Emissions from Co-Digested Waste</t>
  </si>
  <si>
    <t>Temporary Storage Emissions from all Wastes</t>
  </si>
  <si>
    <t>Annual Methane Emissions from Storage</t>
  </si>
  <si>
    <t>Total Volatile Solids (Mg/day)</t>
  </si>
  <si>
    <t>Methane Generation and Utilization</t>
  </si>
  <si>
    <t>none</t>
  </si>
  <si>
    <t>Lean Burn internal combustion engine</t>
  </si>
  <si>
    <t>Rich Burn internal combustion engine</t>
  </si>
  <si>
    <t>Other Assumptions</t>
  </si>
  <si>
    <t xml:space="preserve">Conversion Factor </t>
  </si>
  <si>
    <t>Methane Utilization Related Emissions</t>
  </si>
  <si>
    <t>Electricity Use Emissions</t>
  </si>
  <si>
    <t>Electricity Use</t>
  </si>
  <si>
    <t>Emissions Factor s</t>
  </si>
  <si>
    <t>Default Grid Emisisons Factor</t>
  </si>
  <si>
    <r>
      <t>kgCO</t>
    </r>
    <r>
      <rPr>
        <vertAlign val="subscript"/>
        <sz val="11"/>
        <color theme="1"/>
        <rFont val="Arial"/>
        <family val="2"/>
      </rPr>
      <t>2</t>
    </r>
    <r>
      <rPr>
        <sz val="11"/>
        <color theme="1"/>
        <rFont val="Arial"/>
        <family val="2"/>
      </rPr>
      <t>/kWh</t>
    </r>
  </si>
  <si>
    <t>User Grid Emissions Factor</t>
  </si>
  <si>
    <r>
      <t>CO</t>
    </r>
    <r>
      <rPr>
        <vertAlign val="subscript"/>
        <sz val="12"/>
        <color theme="1"/>
        <rFont val="Arial"/>
        <family val="2"/>
      </rPr>
      <t>2</t>
    </r>
    <r>
      <rPr>
        <sz val="12"/>
        <color theme="1"/>
        <rFont val="Arial"/>
        <family val="2"/>
      </rPr>
      <t xml:space="preserve"> Emissions Factor for Biogas</t>
    </r>
  </si>
  <si>
    <r>
      <t>CH</t>
    </r>
    <r>
      <rPr>
        <vertAlign val="subscript"/>
        <sz val="12"/>
        <color theme="1"/>
        <rFont val="Arial"/>
        <family val="2"/>
      </rPr>
      <t>4</t>
    </r>
    <r>
      <rPr>
        <sz val="12"/>
        <color theme="1"/>
        <rFont val="Arial"/>
        <family val="2"/>
      </rPr>
      <t xml:space="preserve"> Emissions Factor for Biogas</t>
    </r>
  </si>
  <si>
    <t>Grid Electricity Use Per Year</t>
  </si>
  <si>
    <t>kWh</t>
  </si>
  <si>
    <t>Electricity Generated and Used Onsite Per Year</t>
  </si>
  <si>
    <t>MMBtu to kWh</t>
  </si>
  <si>
    <t>Electricity Related Carbon Emissions</t>
  </si>
  <si>
    <r>
      <t>CO</t>
    </r>
    <r>
      <rPr>
        <vertAlign val="subscript"/>
        <sz val="12"/>
        <color theme="1"/>
        <rFont val="Arial"/>
        <family val="2"/>
      </rPr>
      <t>2</t>
    </r>
    <r>
      <rPr>
        <sz val="12"/>
        <color theme="1"/>
        <rFont val="Arial"/>
        <family val="2"/>
      </rPr>
      <t xml:space="preserve"> Emissions from Grid Electricity Use</t>
    </r>
  </si>
  <si>
    <r>
      <t>kgCO</t>
    </r>
    <r>
      <rPr>
        <vertAlign val="subscript"/>
        <sz val="11"/>
        <color theme="1"/>
        <rFont val="Arial"/>
        <family val="2"/>
      </rPr>
      <t>2</t>
    </r>
  </si>
  <si>
    <r>
      <t>CO</t>
    </r>
    <r>
      <rPr>
        <vertAlign val="subscript"/>
        <sz val="12"/>
        <color theme="1"/>
        <rFont val="Arial"/>
        <family val="2"/>
      </rPr>
      <t>2</t>
    </r>
    <r>
      <rPr>
        <sz val="12"/>
        <color theme="1"/>
        <rFont val="Arial"/>
        <family val="2"/>
      </rPr>
      <t xml:space="preserve"> Emissions from Generation Used Onsite</t>
    </r>
  </si>
  <si>
    <r>
      <t>CH</t>
    </r>
    <r>
      <rPr>
        <vertAlign val="subscript"/>
        <sz val="12"/>
        <color theme="1"/>
        <rFont val="Arial"/>
        <family val="2"/>
      </rPr>
      <t>4</t>
    </r>
    <r>
      <rPr>
        <sz val="12"/>
        <color theme="1"/>
        <rFont val="Arial"/>
        <family val="2"/>
      </rPr>
      <t xml:space="preserve"> Emissions from Generation Used Onsite</t>
    </r>
  </si>
  <si>
    <r>
      <t>kgCH</t>
    </r>
    <r>
      <rPr>
        <vertAlign val="subscript"/>
        <sz val="12"/>
        <color theme="1"/>
        <rFont val="Arial"/>
        <family val="2"/>
      </rPr>
      <t>4</t>
    </r>
  </si>
  <si>
    <t>CO2 Emissions from Electricity and Heat Production</t>
  </si>
  <si>
    <t>Emissions Factor</t>
  </si>
  <si>
    <t xml:space="preserve">Emissions Factor </t>
  </si>
  <si>
    <t>Argentina</t>
  </si>
  <si>
    <r>
      <t>Tonnes CO</t>
    </r>
    <r>
      <rPr>
        <vertAlign val="subscript"/>
        <sz val="12"/>
        <color theme="1"/>
        <rFont val="Arial"/>
        <family val="2"/>
      </rPr>
      <t>2</t>
    </r>
  </si>
  <si>
    <t>TWh</t>
  </si>
  <si>
    <r>
      <t>TCO</t>
    </r>
    <r>
      <rPr>
        <vertAlign val="subscript"/>
        <sz val="12"/>
        <color theme="1"/>
        <rFont val="Arial"/>
        <family val="2"/>
      </rPr>
      <t>2</t>
    </r>
    <r>
      <rPr>
        <sz val="12"/>
        <color theme="1"/>
        <rFont val="Arial"/>
        <family val="2"/>
      </rPr>
      <t>/TWh</t>
    </r>
  </si>
  <si>
    <r>
      <t>kg CO</t>
    </r>
    <r>
      <rPr>
        <vertAlign val="subscript"/>
        <sz val="12"/>
        <color theme="1"/>
        <rFont val="Arial"/>
        <family val="2"/>
      </rPr>
      <t>2</t>
    </r>
    <r>
      <rPr>
        <sz val="12"/>
        <color theme="1"/>
        <rFont val="Arial"/>
        <family val="2"/>
      </rPr>
      <t>/kWh</t>
    </r>
  </si>
  <si>
    <t>Australia</t>
  </si>
  <si>
    <t>Brazil</t>
  </si>
  <si>
    <t>Canada</t>
  </si>
  <si>
    <t>China</t>
  </si>
  <si>
    <t>Egypt</t>
  </si>
  <si>
    <t>Germany</t>
  </si>
  <si>
    <t>India</t>
  </si>
  <si>
    <t>Indonesia</t>
  </si>
  <si>
    <t>Iran</t>
  </si>
  <si>
    <t>Italy</t>
  </si>
  <si>
    <t>Japan</t>
  </si>
  <si>
    <t>Kazakhstan</t>
  </si>
  <si>
    <t>Malaysia</t>
  </si>
  <si>
    <t>Mexico</t>
  </si>
  <si>
    <t>Netherlands</t>
  </si>
  <si>
    <t>Poland</t>
  </si>
  <si>
    <t>Russian Federation</t>
  </si>
  <si>
    <t>Saudi Arabia</t>
  </si>
  <si>
    <t>South Africa</t>
  </si>
  <si>
    <t>South Korea</t>
  </si>
  <si>
    <t>Spain</t>
  </si>
  <si>
    <t>Taiwan</t>
  </si>
  <si>
    <t>Thailand</t>
  </si>
  <si>
    <t>Turkey</t>
  </si>
  <si>
    <t>Ukraine</t>
  </si>
  <si>
    <t>United Arab Emirates</t>
  </si>
  <si>
    <t>United Kingdom</t>
  </si>
  <si>
    <t>Vietnam</t>
  </si>
  <si>
    <t>Emissions Data Source: OECD/IEA, Paris, 2018</t>
  </si>
  <si>
    <t>Conversions</t>
  </si>
  <si>
    <t>Electricity Generation Data Source: BP Statistical Review of World Energy, 2018</t>
  </si>
  <si>
    <t>TWh to kWh</t>
  </si>
  <si>
    <t>Tonnes to kg</t>
  </si>
  <si>
    <t>Flaring &amp; Leakage Emissions</t>
  </si>
  <si>
    <r>
      <t>Combustion Process (C</t>
    </r>
    <r>
      <rPr>
        <vertAlign val="subscript"/>
        <sz val="11"/>
        <color theme="0"/>
        <rFont val="Arial"/>
        <family val="2"/>
      </rPr>
      <t>eff</t>
    </r>
    <r>
      <rPr>
        <sz val="11"/>
        <color theme="0"/>
        <rFont val="Arial"/>
        <family val="2"/>
      </rPr>
      <t>)</t>
    </r>
  </si>
  <si>
    <t>Open Flare Continuous</t>
  </si>
  <si>
    <t>Open Flare Non-continuous</t>
  </si>
  <si>
    <t>User Value</t>
  </si>
  <si>
    <t>Flare Analysis Value</t>
  </si>
  <si>
    <t>Conversion Factor</t>
  </si>
  <si>
    <t>Flare Related Methane Emissions</t>
  </si>
  <si>
    <r>
      <t>kg CH</t>
    </r>
    <r>
      <rPr>
        <vertAlign val="subscript"/>
        <sz val="11"/>
        <color theme="1"/>
        <rFont val="Arial"/>
        <family val="2"/>
      </rPr>
      <t>4</t>
    </r>
    <r>
      <rPr>
        <sz val="11"/>
        <color theme="1"/>
        <rFont val="Arial"/>
        <family val="2"/>
      </rPr>
      <t xml:space="preserve"> per year</t>
    </r>
  </si>
  <si>
    <t>Project Methane Leakage</t>
  </si>
  <si>
    <t>Lookup Values</t>
  </si>
  <si>
    <t>Input Units</t>
  </si>
  <si>
    <t>Conversion</t>
  </si>
  <si>
    <t>lb/day</t>
  </si>
  <si>
    <t>metric tons/day</t>
  </si>
  <si>
    <t>gallons/day</t>
  </si>
  <si>
    <t>Biogas Output Units</t>
  </si>
  <si>
    <t>Digestate Output Units</t>
  </si>
  <si>
    <t>metric tons/year</t>
  </si>
  <si>
    <t>short tons/year</t>
  </si>
  <si>
    <t>Open Flare Non-Continuous</t>
  </si>
  <si>
    <t>Destruction Efficiency</t>
  </si>
  <si>
    <t>m3/year</t>
  </si>
  <si>
    <r>
      <rPr>
        <b/>
        <sz val="14"/>
        <color theme="1"/>
        <rFont val="Arial"/>
        <family val="2"/>
      </rPr>
      <t xml:space="preserve">Onsite Methane Utilization Instructions: </t>
    </r>
    <r>
      <rPr>
        <sz val="14"/>
        <color theme="1"/>
        <rFont val="Arial"/>
        <family val="2"/>
      </rPr>
      <t xml:space="preserve">
Biogas produced onsite sometimes can be combusted to generate electricity, used as boiler, furnace, or combustion engine fuel onsite. If gas is burned onsite, enter the estimated percentage of gas per day that will be combusted. The default for methane utilization is set at 90 percent. The user can enter their own methane utilization percent by typing in a whole number percent in cell B22 below). Emissions factors for the combustion processes are based on IPCC (2006) values. 
If gas is not utilized onsite and will only be flared, enter 0 for utilization percentage and choose "none" for combustion process. If the utilization percent is 0, the total flare percentage in cell B27 below will be 100% </t>
    </r>
  </si>
  <si>
    <t>Mesophilic_Wet</t>
  </si>
  <si>
    <t>Thermophilic_Wet</t>
  </si>
  <si>
    <t>Unheated/Ambient_Wet</t>
  </si>
  <si>
    <t>Mesophilic_Dry</t>
  </si>
  <si>
    <t>Thermophilic_Dry</t>
  </si>
  <si>
    <t>Unheated/Ambient_Dry</t>
  </si>
  <si>
    <t>scf/day</t>
  </si>
  <si>
    <t>Total Methane Production</t>
  </si>
  <si>
    <t>Total Digestate Production</t>
  </si>
  <si>
    <t>m3/day</t>
  </si>
  <si>
    <t xml:space="preserve">Average Temperature </t>
  </si>
  <si>
    <t>Temperature conversion</t>
  </si>
  <si>
    <r>
      <t>m</t>
    </r>
    <r>
      <rPr>
        <vertAlign val="superscript"/>
        <sz val="12"/>
        <color theme="1"/>
        <rFont val="Arial Nova"/>
        <family val="2"/>
      </rPr>
      <t>3</t>
    </r>
    <r>
      <rPr>
        <sz val="12"/>
        <color theme="1"/>
        <rFont val="Arial Nova"/>
        <family val="2"/>
      </rPr>
      <t>/year</t>
    </r>
  </si>
  <si>
    <r>
      <t>m</t>
    </r>
    <r>
      <rPr>
        <vertAlign val="superscript"/>
        <sz val="12"/>
        <color theme="1"/>
        <rFont val="Arial Nova"/>
        <family val="2"/>
      </rPr>
      <t>3</t>
    </r>
    <r>
      <rPr>
        <sz val="12"/>
        <color theme="1"/>
        <rFont val="Arial Nova"/>
        <family val="2"/>
      </rPr>
      <t>/day</t>
    </r>
  </si>
  <si>
    <t>Volatile Solids (kg/day)</t>
  </si>
  <si>
    <t>Average</t>
  </si>
  <si>
    <t xml:space="preserve">Average Methane Emissions (average of the high and low calibration values) </t>
  </si>
  <si>
    <t>Average daily methane emissions</t>
  </si>
  <si>
    <t xml:space="preserve">Daily Methane Utilization </t>
  </si>
  <si>
    <t>Daily Methane Utilization (methane utilization*utilization %)</t>
  </si>
  <si>
    <t>The estimated low and high production values use calibration factors from actual observations that represent the 25th and 75th percentile values of the ratio between measured and modeled data. These values are used to adjust the maximum potential biogas generation values to estimate the likely biogas generation potential values. The total daily biogas and methane production estimates below are an average of the low and high production values.</t>
  </si>
  <si>
    <t xml:space="preserve">Total Biogas Production </t>
  </si>
  <si>
    <t xml:space="preserve">Biogas Production Per Retention Period (m3/day)- High Production </t>
  </si>
  <si>
    <t xml:space="preserve">Biogas Production Per Retention Period (m3/day) - Low Production </t>
  </si>
  <si>
    <t>Biogas Production Per Retention Period (m3/day) - Theoretical Maximum Production</t>
  </si>
  <si>
    <t>Biogas Production Per Retention Period (m3/day) - Average of Low and High Production</t>
  </si>
  <si>
    <t>Anaerobic Digestion Screening Tool History</t>
  </si>
  <si>
    <r>
      <t>Max. Methane Production (B</t>
    </r>
    <r>
      <rPr>
        <vertAlign val="subscript"/>
        <sz val="12"/>
        <color theme="0"/>
        <rFont val="Arial"/>
        <family val="2"/>
      </rPr>
      <t>0</t>
    </r>
    <r>
      <rPr>
        <sz val="12"/>
        <color theme="0"/>
        <rFont val="Arial"/>
        <family val="2"/>
      </rPr>
      <t>)  m</t>
    </r>
    <r>
      <rPr>
        <vertAlign val="superscript"/>
        <sz val="12"/>
        <color theme="0"/>
        <rFont val="Arial"/>
        <family val="2"/>
      </rPr>
      <t>3</t>
    </r>
    <r>
      <rPr>
        <sz val="12"/>
        <color theme="0"/>
        <rFont val="Arial"/>
        <family val="2"/>
      </rPr>
      <t xml:space="preserve"> / Mg of VS</t>
    </r>
  </si>
  <si>
    <r>
      <t>kg CH</t>
    </r>
    <r>
      <rPr>
        <vertAlign val="subscript"/>
        <sz val="12"/>
        <color theme="0"/>
        <rFont val="Arial"/>
        <family val="2"/>
      </rPr>
      <t xml:space="preserve">4 </t>
    </r>
    <r>
      <rPr>
        <sz val="12"/>
        <color theme="0"/>
        <rFont val="Arial"/>
        <family val="2"/>
      </rPr>
      <t>per year</t>
    </r>
  </si>
  <si>
    <r>
      <t>Nitrogen (N</t>
    </r>
    <r>
      <rPr>
        <vertAlign val="subscript"/>
        <sz val="11"/>
        <rFont val="Arial"/>
        <family val="2"/>
      </rPr>
      <t>2</t>
    </r>
    <r>
      <rPr>
        <sz val="11"/>
        <rFont val="Arial"/>
        <family val="2"/>
      </rPr>
      <t>)</t>
    </r>
  </si>
  <si>
    <r>
      <t>Hydrogen Sulfide (H</t>
    </r>
    <r>
      <rPr>
        <vertAlign val="subscript"/>
        <sz val="11"/>
        <rFont val="Arial"/>
        <family val="2"/>
      </rPr>
      <t>2</t>
    </r>
    <r>
      <rPr>
        <sz val="11"/>
        <rFont val="Arial"/>
        <family val="2"/>
      </rPr>
      <t>S), Ammonia (NH3), Carbon Monoxide (CO)</t>
    </r>
  </si>
  <si>
    <t>DO NOT DELETE TEXT</t>
  </si>
  <si>
    <t>Assumption</t>
  </si>
  <si>
    <t>Gas Lamp Consumption</t>
  </si>
  <si>
    <r>
      <rPr>
        <b/>
        <u/>
        <sz val="10"/>
        <color theme="1"/>
        <rFont val="Arial"/>
        <family val="2"/>
      </rPr>
      <t>Instructions:</t>
    </r>
    <r>
      <rPr>
        <sz val="10"/>
        <color theme="1"/>
        <rFont val="Arial"/>
        <family val="2"/>
      </rPr>
      <t xml:space="preserve">
T</t>
    </r>
    <r>
      <rPr>
        <sz val="10"/>
        <rFont val="Arial"/>
        <family val="2"/>
      </rPr>
      <t xml:space="preserve">he OrganEcs is a tool for estimating the costs associated with an organic waste management project. It provides planning-level assistance to local governments, waste professionals, policymakers, facility operators, and project developers to help them make financial decisions about their potential organic waste management projects.This sheet allows you the ability to directly copy the results from AD Screening Tool to OrganEcs - Anaerobic Digestion Version 3.1. You may manually enter the results generated in the yellow/blue cells into the “Waste Inputs” tab in OrganEcs. More information about OrganEcs can be accessed at https://www.globalmethane.org/resources/details.aspx?resourceid=5175
</t>
    </r>
  </si>
  <si>
    <t>No</t>
  </si>
  <si>
    <t>Annual Methane Emissions from Waste</t>
  </si>
  <si>
    <t>Methane Conversion Factor (MCF)</t>
  </si>
  <si>
    <t>Celsius</t>
  </si>
  <si>
    <r>
      <t>kg of CH</t>
    </r>
    <r>
      <rPr>
        <vertAlign val="subscript"/>
        <sz val="11"/>
        <color theme="1"/>
        <rFont val="Arial"/>
        <family val="2"/>
      </rPr>
      <t>4</t>
    </r>
    <r>
      <rPr>
        <sz val="11"/>
        <color theme="1"/>
        <rFont val="Arial"/>
        <family val="2"/>
      </rPr>
      <t xml:space="preserve"> per m</t>
    </r>
    <r>
      <rPr>
        <vertAlign val="superscript"/>
        <sz val="11"/>
        <color theme="1"/>
        <rFont val="Arial"/>
        <family val="2"/>
      </rPr>
      <t>3</t>
    </r>
    <r>
      <rPr>
        <sz val="11"/>
        <color theme="1"/>
        <rFont val="Arial"/>
        <family val="2"/>
      </rPr>
      <t xml:space="preserve"> (density of methane, 1 atm, 60 deg F)</t>
    </r>
  </si>
  <si>
    <r>
      <t>kg of CH</t>
    </r>
    <r>
      <rPr>
        <vertAlign val="subscript"/>
        <sz val="12"/>
        <color theme="1"/>
        <rFont val="Arial"/>
        <family val="2"/>
      </rPr>
      <t>4</t>
    </r>
    <r>
      <rPr>
        <sz val="12"/>
        <color theme="1"/>
        <rFont val="Arial"/>
        <family val="2"/>
      </rPr>
      <t xml:space="preserve"> per m</t>
    </r>
    <r>
      <rPr>
        <vertAlign val="superscript"/>
        <sz val="12"/>
        <color theme="1"/>
        <rFont val="Arial"/>
        <family val="2"/>
      </rPr>
      <t>3</t>
    </r>
    <r>
      <rPr>
        <sz val="12"/>
        <color theme="1"/>
        <rFont val="Arial"/>
        <family val="2"/>
      </rPr>
      <t xml:space="preserve"> (density of methane, 1 atm, 60 deg F)</t>
    </r>
  </si>
  <si>
    <t>The IPCC AR5 report (Forster et al., 2007) does not differentiate between biogenic and fossil methane.</t>
  </si>
  <si>
    <r>
      <t>kg of CH</t>
    </r>
    <r>
      <rPr>
        <vertAlign val="subscript"/>
        <sz val="12"/>
        <color theme="1"/>
        <rFont val="Arial"/>
        <family val="2"/>
      </rPr>
      <t>4</t>
    </r>
    <r>
      <rPr>
        <sz val="12"/>
        <color theme="1"/>
        <rFont val="Arial"/>
        <family val="2"/>
      </rPr>
      <t xml:space="preserve"> per year</t>
    </r>
  </si>
  <si>
    <r>
      <t>m</t>
    </r>
    <r>
      <rPr>
        <vertAlign val="superscript"/>
        <sz val="11"/>
        <color theme="1"/>
        <rFont val="Arial"/>
        <family val="2"/>
      </rPr>
      <t>3</t>
    </r>
    <r>
      <rPr>
        <sz val="11"/>
        <color theme="1"/>
        <rFont val="Arial"/>
        <family val="2"/>
      </rPr>
      <t xml:space="preserve"> CH</t>
    </r>
    <r>
      <rPr>
        <vertAlign val="subscript"/>
        <sz val="11"/>
        <color theme="1"/>
        <rFont val="Arial"/>
        <family val="2"/>
      </rPr>
      <t>4</t>
    </r>
    <r>
      <rPr>
        <sz val="11"/>
        <color theme="1"/>
        <rFont val="Arial"/>
        <family val="2"/>
      </rPr>
      <t xml:space="preserve"> per day </t>
    </r>
  </si>
  <si>
    <r>
      <t>Methane (CH</t>
    </r>
    <r>
      <rPr>
        <vertAlign val="subscript"/>
        <sz val="11"/>
        <color theme="1"/>
        <rFont val="Arial"/>
        <family val="2"/>
      </rPr>
      <t>4</t>
    </r>
    <r>
      <rPr>
        <sz val="11"/>
        <color theme="1"/>
        <rFont val="Arial"/>
        <family val="2"/>
      </rPr>
      <t>)</t>
    </r>
  </si>
  <si>
    <r>
      <t>Carbon Dioxide (CO</t>
    </r>
    <r>
      <rPr>
        <vertAlign val="subscript"/>
        <sz val="11"/>
        <color theme="1"/>
        <rFont val="Arial"/>
        <family val="2"/>
      </rPr>
      <t>2</t>
    </r>
    <r>
      <rPr>
        <sz val="11"/>
        <color theme="1"/>
        <rFont val="Arial"/>
        <family val="2"/>
      </rPr>
      <t>)</t>
    </r>
  </si>
  <si>
    <r>
      <t>Nitrogen (N</t>
    </r>
    <r>
      <rPr>
        <vertAlign val="subscript"/>
        <sz val="11"/>
        <color theme="1"/>
        <rFont val="Arial"/>
        <family val="2"/>
      </rPr>
      <t>2</t>
    </r>
    <r>
      <rPr>
        <sz val="11"/>
        <color theme="1"/>
        <rFont val="Arial"/>
        <family val="2"/>
      </rPr>
      <t>)</t>
    </r>
  </si>
  <si>
    <r>
      <t>Hydrogen Sulfide (H</t>
    </r>
    <r>
      <rPr>
        <vertAlign val="subscript"/>
        <sz val="11"/>
        <color theme="1"/>
        <rFont val="Arial"/>
        <family val="2"/>
      </rPr>
      <t>2</t>
    </r>
    <r>
      <rPr>
        <sz val="11"/>
        <color theme="1"/>
        <rFont val="Arial"/>
        <family val="2"/>
      </rPr>
      <t>S), Ammonia (NH</t>
    </r>
    <r>
      <rPr>
        <vertAlign val="subscript"/>
        <sz val="11"/>
        <color theme="1"/>
        <rFont val="Arial"/>
        <family val="2"/>
      </rPr>
      <t>3</t>
    </r>
    <r>
      <rPr>
        <sz val="11"/>
        <color theme="1"/>
        <rFont val="Arial"/>
        <family val="2"/>
      </rPr>
      <t>), Carbon Monoxide (CO)</t>
    </r>
  </si>
  <si>
    <r>
      <rPr>
        <b/>
        <sz val="14"/>
        <color theme="1"/>
        <rFont val="Arial"/>
        <family val="2"/>
      </rPr>
      <t xml:space="preserve">Electricity Consumption and Generation Instructions: </t>
    </r>
    <r>
      <rPr>
        <sz val="14"/>
        <color theme="1"/>
        <rFont val="Arial"/>
        <family val="2"/>
      </rPr>
      <t xml:space="preserve">
AD projects can source electricity from the grid or use electricity generated to power their own operations. Grid emissions estimates are derived from country-level emissions data from IEA (2018) and generation data from BP (2018). Users may override default emissions rates with more specific information if it is available. Users can also indicate grid gross loss - the amount of electricity lost due to transmission as a percent of total generation - or the default based on US values for 2021 will be used (eGRID 2021).
If electricity is generated onsite and consumed by the project, the tool subtracts this amount of consumption from the total electricity consumption. Biogas specific emissions factors from IPCC (2006) are then applied to the onsite generation. The user can supply more specific emissions factors for biogas if available. The button to the right resets the leakage default values.</t>
    </r>
  </si>
  <si>
    <t>Environmental Protection Agency (EPA)."eGRID Summary Tables 2021." 2023. https://www.epa.gov/system/files/documents/2023-01/eGRID2021_summary_tables.pdf</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</si>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</sst>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3" formatCode="_(* #,##0.00_);_(* \(#,##0.00\);_(* &quot;-&quot;??_);_(@_)"/>
    <numFmt numFmtId="164" formatCode="0.0%"/>
    <numFmt numFmtId="165" formatCode="_(* #,##0_);_(* \(#,##0\);_(* &quot;-&quot;??_);_(@_)"/>
    <numFmt numFmtId="166" formatCode="0.0"/>
    <numFmt numFmtId="167" formatCode="0.000%"/>
    <numFmt numFmtId="168" formatCode="0.000"/>
    <numFmt numFmtId="169" formatCode="0.0000"/>
    <numFmt numFmtId="170" formatCode="_-* #,##0.00\ _€_-;\-* #,##0.00\ _€_-;_-* &quot;-&quot;??\ _€_-;_-@_-"/>
    <numFmt numFmtId="171" formatCode="#,##0.000"/>
    <numFmt numFmtId="172" formatCode="#,##0.0"/>
  </numFmts>
  <fonts count="70">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2"/>
      <color theme="1"/>
      <name val="Calibri"/>
      <family val="2"/>
      <scheme val="minor"/>
    </font>
    <font>
      <sz val="11"/>
      <color theme="1"/>
      <name val="Arial"/>
      <family val="2"/>
    </font>
    <font>
      <sz val="11"/>
      <color theme="0"/>
      <name val="Arial"/>
      <family val="2"/>
    </font>
    <font>
      <b/>
      <sz val="11"/>
      <color theme="0"/>
      <name val="Arial"/>
      <family val="2"/>
    </font>
    <font>
      <vertAlign val="superscript"/>
      <sz val="11"/>
      <color theme="1"/>
      <name val="Arial"/>
      <family val="2"/>
    </font>
    <font>
      <vertAlign val="subscript"/>
      <sz val="11"/>
      <color theme="1"/>
      <name val="Arial"/>
      <family val="2"/>
    </font>
    <font>
      <b/>
      <u/>
      <sz val="11"/>
      <color theme="1"/>
      <name val="Arial"/>
      <family val="2"/>
    </font>
    <font>
      <b/>
      <sz val="14"/>
      <color theme="0"/>
      <name val="Arial"/>
      <family val="2"/>
    </font>
    <font>
      <sz val="14"/>
      <color theme="0"/>
      <name val="Arial"/>
      <family val="2"/>
    </font>
    <font>
      <sz val="12"/>
      <color theme="1"/>
      <name val="Arial"/>
      <family val="2"/>
    </font>
    <font>
      <u/>
      <sz val="11"/>
      <color theme="10"/>
      <name val="Calibri"/>
      <family val="2"/>
      <scheme val="minor"/>
    </font>
    <font>
      <sz val="14"/>
      <color theme="1"/>
      <name val="Arial"/>
      <family val="2"/>
    </font>
    <font>
      <i/>
      <sz val="11"/>
      <color theme="1"/>
      <name val="Arial"/>
      <family val="2"/>
    </font>
    <font>
      <sz val="11"/>
      <color rgb="FF000000"/>
      <name val="Arial"/>
      <family val="2"/>
    </font>
    <font>
      <sz val="11"/>
      <name val="Arial"/>
      <family val="2"/>
    </font>
    <font>
      <i/>
      <sz val="12"/>
      <color theme="1"/>
      <name val="Calibri"/>
      <family val="2"/>
      <scheme val="minor"/>
    </font>
    <font>
      <sz val="11"/>
      <color theme="0" tint="-0.249977111117893"/>
      <name val="Arial"/>
      <family val="2"/>
    </font>
    <font>
      <b/>
      <sz val="11"/>
      <color theme="0" tint="-0.249977111117893"/>
      <name val="Arial"/>
      <family val="2"/>
    </font>
    <font>
      <b/>
      <sz val="11"/>
      <color theme="1"/>
      <name val="Arial"/>
      <family val="2"/>
    </font>
    <font>
      <u/>
      <sz val="11"/>
      <color theme="10"/>
      <name val="Arial"/>
      <family val="2"/>
    </font>
    <font>
      <b/>
      <sz val="11"/>
      <name val="Arial"/>
      <family val="2"/>
    </font>
    <font>
      <b/>
      <vertAlign val="superscript"/>
      <sz val="11"/>
      <color theme="0"/>
      <name val="Arial"/>
      <family val="2"/>
    </font>
    <font>
      <b/>
      <sz val="14"/>
      <color theme="1"/>
      <name val="Arial"/>
      <family val="2"/>
    </font>
    <font>
      <b/>
      <sz val="10"/>
      <color theme="0"/>
      <name val="Arial"/>
      <family val="2"/>
    </font>
    <font>
      <sz val="10"/>
      <color theme="0"/>
      <name val="Arial"/>
      <family val="2"/>
    </font>
    <font>
      <sz val="10"/>
      <color theme="1"/>
      <name val="Arial"/>
      <family val="2"/>
    </font>
    <font>
      <i/>
      <sz val="10"/>
      <color theme="1"/>
      <name val="Arial"/>
      <family val="2"/>
    </font>
    <font>
      <b/>
      <sz val="12"/>
      <color theme="1"/>
      <name val="Arial"/>
      <family val="2"/>
    </font>
    <font>
      <sz val="12"/>
      <color theme="0"/>
      <name val="Calibri"/>
      <family val="2"/>
      <scheme val="minor"/>
    </font>
    <font>
      <u/>
      <sz val="16"/>
      <color rgb="FF2D5CA3"/>
      <name val="Arial"/>
      <family val="2"/>
    </font>
    <font>
      <sz val="14"/>
      <color rgb="FFFF0000"/>
      <name val="Arial"/>
      <family val="2"/>
    </font>
    <font>
      <vertAlign val="subscript"/>
      <sz val="11"/>
      <color theme="0"/>
      <name val="Arial"/>
      <family val="2"/>
    </font>
    <font>
      <sz val="12"/>
      <color theme="0"/>
      <name val="Arial"/>
      <family val="2"/>
    </font>
    <font>
      <vertAlign val="subscript"/>
      <sz val="12"/>
      <color theme="1"/>
      <name val="Arial"/>
      <family val="2"/>
    </font>
    <font>
      <sz val="12"/>
      <name val="Arial"/>
      <family val="2"/>
    </font>
    <font>
      <sz val="8"/>
      <color theme="1"/>
      <name val="Arial"/>
      <family val="2"/>
    </font>
    <font>
      <u/>
      <sz val="12"/>
      <color theme="10"/>
      <name val="Calibri"/>
      <family val="2"/>
      <scheme val="minor"/>
    </font>
    <font>
      <sz val="10"/>
      <name val="Arial"/>
      <family val="2"/>
    </font>
    <font>
      <sz val="9"/>
      <color theme="1"/>
      <name val="Arial"/>
      <family val="2"/>
    </font>
    <font>
      <vertAlign val="superscript"/>
      <sz val="10"/>
      <color theme="1"/>
      <name val="Arial"/>
      <family val="2"/>
    </font>
    <font>
      <vertAlign val="subscript"/>
      <sz val="10"/>
      <color theme="1"/>
      <name val="Arial"/>
      <family val="2"/>
    </font>
    <font>
      <sz val="16"/>
      <color theme="0"/>
      <name val="Calibri"/>
      <family val="2"/>
      <scheme val="minor"/>
    </font>
    <font>
      <sz val="16"/>
      <color rgb="FFFF0000"/>
      <name val="Arial"/>
      <family val="2"/>
    </font>
    <font>
      <b/>
      <vertAlign val="subscript"/>
      <sz val="14"/>
      <color theme="0"/>
      <name val="Arial"/>
      <family val="2"/>
    </font>
    <font>
      <i/>
      <sz val="11"/>
      <name val="Arial"/>
      <family val="2"/>
    </font>
    <font>
      <b/>
      <u/>
      <sz val="10"/>
      <color theme="1"/>
      <name val="Arial"/>
      <family val="2"/>
    </font>
    <font>
      <sz val="14"/>
      <name val="Arial"/>
      <family val="2"/>
    </font>
    <font>
      <b/>
      <sz val="14"/>
      <name val="Arial"/>
      <family val="2"/>
    </font>
    <font>
      <sz val="12"/>
      <color rgb="FFFFFFFF"/>
      <name val="Arial"/>
      <family val="2"/>
    </font>
    <font>
      <sz val="12"/>
      <color rgb="FF000000"/>
      <name val="Calibri"/>
      <family val="2"/>
    </font>
    <font>
      <sz val="10"/>
      <color rgb="FF000000"/>
      <name val="Calibri"/>
      <family val="2"/>
    </font>
    <font>
      <sz val="14"/>
      <color theme="0"/>
      <name val="Arial Nova"/>
      <family val="2"/>
    </font>
    <font>
      <sz val="12"/>
      <color theme="1"/>
      <name val="Arial Nova"/>
      <family val="2"/>
    </font>
    <font>
      <b/>
      <sz val="11"/>
      <color theme="0"/>
      <name val="Arial Nova"/>
      <family val="2"/>
    </font>
    <font>
      <vertAlign val="superscript"/>
      <sz val="12"/>
      <color theme="1"/>
      <name val="Arial Nova"/>
      <family val="2"/>
    </font>
    <font>
      <b/>
      <sz val="16"/>
      <color theme="0"/>
      <name val="Arial"/>
      <family val="2"/>
    </font>
    <font>
      <sz val="16"/>
      <color theme="0"/>
      <name val="Arial"/>
      <family val="2"/>
    </font>
    <font>
      <vertAlign val="subscript"/>
      <sz val="12"/>
      <color theme="0"/>
      <name val="Arial"/>
      <family val="2"/>
    </font>
    <font>
      <vertAlign val="superscript"/>
      <sz val="12"/>
      <color theme="0"/>
      <name val="Arial"/>
      <family val="2"/>
    </font>
    <font>
      <vertAlign val="subscript"/>
      <sz val="11"/>
      <name val="Arial"/>
      <family val="2"/>
    </font>
    <font>
      <sz val="11"/>
      <color rgb="FFFF0000"/>
      <name val="Arial"/>
      <family val="2"/>
    </font>
    <font>
      <b/>
      <sz val="12"/>
      <color rgb="FFFF0000"/>
      <name val="Arial"/>
      <family val="2"/>
    </font>
    <font>
      <vertAlign val="superscript"/>
      <sz val="12"/>
      <color theme="1"/>
      <name val="Arial"/>
      <family val="2"/>
    </font>
  </fonts>
  <fills count="16">
    <fill>
      <patternFill patternType="none"/>
    </fill>
    <fill>
      <patternFill patternType="gray125"/>
    </fill>
    <fill>
      <patternFill patternType="solid">
        <fgColor theme="1"/>
        <bgColor indexed="64"/>
      </patternFill>
    </fill>
    <fill>
      <patternFill patternType="solid">
        <fgColor rgb="FF25C6FF"/>
        <bgColor indexed="64"/>
      </patternFill>
    </fill>
    <fill>
      <patternFill patternType="solid">
        <fgColor rgb="FFF2F2F2"/>
        <bgColor indexed="64"/>
      </patternFill>
    </fill>
    <fill>
      <patternFill patternType="solid">
        <fgColor theme="0"/>
        <bgColor indexed="64"/>
      </patternFill>
    </fill>
    <fill>
      <patternFill patternType="solid">
        <fgColor rgb="FFE8D548"/>
        <bgColor indexed="64"/>
      </patternFill>
    </fill>
    <fill>
      <patternFill patternType="solid">
        <fgColor rgb="FFD0E37D"/>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rgb="FFA5A5A5"/>
        <bgColor indexed="64"/>
      </patternFill>
    </fill>
    <fill>
      <patternFill patternType="solid">
        <fgColor rgb="FF007AC3"/>
        <bgColor indexed="64"/>
      </patternFill>
    </fill>
    <fill>
      <patternFill patternType="solid">
        <fgColor rgb="FFFCB041"/>
        <bgColor indexed="64"/>
      </patternFill>
    </fill>
    <fill>
      <patternFill patternType="solid">
        <fgColor theme="0" tint="-0.14999847407452621"/>
        <bgColor indexed="64"/>
      </patternFill>
    </fill>
    <fill>
      <patternFill patternType="solid">
        <fgColor rgb="FF000000"/>
        <bgColor rgb="FF000000"/>
      </patternFill>
    </fill>
    <fill>
      <patternFill patternType="solid">
        <fgColor theme="2"/>
        <bgColor indexed="64"/>
      </patternFill>
    </fill>
  </fills>
  <borders count="61">
    <border>
      <left/>
      <right/>
      <top/>
      <bottom/>
      <diagonal/>
    </border>
    <border>
      <left style="thin">
        <color auto="1"/>
      </left>
      <right/>
      <top style="thin">
        <color auto="1"/>
      </top>
      <bottom/>
      <diagonal/>
    </border>
    <border>
      <left/>
      <right/>
      <top/>
      <bottom style="thin">
        <color auto="1"/>
      </bottom>
      <diagonal/>
    </border>
    <border>
      <left/>
      <right/>
      <top style="thin">
        <color theme="0"/>
      </top>
      <bottom style="thin">
        <color theme="0"/>
      </bottom>
      <diagonal/>
    </border>
    <border>
      <left/>
      <right/>
      <top/>
      <bottom style="thin">
        <color theme="0"/>
      </bottom>
      <diagonal/>
    </border>
    <border>
      <left/>
      <right/>
      <top style="thin">
        <color theme="0"/>
      </top>
      <bottom/>
      <diagonal/>
    </border>
    <border>
      <left style="thin">
        <color indexed="64"/>
      </left>
      <right/>
      <top style="thin">
        <color indexed="64"/>
      </top>
      <bottom style="thin">
        <color indexed="64"/>
      </bottom>
      <diagonal/>
    </border>
    <border>
      <left/>
      <right style="thin">
        <color indexed="64"/>
      </right>
      <top/>
      <bottom/>
      <diagonal/>
    </border>
    <border>
      <left/>
      <right style="thin">
        <color indexed="64"/>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theme="0"/>
      </left>
      <right/>
      <top/>
      <bottom/>
      <diagonal/>
    </border>
    <border>
      <left style="thin">
        <color theme="0"/>
      </left>
      <right/>
      <top/>
      <bottom style="thin">
        <color theme="0"/>
      </bottom>
      <diagonal/>
    </border>
    <border>
      <left style="medium">
        <color indexed="64"/>
      </left>
      <right style="thin">
        <color indexed="64"/>
      </right>
      <top style="medium">
        <color indexed="64"/>
      </top>
      <bottom style="thin">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thin">
        <color auto="1"/>
      </top>
      <bottom style="thin">
        <color auto="1"/>
      </bottom>
      <diagonal/>
    </border>
    <border>
      <left style="thin">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thin">
        <color theme="0"/>
      </top>
      <bottom style="thin">
        <color indexed="64"/>
      </bottom>
      <diagonal/>
    </border>
    <border>
      <left/>
      <right style="thin">
        <color theme="0"/>
      </right>
      <top/>
      <bottom style="thin">
        <color theme="0"/>
      </bottom>
      <diagonal/>
    </border>
    <border>
      <left/>
      <right/>
      <top style="thin">
        <color theme="0"/>
      </top>
      <bottom style="medium">
        <color indexed="64"/>
      </bottom>
      <diagonal/>
    </border>
    <border>
      <left style="medium">
        <color indexed="64"/>
      </left>
      <right/>
      <top/>
      <bottom style="thin">
        <color theme="0"/>
      </bottom>
      <diagonal/>
    </border>
    <border>
      <left/>
      <right style="medium">
        <color indexed="64"/>
      </right>
      <top/>
      <bottom style="thin">
        <color theme="0"/>
      </bottom>
      <diagonal/>
    </border>
    <border>
      <left/>
      <right style="medium">
        <color indexed="64"/>
      </right>
      <top style="thin">
        <color theme="0"/>
      </top>
      <bottom style="thin">
        <color theme="0"/>
      </bottom>
      <diagonal/>
    </border>
    <border>
      <left style="medium">
        <color indexed="64"/>
      </left>
      <right/>
      <top style="thin">
        <color theme="0"/>
      </top>
      <bottom style="thin">
        <color theme="0"/>
      </bottom>
      <diagonal/>
    </border>
    <border>
      <left style="medium">
        <color indexed="64"/>
      </left>
      <right/>
      <top style="thin">
        <color theme="0"/>
      </top>
      <bottom style="medium">
        <color indexed="64"/>
      </bottom>
      <diagonal/>
    </border>
    <border>
      <left/>
      <right style="medium">
        <color indexed="64"/>
      </right>
      <top style="thin">
        <color theme="0"/>
      </top>
      <bottom style="medium">
        <color indexed="64"/>
      </bottom>
      <diagonal/>
    </border>
    <border>
      <left style="medium">
        <color indexed="64"/>
      </left>
      <right/>
      <top style="thin">
        <color theme="0"/>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theme="0"/>
      </bottom>
      <diagonal/>
    </border>
    <border>
      <left style="medium">
        <color indexed="64"/>
      </left>
      <right style="medium">
        <color indexed="64"/>
      </right>
      <top style="thin">
        <color theme="0"/>
      </top>
      <bottom style="thin">
        <color theme="0"/>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style="medium">
        <color indexed="64"/>
      </right>
      <top style="thin">
        <color theme="0"/>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2">
    <xf numFmtId="0" fontId="0" fillId="0" borderId="0"/>
    <xf numFmtId="9" fontId="7" fillId="0" borderId="0" applyFont="0" applyFill="0" applyBorder="0" applyAlignment="0" applyProtection="0"/>
    <xf numFmtId="0" fontId="5" fillId="0" borderId="0"/>
    <xf numFmtId="9" fontId="5" fillId="0" borderId="0" applyFont="0" applyFill="0" applyBorder="0" applyAlignment="0" applyProtection="0"/>
    <xf numFmtId="43" fontId="7" fillId="0" borderId="0" applyFont="0" applyFill="0" applyBorder="0" applyAlignment="0" applyProtection="0"/>
    <xf numFmtId="0" fontId="17" fillId="0" borderId="0" applyNumberFormat="0" applyFill="0" applyBorder="0" applyAlignment="0" applyProtection="0"/>
    <xf numFmtId="0" fontId="4" fillId="0" borderId="0"/>
    <xf numFmtId="9" fontId="4" fillId="0" borderId="0" applyFont="0" applyFill="0" applyBorder="0" applyAlignment="0" applyProtection="0"/>
    <xf numFmtId="43" fontId="4" fillId="0" borderId="0" applyFont="0" applyFill="0" applyBorder="0" applyAlignment="0" applyProtection="0"/>
    <xf numFmtId="0" fontId="43" fillId="0" borderId="0" applyNumberFormat="0" applyFill="0" applyBorder="0" applyAlignment="0" applyProtection="0"/>
    <xf numFmtId="0" fontId="3" fillId="0" borderId="0"/>
    <xf numFmtId="170" fontId="44" fillId="0" borderId="0" applyFont="0" applyFill="0" applyBorder="0" applyAlignment="0" applyProtection="0"/>
  </cellStyleXfs>
  <cellXfs count="667">
    <xf numFmtId="0" fontId="0" fillId="0" borderId="0" xfId="0"/>
    <xf numFmtId="0" fontId="8" fillId="0" borderId="0" xfId="0" applyFont="1"/>
    <xf numFmtId="0" fontId="10" fillId="0" borderId="0" xfId="0" applyFont="1"/>
    <xf numFmtId="0" fontId="8" fillId="4" borderId="3" xfId="0" applyFont="1" applyFill="1" applyBorder="1"/>
    <xf numFmtId="0" fontId="8" fillId="0" borderId="0" xfId="2" applyFont="1"/>
    <xf numFmtId="0" fontId="8" fillId="0" borderId="0" xfId="2" applyFont="1" applyAlignment="1">
      <alignment horizontal="left" indent="1"/>
    </xf>
    <xf numFmtId="0" fontId="9" fillId="2" borderId="2" xfId="2" applyFont="1" applyFill="1" applyBorder="1" applyAlignment="1">
      <alignment horizontal="left"/>
    </xf>
    <xf numFmtId="0" fontId="9" fillId="2" borderId="0" xfId="2" applyFont="1" applyFill="1" applyAlignment="1">
      <alignment horizontal="left"/>
    </xf>
    <xf numFmtId="0" fontId="0" fillId="0" borderId="0" xfId="0" applyAlignment="1">
      <alignment vertical="center"/>
    </xf>
    <xf numFmtId="0" fontId="16" fillId="0" borderId="0" xfId="0" applyFont="1"/>
    <xf numFmtId="0" fontId="18" fillId="0" borderId="0" xfId="0" applyFont="1"/>
    <xf numFmtId="0" fontId="10" fillId="0" borderId="0" xfId="0" applyFont="1" applyAlignment="1">
      <alignment wrapText="1"/>
    </xf>
    <xf numFmtId="3" fontId="8" fillId="4" borderId="3" xfId="0" applyNumberFormat="1" applyFont="1" applyFill="1" applyBorder="1" applyAlignment="1">
      <alignment horizontal="center" vertical="center"/>
    </xf>
    <xf numFmtId="1" fontId="8" fillId="0" borderId="0" xfId="0" applyNumberFormat="1" applyFont="1" applyAlignment="1">
      <alignment horizontal="center" vertical="center"/>
    </xf>
    <xf numFmtId="2" fontId="8" fillId="0" borderId="0" xfId="0" applyNumberFormat="1" applyFont="1" applyAlignment="1">
      <alignment horizontal="center" vertical="center"/>
    </xf>
    <xf numFmtId="0" fontId="9" fillId="2" borderId="6" xfId="2" applyFont="1" applyFill="1" applyBorder="1" applyAlignment="1">
      <alignment horizontal="left"/>
    </xf>
    <xf numFmtId="0" fontId="21" fillId="0" borderId="0" xfId="0" applyFont="1"/>
    <xf numFmtId="0" fontId="9" fillId="0" borderId="0" xfId="0" applyFont="1"/>
    <xf numFmtId="0" fontId="14" fillId="0" borderId="0" xfId="0" applyFont="1"/>
    <xf numFmtId="0" fontId="24" fillId="0" borderId="0" xfId="0" applyFont="1"/>
    <xf numFmtId="0" fontId="23" fillId="0" borderId="0" xfId="0" applyFont="1"/>
    <xf numFmtId="2" fontId="8" fillId="0" borderId="0" xfId="2" applyNumberFormat="1" applyFont="1"/>
    <xf numFmtId="0" fontId="0" fillId="0" borderId="0" xfId="0" applyAlignment="1">
      <alignment horizontal="center" vertical="center"/>
    </xf>
    <xf numFmtId="0" fontId="25" fillId="4" borderId="3" xfId="0" applyFont="1" applyFill="1" applyBorder="1"/>
    <xf numFmtId="0" fontId="26" fillId="0" borderId="0" xfId="5" applyFont="1"/>
    <xf numFmtId="0" fontId="10" fillId="2" borderId="1" xfId="2" applyFont="1" applyFill="1" applyBorder="1" applyAlignment="1">
      <alignment horizontal="left" vertical="top"/>
    </xf>
    <xf numFmtId="0" fontId="0" fillId="8" borderId="3" xfId="0" applyFill="1" applyBorder="1" applyAlignment="1">
      <alignment horizontal="left" vertical="center"/>
    </xf>
    <xf numFmtId="0" fontId="0" fillId="8" borderId="5" xfId="0" applyFill="1" applyBorder="1" applyAlignment="1">
      <alignment horizontal="left" vertical="center"/>
    </xf>
    <xf numFmtId="0" fontId="8" fillId="8" borderId="5" xfId="2" applyFont="1" applyFill="1" applyBorder="1" applyAlignment="1">
      <alignment horizontal="left" vertical="center"/>
    </xf>
    <xf numFmtId="0" fontId="8" fillId="4" borderId="3" xfId="0" applyFont="1" applyFill="1" applyBorder="1" applyAlignment="1">
      <alignment horizontal="left" vertical="center"/>
    </xf>
    <xf numFmtId="1" fontId="8" fillId="4" borderId="0" xfId="0" applyNumberFormat="1" applyFont="1" applyFill="1" applyAlignment="1">
      <alignment horizontal="center" vertical="center"/>
    </xf>
    <xf numFmtId="9" fontId="8" fillId="4" borderId="0" xfId="1" applyFont="1" applyFill="1" applyBorder="1" applyAlignment="1" applyProtection="1">
      <alignment horizontal="center" vertical="center"/>
    </xf>
    <xf numFmtId="0" fontId="25" fillId="4" borderId="3" xfId="0" applyFont="1" applyFill="1" applyBorder="1" applyAlignment="1">
      <alignment horizontal="left" vertical="center"/>
    </xf>
    <xf numFmtId="0" fontId="10" fillId="2" borderId="0" xfId="0" applyFont="1" applyFill="1" applyAlignment="1">
      <alignment horizontal="center" vertical="center" wrapText="1"/>
    </xf>
    <xf numFmtId="0" fontId="16" fillId="0" borderId="0" xfId="0" applyFont="1" applyAlignment="1">
      <alignment vertical="center"/>
    </xf>
    <xf numFmtId="0" fontId="10" fillId="2" borderId="7" xfId="0" applyFont="1" applyFill="1" applyBorder="1" applyAlignment="1">
      <alignment horizontal="center" vertical="center"/>
    </xf>
    <xf numFmtId="0" fontId="8" fillId="8" borderId="4" xfId="0" applyFont="1" applyFill="1" applyBorder="1" applyAlignment="1">
      <alignment horizontal="center" vertical="center"/>
    </xf>
    <xf numFmtId="0" fontId="8" fillId="8" borderId="3" xfId="0" applyFont="1" applyFill="1" applyBorder="1" applyAlignment="1">
      <alignment horizontal="center" vertical="center"/>
    </xf>
    <xf numFmtId="0" fontId="10" fillId="2" borderId="0" xfId="2" applyFont="1" applyFill="1" applyAlignment="1">
      <alignment horizontal="center" vertical="center"/>
    </xf>
    <xf numFmtId="0" fontId="27" fillId="2" borderId="0" xfId="2" applyFont="1" applyFill="1" applyAlignment="1">
      <alignment horizontal="center" vertical="center"/>
    </xf>
    <xf numFmtId="0" fontId="10" fillId="2" borderId="0" xfId="2" applyFont="1" applyFill="1" applyAlignment="1">
      <alignment vertical="center"/>
    </xf>
    <xf numFmtId="0" fontId="8" fillId="0" borderId="0" xfId="2" applyFont="1" applyAlignment="1">
      <alignment vertical="center"/>
    </xf>
    <xf numFmtId="0" fontId="9" fillId="2" borderId="5" xfId="2" applyFont="1" applyFill="1" applyBorder="1" applyAlignment="1">
      <alignment vertical="center"/>
    </xf>
    <xf numFmtId="9" fontId="10" fillId="2" borderId="0" xfId="1" applyFont="1" applyFill="1" applyBorder="1" applyAlignment="1">
      <alignment horizontal="center" vertical="center"/>
    </xf>
    <xf numFmtId="0" fontId="8" fillId="2" borderId="0" xfId="2" applyFont="1" applyFill="1" applyAlignment="1">
      <alignment vertical="center"/>
    </xf>
    <xf numFmtId="0" fontId="9" fillId="2" borderId="0" xfId="2" applyFont="1" applyFill="1" applyAlignment="1">
      <alignment vertical="center"/>
    </xf>
    <xf numFmtId="9" fontId="10" fillId="2" borderId="0" xfId="3" applyFont="1" applyFill="1" applyBorder="1" applyAlignment="1">
      <alignment vertical="center"/>
    </xf>
    <xf numFmtId="0" fontId="9" fillId="0" borderId="0" xfId="2" applyFont="1" applyAlignment="1">
      <alignment vertical="center"/>
    </xf>
    <xf numFmtId="0" fontId="8" fillId="2" borderId="0" xfId="2" applyFont="1" applyFill="1" applyAlignment="1">
      <alignment horizontal="left" vertical="center" wrapText="1"/>
    </xf>
    <xf numFmtId="0" fontId="8" fillId="4" borderId="4" xfId="2" applyFont="1" applyFill="1" applyBorder="1" applyAlignment="1">
      <alignment vertical="center" wrapText="1"/>
    </xf>
    <xf numFmtId="0" fontId="10" fillId="0" borderId="0" xfId="0" applyFont="1" applyAlignment="1">
      <alignment vertical="center" wrapText="1"/>
    </xf>
    <xf numFmtId="0" fontId="8" fillId="4" borderId="3" xfId="2" applyFont="1" applyFill="1" applyBorder="1" applyAlignment="1">
      <alignment vertical="center" wrapText="1"/>
    </xf>
    <xf numFmtId="0" fontId="8" fillId="4" borderId="3" xfId="2" applyFont="1" applyFill="1" applyBorder="1" applyAlignment="1">
      <alignment horizontal="left" vertical="center" wrapText="1"/>
    </xf>
    <xf numFmtId="0" fontId="8" fillId="4" borderId="5" xfId="2" applyFont="1" applyFill="1" applyBorder="1" applyAlignment="1">
      <alignment horizontal="left" vertical="center" wrapText="1"/>
    </xf>
    <xf numFmtId="0" fontId="8" fillId="8" borderId="3" xfId="2" applyFont="1" applyFill="1" applyBorder="1" applyAlignment="1">
      <alignment horizontal="left" vertical="center" wrapText="1"/>
    </xf>
    <xf numFmtId="0" fontId="6" fillId="0" borderId="0" xfId="0" applyFont="1"/>
    <xf numFmtId="0" fontId="15" fillId="0" borderId="0" xfId="0" applyFont="1"/>
    <xf numFmtId="165" fontId="8" fillId="7" borderId="4" xfId="0" applyNumberFormat="1" applyFont="1" applyFill="1" applyBorder="1" applyAlignment="1">
      <alignment horizontal="left" vertical="center"/>
    </xf>
    <xf numFmtId="2" fontId="8" fillId="7" borderId="4" xfId="0" applyNumberFormat="1" applyFont="1" applyFill="1" applyBorder="1" applyAlignment="1">
      <alignment horizontal="center" vertical="center"/>
    </xf>
    <xf numFmtId="0" fontId="30" fillId="2" borderId="0" xfId="2" applyFont="1" applyFill="1" applyAlignment="1">
      <alignment vertical="center"/>
    </xf>
    <xf numFmtId="9" fontId="30" fillId="2" borderId="0" xfId="3" applyFont="1" applyFill="1" applyBorder="1" applyAlignment="1">
      <alignment vertical="center"/>
    </xf>
    <xf numFmtId="0" fontId="30" fillId="2" borderId="22" xfId="2" applyFont="1" applyFill="1" applyBorder="1" applyAlignment="1">
      <alignment vertical="center"/>
    </xf>
    <xf numFmtId="9" fontId="32" fillId="6" borderId="4" xfId="1" applyFont="1" applyFill="1" applyBorder="1" applyAlignment="1">
      <alignment horizontal="center" vertical="center"/>
    </xf>
    <xf numFmtId="0" fontId="32" fillId="6" borderId="4" xfId="2" applyFont="1" applyFill="1" applyBorder="1" applyAlignment="1">
      <alignment horizontal="center" vertical="center"/>
    </xf>
    <xf numFmtId="9" fontId="32" fillId="6" borderId="4" xfId="2" applyNumberFormat="1" applyFont="1" applyFill="1" applyBorder="1" applyAlignment="1">
      <alignment horizontal="center" vertical="center"/>
    </xf>
    <xf numFmtId="9" fontId="32" fillId="6" borderId="3" xfId="3" applyFont="1" applyFill="1" applyBorder="1" applyAlignment="1">
      <alignment horizontal="center" vertical="center"/>
    </xf>
    <xf numFmtId="9" fontId="32" fillId="6" borderId="3" xfId="1" applyFont="1" applyFill="1" applyBorder="1" applyAlignment="1">
      <alignment horizontal="center" vertical="center"/>
    </xf>
    <xf numFmtId="0" fontId="32" fillId="6" borderId="3" xfId="2" applyFont="1" applyFill="1" applyBorder="1" applyAlignment="1">
      <alignment horizontal="center" vertical="center"/>
    </xf>
    <xf numFmtId="9" fontId="32" fillId="6" borderId="3" xfId="2" applyNumberFormat="1" applyFont="1" applyFill="1" applyBorder="1" applyAlignment="1">
      <alignment horizontal="center" vertical="center"/>
    </xf>
    <xf numFmtId="2" fontId="32" fillId="6" borderId="3" xfId="3" applyNumberFormat="1" applyFont="1" applyFill="1" applyBorder="1" applyAlignment="1">
      <alignment horizontal="center" vertical="center"/>
    </xf>
    <xf numFmtId="9" fontId="32" fillId="6" borderId="5" xfId="3" applyFont="1" applyFill="1" applyBorder="1" applyAlignment="1">
      <alignment horizontal="center" vertical="center"/>
    </xf>
    <xf numFmtId="0" fontId="32" fillId="6" borderId="5" xfId="2" applyFont="1" applyFill="1" applyBorder="1" applyAlignment="1">
      <alignment horizontal="center" vertical="center"/>
    </xf>
    <xf numFmtId="9" fontId="32" fillId="6" borderId="5" xfId="1" applyFont="1" applyFill="1" applyBorder="1" applyAlignment="1">
      <alignment horizontal="center" vertical="center"/>
    </xf>
    <xf numFmtId="10" fontId="32" fillId="6" borderId="3" xfId="3" applyNumberFormat="1" applyFont="1" applyFill="1" applyBorder="1" applyAlignment="1">
      <alignment horizontal="center" vertical="center"/>
    </xf>
    <xf numFmtId="9" fontId="32" fillId="6" borderId="4" xfId="3" applyFont="1" applyFill="1" applyBorder="1" applyAlignment="1">
      <alignment horizontal="center" vertical="center"/>
    </xf>
    <xf numFmtId="0" fontId="31" fillId="2" borderId="0" xfId="2" applyFont="1" applyFill="1" applyAlignment="1">
      <alignment horizontal="center" vertical="center"/>
    </xf>
    <xf numFmtId="9" fontId="31" fillId="2" borderId="0" xfId="1" applyFont="1" applyFill="1" applyBorder="1" applyAlignment="1">
      <alignment horizontal="center" vertical="center"/>
    </xf>
    <xf numFmtId="164" fontId="32" fillId="6" borderId="3" xfId="2" applyNumberFormat="1" applyFont="1" applyFill="1" applyBorder="1" applyAlignment="1">
      <alignment horizontal="center" vertical="center"/>
    </xf>
    <xf numFmtId="10" fontId="32" fillId="6" borderId="5" xfId="3" applyNumberFormat="1" applyFont="1" applyFill="1" applyBorder="1" applyAlignment="1">
      <alignment horizontal="center" vertical="center"/>
    </xf>
    <xf numFmtId="9" fontId="32" fillId="6" borderId="5" xfId="2" applyNumberFormat="1" applyFont="1" applyFill="1" applyBorder="1" applyAlignment="1">
      <alignment horizontal="center" vertical="center"/>
    </xf>
    <xf numFmtId="9" fontId="32" fillId="6" borderId="0" xfId="3" applyFont="1" applyFill="1" applyBorder="1" applyAlignment="1">
      <alignment horizontal="center" vertical="center"/>
    </xf>
    <xf numFmtId="9" fontId="32" fillId="6" borderId="0" xfId="1" applyFont="1" applyFill="1" applyBorder="1" applyAlignment="1">
      <alignment horizontal="center" vertical="center"/>
    </xf>
    <xf numFmtId="2" fontId="10" fillId="2" borderId="0" xfId="2" applyNumberFormat="1" applyFont="1" applyFill="1" applyAlignment="1">
      <alignment horizontal="center" vertical="center"/>
    </xf>
    <xf numFmtId="2" fontId="15" fillId="2" borderId="0" xfId="2" applyNumberFormat="1" applyFont="1" applyFill="1" applyAlignment="1">
      <alignment horizontal="center" vertical="center"/>
    </xf>
    <xf numFmtId="0" fontId="8" fillId="5" borderId="0" xfId="0" applyFont="1" applyFill="1"/>
    <xf numFmtId="0" fontId="8" fillId="5" borderId="0" xfId="0" applyFont="1" applyFill="1" applyAlignment="1">
      <alignment wrapText="1"/>
    </xf>
    <xf numFmtId="0" fontId="20" fillId="0" borderId="0" xfId="0" applyFont="1"/>
    <xf numFmtId="0" fontId="9" fillId="0" borderId="0" xfId="2" applyFont="1"/>
    <xf numFmtId="3" fontId="25" fillId="4" borderId="3" xfId="0" applyNumberFormat="1" applyFont="1" applyFill="1" applyBorder="1" applyAlignment="1">
      <alignment horizontal="center" vertical="center"/>
    </xf>
    <xf numFmtId="3" fontId="8" fillId="4" borderId="8" xfId="0" applyNumberFormat="1" applyFont="1" applyFill="1" applyBorder="1" applyAlignment="1">
      <alignment horizontal="center" vertical="center"/>
    </xf>
    <xf numFmtId="3" fontId="25" fillId="4" borderId="8" xfId="0" applyNumberFormat="1" applyFont="1" applyFill="1" applyBorder="1" applyAlignment="1">
      <alignment horizontal="center" vertical="center"/>
    </xf>
    <xf numFmtId="0" fontId="25" fillId="0" borderId="0" xfId="0" applyFont="1"/>
    <xf numFmtId="0" fontId="8" fillId="0" borderId="0" xfId="0" applyFont="1" applyAlignment="1">
      <alignment vertical="center"/>
    </xf>
    <xf numFmtId="9" fontId="0" fillId="0" borderId="0" xfId="0" applyNumberFormat="1"/>
    <xf numFmtId="168" fontId="8" fillId="0" borderId="0" xfId="0" applyNumberFormat="1" applyFont="1" applyAlignment="1">
      <alignment vertical="center"/>
    </xf>
    <xf numFmtId="3" fontId="0" fillId="0" borderId="0" xfId="0" applyNumberFormat="1"/>
    <xf numFmtId="9" fontId="8" fillId="0" borderId="0" xfId="0" applyNumberFormat="1" applyFont="1" applyAlignment="1">
      <alignment vertical="center"/>
    </xf>
    <xf numFmtId="1" fontId="8" fillId="6" borderId="4" xfId="1" applyNumberFormat="1" applyFont="1" applyFill="1" applyBorder="1" applyAlignment="1" applyProtection="1">
      <alignment horizontal="center" vertical="center"/>
    </xf>
    <xf numFmtId="166" fontId="8" fillId="6" borderId="3" xfId="1" applyNumberFormat="1" applyFont="1" applyFill="1" applyBorder="1" applyAlignment="1" applyProtection="1">
      <alignment horizontal="center" vertical="center"/>
    </xf>
    <xf numFmtId="1" fontId="8" fillId="6" borderId="3" xfId="1" applyNumberFormat="1" applyFont="1" applyFill="1" applyBorder="1" applyAlignment="1" applyProtection="1">
      <alignment horizontal="center" vertical="center"/>
    </xf>
    <xf numFmtId="43" fontId="8" fillId="0" borderId="0" xfId="0" applyNumberFormat="1" applyFont="1" applyAlignment="1">
      <alignment vertical="center"/>
    </xf>
    <xf numFmtId="165" fontId="8" fillId="3" borderId="4" xfId="0" applyNumberFormat="1" applyFont="1" applyFill="1" applyBorder="1" applyAlignment="1">
      <alignment horizontal="left" vertical="center"/>
    </xf>
    <xf numFmtId="9" fontId="8" fillId="6" borderId="4" xfId="1" applyFont="1" applyFill="1" applyBorder="1" applyAlignment="1" applyProtection="1">
      <alignment horizontal="center" vertical="center"/>
    </xf>
    <xf numFmtId="10" fontId="8" fillId="6" borderId="4" xfId="1" applyNumberFormat="1" applyFont="1" applyFill="1" applyBorder="1" applyAlignment="1" applyProtection="1">
      <alignment horizontal="center" vertical="center"/>
    </xf>
    <xf numFmtId="2" fontId="8" fillId="6" borderId="4" xfId="1" applyNumberFormat="1" applyFont="1" applyFill="1" applyBorder="1" applyAlignment="1" applyProtection="1">
      <alignment horizontal="center" vertical="center"/>
    </xf>
    <xf numFmtId="2" fontId="8" fillId="4" borderId="4" xfId="1" applyNumberFormat="1" applyFont="1" applyFill="1" applyBorder="1" applyAlignment="1" applyProtection="1">
      <alignment horizontal="center" vertical="center"/>
    </xf>
    <xf numFmtId="9" fontId="8" fillId="6" borderId="3" xfId="1" applyFont="1" applyFill="1" applyBorder="1" applyAlignment="1" applyProtection="1">
      <alignment horizontal="center" vertical="center"/>
    </xf>
    <xf numFmtId="10" fontId="8" fillId="6" borderId="3" xfId="1" applyNumberFormat="1" applyFont="1" applyFill="1" applyBorder="1" applyAlignment="1" applyProtection="1">
      <alignment horizontal="center" vertical="center"/>
    </xf>
    <xf numFmtId="2" fontId="8" fillId="4" borderId="3" xfId="1" applyNumberFormat="1" applyFont="1" applyFill="1" applyBorder="1" applyAlignment="1" applyProtection="1">
      <alignment horizontal="center" vertical="center"/>
    </xf>
    <xf numFmtId="165" fontId="8" fillId="4" borderId="0" xfId="0" applyNumberFormat="1" applyFont="1" applyFill="1" applyAlignment="1">
      <alignment horizontal="left" vertical="center"/>
    </xf>
    <xf numFmtId="165" fontId="8" fillId="4" borderId="0" xfId="0" applyNumberFormat="1" applyFont="1" applyFill="1" applyAlignment="1">
      <alignment horizontal="center" vertical="center"/>
    </xf>
    <xf numFmtId="164" fontId="8" fillId="4" borderId="0" xfId="1" applyNumberFormat="1" applyFont="1" applyFill="1" applyBorder="1" applyAlignment="1" applyProtection="1">
      <alignment horizontal="center" vertical="center"/>
    </xf>
    <xf numFmtId="165" fontId="8" fillId="0" borderId="0" xfId="0" applyNumberFormat="1" applyFont="1" applyAlignment="1">
      <alignment horizontal="center" vertical="center"/>
    </xf>
    <xf numFmtId="9" fontId="8" fillId="0" borderId="0" xfId="0" applyNumberFormat="1" applyFont="1" applyAlignment="1">
      <alignment horizontal="center" vertical="center"/>
    </xf>
    <xf numFmtId="164" fontId="8" fillId="0" borderId="0" xfId="1" applyNumberFormat="1" applyFont="1" applyFill="1" applyBorder="1" applyAlignment="1" applyProtection="1">
      <alignment horizontal="center" vertical="center"/>
    </xf>
    <xf numFmtId="9" fontId="8" fillId="4" borderId="3" xfId="1" applyFont="1" applyFill="1" applyBorder="1" applyAlignment="1" applyProtection="1">
      <alignment horizontal="center" vertical="center"/>
    </xf>
    <xf numFmtId="1" fontId="8" fillId="4" borderId="3" xfId="1" applyNumberFormat="1" applyFont="1" applyFill="1" applyBorder="1" applyAlignment="1" applyProtection="1">
      <alignment horizontal="center" vertical="center"/>
    </xf>
    <xf numFmtId="3" fontId="8" fillId="4" borderId="3" xfId="1" applyNumberFormat="1" applyFont="1" applyFill="1" applyBorder="1" applyAlignment="1" applyProtection="1">
      <alignment horizontal="center" vertical="center"/>
    </xf>
    <xf numFmtId="3" fontId="8" fillId="4" borderId="5" xfId="1" applyNumberFormat="1" applyFont="1" applyFill="1" applyBorder="1" applyAlignment="1" applyProtection="1">
      <alignment horizontal="center" vertical="center"/>
    </xf>
    <xf numFmtId="9" fontId="8" fillId="4" borderId="5" xfId="1" applyFont="1" applyFill="1" applyBorder="1" applyAlignment="1" applyProtection="1">
      <alignment horizontal="center" vertical="center"/>
    </xf>
    <xf numFmtId="9" fontId="8" fillId="4" borderId="4" xfId="1" applyFont="1" applyFill="1" applyBorder="1" applyAlignment="1" applyProtection="1">
      <alignment horizontal="center" vertical="center"/>
    </xf>
    <xf numFmtId="0" fontId="23" fillId="0" borderId="0" xfId="0" applyFont="1" applyAlignment="1">
      <alignment vertical="center"/>
    </xf>
    <xf numFmtId="9" fontId="8" fillId="0" borderId="0" xfId="1" applyFont="1" applyFill="1" applyBorder="1" applyAlignment="1" applyProtection="1">
      <alignment horizontal="right" vertical="center"/>
    </xf>
    <xf numFmtId="9" fontId="21" fillId="6" borderId="4" xfId="1" applyFont="1" applyFill="1" applyBorder="1" applyAlignment="1" applyProtection="1">
      <alignment horizontal="center" vertical="center"/>
    </xf>
    <xf numFmtId="0" fontId="9" fillId="4" borderId="3" xfId="0" applyFont="1" applyFill="1" applyBorder="1" applyAlignment="1">
      <alignment horizontal="center" vertical="center"/>
    </xf>
    <xf numFmtId="9" fontId="8" fillId="6" borderId="3" xfId="1" applyFont="1" applyFill="1" applyBorder="1" applyAlignment="1" applyProtection="1">
      <alignment vertical="center"/>
    </xf>
    <xf numFmtId="2" fontId="8" fillId="6" borderId="3" xfId="2" applyNumberFormat="1" applyFont="1" applyFill="1" applyBorder="1" applyAlignment="1">
      <alignment horizontal="right" vertical="center"/>
    </xf>
    <xf numFmtId="0" fontId="8" fillId="4" borderId="0" xfId="0" applyFont="1" applyFill="1" applyAlignment="1">
      <alignment horizontal="left" indent="1"/>
    </xf>
    <xf numFmtId="9" fontId="8" fillId="4" borderId="0" xfId="0" applyNumberFormat="1" applyFont="1" applyFill="1"/>
    <xf numFmtId="164" fontId="8" fillId="4" borderId="0" xfId="1" applyNumberFormat="1" applyFont="1" applyFill="1" applyProtection="1"/>
    <xf numFmtId="0" fontId="13" fillId="0" borderId="0" xfId="0" applyFont="1"/>
    <xf numFmtId="0" fontId="37" fillId="0" borderId="0" xfId="0" applyFont="1"/>
    <xf numFmtId="0" fontId="8" fillId="0" borderId="12" xfId="2" applyFont="1" applyBorder="1" applyAlignment="1">
      <alignment horizontal="left" indent="1"/>
    </xf>
    <xf numFmtId="0" fontId="8" fillId="0" borderId="13" xfId="0" applyFont="1" applyBorder="1"/>
    <xf numFmtId="2" fontId="8" fillId="0" borderId="19" xfId="0" applyNumberFormat="1" applyFont="1" applyBorder="1"/>
    <xf numFmtId="0" fontId="8" fillId="0" borderId="19" xfId="0" applyFont="1" applyBorder="1"/>
    <xf numFmtId="0" fontId="8" fillId="0" borderId="20" xfId="0" applyFont="1" applyBorder="1"/>
    <xf numFmtId="0" fontId="8" fillId="0" borderId="14" xfId="2" applyFont="1" applyBorder="1" applyAlignment="1">
      <alignment horizontal="left" indent="1"/>
    </xf>
    <xf numFmtId="2" fontId="8" fillId="0" borderId="9" xfId="0" applyNumberFormat="1" applyFont="1" applyBorder="1"/>
    <xf numFmtId="0" fontId="8" fillId="0" borderId="9" xfId="0" applyFont="1" applyBorder="1"/>
    <xf numFmtId="0" fontId="8" fillId="0" borderId="15" xfId="0" applyFont="1" applyBorder="1"/>
    <xf numFmtId="0" fontId="8" fillId="0" borderId="21" xfId="2" applyFont="1" applyBorder="1" applyAlignment="1">
      <alignment horizontal="left" indent="1"/>
    </xf>
    <xf numFmtId="0" fontId="8" fillId="0" borderId="16" xfId="0" applyFont="1" applyBorder="1"/>
    <xf numFmtId="2" fontId="8" fillId="0" borderId="17" xfId="0" applyNumberFormat="1" applyFont="1" applyBorder="1"/>
    <xf numFmtId="0" fontId="8" fillId="0" borderId="17" xfId="0" applyFont="1" applyBorder="1"/>
    <xf numFmtId="0" fontId="8" fillId="0" borderId="18" xfId="0" applyFont="1" applyBorder="1"/>
    <xf numFmtId="0" fontId="34" fillId="0" borderId="0" xfId="0" applyFont="1"/>
    <xf numFmtId="0" fontId="8" fillId="0" borderId="0" xfId="0" applyFont="1" applyAlignment="1">
      <alignment horizontal="center"/>
    </xf>
    <xf numFmtId="2" fontId="8" fillId="0" borderId="0" xfId="0" applyNumberFormat="1" applyFont="1"/>
    <xf numFmtId="4" fontId="8" fillId="3" borderId="4" xfId="0" applyNumberFormat="1" applyFont="1" applyFill="1" applyBorder="1" applyAlignment="1">
      <alignment horizontal="center" vertical="center"/>
    </xf>
    <xf numFmtId="9" fontId="8" fillId="6" borderId="4" xfId="3" applyFont="1" applyFill="1" applyBorder="1" applyAlignment="1">
      <alignment horizontal="center" vertical="center"/>
    </xf>
    <xf numFmtId="9" fontId="8" fillId="6" borderId="4" xfId="1" applyFont="1" applyFill="1" applyBorder="1" applyAlignment="1">
      <alignment horizontal="center" vertical="center"/>
    </xf>
    <xf numFmtId="0" fontId="8" fillId="8" borderId="4" xfId="2" applyFont="1" applyFill="1" applyBorder="1" applyAlignment="1">
      <alignment horizontal="center" vertical="center"/>
    </xf>
    <xf numFmtId="9" fontId="8" fillId="8" borderId="4" xfId="1" applyFont="1" applyFill="1" applyBorder="1" applyAlignment="1">
      <alignment horizontal="center" vertical="center"/>
    </xf>
    <xf numFmtId="9" fontId="8" fillId="6" borderId="4" xfId="2" applyNumberFormat="1" applyFont="1" applyFill="1" applyBorder="1" applyAlignment="1">
      <alignment horizontal="center" vertical="center"/>
    </xf>
    <xf numFmtId="0" fontId="8" fillId="6" borderId="4" xfId="2" applyFont="1" applyFill="1" applyBorder="1" applyAlignment="1">
      <alignment horizontal="center" vertical="center"/>
    </xf>
    <xf numFmtId="1" fontId="8" fillId="6" borderId="4" xfId="2" applyNumberFormat="1" applyFont="1" applyFill="1" applyBorder="1" applyAlignment="1">
      <alignment horizontal="center" vertical="center"/>
    </xf>
    <xf numFmtId="2" fontId="8" fillId="6" borderId="4" xfId="2" applyNumberFormat="1" applyFont="1" applyFill="1" applyBorder="1" applyAlignment="1">
      <alignment horizontal="center" vertical="center"/>
    </xf>
    <xf numFmtId="9" fontId="8" fillId="6" borderId="3" xfId="3" applyFont="1" applyFill="1" applyBorder="1" applyAlignment="1">
      <alignment horizontal="center" vertical="center"/>
    </xf>
    <xf numFmtId="9" fontId="8" fillId="6" borderId="3" xfId="1" applyFont="1" applyFill="1" applyBorder="1" applyAlignment="1">
      <alignment horizontal="center" vertical="center"/>
    </xf>
    <xf numFmtId="0" fontId="8" fillId="8" borderId="3" xfId="2" applyFont="1" applyFill="1" applyBorder="1" applyAlignment="1">
      <alignment horizontal="center" vertical="center"/>
    </xf>
    <xf numFmtId="9" fontId="8" fillId="6" borderId="3" xfId="2" applyNumberFormat="1" applyFont="1" applyFill="1" applyBorder="1" applyAlignment="1">
      <alignment horizontal="center" vertical="center"/>
    </xf>
    <xf numFmtId="0" fontId="8" fillId="6" borderId="3" xfId="2" applyFont="1" applyFill="1" applyBorder="1" applyAlignment="1">
      <alignment horizontal="center" vertical="center"/>
    </xf>
    <xf numFmtId="1" fontId="8" fillId="6" borderId="3" xfId="2" applyNumberFormat="1" applyFont="1" applyFill="1" applyBorder="1" applyAlignment="1">
      <alignment horizontal="center" vertical="center"/>
    </xf>
    <xf numFmtId="2" fontId="8" fillId="8" borderId="3" xfId="3" applyNumberFormat="1" applyFont="1" applyFill="1" applyBorder="1" applyAlignment="1">
      <alignment horizontal="center" vertical="center"/>
    </xf>
    <xf numFmtId="9" fontId="8" fillId="6" borderId="5" xfId="3" applyFont="1" applyFill="1" applyBorder="1" applyAlignment="1">
      <alignment horizontal="center" vertical="center"/>
    </xf>
    <xf numFmtId="0" fontId="8" fillId="8" borderId="5" xfId="2" applyFont="1" applyFill="1" applyBorder="1" applyAlignment="1">
      <alignment horizontal="center" vertical="center"/>
    </xf>
    <xf numFmtId="9" fontId="8" fillId="6" borderId="5" xfId="1" applyFont="1" applyFill="1" applyBorder="1" applyAlignment="1">
      <alignment horizontal="center" vertical="center"/>
    </xf>
    <xf numFmtId="0" fontId="8" fillId="6" borderId="5" xfId="2" applyFont="1" applyFill="1" applyBorder="1" applyAlignment="1">
      <alignment horizontal="center" vertical="center"/>
    </xf>
    <xf numFmtId="1" fontId="8" fillId="6" borderId="5" xfId="2" applyNumberFormat="1" applyFont="1" applyFill="1" applyBorder="1" applyAlignment="1">
      <alignment horizontal="center" vertical="center"/>
    </xf>
    <xf numFmtId="2" fontId="8" fillId="6" borderId="5" xfId="2" applyNumberFormat="1" applyFont="1" applyFill="1" applyBorder="1" applyAlignment="1">
      <alignment horizontal="center" vertical="center"/>
    </xf>
    <xf numFmtId="9" fontId="8" fillId="8" borderId="4" xfId="2" applyNumberFormat="1" applyFont="1" applyFill="1" applyBorder="1" applyAlignment="1">
      <alignment horizontal="center" vertical="center"/>
    </xf>
    <xf numFmtId="9" fontId="8" fillId="8" borderId="4" xfId="3" applyFont="1" applyFill="1" applyBorder="1" applyAlignment="1">
      <alignment horizontal="center" vertical="center"/>
    </xf>
    <xf numFmtId="164" fontId="8" fillId="6" borderId="4" xfId="3" applyNumberFormat="1" applyFont="1" applyFill="1" applyBorder="1" applyAlignment="1">
      <alignment horizontal="center" vertical="center"/>
    </xf>
    <xf numFmtId="9" fontId="8" fillId="8" borderId="3" xfId="2" applyNumberFormat="1" applyFont="1" applyFill="1" applyBorder="1" applyAlignment="1">
      <alignment horizontal="center" vertical="center"/>
    </xf>
    <xf numFmtId="9" fontId="8" fillId="8" borderId="3" xfId="3" applyFont="1" applyFill="1" applyBorder="1" applyAlignment="1">
      <alignment horizontal="center" vertical="center"/>
    </xf>
    <xf numFmtId="164" fontId="8" fillId="6" borderId="3" xfId="3" applyNumberFormat="1" applyFont="1" applyFill="1" applyBorder="1" applyAlignment="1">
      <alignment horizontal="center" vertical="center"/>
    </xf>
    <xf numFmtId="167" fontId="8" fillId="8" borderId="3" xfId="2" applyNumberFormat="1" applyFont="1" applyFill="1" applyBorder="1" applyAlignment="1">
      <alignment horizontal="center" vertical="center"/>
    </xf>
    <xf numFmtId="164" fontId="21" fillId="6" borderId="3" xfId="3" applyNumberFormat="1" applyFont="1" applyFill="1" applyBorder="1" applyAlignment="1">
      <alignment horizontal="center" vertical="center"/>
    </xf>
    <xf numFmtId="1" fontId="21" fillId="6" borderId="3" xfId="2" applyNumberFormat="1" applyFont="1" applyFill="1" applyBorder="1" applyAlignment="1">
      <alignment horizontal="center" vertical="center"/>
    </xf>
    <xf numFmtId="10" fontId="8" fillId="6" borderId="3" xfId="3" applyNumberFormat="1" applyFont="1" applyFill="1" applyBorder="1" applyAlignment="1">
      <alignment horizontal="center" vertical="center"/>
    </xf>
    <xf numFmtId="9" fontId="8" fillId="8" borderId="5" xfId="2" applyNumberFormat="1" applyFont="1" applyFill="1" applyBorder="1" applyAlignment="1">
      <alignment horizontal="center" vertical="center"/>
    </xf>
    <xf numFmtId="9" fontId="8" fillId="8" borderId="5" xfId="3" applyFont="1" applyFill="1" applyBorder="1" applyAlignment="1">
      <alignment horizontal="center" vertical="center"/>
    </xf>
    <xf numFmtId="164" fontId="8" fillId="6" borderId="5" xfId="3" applyNumberFormat="1" applyFont="1" applyFill="1" applyBorder="1" applyAlignment="1">
      <alignment horizontal="center" vertical="center"/>
    </xf>
    <xf numFmtId="0" fontId="8" fillId="8" borderId="0" xfId="2" applyFont="1" applyFill="1" applyAlignment="1">
      <alignment horizontal="center" vertical="center"/>
    </xf>
    <xf numFmtId="164" fontId="8" fillId="8" borderId="4" xfId="3" applyNumberFormat="1" applyFont="1" applyFill="1" applyBorder="1" applyAlignment="1">
      <alignment horizontal="center" vertical="center"/>
    </xf>
    <xf numFmtId="164" fontId="8" fillId="8" borderId="3" xfId="3" applyNumberFormat="1" applyFont="1" applyFill="1" applyBorder="1" applyAlignment="1">
      <alignment horizontal="center" vertical="center"/>
    </xf>
    <xf numFmtId="164" fontId="8" fillId="8" borderId="5" xfId="3" applyNumberFormat="1" applyFont="1" applyFill="1" applyBorder="1" applyAlignment="1">
      <alignment horizontal="center" vertical="center"/>
    </xf>
    <xf numFmtId="0" fontId="9" fillId="8" borderId="4" xfId="2" applyFont="1" applyFill="1" applyBorder="1" applyAlignment="1">
      <alignment horizontal="center" vertical="center"/>
    </xf>
    <xf numFmtId="164" fontId="8" fillId="6" borderId="4" xfId="2" applyNumberFormat="1" applyFont="1" applyFill="1" applyBorder="1" applyAlignment="1">
      <alignment horizontal="center" vertical="center"/>
    </xf>
    <xf numFmtId="164" fontId="8" fillId="6" borderId="3" xfId="2" applyNumberFormat="1" applyFont="1" applyFill="1" applyBorder="1" applyAlignment="1">
      <alignment horizontal="center" vertical="center"/>
    </xf>
    <xf numFmtId="164" fontId="8" fillId="6" borderId="5" xfId="2" applyNumberFormat="1" applyFont="1" applyFill="1" applyBorder="1" applyAlignment="1">
      <alignment horizontal="center" vertical="center"/>
    </xf>
    <xf numFmtId="10" fontId="8" fillId="6" borderId="5" xfId="3" applyNumberFormat="1" applyFont="1" applyFill="1" applyBorder="1" applyAlignment="1">
      <alignment horizontal="center" vertical="center"/>
    </xf>
    <xf numFmtId="9" fontId="8" fillId="6" borderId="5" xfId="2" applyNumberFormat="1" applyFont="1" applyFill="1" applyBorder="1" applyAlignment="1">
      <alignment horizontal="center" vertical="center"/>
    </xf>
    <xf numFmtId="164" fontId="8" fillId="6" borderId="4" xfId="1" applyNumberFormat="1" applyFont="1" applyFill="1" applyBorder="1" applyAlignment="1">
      <alignment horizontal="center" vertical="center"/>
    </xf>
    <xf numFmtId="9" fontId="8" fillId="6" borderId="0" xfId="1" applyFont="1" applyFill="1" applyBorder="1" applyAlignment="1">
      <alignment horizontal="center" vertical="center"/>
    </xf>
    <xf numFmtId="2" fontId="8" fillId="6" borderId="0" xfId="2" applyNumberFormat="1" applyFont="1" applyFill="1" applyAlignment="1">
      <alignment horizontal="center" vertical="center"/>
    </xf>
    <xf numFmtId="4" fontId="8" fillId="4" borderId="0" xfId="0" applyNumberFormat="1" applyFont="1" applyFill="1" applyAlignment="1">
      <alignment horizontal="center" vertical="center"/>
    </xf>
    <xf numFmtId="0" fontId="8" fillId="0" borderId="0" xfId="6" applyFont="1"/>
    <xf numFmtId="0" fontId="9" fillId="2" borderId="0" xfId="6" applyFont="1" applyFill="1"/>
    <xf numFmtId="0" fontId="8" fillId="8" borderId="0" xfId="6" applyFont="1" applyFill="1"/>
    <xf numFmtId="0" fontId="8" fillId="4" borderId="0" xfId="6" applyFont="1" applyFill="1"/>
    <xf numFmtId="0" fontId="8" fillId="0" borderId="0" xfId="6" quotePrefix="1" applyFont="1"/>
    <xf numFmtId="0" fontId="9" fillId="2" borderId="0" xfId="6" applyFont="1" applyFill="1" applyProtection="1">
      <protection hidden="1"/>
    </xf>
    <xf numFmtId="0" fontId="9" fillId="2" borderId="0" xfId="6" applyFont="1" applyFill="1" applyAlignment="1" applyProtection="1">
      <alignment wrapText="1"/>
      <protection hidden="1"/>
    </xf>
    <xf numFmtId="4" fontId="8" fillId="4" borderId="3" xfId="0" applyNumberFormat="1" applyFont="1" applyFill="1" applyBorder="1" applyAlignment="1">
      <alignment horizontal="center" vertical="center"/>
    </xf>
    <xf numFmtId="0" fontId="39" fillId="0" borderId="0" xfId="6" applyFont="1"/>
    <xf numFmtId="0" fontId="16" fillId="0" borderId="0" xfId="6" applyFont="1"/>
    <xf numFmtId="0" fontId="39" fillId="2" borderId="0" xfId="6" applyFont="1" applyFill="1"/>
    <xf numFmtId="0" fontId="16" fillId="4" borderId="0" xfId="6" applyFont="1" applyFill="1"/>
    <xf numFmtId="0" fontId="39" fillId="2" borderId="0" xfId="0" applyFont="1" applyFill="1"/>
    <xf numFmtId="0" fontId="16" fillId="4" borderId="0" xfId="0" applyFont="1" applyFill="1"/>
    <xf numFmtId="0" fontId="16" fillId="2" borderId="0" xfId="0" applyFont="1" applyFill="1"/>
    <xf numFmtId="0" fontId="41" fillId="4" borderId="0" xfId="6" applyFont="1" applyFill="1"/>
    <xf numFmtId="165" fontId="41" fillId="4" borderId="0" xfId="4" applyNumberFormat="1" applyFont="1" applyFill="1"/>
    <xf numFmtId="0" fontId="8" fillId="0" borderId="0" xfId="0" applyFont="1" applyAlignment="1">
      <alignment wrapText="1"/>
    </xf>
    <xf numFmtId="11" fontId="8" fillId="0" borderId="0" xfId="0" applyNumberFormat="1" applyFont="1" applyAlignment="1">
      <alignment wrapText="1"/>
    </xf>
    <xf numFmtId="0" fontId="8" fillId="0" borderId="0" xfId="0" applyFont="1" applyAlignment="1">
      <alignment horizontal="left"/>
    </xf>
    <xf numFmtId="11" fontId="8" fillId="0" borderId="0" xfId="0" applyNumberFormat="1" applyFont="1"/>
    <xf numFmtId="0" fontId="8" fillId="8" borderId="0" xfId="6" quotePrefix="1" applyFont="1" applyFill="1"/>
    <xf numFmtId="0" fontId="10" fillId="2" borderId="0" xfId="6" applyFont="1" applyFill="1"/>
    <xf numFmtId="2" fontId="16" fillId="4" borderId="0" xfId="6" applyNumberFormat="1" applyFont="1" applyFill="1"/>
    <xf numFmtId="43" fontId="16" fillId="4" borderId="0" xfId="4" applyFont="1" applyFill="1"/>
    <xf numFmtId="0" fontId="9" fillId="2" borderId="0" xfId="0" applyFont="1" applyFill="1" applyAlignment="1">
      <alignment horizontal="left"/>
    </xf>
    <xf numFmtId="0" fontId="21" fillId="6" borderId="0" xfId="2" applyFont="1" applyFill="1" applyAlignment="1">
      <alignment horizontal="left" vertical="center"/>
    </xf>
    <xf numFmtId="43" fontId="16" fillId="6" borderId="0" xfId="4" applyFont="1" applyFill="1"/>
    <xf numFmtId="0" fontId="16" fillId="6" borderId="0" xfId="0" applyFont="1" applyFill="1"/>
    <xf numFmtId="43" fontId="16" fillId="6" borderId="0" xfId="0" applyNumberFormat="1" applyFont="1" applyFill="1"/>
    <xf numFmtId="2" fontId="16" fillId="6" borderId="0" xfId="0" applyNumberFormat="1" applyFont="1" applyFill="1"/>
    <xf numFmtId="0" fontId="21" fillId="6" borderId="0" xfId="2" quotePrefix="1" applyFont="1" applyFill="1" applyAlignment="1">
      <alignment horizontal="left" vertical="center"/>
    </xf>
    <xf numFmtId="0" fontId="39" fillId="9" borderId="4" xfId="6" applyFont="1" applyFill="1" applyBorder="1" applyAlignment="1" applyProtection="1">
      <alignment horizontal="left" vertical="center"/>
      <protection hidden="1"/>
    </xf>
    <xf numFmtId="0" fontId="39" fillId="9" borderId="0" xfId="6" applyFont="1" applyFill="1" applyAlignment="1" applyProtection="1">
      <alignment horizontal="left" vertical="center"/>
      <protection hidden="1"/>
    </xf>
    <xf numFmtId="0" fontId="42" fillId="4" borderId="4" xfId="6" applyFont="1" applyFill="1" applyBorder="1" applyAlignment="1" applyProtection="1">
      <alignment horizontal="left" vertical="center" wrapText="1"/>
      <protection hidden="1"/>
    </xf>
    <xf numFmtId="0" fontId="42" fillId="4" borderId="3" xfId="6" applyFont="1" applyFill="1" applyBorder="1" applyAlignment="1" applyProtection="1">
      <alignment horizontal="left" vertical="center" wrapText="1"/>
      <protection hidden="1"/>
    </xf>
    <xf numFmtId="0" fontId="39" fillId="2" borderId="26" xfId="0" applyFont="1" applyFill="1" applyBorder="1"/>
    <xf numFmtId="0" fontId="39" fillId="2" borderId="28" xfId="0" applyFont="1" applyFill="1" applyBorder="1" applyAlignment="1">
      <alignment horizontal="center"/>
    </xf>
    <xf numFmtId="0" fontId="39" fillId="2" borderId="0" xfId="0" applyFont="1" applyFill="1" applyAlignment="1">
      <alignment horizontal="center"/>
    </xf>
    <xf numFmtId="0" fontId="39" fillId="2" borderId="29" xfId="0" applyFont="1" applyFill="1" applyBorder="1" applyAlignment="1">
      <alignment horizontal="center"/>
    </xf>
    <xf numFmtId="0" fontId="16" fillId="6" borderId="28" xfId="0" applyFont="1" applyFill="1" applyBorder="1"/>
    <xf numFmtId="0" fontId="16" fillId="6" borderId="29" xfId="0" applyFont="1" applyFill="1" applyBorder="1"/>
    <xf numFmtId="0" fontId="16" fillId="6" borderId="30" xfId="0" applyFont="1" applyFill="1" applyBorder="1"/>
    <xf numFmtId="0" fontId="16" fillId="6" borderId="16" xfId="0" applyFont="1" applyFill="1" applyBorder="1"/>
    <xf numFmtId="0" fontId="16" fillId="6" borderId="31" xfId="0" applyFont="1" applyFill="1" applyBorder="1"/>
    <xf numFmtId="2" fontId="8" fillId="0" borderId="0" xfId="0" applyNumberFormat="1" applyFont="1" applyAlignment="1">
      <alignment wrapText="1"/>
    </xf>
    <xf numFmtId="169" fontId="16" fillId="4" borderId="0" xfId="1" applyNumberFormat="1" applyFont="1" applyFill="1"/>
    <xf numFmtId="9" fontId="8" fillId="0" borderId="34" xfId="1" applyFont="1" applyBorder="1" applyAlignment="1" applyProtection="1">
      <alignment vertical="center"/>
    </xf>
    <xf numFmtId="9" fontId="8" fillId="0" borderId="2" xfId="1" applyFont="1" applyBorder="1" applyAlignment="1" applyProtection="1">
      <alignment vertical="center"/>
    </xf>
    <xf numFmtId="9" fontId="8" fillId="0" borderId="33" xfId="1" applyFont="1" applyBorder="1" applyAlignment="1" applyProtection="1">
      <alignment vertical="center"/>
    </xf>
    <xf numFmtId="9" fontId="8" fillId="0" borderId="7" xfId="1" applyFont="1" applyBorder="1" applyAlignment="1" applyProtection="1">
      <alignment vertical="center"/>
    </xf>
    <xf numFmtId="9" fontId="8" fillId="0" borderId="0" xfId="1" applyFont="1" applyBorder="1" applyAlignment="1" applyProtection="1">
      <alignment vertical="center"/>
    </xf>
    <xf numFmtId="9" fontId="8" fillId="0" borderId="25" xfId="1" applyFont="1" applyBorder="1" applyAlignment="1" applyProtection="1">
      <alignment vertical="center"/>
    </xf>
    <xf numFmtId="2" fontId="44" fillId="6" borderId="3" xfId="1" applyNumberFormat="1" applyFont="1" applyFill="1" applyBorder="1" applyAlignment="1" applyProtection="1">
      <alignment vertical="center"/>
      <protection locked="0"/>
    </xf>
    <xf numFmtId="9" fontId="44" fillId="6" borderId="3" xfId="1" applyFont="1" applyFill="1" applyBorder="1" applyAlignment="1" applyProtection="1">
      <alignment vertical="center"/>
      <protection locked="0"/>
    </xf>
    <xf numFmtId="166" fontId="44" fillId="6" borderId="3" xfId="1" applyNumberFormat="1" applyFont="1" applyFill="1" applyBorder="1" applyAlignment="1" applyProtection="1">
      <alignment vertical="center"/>
      <protection locked="0"/>
    </xf>
    <xf numFmtId="10" fontId="44" fillId="6" borderId="3" xfId="1" applyNumberFormat="1" applyFont="1" applyFill="1" applyBorder="1" applyAlignment="1" applyProtection="1">
      <alignment vertical="center"/>
      <protection locked="0"/>
    </xf>
    <xf numFmtId="165" fontId="44" fillId="3" borderId="4" xfId="4" applyNumberFormat="1" applyFont="1" applyFill="1" applyBorder="1" applyAlignment="1" applyProtection="1">
      <alignment vertical="center"/>
      <protection locked="0"/>
    </xf>
    <xf numFmtId="0" fontId="30" fillId="2" borderId="0" xfId="0" applyFont="1" applyFill="1" applyAlignment="1">
      <alignment horizontal="right" wrapText="1"/>
    </xf>
    <xf numFmtId="0" fontId="32" fillId="0" borderId="0" xfId="0" applyFont="1"/>
    <xf numFmtId="0" fontId="42" fillId="0" borderId="33" xfId="0" applyFont="1" applyBorder="1" applyAlignment="1">
      <alignment vertical="center"/>
    </xf>
    <xf numFmtId="0" fontId="42" fillId="0" borderId="25" xfId="0" applyFont="1" applyBorder="1" applyAlignment="1">
      <alignment vertical="center"/>
    </xf>
    <xf numFmtId="0" fontId="8" fillId="0" borderId="34" xfId="0" applyFont="1" applyBorder="1" applyAlignment="1">
      <alignment vertical="center"/>
    </xf>
    <xf numFmtId="0" fontId="8" fillId="0" borderId="2" xfId="0" applyFont="1" applyBorder="1" applyAlignment="1">
      <alignment vertical="center"/>
    </xf>
    <xf numFmtId="0" fontId="8" fillId="0" borderId="33" xfId="0" applyFont="1" applyBorder="1" applyAlignment="1">
      <alignment vertical="center"/>
    </xf>
    <xf numFmtId="0" fontId="8" fillId="0" borderId="7" xfId="0" applyFont="1" applyBorder="1" applyAlignment="1">
      <alignment vertical="center"/>
    </xf>
    <xf numFmtId="0" fontId="8" fillId="0" borderId="25" xfId="0" applyFont="1" applyBorder="1" applyAlignment="1">
      <alignment vertical="center"/>
    </xf>
    <xf numFmtId="0" fontId="45" fillId="0" borderId="0" xfId="0" applyFont="1" applyAlignment="1">
      <alignment vertical="center"/>
    </xf>
    <xf numFmtId="2" fontId="16" fillId="4" borderId="0" xfId="4" applyNumberFormat="1" applyFont="1" applyFill="1"/>
    <xf numFmtId="0" fontId="9" fillId="2" borderId="0" xfId="6" applyFont="1" applyFill="1" applyAlignment="1">
      <alignment horizontal="left"/>
    </xf>
    <xf numFmtId="0" fontId="16" fillId="0" borderId="0" xfId="0" applyFont="1" applyAlignment="1">
      <alignment wrapText="1"/>
    </xf>
    <xf numFmtId="0" fontId="8" fillId="0" borderId="1" xfId="0" applyFont="1" applyBorder="1" applyAlignment="1">
      <alignment vertical="center"/>
    </xf>
    <xf numFmtId="0" fontId="8" fillId="0" borderId="36" xfId="0" applyFont="1" applyBorder="1" applyAlignment="1">
      <alignment vertical="center"/>
    </xf>
    <xf numFmtId="0" fontId="8" fillId="0" borderId="37" xfId="0" applyFont="1" applyBorder="1" applyAlignment="1">
      <alignment vertical="center"/>
    </xf>
    <xf numFmtId="166" fontId="8" fillId="4" borderId="0" xfId="6" applyNumberFormat="1" applyFont="1" applyFill="1"/>
    <xf numFmtId="165" fontId="16" fillId="4" borderId="0" xfId="4" applyNumberFormat="1" applyFont="1" applyFill="1"/>
    <xf numFmtId="0" fontId="16" fillId="4" borderId="5" xfId="6" applyFont="1" applyFill="1" applyBorder="1" applyAlignment="1">
      <alignment horizontal="center"/>
    </xf>
    <xf numFmtId="0" fontId="16" fillId="3" borderId="5" xfId="6" applyFont="1" applyFill="1" applyBorder="1" applyAlignment="1">
      <alignment horizontal="center"/>
    </xf>
    <xf numFmtId="2" fontId="16" fillId="6" borderId="5" xfId="7" applyNumberFormat="1" applyFont="1" applyFill="1" applyBorder="1" applyAlignment="1">
      <alignment horizontal="center"/>
    </xf>
    <xf numFmtId="0" fontId="16" fillId="4" borderId="0" xfId="6" applyFont="1" applyFill="1" applyAlignment="1">
      <alignment horizontal="center"/>
    </xf>
    <xf numFmtId="0" fontId="16" fillId="6" borderId="0" xfId="6" quotePrefix="1" applyFont="1" applyFill="1" applyAlignment="1">
      <alignment horizontal="center"/>
    </xf>
    <xf numFmtId="2" fontId="16" fillId="6" borderId="0" xfId="7" applyNumberFormat="1" applyFont="1" applyFill="1" applyBorder="1" applyAlignment="1">
      <alignment horizontal="center"/>
    </xf>
    <xf numFmtId="4" fontId="25" fillId="4" borderId="3" xfId="0" applyNumberFormat="1" applyFont="1" applyFill="1" applyBorder="1" applyAlignment="1">
      <alignment horizontal="center" vertical="center"/>
    </xf>
    <xf numFmtId="0" fontId="14" fillId="2" borderId="0" xfId="0" applyFont="1" applyFill="1"/>
    <xf numFmtId="0" fontId="8" fillId="6" borderId="4" xfId="6" applyFont="1" applyFill="1" applyBorder="1" applyAlignment="1" applyProtection="1">
      <alignment horizontal="center" vertical="center"/>
      <protection hidden="1"/>
    </xf>
    <xf numFmtId="0" fontId="8" fillId="6" borderId="3" xfId="6" applyFont="1" applyFill="1" applyBorder="1" applyAlignment="1" applyProtection="1">
      <alignment horizontal="center" vertical="center"/>
      <protection hidden="1"/>
    </xf>
    <xf numFmtId="2" fontId="8" fillId="6" borderId="3" xfId="2" applyNumberFormat="1" applyFont="1" applyFill="1" applyBorder="1" applyAlignment="1">
      <alignment horizontal="center" vertical="center"/>
    </xf>
    <xf numFmtId="1" fontId="16" fillId="3" borderId="5" xfId="6" applyNumberFormat="1" applyFont="1" applyFill="1" applyBorder="1" applyAlignment="1">
      <alignment horizontal="center"/>
    </xf>
    <xf numFmtId="0" fontId="0" fillId="11" borderId="0" xfId="0" applyFill="1"/>
    <xf numFmtId="0" fontId="14" fillId="11" borderId="0" xfId="0" applyFont="1" applyFill="1"/>
    <xf numFmtId="0" fontId="16" fillId="11" borderId="0" xfId="0" applyFont="1" applyFill="1"/>
    <xf numFmtId="0" fontId="6" fillId="11" borderId="0" xfId="0" applyFont="1" applyFill="1"/>
    <xf numFmtId="0" fontId="15" fillId="11" borderId="0" xfId="0" applyFont="1" applyFill="1"/>
    <xf numFmtId="0" fontId="8" fillId="11" borderId="0" xfId="0" applyFont="1" applyFill="1"/>
    <xf numFmtId="0" fontId="18" fillId="11" borderId="0" xfId="0" applyFont="1" applyFill="1"/>
    <xf numFmtId="0" fontId="0" fillId="11" borderId="0" xfId="0" applyFill="1" applyAlignment="1">
      <alignment horizontal="center" vertical="center"/>
    </xf>
    <xf numFmtId="0" fontId="31" fillId="11" borderId="0" xfId="0" applyFont="1" applyFill="1"/>
    <xf numFmtId="0" fontId="32" fillId="11" borderId="0" xfId="0" applyFont="1" applyFill="1"/>
    <xf numFmtId="0" fontId="18" fillId="11" borderId="0" xfId="2" applyFont="1" applyFill="1"/>
    <xf numFmtId="0" fontId="15" fillId="11" borderId="0" xfId="6" applyFont="1" applyFill="1"/>
    <xf numFmtId="0" fontId="18" fillId="11" borderId="0" xfId="6" applyFont="1" applyFill="1"/>
    <xf numFmtId="9" fontId="8" fillId="6" borderId="0" xfId="2" applyNumberFormat="1" applyFont="1" applyFill="1" applyAlignment="1">
      <alignment horizontal="center" vertical="center"/>
    </xf>
    <xf numFmtId="0" fontId="8" fillId="6" borderId="0" xfId="2" applyFont="1" applyFill="1" applyAlignment="1">
      <alignment horizontal="center" vertical="center"/>
    </xf>
    <xf numFmtId="1" fontId="8" fillId="6" borderId="3" xfId="1" applyNumberFormat="1" applyFont="1" applyFill="1" applyBorder="1" applyAlignment="1">
      <alignment horizontal="center" vertical="center"/>
    </xf>
    <xf numFmtId="164" fontId="8" fillId="6" borderId="5" xfId="1" applyNumberFormat="1" applyFont="1" applyFill="1" applyBorder="1" applyAlignment="1">
      <alignment horizontal="center" vertical="center"/>
    </xf>
    <xf numFmtId="9" fontId="8" fillId="6" borderId="0" xfId="3" applyFont="1" applyFill="1" applyBorder="1" applyAlignment="1">
      <alignment horizontal="center" vertical="center"/>
    </xf>
    <xf numFmtId="1" fontId="8" fillId="6" borderId="0" xfId="2" applyNumberFormat="1" applyFont="1" applyFill="1" applyAlignment="1">
      <alignment horizontal="center" vertical="center"/>
    </xf>
    <xf numFmtId="164" fontId="8" fillId="6" borderId="3" xfId="1" applyNumberFormat="1" applyFont="1" applyFill="1" applyBorder="1" applyAlignment="1">
      <alignment horizontal="center" vertical="center"/>
    </xf>
    <xf numFmtId="0" fontId="25" fillId="0" borderId="0" xfId="0" applyFont="1" applyAlignment="1">
      <alignment horizontal="center" vertical="center"/>
    </xf>
    <xf numFmtId="0" fontId="9" fillId="0" borderId="0" xfId="0" applyFont="1" applyAlignment="1">
      <alignment vertical="center"/>
    </xf>
    <xf numFmtId="0" fontId="14" fillId="2" borderId="4" xfId="6" applyFont="1" applyFill="1" applyBorder="1"/>
    <xf numFmtId="0" fontId="14" fillId="2" borderId="3" xfId="6" applyFont="1" applyFill="1" applyBorder="1"/>
    <xf numFmtId="0" fontId="14" fillId="2" borderId="0" xfId="6" applyFont="1" applyFill="1"/>
    <xf numFmtId="0" fontId="8" fillId="8" borderId="3" xfId="2" applyFont="1" applyFill="1" applyBorder="1" applyAlignment="1">
      <alignment horizontal="left" vertical="center"/>
    </xf>
    <xf numFmtId="3" fontId="8" fillId="0" borderId="0" xfId="6" applyNumberFormat="1" applyFont="1"/>
    <xf numFmtId="9" fontId="8" fillId="6" borderId="38" xfId="3" applyFont="1" applyFill="1" applyBorder="1" applyAlignment="1">
      <alignment horizontal="center" vertical="center"/>
    </xf>
    <xf numFmtId="0" fontId="8" fillId="8" borderId="38" xfId="2" applyFont="1" applyFill="1" applyBorder="1" applyAlignment="1">
      <alignment horizontal="center" vertical="center"/>
    </xf>
    <xf numFmtId="2" fontId="8" fillId="8" borderId="38" xfId="3" applyNumberFormat="1" applyFont="1" applyFill="1" applyBorder="1" applyAlignment="1">
      <alignment horizontal="center" vertical="center"/>
    </xf>
    <xf numFmtId="9" fontId="8" fillId="6" borderId="38" xfId="1" applyFont="1" applyFill="1" applyBorder="1" applyAlignment="1">
      <alignment horizontal="center" vertical="center"/>
    </xf>
    <xf numFmtId="0" fontId="8" fillId="6" borderId="38" xfId="2" applyFont="1" applyFill="1" applyBorder="1" applyAlignment="1">
      <alignment horizontal="center" vertical="center"/>
    </xf>
    <xf numFmtId="1" fontId="8" fillId="6" borderId="38" xfId="2" applyNumberFormat="1" applyFont="1" applyFill="1" applyBorder="1" applyAlignment="1">
      <alignment horizontal="center" vertical="center"/>
    </xf>
    <xf numFmtId="2" fontId="8" fillId="6" borderId="38" xfId="2" applyNumberFormat="1" applyFont="1" applyFill="1" applyBorder="1" applyAlignment="1">
      <alignment horizontal="center" vertical="center"/>
    </xf>
    <xf numFmtId="9" fontId="8" fillId="13" borderId="4" xfId="1" applyFont="1" applyFill="1" applyBorder="1" applyAlignment="1">
      <alignment horizontal="center" vertical="center"/>
    </xf>
    <xf numFmtId="9" fontId="8" fillId="13" borderId="3" xfId="1" applyFont="1" applyFill="1" applyBorder="1" applyAlignment="1">
      <alignment horizontal="center" vertical="center"/>
    </xf>
    <xf numFmtId="9" fontId="8" fillId="13" borderId="38" xfId="1" applyFont="1" applyFill="1" applyBorder="1" applyAlignment="1">
      <alignment horizontal="center" vertical="center"/>
    </xf>
    <xf numFmtId="9" fontId="8" fillId="13" borderId="5" xfId="1" applyFont="1" applyFill="1" applyBorder="1" applyAlignment="1">
      <alignment horizontal="center" vertical="center"/>
    </xf>
    <xf numFmtId="9" fontId="8" fillId="13" borderId="0" xfId="1" applyFont="1" applyFill="1" applyBorder="1" applyAlignment="1">
      <alignment horizontal="center" vertical="center"/>
    </xf>
    <xf numFmtId="0" fontId="8" fillId="13" borderId="4" xfId="2" applyFont="1" applyFill="1" applyBorder="1" applyAlignment="1">
      <alignment vertical="center"/>
    </xf>
    <xf numFmtId="0" fontId="8" fillId="13" borderId="3" xfId="2" applyFont="1" applyFill="1" applyBorder="1" applyAlignment="1">
      <alignment vertical="center"/>
    </xf>
    <xf numFmtId="0" fontId="8" fillId="13" borderId="5" xfId="2" applyFont="1" applyFill="1" applyBorder="1" applyAlignment="1">
      <alignment vertical="center"/>
    </xf>
    <xf numFmtId="0" fontId="9" fillId="13" borderId="4" xfId="2" applyFont="1" applyFill="1" applyBorder="1" applyAlignment="1">
      <alignment vertical="center"/>
    </xf>
    <xf numFmtId="0" fontId="21" fillId="13" borderId="4" xfId="2" applyFont="1" applyFill="1" applyBorder="1" applyAlignment="1">
      <alignment vertical="center"/>
    </xf>
    <xf numFmtId="0" fontId="8" fillId="13" borderId="0" xfId="2" applyFont="1" applyFill="1" applyAlignment="1">
      <alignment horizontal="left" vertical="center" wrapText="1"/>
    </xf>
    <xf numFmtId="0" fontId="8" fillId="13" borderId="0" xfId="2" applyFont="1" applyFill="1" applyAlignment="1">
      <alignment vertical="center"/>
    </xf>
    <xf numFmtId="0" fontId="8" fillId="13" borderId="0" xfId="2" applyFont="1" applyFill="1" applyAlignment="1">
      <alignment vertical="center" wrapText="1"/>
    </xf>
    <xf numFmtId="0" fontId="32" fillId="13" borderId="0" xfId="2" applyFont="1" applyFill="1" applyAlignment="1">
      <alignment vertical="center"/>
    </xf>
    <xf numFmtId="0" fontId="32" fillId="13" borderId="0" xfId="2" applyFont="1" applyFill="1" applyAlignment="1">
      <alignment vertical="center" wrapText="1"/>
    </xf>
    <xf numFmtId="0" fontId="32" fillId="13" borderId="4" xfId="0" applyFont="1" applyFill="1" applyBorder="1" applyAlignment="1">
      <alignment vertical="center"/>
    </xf>
    <xf numFmtId="0" fontId="32" fillId="13" borderId="3" xfId="0" applyFont="1" applyFill="1" applyBorder="1" applyAlignment="1">
      <alignment vertical="center"/>
    </xf>
    <xf numFmtId="9" fontId="44" fillId="13" borderId="3" xfId="1" applyFont="1" applyFill="1" applyBorder="1" applyAlignment="1">
      <alignment vertical="center"/>
    </xf>
    <xf numFmtId="165" fontId="44" fillId="13" borderId="3" xfId="4" applyNumberFormat="1" applyFont="1" applyFill="1" applyBorder="1" applyAlignment="1">
      <alignment vertical="center"/>
    </xf>
    <xf numFmtId="165" fontId="8" fillId="3" borderId="3" xfId="0" applyNumberFormat="1" applyFont="1" applyFill="1" applyBorder="1" applyAlignment="1">
      <alignment horizontal="center" vertical="center"/>
    </xf>
    <xf numFmtId="165" fontId="8" fillId="3" borderId="3" xfId="0" applyNumberFormat="1" applyFont="1" applyFill="1" applyBorder="1" applyAlignment="1">
      <alignment vertical="center"/>
    </xf>
    <xf numFmtId="4" fontId="8" fillId="8" borderId="4" xfId="0" applyNumberFormat="1" applyFont="1" applyFill="1" applyBorder="1" applyAlignment="1">
      <alignment horizontal="center" vertical="center"/>
    </xf>
    <xf numFmtId="171" fontId="8" fillId="4" borderId="3" xfId="0" applyNumberFormat="1" applyFont="1" applyFill="1" applyBorder="1" applyAlignment="1">
      <alignment horizontal="center" vertical="center"/>
    </xf>
    <xf numFmtId="0" fontId="10" fillId="2" borderId="3" xfId="0" applyFont="1" applyFill="1" applyBorder="1" applyAlignment="1">
      <alignment horizontal="center" vertical="center" wrapText="1"/>
    </xf>
    <xf numFmtId="4" fontId="8" fillId="0" borderId="13" xfId="0" applyNumberFormat="1" applyFont="1" applyBorder="1"/>
    <xf numFmtId="0" fontId="10" fillId="2" borderId="10" xfId="0" applyFont="1" applyFill="1" applyBorder="1" applyAlignment="1">
      <alignment horizontal="center" vertical="center" wrapText="1"/>
    </xf>
    <xf numFmtId="0" fontId="8" fillId="0" borderId="0" xfId="0" applyFont="1" applyAlignment="1">
      <alignment vertical="center" wrapText="1"/>
    </xf>
    <xf numFmtId="0" fontId="45" fillId="0" borderId="6" xfId="0" applyFont="1" applyBorder="1" applyAlignment="1">
      <alignment vertical="center" wrapText="1"/>
    </xf>
    <xf numFmtId="0" fontId="45" fillId="0" borderId="24" xfId="0" applyFont="1" applyBorder="1" applyAlignment="1">
      <alignment vertical="center" wrapText="1"/>
    </xf>
    <xf numFmtId="0" fontId="45" fillId="0" borderId="35" xfId="0" applyFont="1" applyBorder="1" applyAlignment="1">
      <alignment vertical="center" wrapText="1"/>
    </xf>
    <xf numFmtId="0" fontId="39" fillId="2" borderId="28" xfId="6" applyFont="1" applyFill="1" applyBorder="1" applyAlignment="1">
      <alignment horizontal="center"/>
    </xf>
    <xf numFmtId="0" fontId="39" fillId="2" borderId="0" xfId="6" applyFont="1" applyFill="1" applyAlignment="1">
      <alignment horizontal="center"/>
    </xf>
    <xf numFmtId="0" fontId="39" fillId="2" borderId="29" xfId="6" applyFont="1" applyFill="1" applyBorder="1" applyAlignment="1">
      <alignment horizontal="center"/>
    </xf>
    <xf numFmtId="0" fontId="16" fillId="4" borderId="28" xfId="6" applyFont="1" applyFill="1" applyBorder="1"/>
    <xf numFmtId="0" fontId="39" fillId="9" borderId="28" xfId="6" applyFont="1" applyFill="1" applyBorder="1" applyAlignment="1" applyProtection="1">
      <alignment horizontal="left" vertical="center"/>
      <protection hidden="1"/>
    </xf>
    <xf numFmtId="0" fontId="39" fillId="9" borderId="29" xfId="6" applyFont="1" applyFill="1" applyBorder="1" applyAlignment="1" applyProtection="1">
      <alignment horizontal="left" vertical="center"/>
      <protection hidden="1"/>
    </xf>
    <xf numFmtId="0" fontId="16" fillId="4" borderId="28" xfId="6" applyFont="1" applyFill="1" applyBorder="1" applyAlignment="1">
      <alignment horizontal="left" indent="1"/>
    </xf>
    <xf numFmtId="0" fontId="16" fillId="4" borderId="30" xfId="6" applyFont="1" applyFill="1" applyBorder="1" applyAlignment="1">
      <alignment horizontal="left" indent="1"/>
    </xf>
    <xf numFmtId="0" fontId="16" fillId="4" borderId="40" xfId="6" applyFont="1" applyFill="1" applyBorder="1" applyAlignment="1">
      <alignment horizontal="center"/>
    </xf>
    <xf numFmtId="0" fontId="16" fillId="4" borderId="16" xfId="6" applyFont="1" applyFill="1" applyBorder="1"/>
    <xf numFmtId="0" fontId="16" fillId="4" borderId="30" xfId="6" applyFont="1" applyFill="1" applyBorder="1"/>
    <xf numFmtId="0" fontId="16" fillId="3" borderId="16" xfId="6" applyFont="1" applyFill="1" applyBorder="1" applyAlignment="1">
      <alignment horizontal="center"/>
    </xf>
    <xf numFmtId="0" fontId="16" fillId="4" borderId="29" xfId="6" applyFont="1" applyFill="1" applyBorder="1"/>
    <xf numFmtId="0" fontId="39" fillId="9" borderId="41" xfId="6" applyFont="1" applyFill="1" applyBorder="1" applyAlignment="1" applyProtection="1">
      <alignment horizontal="left" vertical="center"/>
      <protection hidden="1"/>
    </xf>
    <xf numFmtId="0" fontId="39" fillId="9" borderId="42" xfId="6" applyFont="1" applyFill="1" applyBorder="1" applyAlignment="1" applyProtection="1">
      <alignment horizontal="left" vertical="center"/>
      <protection hidden="1"/>
    </xf>
    <xf numFmtId="166" fontId="16" fillId="4" borderId="0" xfId="6" applyNumberFormat="1" applyFont="1" applyFill="1" applyAlignment="1">
      <alignment horizontal="center"/>
    </xf>
    <xf numFmtId="0" fontId="16" fillId="4" borderId="31" xfId="6" applyFont="1" applyFill="1" applyBorder="1"/>
    <xf numFmtId="9" fontId="16" fillId="6" borderId="40" xfId="1" quotePrefix="1" applyFont="1" applyFill="1" applyBorder="1" applyAlignment="1">
      <alignment horizontal="center"/>
    </xf>
    <xf numFmtId="9" fontId="16" fillId="6" borderId="40" xfId="7" applyFont="1" applyFill="1" applyBorder="1" applyAlignment="1">
      <alignment horizontal="center"/>
    </xf>
    <xf numFmtId="0" fontId="16" fillId="8" borderId="16" xfId="6" applyFont="1" applyFill="1" applyBorder="1"/>
    <xf numFmtId="0" fontId="18" fillId="0" borderId="0" xfId="2" applyFont="1" applyAlignment="1">
      <alignment wrapText="1"/>
    </xf>
    <xf numFmtId="0" fontId="18" fillId="0" borderId="0" xfId="2" applyFont="1"/>
    <xf numFmtId="0" fontId="8" fillId="0" borderId="0" xfId="2" applyFont="1" applyAlignment="1">
      <alignment vertical="center" wrapText="1"/>
    </xf>
    <xf numFmtId="0" fontId="8" fillId="0" borderId="0" xfId="2" applyFont="1" applyAlignment="1">
      <alignment wrapText="1"/>
    </xf>
    <xf numFmtId="0" fontId="36" fillId="0" borderId="0" xfId="0" applyFont="1"/>
    <xf numFmtId="0" fontId="34" fillId="0" borderId="0" xfId="6" applyFont="1"/>
    <xf numFmtId="0" fontId="10" fillId="2" borderId="28" xfId="2" applyFont="1" applyFill="1" applyBorder="1" applyAlignment="1">
      <alignment horizontal="left" vertical="center"/>
    </xf>
    <xf numFmtId="0" fontId="8" fillId="8" borderId="41" xfId="0" applyFont="1" applyFill="1" applyBorder="1" applyAlignment="1">
      <alignment horizontal="left" vertical="center"/>
    </xf>
    <xf numFmtId="0" fontId="8" fillId="8" borderId="42" xfId="0" applyFont="1" applyFill="1" applyBorder="1" applyAlignment="1">
      <alignment horizontal="center" vertical="center"/>
    </xf>
    <xf numFmtId="0" fontId="8" fillId="8" borderId="43" xfId="0" applyFont="1" applyFill="1" applyBorder="1" applyAlignment="1">
      <alignment horizontal="center" vertical="center"/>
    </xf>
    <xf numFmtId="0" fontId="10" fillId="2" borderId="28" xfId="0" applyFont="1" applyFill="1" applyBorder="1" applyAlignment="1">
      <alignment vertical="center"/>
    </xf>
    <xf numFmtId="0" fontId="8" fillId="8" borderId="28" xfId="0" applyFont="1" applyFill="1" applyBorder="1" applyAlignment="1">
      <alignment vertical="center"/>
    </xf>
    <xf numFmtId="37" fontId="8" fillId="8" borderId="0" xfId="4" applyNumberFormat="1" applyFont="1" applyFill="1" applyBorder="1" applyAlignment="1">
      <alignment vertical="center"/>
    </xf>
    <xf numFmtId="3" fontId="8" fillId="0" borderId="0" xfId="0" applyNumberFormat="1" applyFont="1" applyAlignment="1">
      <alignment horizontal="center" vertical="center"/>
    </xf>
    <xf numFmtId="0" fontId="8" fillId="0" borderId="0" xfId="0" applyFont="1" applyAlignment="1">
      <alignment horizontal="center" vertical="center"/>
    </xf>
    <xf numFmtId="0" fontId="10" fillId="2" borderId="28" xfId="0" applyFont="1" applyFill="1" applyBorder="1" applyAlignment="1">
      <alignment vertical="center" wrapText="1"/>
    </xf>
    <xf numFmtId="2" fontId="8" fillId="4" borderId="0" xfId="0" applyNumberFormat="1" applyFont="1" applyFill="1" applyAlignment="1">
      <alignment horizontal="center" vertical="center"/>
    </xf>
    <xf numFmtId="3" fontId="18" fillId="4" borderId="49" xfId="6" applyNumberFormat="1" applyFont="1" applyFill="1" applyBorder="1" applyAlignment="1">
      <alignment horizontal="right"/>
    </xf>
    <xf numFmtId="3" fontId="18" fillId="4" borderId="50" xfId="6" applyNumberFormat="1" applyFont="1" applyFill="1" applyBorder="1" applyAlignment="1">
      <alignment horizontal="right"/>
    </xf>
    <xf numFmtId="3" fontId="18" fillId="4" borderId="48" xfId="6" applyNumberFormat="1" applyFont="1" applyFill="1" applyBorder="1" applyAlignment="1">
      <alignment horizontal="right"/>
    </xf>
    <xf numFmtId="0" fontId="10" fillId="2" borderId="0" xfId="0" applyFont="1" applyFill="1" applyAlignment="1">
      <alignment horizontal="center" vertical="center"/>
    </xf>
    <xf numFmtId="0" fontId="10" fillId="2" borderId="29" xfId="0" applyFont="1" applyFill="1" applyBorder="1" applyAlignment="1">
      <alignment horizontal="center" vertical="center"/>
    </xf>
    <xf numFmtId="0" fontId="8" fillId="4" borderId="41" xfId="0" applyFont="1" applyFill="1" applyBorder="1" applyAlignment="1">
      <alignment horizontal="left" vertical="center" wrapText="1"/>
    </xf>
    <xf numFmtId="0" fontId="8" fillId="4" borderId="42" xfId="0" applyFont="1" applyFill="1" applyBorder="1" applyAlignment="1">
      <alignment horizontal="center" vertical="center"/>
    </xf>
    <xf numFmtId="0" fontId="21" fillId="4" borderId="44" xfId="0" applyFont="1" applyFill="1" applyBorder="1" applyAlignment="1">
      <alignment vertical="center"/>
    </xf>
    <xf numFmtId="0" fontId="9" fillId="4" borderId="43" xfId="0" applyFont="1" applyFill="1" applyBorder="1" applyAlignment="1">
      <alignment horizontal="center" vertical="center"/>
    </xf>
    <xf numFmtId="0" fontId="8" fillId="4" borderId="41" xfId="0" applyFont="1" applyFill="1" applyBorder="1" applyAlignment="1">
      <alignment horizontal="left" vertical="center"/>
    </xf>
    <xf numFmtId="0" fontId="8" fillId="4" borderId="44" xfId="0" applyFont="1" applyFill="1" applyBorder="1" applyAlignment="1">
      <alignment horizontal="left" vertical="center"/>
    </xf>
    <xf numFmtId="0" fontId="8" fillId="4" borderId="43" xfId="0" applyFont="1" applyFill="1" applyBorder="1" applyAlignment="1">
      <alignment horizontal="center" vertical="center"/>
    </xf>
    <xf numFmtId="0" fontId="8" fillId="4" borderId="44" xfId="0" applyFont="1" applyFill="1" applyBorder="1" applyAlignment="1">
      <alignment horizontal="left" vertical="center" wrapText="1"/>
    </xf>
    <xf numFmtId="0" fontId="8" fillId="4" borderId="44" xfId="0" applyFont="1" applyFill="1" applyBorder="1" applyAlignment="1">
      <alignment horizontal="right" vertical="center"/>
    </xf>
    <xf numFmtId="0" fontId="8" fillId="4" borderId="43" xfId="0" applyFont="1" applyFill="1" applyBorder="1" applyAlignment="1">
      <alignment horizontal="left" vertical="center"/>
    </xf>
    <xf numFmtId="0" fontId="8" fillId="4" borderId="47" xfId="2" applyFont="1" applyFill="1" applyBorder="1" applyAlignment="1">
      <alignment horizontal="left" vertical="center"/>
    </xf>
    <xf numFmtId="0" fontId="8" fillId="4" borderId="43" xfId="2" applyFont="1" applyFill="1" applyBorder="1" applyAlignment="1">
      <alignment horizontal="center" vertical="center"/>
    </xf>
    <xf numFmtId="0" fontId="8" fillId="0" borderId="28" xfId="0" applyFont="1" applyBorder="1" applyAlignment="1">
      <alignment vertical="center"/>
    </xf>
    <xf numFmtId="0" fontId="8" fillId="0" borderId="29" xfId="0" applyFont="1" applyBorder="1" applyAlignment="1">
      <alignment vertical="center"/>
    </xf>
    <xf numFmtId="0" fontId="8" fillId="4" borderId="45" xfId="0" applyFont="1" applyFill="1" applyBorder="1" applyAlignment="1">
      <alignment horizontal="left" vertical="center"/>
    </xf>
    <xf numFmtId="1" fontId="8" fillId="6" borderId="40" xfId="1" applyNumberFormat="1" applyFont="1" applyFill="1" applyBorder="1" applyAlignment="1" applyProtection="1">
      <alignment horizontal="center" vertical="center"/>
    </xf>
    <xf numFmtId="0" fontId="10" fillId="2" borderId="51" xfId="0" applyFont="1" applyFill="1" applyBorder="1" applyAlignment="1">
      <alignment vertical="center"/>
    </xf>
    <xf numFmtId="9" fontId="8" fillId="4" borderId="44" xfId="1" applyFont="1" applyFill="1" applyBorder="1" applyAlignment="1" applyProtection="1">
      <alignment horizontal="left" vertical="center"/>
    </xf>
    <xf numFmtId="0" fontId="10" fillId="2" borderId="44" xfId="0" applyFont="1" applyFill="1" applyBorder="1" applyAlignment="1">
      <alignment horizontal="left" vertical="center"/>
    </xf>
    <xf numFmtId="9" fontId="8" fillId="4" borderId="47" xfId="1" applyFont="1" applyFill="1" applyBorder="1" applyAlignment="1" applyProtection="1">
      <alignment horizontal="left" vertical="center"/>
    </xf>
    <xf numFmtId="9" fontId="8" fillId="4" borderId="30" xfId="1" applyFont="1" applyFill="1" applyBorder="1" applyAlignment="1" applyProtection="1">
      <alignment horizontal="left" vertical="center"/>
    </xf>
    <xf numFmtId="3" fontId="8" fillId="4" borderId="16" xfId="1" applyNumberFormat="1" applyFont="1" applyFill="1" applyBorder="1" applyAlignment="1" applyProtection="1">
      <alignment horizontal="center" vertical="center"/>
    </xf>
    <xf numFmtId="0" fontId="10" fillId="2" borderId="26" xfId="0" applyFont="1" applyFill="1" applyBorder="1" applyAlignment="1">
      <alignment vertical="center"/>
    </xf>
    <xf numFmtId="0" fontId="10" fillId="2" borderId="13" xfId="0" applyFont="1" applyFill="1" applyBorder="1" applyAlignment="1">
      <alignment vertical="center"/>
    </xf>
    <xf numFmtId="9" fontId="8" fillId="4" borderId="40" xfId="1" applyFont="1" applyFill="1" applyBorder="1" applyAlignment="1" applyProtection="1">
      <alignment horizontal="center" vertical="center"/>
    </xf>
    <xf numFmtId="0" fontId="10" fillId="2" borderId="26" xfId="0" applyFont="1" applyFill="1" applyBorder="1" applyAlignment="1">
      <alignment horizontal="left" vertical="center"/>
    </xf>
    <xf numFmtId="0" fontId="8" fillId="4" borderId="41" xfId="0" applyFont="1" applyFill="1" applyBorder="1" applyAlignment="1">
      <alignment vertical="center" wrapText="1"/>
    </xf>
    <xf numFmtId="0" fontId="8" fillId="4" borderId="44" xfId="0" applyFont="1" applyFill="1" applyBorder="1" applyAlignment="1">
      <alignment vertical="center" wrapText="1"/>
    </xf>
    <xf numFmtId="0" fontId="8" fillId="6" borderId="43" xfId="0" applyFont="1" applyFill="1" applyBorder="1" applyAlignment="1">
      <alignment horizontal="center" vertical="center"/>
    </xf>
    <xf numFmtId="0" fontId="8" fillId="3" borderId="43" xfId="0" applyFont="1" applyFill="1" applyBorder="1" applyAlignment="1">
      <alignment horizontal="center" vertical="center"/>
    </xf>
    <xf numFmtId="0" fontId="8" fillId="4" borderId="45" xfId="0" applyFont="1" applyFill="1" applyBorder="1" applyAlignment="1">
      <alignment horizontal="left" vertical="center" wrapText="1"/>
    </xf>
    <xf numFmtId="9" fontId="8" fillId="3" borderId="46" xfId="1" applyFont="1" applyFill="1" applyBorder="1" applyAlignment="1" applyProtection="1">
      <alignment horizontal="center" vertical="center"/>
    </xf>
    <xf numFmtId="0" fontId="10" fillId="2" borderId="51" xfId="0" applyFont="1" applyFill="1" applyBorder="1" applyAlignment="1">
      <alignment horizontal="left" vertical="center"/>
    </xf>
    <xf numFmtId="0" fontId="8" fillId="3" borderId="53" xfId="0" applyFont="1" applyFill="1" applyBorder="1" applyAlignment="1">
      <alignment horizontal="center" vertical="center"/>
    </xf>
    <xf numFmtId="0" fontId="10" fillId="2" borderId="45" xfId="0" applyFont="1" applyFill="1" applyBorder="1" applyAlignment="1">
      <alignment horizontal="left"/>
    </xf>
    <xf numFmtId="0" fontId="8" fillId="3" borderId="46" xfId="0" applyFont="1" applyFill="1" applyBorder="1" applyAlignment="1">
      <alignment horizontal="center"/>
    </xf>
    <xf numFmtId="0" fontId="8" fillId="2" borderId="0" xfId="0" applyFont="1" applyFill="1" applyAlignment="1">
      <alignment vertical="center"/>
    </xf>
    <xf numFmtId="164" fontId="16" fillId="6" borderId="40" xfId="1" applyNumberFormat="1" applyFont="1" applyFill="1" applyBorder="1" applyAlignment="1" applyProtection="1">
      <alignment horizontal="center" vertical="center" wrapText="1"/>
      <protection locked="0"/>
    </xf>
    <xf numFmtId="0" fontId="9" fillId="2" borderId="26" xfId="6" applyFont="1" applyFill="1" applyBorder="1"/>
    <xf numFmtId="0" fontId="9" fillId="2" borderId="13" xfId="6" applyFont="1" applyFill="1" applyBorder="1" applyAlignment="1">
      <alignment horizontal="center"/>
    </xf>
    <xf numFmtId="0" fontId="9" fillId="2" borderId="27" xfId="6" applyFont="1" applyFill="1" applyBorder="1" applyAlignment="1">
      <alignment horizontal="center"/>
    </xf>
    <xf numFmtId="0" fontId="9" fillId="2" borderId="28" xfId="6" applyFont="1" applyFill="1" applyBorder="1" applyAlignment="1">
      <alignment horizontal="center"/>
    </xf>
    <xf numFmtId="0" fontId="9" fillId="2" borderId="0" xfId="6" applyFont="1" applyFill="1" applyAlignment="1">
      <alignment horizontal="center"/>
    </xf>
    <xf numFmtId="0" fontId="9" fillId="2" borderId="29" xfId="6" applyFont="1" applyFill="1" applyBorder="1" applyAlignment="1">
      <alignment horizontal="center"/>
    </xf>
    <xf numFmtId="0" fontId="51" fillId="10" borderId="28" xfId="6" applyFont="1" applyFill="1" applyBorder="1" applyAlignment="1">
      <alignment horizontal="left"/>
    </xf>
    <xf numFmtId="0" fontId="21" fillId="10" borderId="0" xfId="6" applyFont="1" applyFill="1" applyAlignment="1">
      <alignment horizontal="left"/>
    </xf>
    <xf numFmtId="0" fontId="21" fillId="10" borderId="29" xfId="6" applyFont="1" applyFill="1" applyBorder="1" applyAlignment="1">
      <alignment horizontal="left"/>
    </xf>
    <xf numFmtId="0" fontId="8" fillId="4" borderId="28" xfId="6" applyFont="1" applyFill="1" applyBorder="1"/>
    <xf numFmtId="3" fontId="8" fillId="4" borderId="0" xfId="6" applyNumberFormat="1" applyFont="1" applyFill="1"/>
    <xf numFmtId="3" fontId="8" fillId="4" borderId="29" xfId="6" applyNumberFormat="1" applyFont="1" applyFill="1" applyBorder="1"/>
    <xf numFmtId="0" fontId="19" fillId="10" borderId="28" xfId="6" applyFont="1" applyFill="1" applyBorder="1"/>
    <xf numFmtId="3" fontId="8" fillId="10" borderId="0" xfId="6" applyNumberFormat="1" applyFont="1" applyFill="1"/>
    <xf numFmtId="3" fontId="8" fillId="10" borderId="29" xfId="6" applyNumberFormat="1" applyFont="1" applyFill="1" applyBorder="1"/>
    <xf numFmtId="4" fontId="8" fillId="4" borderId="0" xfId="6" applyNumberFormat="1" applyFont="1" applyFill="1"/>
    <xf numFmtId="0" fontId="8" fillId="4" borderId="55" xfId="6" applyFont="1" applyFill="1" applyBorder="1"/>
    <xf numFmtId="3" fontId="8" fillId="4" borderId="56" xfId="6" applyNumberFormat="1" applyFont="1" applyFill="1" applyBorder="1"/>
    <xf numFmtId="3" fontId="8" fillId="4" borderId="57" xfId="6" applyNumberFormat="1" applyFont="1" applyFill="1" applyBorder="1"/>
    <xf numFmtId="3" fontId="9" fillId="2" borderId="13" xfId="6" applyNumberFormat="1" applyFont="1" applyFill="1" applyBorder="1"/>
    <xf numFmtId="0" fontId="8" fillId="2" borderId="13" xfId="6" applyFont="1" applyFill="1" applyBorder="1"/>
    <xf numFmtId="0" fontId="8" fillId="2" borderId="27" xfId="6" applyFont="1" applyFill="1" applyBorder="1"/>
    <xf numFmtId="0" fontId="9" fillId="2" borderId="0" xfId="6" applyFont="1" applyFill="1" applyAlignment="1">
      <alignment horizontal="center" vertical="center"/>
    </xf>
    <xf numFmtId="0" fontId="9" fillId="2" borderId="29" xfId="6" applyFont="1" applyFill="1" applyBorder="1" applyAlignment="1">
      <alignment horizontal="center" vertical="center"/>
    </xf>
    <xf numFmtId="0" fontId="9" fillId="10" borderId="0" xfId="6" applyFont="1" applyFill="1" applyAlignment="1">
      <alignment horizontal="center" vertical="center"/>
    </xf>
    <xf numFmtId="0" fontId="9" fillId="10" borderId="29" xfId="6" applyFont="1" applyFill="1" applyBorder="1" applyAlignment="1">
      <alignment horizontal="center" vertical="center"/>
    </xf>
    <xf numFmtId="3" fontId="21" fillId="4" borderId="0" xfId="6" applyNumberFormat="1" applyFont="1" applyFill="1"/>
    <xf numFmtId="3" fontId="8" fillId="4" borderId="0" xfId="6" quotePrefix="1" applyNumberFormat="1" applyFont="1" applyFill="1" applyAlignment="1">
      <alignment horizontal="right"/>
    </xf>
    <xf numFmtId="3" fontId="21" fillId="10" borderId="0" xfId="6" applyNumberFormat="1" applyFont="1" applyFill="1"/>
    <xf numFmtId="0" fontId="9" fillId="2" borderId="26" xfId="6" applyFont="1" applyFill="1" applyBorder="1" applyAlignment="1" applyProtection="1">
      <alignment horizontal="left" vertical="center"/>
      <protection hidden="1"/>
    </xf>
    <xf numFmtId="0" fontId="9" fillId="2" borderId="13" xfId="6" applyFont="1" applyFill="1" applyBorder="1" applyAlignment="1" applyProtection="1">
      <alignment horizontal="center" vertical="center"/>
      <protection hidden="1"/>
    </xf>
    <xf numFmtId="0" fontId="9" fillId="2" borderId="13" xfId="6" applyFont="1" applyFill="1" applyBorder="1" applyAlignment="1" applyProtection="1">
      <alignment horizontal="center" vertical="center" wrapText="1"/>
      <protection hidden="1"/>
    </xf>
    <xf numFmtId="0" fontId="9" fillId="2" borderId="27" xfId="6" applyFont="1" applyFill="1" applyBorder="1" applyAlignment="1" applyProtection="1">
      <alignment horizontal="center" vertical="center"/>
      <protection hidden="1"/>
    </xf>
    <xf numFmtId="0" fontId="8" fillId="4" borderId="41" xfId="6" applyFont="1" applyFill="1" applyBorder="1" applyAlignment="1" applyProtection="1">
      <alignment horizontal="left" vertical="center"/>
      <protection hidden="1"/>
    </xf>
    <xf numFmtId="0" fontId="42" fillId="4" borderId="42" xfId="6" applyFont="1" applyFill="1" applyBorder="1" applyAlignment="1" applyProtection="1">
      <alignment horizontal="center" vertical="center" wrapText="1"/>
      <protection hidden="1"/>
    </xf>
    <xf numFmtId="0" fontId="8" fillId="4" borderId="44" xfId="6" applyFont="1" applyFill="1" applyBorder="1" applyAlignment="1" applyProtection="1">
      <alignment horizontal="left" vertical="center"/>
      <protection hidden="1"/>
    </xf>
    <xf numFmtId="0" fontId="42" fillId="4" borderId="43" xfId="6" applyFont="1" applyFill="1" applyBorder="1" applyAlignment="1" applyProtection="1">
      <alignment horizontal="center" vertical="center" wrapText="1"/>
      <protection hidden="1"/>
    </xf>
    <xf numFmtId="0" fontId="8" fillId="4" borderId="45" xfId="6" applyFont="1" applyFill="1" applyBorder="1" applyAlignment="1" applyProtection="1">
      <alignment horizontal="left" vertical="center"/>
      <protection hidden="1"/>
    </xf>
    <xf numFmtId="0" fontId="8" fillId="6" borderId="40" xfId="6" applyFont="1" applyFill="1" applyBorder="1" applyAlignment="1" applyProtection="1">
      <alignment horizontal="center" vertical="center"/>
      <protection hidden="1"/>
    </xf>
    <xf numFmtId="0" fontId="42" fillId="4" borderId="40" xfId="6" applyFont="1" applyFill="1" applyBorder="1" applyAlignment="1" applyProtection="1">
      <alignment horizontal="left" vertical="center" wrapText="1"/>
      <protection hidden="1"/>
    </xf>
    <xf numFmtId="0" fontId="42" fillId="4" borderId="46" xfId="6" applyFont="1" applyFill="1" applyBorder="1" applyAlignment="1" applyProtection="1">
      <alignment horizontal="center" vertical="center" wrapText="1"/>
      <protection hidden="1"/>
    </xf>
    <xf numFmtId="169" fontId="8" fillId="0" borderId="0" xfId="0" applyNumberFormat="1" applyFont="1"/>
    <xf numFmtId="0" fontId="16" fillId="0" borderId="0" xfId="0" applyFont="1" applyAlignment="1">
      <alignment horizontal="left"/>
    </xf>
    <xf numFmtId="9" fontId="8" fillId="0" borderId="0" xfId="1" applyFont="1" applyFill="1" applyBorder="1" applyAlignment="1" applyProtection="1">
      <alignment horizontal="left" vertical="center"/>
    </xf>
    <xf numFmtId="0" fontId="8" fillId="0" borderId="0" xfId="1" applyNumberFormat="1" applyFont="1" applyFill="1" applyBorder="1" applyAlignment="1" applyProtection="1">
      <alignment horizontal="center" vertical="center"/>
    </xf>
    <xf numFmtId="0" fontId="8" fillId="0" borderId="0" xfId="0" applyFont="1" applyAlignment="1">
      <alignment horizontal="left" vertical="center"/>
    </xf>
    <xf numFmtId="9" fontId="8" fillId="0" borderId="0" xfId="1" applyFont="1" applyFill="1" applyBorder="1" applyAlignment="1" applyProtection="1">
      <alignment vertical="center"/>
    </xf>
    <xf numFmtId="9" fontId="8" fillId="0" borderId="0" xfId="1" applyFont="1" applyFill="1" applyBorder="1" applyAlignment="1" applyProtection="1">
      <alignment horizontal="center" vertical="center"/>
    </xf>
    <xf numFmtId="0" fontId="18" fillId="0" borderId="0" xfId="6" applyFont="1"/>
    <xf numFmtId="0" fontId="15" fillId="0" borderId="0" xfId="6" applyFont="1"/>
    <xf numFmtId="0" fontId="48" fillId="0" borderId="0" xfId="0" applyFont="1"/>
    <xf numFmtId="0" fontId="39" fillId="0" borderId="0" xfId="0" applyFont="1"/>
    <xf numFmtId="0" fontId="55" fillId="14" borderId="28" xfId="0" applyFont="1" applyFill="1" applyBorder="1"/>
    <xf numFmtId="0" fontId="55" fillId="14" borderId="30" xfId="0" applyFont="1" applyFill="1" applyBorder="1"/>
    <xf numFmtId="0" fontId="10" fillId="0" borderId="0" xfId="0" applyFont="1" applyAlignment="1">
      <alignment horizontal="center" vertical="center" wrapText="1"/>
    </xf>
    <xf numFmtId="37" fontId="8" fillId="0" borderId="0" xfId="4" applyNumberFormat="1" applyFont="1" applyFill="1" applyAlignment="1">
      <alignment vertical="center"/>
    </xf>
    <xf numFmtId="0" fontId="25" fillId="0" borderId="0" xfId="2" applyFont="1" applyAlignment="1">
      <alignment vertical="center"/>
    </xf>
    <xf numFmtId="0" fontId="0" fillId="0" borderId="0" xfId="0" applyAlignment="1">
      <alignment horizontal="center"/>
    </xf>
    <xf numFmtId="0" fontId="35" fillId="0" borderId="0" xfId="0" applyFont="1"/>
    <xf numFmtId="0" fontId="35" fillId="0" borderId="0" xfId="0" applyFont="1" applyAlignment="1">
      <alignment horizontal="center"/>
    </xf>
    <xf numFmtId="0" fontId="21" fillId="0" borderId="0" xfId="0" applyFont="1" applyAlignment="1">
      <alignment vertical="center"/>
    </xf>
    <xf numFmtId="0" fontId="21" fillId="0" borderId="19" xfId="0" applyFont="1" applyBorder="1"/>
    <xf numFmtId="0" fontId="21" fillId="0" borderId="9" xfId="0" applyFont="1" applyBorder="1"/>
    <xf numFmtId="0" fontId="21" fillId="0" borderId="17" xfId="0" applyFont="1" applyBorder="1"/>
    <xf numFmtId="3" fontId="21" fillId="4" borderId="0" xfId="6" applyNumberFormat="1" applyFont="1" applyFill="1" applyAlignment="1">
      <alignment horizontal="right"/>
    </xf>
    <xf numFmtId="3" fontId="8" fillId="4" borderId="56" xfId="6" applyNumberFormat="1" applyFont="1" applyFill="1" applyBorder="1" applyAlignment="1">
      <alignment horizontal="right"/>
    </xf>
    <xf numFmtId="3" fontId="8" fillId="4" borderId="57" xfId="6" applyNumberFormat="1" applyFont="1" applyFill="1" applyBorder="1" applyAlignment="1">
      <alignment horizontal="right"/>
    </xf>
    <xf numFmtId="3" fontId="8" fillId="4" borderId="0" xfId="6" applyNumberFormat="1" applyFont="1" applyFill="1" applyAlignment="1">
      <alignment horizontal="right"/>
    </xf>
    <xf numFmtId="3" fontId="8" fillId="4" borderId="29" xfId="6" applyNumberFormat="1" applyFont="1" applyFill="1" applyBorder="1" applyAlignment="1">
      <alignment horizontal="right"/>
    </xf>
    <xf numFmtId="2" fontId="8" fillId="4" borderId="0" xfId="6" applyNumberFormat="1" applyFont="1" applyFill="1" applyAlignment="1">
      <alignment horizontal="right"/>
    </xf>
    <xf numFmtId="0" fontId="8" fillId="6" borderId="42" xfId="0" applyFont="1" applyFill="1" applyBorder="1" applyAlignment="1">
      <alignment horizontal="center" vertical="center"/>
    </xf>
    <xf numFmtId="49" fontId="16" fillId="3" borderId="3" xfId="1" applyNumberFormat="1" applyFont="1" applyFill="1" applyBorder="1" applyAlignment="1" applyProtection="1">
      <alignment horizontal="center" vertical="center" wrapText="1"/>
      <protection locked="0"/>
    </xf>
    <xf numFmtId="9" fontId="16" fillId="6" borderId="0" xfId="1" applyFont="1" applyFill="1" applyAlignment="1">
      <alignment horizontal="center"/>
    </xf>
    <xf numFmtId="0" fontId="10" fillId="2" borderId="52" xfId="0" applyFont="1" applyFill="1" applyBorder="1" applyAlignment="1">
      <alignment horizontal="center" vertical="center"/>
    </xf>
    <xf numFmtId="0" fontId="8" fillId="4" borderId="46" xfId="0" applyFont="1" applyFill="1" applyBorder="1" applyAlignment="1">
      <alignment horizontal="center" vertical="center"/>
    </xf>
    <xf numFmtId="0" fontId="10" fillId="2" borderId="13" xfId="0" applyFont="1" applyFill="1" applyBorder="1" applyAlignment="1">
      <alignment horizontal="center" vertical="center"/>
    </xf>
    <xf numFmtId="0" fontId="10" fillId="2" borderId="27" xfId="0" applyFont="1" applyFill="1" applyBorder="1" applyAlignment="1">
      <alignment horizontal="center" vertical="center"/>
    </xf>
    <xf numFmtId="0" fontId="10" fillId="2" borderId="3" xfId="0" applyFont="1" applyFill="1" applyBorder="1" applyAlignment="1">
      <alignment horizontal="center" vertical="center"/>
    </xf>
    <xf numFmtId="0" fontId="8" fillId="8" borderId="0" xfId="0" applyFont="1" applyFill="1" applyAlignment="1">
      <alignment horizontal="center" vertical="center"/>
    </xf>
    <xf numFmtId="0" fontId="8" fillId="13" borderId="3" xfId="2" applyFont="1" applyFill="1" applyBorder="1" applyAlignment="1">
      <alignment horizontal="left" vertical="center" wrapText="1"/>
    </xf>
    <xf numFmtId="0" fontId="8" fillId="13" borderId="4" xfId="2" applyFont="1" applyFill="1" applyBorder="1" applyAlignment="1">
      <alignment horizontal="left" vertical="center" wrapText="1"/>
    </xf>
    <xf numFmtId="0" fontId="10" fillId="2" borderId="0" xfId="6" applyFont="1" applyFill="1" applyAlignment="1">
      <alignment horizontal="left"/>
    </xf>
    <xf numFmtId="0" fontId="16" fillId="3" borderId="0" xfId="6" applyFont="1" applyFill="1" applyAlignment="1">
      <alignment horizontal="center"/>
    </xf>
    <xf numFmtId="165" fontId="0" fillId="0" borderId="0" xfId="4" applyNumberFormat="1" applyFont="1"/>
    <xf numFmtId="165" fontId="29" fillId="4" borderId="33" xfId="4" applyNumberFormat="1" applyFont="1" applyFill="1" applyBorder="1" applyAlignment="1">
      <alignment horizontal="left" vertical="center"/>
    </xf>
    <xf numFmtId="0" fontId="29" fillId="0" borderId="35" xfId="0" applyFont="1" applyBorder="1"/>
    <xf numFmtId="165" fontId="29" fillId="4" borderId="6" xfId="4" applyNumberFormat="1" applyFont="1" applyFill="1" applyBorder="1" applyAlignment="1">
      <alignment horizontal="left" vertical="center"/>
    </xf>
    <xf numFmtId="0" fontId="16" fillId="8" borderId="31" xfId="6" applyFont="1" applyFill="1" applyBorder="1" applyAlignment="1">
      <alignment horizontal="center"/>
    </xf>
    <xf numFmtId="0" fontId="8" fillId="8" borderId="16" xfId="0" applyFont="1" applyFill="1" applyBorder="1" applyAlignment="1">
      <alignment horizontal="center" vertical="center"/>
    </xf>
    <xf numFmtId="43" fontId="0" fillId="0" borderId="0" xfId="4" applyFont="1" applyFill="1" applyAlignment="1">
      <alignment vertical="center"/>
    </xf>
    <xf numFmtId="0" fontId="58" fillId="11" borderId="0" xfId="6" applyFont="1" applyFill="1"/>
    <xf numFmtId="0" fontId="59" fillId="0" borderId="0" xfId="0" applyFont="1"/>
    <xf numFmtId="0" fontId="60" fillId="2" borderId="0" xfId="6" applyFont="1" applyFill="1"/>
    <xf numFmtId="0" fontId="59" fillId="0" borderId="0" xfId="6" applyFont="1" applyAlignment="1">
      <alignment horizontal="center"/>
    </xf>
    <xf numFmtId="0" fontId="59" fillId="2" borderId="0" xfId="0" applyFont="1" applyFill="1"/>
    <xf numFmtId="0" fontId="10" fillId="2" borderId="0" xfId="0" applyFont="1" applyFill="1" applyAlignment="1">
      <alignment horizontal="left" vertical="center" wrapText="1"/>
    </xf>
    <xf numFmtId="4" fontId="16" fillId="0" borderId="0" xfId="6" applyNumberFormat="1" applyFont="1" applyAlignment="1">
      <alignment horizontal="center"/>
    </xf>
    <xf numFmtId="0" fontId="34" fillId="0" borderId="0" xfId="6" applyFont="1" applyAlignment="1">
      <alignment horizontal="left" vertical="center" wrapText="1"/>
    </xf>
    <xf numFmtId="172" fontId="8" fillId="4" borderId="3" xfId="0" applyNumberFormat="1" applyFont="1" applyFill="1" applyBorder="1" applyAlignment="1">
      <alignment horizontal="center" vertical="center"/>
    </xf>
    <xf numFmtId="172" fontId="8" fillId="4" borderId="3" xfId="0" applyNumberFormat="1" applyFont="1" applyFill="1" applyBorder="1" applyAlignment="1">
      <alignment horizontal="left" vertical="center"/>
    </xf>
    <xf numFmtId="172" fontId="16" fillId="0" borderId="0" xfId="0" applyNumberFormat="1" applyFont="1"/>
    <xf numFmtId="172" fontId="25" fillId="4" borderId="3" xfId="0" applyNumberFormat="1" applyFont="1" applyFill="1" applyBorder="1" applyAlignment="1">
      <alignment horizontal="left" vertical="center"/>
    </xf>
    <xf numFmtId="172" fontId="25" fillId="4" borderId="3" xfId="0" applyNumberFormat="1" applyFont="1" applyFill="1" applyBorder="1" applyAlignment="1">
      <alignment horizontal="center" vertical="center"/>
    </xf>
    <xf numFmtId="0" fontId="10" fillId="2" borderId="0" xfId="6" applyFont="1" applyFill="1" applyAlignment="1">
      <alignment wrapText="1"/>
    </xf>
    <xf numFmtId="0" fontId="8" fillId="8" borderId="26" xfId="0" applyFont="1" applyFill="1" applyBorder="1" applyAlignment="1">
      <alignment vertical="center"/>
    </xf>
    <xf numFmtId="0" fontId="8" fillId="8" borderId="30" xfId="0" applyFont="1" applyFill="1" applyBorder="1" applyAlignment="1">
      <alignment vertical="center"/>
    </xf>
    <xf numFmtId="0" fontId="8" fillId="8" borderId="13" xfId="0" applyFont="1" applyFill="1" applyBorder="1" applyAlignment="1">
      <alignment horizontal="center" vertical="center"/>
    </xf>
    <xf numFmtId="165" fontId="29" fillId="4" borderId="25" xfId="4" applyNumberFormat="1" applyFont="1" applyFill="1" applyBorder="1" applyAlignment="1">
      <alignment horizontal="left" vertical="center"/>
    </xf>
    <xf numFmtId="43" fontId="16" fillId="0" borderId="0" xfId="0" applyNumberFormat="1" applyFont="1"/>
    <xf numFmtId="0" fontId="63" fillId="11" borderId="0" xfId="0" applyFont="1" applyFill="1"/>
    <xf numFmtId="2" fontId="16" fillId="4" borderId="0" xfId="0" applyNumberFormat="1" applyFont="1" applyFill="1" applyAlignment="1">
      <alignment horizontal="center"/>
    </xf>
    <xf numFmtId="165" fontId="16" fillId="4" borderId="0" xfId="4" applyNumberFormat="1" applyFont="1" applyFill="1" applyAlignment="1">
      <alignment horizontal="center"/>
    </xf>
    <xf numFmtId="0" fontId="16" fillId="4" borderId="0" xfId="0" applyFont="1" applyFill="1" applyAlignment="1">
      <alignment horizontal="left"/>
    </xf>
    <xf numFmtId="0" fontId="16" fillId="4" borderId="24" xfId="0" applyFont="1" applyFill="1" applyBorder="1"/>
    <xf numFmtId="0" fontId="16" fillId="4" borderId="24" xfId="0" applyFont="1" applyFill="1" applyBorder="1" applyAlignment="1">
      <alignment horizontal="center"/>
    </xf>
    <xf numFmtId="165" fontId="16" fillId="4" borderId="24" xfId="4" applyNumberFormat="1" applyFont="1" applyFill="1" applyBorder="1"/>
    <xf numFmtId="168" fontId="16" fillId="4" borderId="24" xfId="0" applyNumberFormat="1" applyFont="1" applyFill="1" applyBorder="1" applyAlignment="1">
      <alignment horizontal="center"/>
    </xf>
    <xf numFmtId="2" fontId="16" fillId="4" borderId="24" xfId="0" applyNumberFormat="1" applyFont="1" applyFill="1" applyBorder="1"/>
    <xf numFmtId="43" fontId="16" fillId="4" borderId="0" xfId="4" applyFont="1" applyFill="1" applyAlignment="1">
      <alignment horizontal="center"/>
    </xf>
    <xf numFmtId="0" fontId="21" fillId="4" borderId="0" xfId="0" applyFont="1" applyFill="1" applyAlignment="1">
      <alignment horizontal="right"/>
    </xf>
    <xf numFmtId="0" fontId="21" fillId="4" borderId="0" xfId="0" applyFont="1" applyFill="1"/>
    <xf numFmtId="0" fontId="21" fillId="4" borderId="0" xfId="0" applyFont="1" applyFill="1" applyAlignment="1">
      <alignment horizontal="left" indent="1"/>
    </xf>
    <xf numFmtId="0" fontId="67" fillId="0" borderId="0" xfId="0" applyFont="1"/>
    <xf numFmtId="0" fontId="21" fillId="0" borderId="58" xfId="0" applyFont="1" applyBorder="1" applyAlignment="1">
      <alignment vertical="center"/>
    </xf>
    <xf numFmtId="0" fontId="21" fillId="0" borderId="59" xfId="0" applyFont="1" applyBorder="1" applyAlignment="1">
      <alignment vertical="center"/>
    </xf>
    <xf numFmtId="9" fontId="21" fillId="0" borderId="59" xfId="1" applyFont="1" applyBorder="1" applyAlignment="1">
      <alignment horizontal="right" vertical="center"/>
    </xf>
    <xf numFmtId="9" fontId="21" fillId="0" borderId="60" xfId="1" applyFont="1" applyBorder="1" applyAlignment="1">
      <alignment horizontal="right" vertical="center"/>
    </xf>
    <xf numFmtId="9" fontId="8" fillId="6" borderId="4" xfId="1" quotePrefix="1" applyFont="1" applyFill="1" applyBorder="1" applyAlignment="1" applyProtection="1">
      <alignment vertical="center"/>
    </xf>
    <xf numFmtId="0" fontId="68" fillId="0" borderId="0" xfId="0" applyFont="1"/>
    <xf numFmtId="43" fontId="0" fillId="0" borderId="0" xfId="0" applyNumberFormat="1"/>
    <xf numFmtId="164" fontId="16" fillId="4" borderId="0" xfId="1" applyNumberFormat="1" applyFont="1" applyFill="1"/>
    <xf numFmtId="164" fontId="16" fillId="6" borderId="0" xfId="1" applyNumberFormat="1" applyFont="1" applyFill="1" applyBorder="1" applyAlignment="1" applyProtection="1">
      <alignment horizontal="center" vertical="center" wrapText="1"/>
      <protection locked="0"/>
    </xf>
    <xf numFmtId="0" fontId="21" fillId="12" borderId="2" xfId="0" applyFont="1" applyFill="1" applyBorder="1" applyAlignment="1">
      <alignment horizontal="left" vertical="top" wrapText="1"/>
    </xf>
    <xf numFmtId="0" fontId="21" fillId="12" borderId="2" xfId="0" applyFont="1" applyFill="1" applyBorder="1" applyAlignment="1">
      <alignment horizontal="left" vertical="top"/>
    </xf>
    <xf numFmtId="0" fontId="29" fillId="0" borderId="0" xfId="0" applyFont="1" applyAlignment="1">
      <alignment horizontal="center"/>
    </xf>
    <xf numFmtId="0" fontId="10" fillId="2" borderId="11" xfId="0" applyFont="1" applyFill="1" applyBorder="1" applyAlignment="1">
      <alignment horizontal="center" vertical="center"/>
    </xf>
    <xf numFmtId="0" fontId="10" fillId="2" borderId="4" xfId="0" applyFont="1" applyFill="1" applyBorder="1" applyAlignment="1">
      <alignment horizontal="center" vertical="center"/>
    </xf>
    <xf numFmtId="0" fontId="25" fillId="8" borderId="22" xfId="0" applyFont="1" applyFill="1" applyBorder="1" applyAlignment="1">
      <alignment horizontal="left" vertical="center" wrapText="1"/>
    </xf>
    <xf numFmtId="0" fontId="25" fillId="8" borderId="23" xfId="0" applyFont="1" applyFill="1" applyBorder="1" applyAlignment="1">
      <alignment horizontal="left" vertical="center" wrapText="1"/>
    </xf>
    <xf numFmtId="0" fontId="25" fillId="8" borderId="32" xfId="0" applyFont="1" applyFill="1" applyBorder="1" applyAlignment="1">
      <alignment horizontal="left" vertical="center" wrapText="1"/>
    </xf>
    <xf numFmtId="9" fontId="8" fillId="4" borderId="45" xfId="1" applyFont="1" applyFill="1" applyBorder="1" applyAlignment="1" applyProtection="1">
      <alignment horizontal="left" vertical="center"/>
    </xf>
    <xf numFmtId="9" fontId="8" fillId="4" borderId="40" xfId="1" applyFont="1" applyFill="1" applyBorder="1" applyAlignment="1" applyProtection="1">
      <alignment horizontal="left" vertical="center"/>
    </xf>
    <xf numFmtId="9" fontId="8" fillId="4" borderId="41" xfId="1" applyFont="1" applyFill="1" applyBorder="1" applyAlignment="1" applyProtection="1">
      <alignment horizontal="left" vertical="center"/>
    </xf>
    <xf numFmtId="9" fontId="8" fillId="4" borderId="4" xfId="1" applyFont="1" applyFill="1" applyBorder="1" applyAlignment="1" applyProtection="1">
      <alignment horizontal="left" vertical="center"/>
    </xf>
    <xf numFmtId="9" fontId="8" fillId="4" borderId="16" xfId="1" applyFont="1" applyFill="1" applyBorder="1" applyAlignment="1" applyProtection="1">
      <alignment horizontal="left" vertical="center" wrapText="1"/>
    </xf>
    <xf numFmtId="9" fontId="8" fillId="4" borderId="31" xfId="1" applyFont="1" applyFill="1" applyBorder="1" applyAlignment="1" applyProtection="1">
      <alignment horizontal="left" vertical="center" wrapText="1"/>
    </xf>
    <xf numFmtId="0" fontId="10" fillId="2" borderId="52" xfId="0" applyFont="1" applyFill="1" applyBorder="1" applyAlignment="1">
      <alignment horizontal="center" vertical="center"/>
    </xf>
    <xf numFmtId="0" fontId="10" fillId="2" borderId="53" xfId="0" applyFont="1" applyFill="1" applyBorder="1" applyAlignment="1">
      <alignment horizontal="center" vertical="center"/>
    </xf>
    <xf numFmtId="165" fontId="8" fillId="4" borderId="3" xfId="4" applyNumberFormat="1" applyFont="1" applyFill="1" applyBorder="1" applyAlignment="1" applyProtection="1">
      <alignment horizontal="left" vertical="center"/>
    </xf>
    <xf numFmtId="165" fontId="8" fillId="4" borderId="43" xfId="4" applyNumberFormat="1" applyFont="1" applyFill="1" applyBorder="1" applyAlignment="1" applyProtection="1">
      <alignment horizontal="left" vertical="center"/>
    </xf>
    <xf numFmtId="9" fontId="19" fillId="4" borderId="5" xfId="1" applyFont="1" applyFill="1" applyBorder="1" applyAlignment="1" applyProtection="1">
      <alignment vertical="center"/>
    </xf>
    <xf numFmtId="9" fontId="19" fillId="4" borderId="54" xfId="1" applyFont="1" applyFill="1" applyBorder="1" applyAlignment="1" applyProtection="1">
      <alignment vertical="center"/>
    </xf>
    <xf numFmtId="0" fontId="8" fillId="4" borderId="4" xfId="0" applyFont="1" applyFill="1" applyBorder="1" applyAlignment="1">
      <alignment horizontal="center" vertical="center" wrapText="1"/>
    </xf>
    <xf numFmtId="0" fontId="8" fillId="4" borderId="42" xfId="0" applyFont="1" applyFill="1" applyBorder="1" applyAlignment="1">
      <alignment horizontal="center" vertical="center" wrapText="1"/>
    </xf>
    <xf numFmtId="0" fontId="8" fillId="4" borderId="40" xfId="0" applyFont="1" applyFill="1" applyBorder="1" applyAlignment="1">
      <alignment horizontal="center" vertical="center"/>
    </xf>
    <xf numFmtId="0" fontId="8" fillId="4" borderId="46" xfId="0" applyFont="1" applyFill="1" applyBorder="1" applyAlignment="1">
      <alignment horizontal="center" vertical="center"/>
    </xf>
    <xf numFmtId="0" fontId="10" fillId="2" borderId="13" xfId="0" applyFont="1" applyFill="1" applyBorder="1" applyAlignment="1">
      <alignment horizontal="center" vertical="center"/>
    </xf>
    <xf numFmtId="0" fontId="10" fillId="2" borderId="27" xfId="0" applyFont="1" applyFill="1" applyBorder="1" applyAlignment="1">
      <alignment horizontal="center" vertical="center"/>
    </xf>
    <xf numFmtId="0" fontId="27" fillId="8" borderId="22" xfId="0" applyFont="1" applyFill="1" applyBorder="1" applyAlignment="1">
      <alignment horizontal="left" vertical="top" wrapText="1"/>
    </xf>
    <xf numFmtId="0" fontId="27" fillId="8" borderId="23" xfId="0" applyFont="1" applyFill="1" applyBorder="1" applyAlignment="1">
      <alignment horizontal="left" vertical="top" wrapText="1"/>
    </xf>
    <xf numFmtId="0" fontId="27" fillId="8" borderId="32" xfId="0" applyFont="1" applyFill="1" applyBorder="1" applyAlignment="1">
      <alignment horizontal="left" vertical="top" wrapText="1"/>
    </xf>
    <xf numFmtId="0" fontId="10" fillId="2" borderId="39" xfId="0" applyFont="1" applyFill="1" applyBorder="1" applyAlignment="1">
      <alignment horizontal="center" vertical="center"/>
    </xf>
    <xf numFmtId="9" fontId="19" fillId="4" borderId="3" xfId="1" applyFont="1" applyFill="1" applyBorder="1" applyAlignment="1" applyProtection="1">
      <alignment vertical="center"/>
    </xf>
    <xf numFmtId="9" fontId="19" fillId="4" borderId="43" xfId="1" applyFont="1" applyFill="1" applyBorder="1" applyAlignment="1" applyProtection="1">
      <alignment vertical="center"/>
    </xf>
    <xf numFmtId="0" fontId="10" fillId="2" borderId="3" xfId="0" applyFont="1" applyFill="1" applyBorder="1" applyAlignment="1">
      <alignment horizontal="center" vertical="center"/>
    </xf>
    <xf numFmtId="0" fontId="10" fillId="2" borderId="43" xfId="0" applyFont="1" applyFill="1" applyBorder="1" applyAlignment="1">
      <alignment horizontal="center" vertical="center"/>
    </xf>
    <xf numFmtId="0" fontId="27" fillId="8" borderId="22" xfId="0" applyFont="1" applyFill="1" applyBorder="1" applyAlignment="1">
      <alignment horizontal="left" vertical="center" wrapText="1"/>
    </xf>
    <xf numFmtId="0" fontId="27" fillId="8" borderId="23" xfId="0" applyFont="1" applyFill="1" applyBorder="1" applyAlignment="1">
      <alignment horizontal="left" vertical="center" wrapText="1"/>
    </xf>
    <xf numFmtId="0" fontId="27" fillId="8" borderId="32" xfId="0" applyFont="1" applyFill="1" applyBorder="1" applyAlignment="1">
      <alignment horizontal="left" vertical="center" wrapText="1"/>
    </xf>
    <xf numFmtId="0" fontId="53" fillId="8" borderId="26" xfId="6" applyFont="1" applyFill="1" applyBorder="1" applyAlignment="1">
      <alignment horizontal="left" vertical="center" wrapText="1"/>
    </xf>
    <xf numFmtId="0" fontId="53" fillId="8" borderId="13" xfId="6" applyFont="1" applyFill="1" applyBorder="1" applyAlignment="1">
      <alignment horizontal="left" vertical="center" wrapText="1"/>
    </xf>
    <xf numFmtId="0" fontId="53" fillId="8" borderId="27" xfId="6" applyFont="1" applyFill="1" applyBorder="1" applyAlignment="1">
      <alignment horizontal="left" vertical="center" wrapText="1"/>
    </xf>
    <xf numFmtId="0" fontId="18" fillId="8" borderId="22" xfId="6" applyFont="1" applyFill="1" applyBorder="1" applyAlignment="1">
      <alignment horizontal="left" vertical="center" wrapText="1"/>
    </xf>
    <xf numFmtId="0" fontId="18" fillId="8" borderId="23" xfId="6" applyFont="1" applyFill="1" applyBorder="1" applyAlignment="1">
      <alignment horizontal="left" vertical="center" wrapText="1"/>
    </xf>
    <xf numFmtId="0" fontId="18" fillId="8" borderId="32" xfId="6" applyFont="1" applyFill="1" applyBorder="1" applyAlignment="1">
      <alignment horizontal="left" vertical="center" wrapText="1"/>
    </xf>
    <xf numFmtId="0" fontId="18" fillId="8" borderId="26" xfId="6" applyFont="1" applyFill="1" applyBorder="1" applyAlignment="1">
      <alignment horizontal="left" vertical="center" wrapText="1"/>
    </xf>
    <xf numFmtId="0" fontId="18" fillId="8" borderId="13" xfId="6" applyFont="1" applyFill="1" applyBorder="1" applyAlignment="1">
      <alignment horizontal="left" vertical="center" wrapText="1"/>
    </xf>
    <xf numFmtId="0" fontId="18" fillId="8" borderId="27" xfId="6" applyFont="1" applyFill="1" applyBorder="1" applyAlignment="1">
      <alignment horizontal="left" vertical="center" wrapText="1"/>
    </xf>
    <xf numFmtId="0" fontId="16" fillId="4" borderId="29" xfId="6" applyFont="1" applyFill="1" applyBorder="1" applyAlignment="1">
      <alignment horizontal="center"/>
    </xf>
    <xf numFmtId="0" fontId="16" fillId="4" borderId="31" xfId="6" applyFont="1" applyFill="1" applyBorder="1" applyAlignment="1">
      <alignment horizontal="center"/>
    </xf>
    <xf numFmtId="0" fontId="49" fillId="8" borderId="29" xfId="6" applyFont="1" applyFill="1" applyBorder="1" applyAlignment="1">
      <alignment horizontal="center"/>
    </xf>
    <xf numFmtId="0" fontId="49" fillId="8" borderId="31" xfId="6" applyFont="1" applyFill="1" applyBorder="1" applyAlignment="1">
      <alignment horizontal="center"/>
    </xf>
    <xf numFmtId="0" fontId="10" fillId="2" borderId="0" xfId="0" applyFont="1" applyFill="1" applyAlignment="1">
      <alignment horizontal="center" vertical="center"/>
    </xf>
    <xf numFmtId="0" fontId="10" fillId="2" borderId="29" xfId="0" applyFont="1" applyFill="1" applyBorder="1" applyAlignment="1">
      <alignment horizontal="center" vertical="center"/>
    </xf>
    <xf numFmtId="0" fontId="21" fillId="8" borderId="26" xfId="0" applyFont="1" applyFill="1" applyBorder="1" applyAlignment="1">
      <alignment vertical="center" wrapText="1"/>
    </xf>
    <xf numFmtId="0" fontId="21" fillId="8" borderId="13" xfId="0" applyFont="1" applyFill="1" applyBorder="1" applyAlignment="1">
      <alignment vertical="center"/>
    </xf>
    <xf numFmtId="0" fontId="21" fillId="8" borderId="27" xfId="0" applyFont="1" applyFill="1" applyBorder="1" applyAlignment="1">
      <alignment vertical="center"/>
    </xf>
    <xf numFmtId="0" fontId="21" fillId="8" borderId="28" xfId="0" applyFont="1" applyFill="1" applyBorder="1" applyAlignment="1">
      <alignment vertical="center"/>
    </xf>
    <xf numFmtId="0" fontId="21" fillId="8" borderId="0" xfId="0" applyFont="1" applyFill="1" applyAlignment="1">
      <alignment vertical="center"/>
    </xf>
    <xf numFmtId="0" fontId="21" fillId="8" borderId="29" xfId="0" applyFont="1" applyFill="1" applyBorder="1" applyAlignment="1">
      <alignment vertical="center"/>
    </xf>
    <xf numFmtId="0" fontId="21" fillId="8" borderId="30" xfId="0" applyFont="1" applyFill="1" applyBorder="1" applyAlignment="1">
      <alignment vertical="center"/>
    </xf>
    <xf numFmtId="0" fontId="21" fillId="8" borderId="16" xfId="0" applyFont="1" applyFill="1" applyBorder="1" applyAlignment="1">
      <alignment vertical="center"/>
    </xf>
    <xf numFmtId="0" fontId="21" fillId="8" borderId="31" xfId="0" applyFont="1" applyFill="1" applyBorder="1" applyAlignment="1">
      <alignment vertical="center"/>
    </xf>
    <xf numFmtId="0" fontId="2" fillId="8" borderId="26" xfId="0" applyFont="1" applyFill="1" applyBorder="1" applyAlignment="1">
      <alignment horizontal="left" vertical="center" wrapText="1"/>
    </xf>
    <xf numFmtId="0" fontId="2" fillId="8" borderId="13" xfId="0" applyFont="1" applyFill="1" applyBorder="1" applyAlignment="1">
      <alignment horizontal="left" vertical="center" wrapText="1"/>
    </xf>
    <xf numFmtId="0" fontId="2" fillId="8" borderId="27" xfId="0" applyFont="1" applyFill="1" applyBorder="1" applyAlignment="1">
      <alignment horizontal="left" vertical="center" wrapText="1"/>
    </xf>
    <xf numFmtId="0" fontId="2" fillId="8" borderId="28" xfId="0" applyFont="1" applyFill="1" applyBorder="1" applyAlignment="1">
      <alignment horizontal="left" vertical="center" wrapText="1"/>
    </xf>
    <xf numFmtId="0" fontId="2" fillId="8" borderId="0" xfId="0" applyFont="1" applyFill="1" applyAlignment="1">
      <alignment horizontal="left" vertical="center" wrapText="1"/>
    </xf>
    <xf numFmtId="0" fontId="2" fillId="8" borderId="29" xfId="0" applyFont="1" applyFill="1" applyBorder="1" applyAlignment="1">
      <alignment horizontal="left" vertical="center" wrapText="1"/>
    </xf>
    <xf numFmtId="0" fontId="2" fillId="8" borderId="30" xfId="0" applyFont="1" applyFill="1" applyBorder="1" applyAlignment="1">
      <alignment horizontal="left" vertical="center" wrapText="1"/>
    </xf>
    <xf numFmtId="0" fontId="2" fillId="8" borderId="16" xfId="0" applyFont="1" applyFill="1" applyBorder="1" applyAlignment="1">
      <alignment horizontal="left" vertical="center" wrapText="1"/>
    </xf>
    <xf numFmtId="0" fontId="2" fillId="8" borderId="31" xfId="0" applyFont="1" applyFill="1" applyBorder="1" applyAlignment="1">
      <alignment horizontal="left" vertical="center" wrapText="1"/>
    </xf>
    <xf numFmtId="0" fontId="8" fillId="8" borderId="13" xfId="0" applyFont="1" applyFill="1" applyBorder="1" applyAlignment="1">
      <alignment horizontal="center" vertical="center"/>
    </xf>
    <xf numFmtId="0" fontId="8" fillId="8" borderId="27" xfId="0" applyFont="1" applyFill="1" applyBorder="1" applyAlignment="1">
      <alignment horizontal="center" vertical="center"/>
    </xf>
    <xf numFmtId="0" fontId="8" fillId="8" borderId="0" xfId="0" applyFont="1" applyFill="1" applyAlignment="1">
      <alignment horizontal="center" vertical="center"/>
    </xf>
    <xf numFmtId="0" fontId="8" fillId="8" borderId="29" xfId="0" applyFont="1" applyFill="1" applyBorder="1" applyAlignment="1">
      <alignment horizontal="center" vertical="center"/>
    </xf>
    <xf numFmtId="37" fontId="8" fillId="8" borderId="0" xfId="4" applyNumberFormat="1" applyFont="1" applyFill="1" applyBorder="1" applyAlignment="1">
      <alignment horizontal="center" vertical="center"/>
    </xf>
    <xf numFmtId="3" fontId="8" fillId="8" borderId="13" xfId="0" applyNumberFormat="1" applyFont="1" applyFill="1" applyBorder="1" applyAlignment="1">
      <alignment horizontal="center" vertical="center"/>
    </xf>
    <xf numFmtId="3" fontId="8" fillId="8" borderId="0" xfId="0" applyNumberFormat="1" applyFont="1" applyFill="1" applyAlignment="1">
      <alignment horizontal="center" vertical="center"/>
    </xf>
    <xf numFmtId="0" fontId="8" fillId="8" borderId="16" xfId="0" applyFont="1" applyFill="1" applyBorder="1" applyAlignment="1">
      <alignment horizontal="center" vertical="center"/>
    </xf>
    <xf numFmtId="0" fontId="8" fillId="8" borderId="31" xfId="0" applyFont="1" applyFill="1" applyBorder="1" applyAlignment="1">
      <alignment horizontal="center" vertical="center"/>
    </xf>
    <xf numFmtId="3" fontId="8" fillId="8" borderId="16" xfId="0" applyNumberFormat="1" applyFont="1" applyFill="1" applyBorder="1" applyAlignment="1">
      <alignment horizontal="center" vertical="center"/>
    </xf>
    <xf numFmtId="0" fontId="8" fillId="15" borderId="6" xfId="0" applyFont="1" applyFill="1" applyBorder="1" applyAlignment="1">
      <alignment horizontal="left" vertical="center" wrapText="1"/>
    </xf>
    <xf numFmtId="0" fontId="8" fillId="15" borderId="24" xfId="0" applyFont="1" applyFill="1" applyBorder="1" applyAlignment="1">
      <alignment horizontal="left" vertical="center" wrapText="1"/>
    </xf>
    <xf numFmtId="0" fontId="8" fillId="15" borderId="35" xfId="0" applyFont="1" applyFill="1" applyBorder="1" applyAlignment="1">
      <alignment horizontal="left" vertical="center" wrapText="1"/>
    </xf>
    <xf numFmtId="0" fontId="62" fillId="2" borderId="0" xfId="0" applyFont="1" applyFill="1" applyAlignment="1">
      <alignment horizontal="center" vertical="center"/>
    </xf>
    <xf numFmtId="0" fontId="29" fillId="0" borderId="7" xfId="0" applyFont="1" applyBorder="1" applyAlignment="1">
      <alignment horizontal="center" vertical="center"/>
    </xf>
    <xf numFmtId="0" fontId="29" fillId="0" borderId="34" xfId="0" applyFont="1" applyBorder="1" applyAlignment="1">
      <alignment horizontal="center" vertical="center"/>
    </xf>
    <xf numFmtId="0" fontId="8" fillId="13" borderId="3" xfId="2" applyFont="1" applyFill="1" applyBorder="1" applyAlignment="1">
      <alignment horizontal="left" vertical="center" wrapText="1"/>
    </xf>
    <xf numFmtId="0" fontId="8" fillId="13" borderId="5" xfId="2" applyFont="1" applyFill="1" applyBorder="1" applyAlignment="1">
      <alignment horizontal="left" vertical="center" wrapText="1"/>
    </xf>
    <xf numFmtId="0" fontId="8" fillId="13" borderId="4" xfId="2" applyFont="1" applyFill="1" applyBorder="1" applyAlignment="1">
      <alignment horizontal="left" vertical="center" wrapText="1"/>
    </xf>
    <xf numFmtId="0" fontId="8" fillId="13" borderId="3" xfId="2" applyFont="1" applyFill="1" applyBorder="1" applyAlignment="1">
      <alignment horizontal="left" vertical="center"/>
    </xf>
    <xf numFmtId="2" fontId="10" fillId="2" borderId="0" xfId="2" applyNumberFormat="1" applyFont="1" applyFill="1" applyAlignment="1">
      <alignment horizontal="center" vertical="center"/>
    </xf>
    <xf numFmtId="0" fontId="15" fillId="2" borderId="0" xfId="2" applyFont="1" applyFill="1" applyAlignment="1">
      <alignment horizontal="center" vertical="center"/>
    </xf>
    <xf numFmtId="0" fontId="8" fillId="8" borderId="0" xfId="0" applyFont="1" applyFill="1" applyAlignment="1">
      <alignment horizontal="left" vertical="top" wrapText="1"/>
    </xf>
    <xf numFmtId="0" fontId="31" fillId="2" borderId="0" xfId="2" applyFont="1" applyFill="1" applyAlignment="1">
      <alignment horizontal="center" vertical="center"/>
    </xf>
    <xf numFmtId="0" fontId="10" fillId="2" borderId="0" xfId="2" applyFont="1" applyFill="1" applyAlignment="1">
      <alignment horizontal="center" vertical="center"/>
    </xf>
    <xf numFmtId="0" fontId="31" fillId="2" borderId="22" xfId="2" applyFont="1" applyFill="1" applyBorder="1" applyAlignment="1">
      <alignment horizontal="center" vertical="center"/>
    </xf>
    <xf numFmtId="0" fontId="31" fillId="2" borderId="23" xfId="2" applyFont="1" applyFill="1" applyBorder="1" applyAlignment="1">
      <alignment horizontal="center" vertical="center"/>
    </xf>
    <xf numFmtId="0" fontId="32" fillId="8" borderId="0" xfId="0" applyFont="1" applyFill="1" applyAlignment="1">
      <alignment horizontal="left" vertical="top" wrapText="1"/>
    </xf>
    <xf numFmtId="0" fontId="39" fillId="2" borderId="26" xfId="0" applyFont="1" applyFill="1" applyBorder="1" applyAlignment="1">
      <alignment horizontal="center"/>
    </xf>
    <xf numFmtId="0" fontId="39" fillId="2" borderId="13" xfId="0" applyFont="1" applyFill="1" applyBorder="1" applyAlignment="1">
      <alignment horizontal="center"/>
    </xf>
    <xf numFmtId="0" fontId="39" fillId="2" borderId="27" xfId="0" applyFont="1" applyFill="1" applyBorder="1" applyAlignment="1">
      <alignment horizontal="center"/>
    </xf>
    <xf numFmtId="0" fontId="39" fillId="2" borderId="22" xfId="0" applyFont="1" applyFill="1" applyBorder="1" applyAlignment="1">
      <alignment horizontal="center"/>
    </xf>
    <xf numFmtId="0" fontId="39" fillId="2" borderId="23" xfId="0" applyFont="1" applyFill="1" applyBorder="1" applyAlignment="1">
      <alignment horizontal="center"/>
    </xf>
    <xf numFmtId="0" fontId="39" fillId="2" borderId="32" xfId="0" applyFont="1" applyFill="1" applyBorder="1" applyAlignment="1">
      <alignment horizontal="center"/>
    </xf>
    <xf numFmtId="0" fontId="10" fillId="2" borderId="0" xfId="6" applyFont="1" applyFill="1" applyAlignment="1">
      <alignment horizontal="left"/>
    </xf>
  </cellXfs>
  <cellStyles count="12">
    <cellStyle name="Comma" xfId="4" builtinId="3"/>
    <cellStyle name="Comma 2" xfId="8"/>
    <cellStyle name="Hyperlink" xfId="5" builtinId="8"/>
    <cellStyle name="Hyperlink 2" xfId="9"/>
    <cellStyle name="Millares 2" xfId="11"/>
    <cellStyle name="Normal" xfId="0" builtinId="0"/>
    <cellStyle name="Normal 2" xfId="2"/>
    <cellStyle name="Normal 2 2" xfId="10"/>
    <cellStyle name="Normal 3" xfId="6"/>
    <cellStyle name="Percent" xfId="1" builtinId="5"/>
    <cellStyle name="Percent 2" xfId="3"/>
    <cellStyle name="Percent 3" xfId="7"/>
  </cellStyles>
  <dxfs count="12">
    <dxf>
      <fill>
        <patternFill>
          <bgColor rgb="FFFF0000"/>
        </patternFill>
      </fill>
    </dxf>
    <dxf>
      <fill>
        <patternFill>
          <bgColor rgb="FF25C6FF"/>
        </patternFill>
      </fill>
    </dxf>
    <dxf>
      <fill>
        <patternFill>
          <bgColor rgb="FF25C6FF"/>
        </patternFill>
      </fill>
    </dxf>
    <dxf>
      <fill>
        <patternFill>
          <bgColor rgb="FF25C6FF"/>
        </patternFill>
      </fill>
    </dxf>
    <dxf>
      <fill>
        <patternFill>
          <bgColor rgb="FFE8D548"/>
        </patternFill>
      </fill>
    </dxf>
    <dxf>
      <fill>
        <patternFill>
          <bgColor rgb="FF25C6FF"/>
        </patternFill>
      </fill>
    </dxf>
    <dxf>
      <fill>
        <patternFill>
          <bgColor theme="1"/>
        </patternFill>
      </fill>
    </dxf>
    <dxf>
      <font>
        <b/>
        <i val="0"/>
        <color auto="1"/>
      </font>
    </dxf>
    <dxf>
      <font>
        <b/>
        <i val="0"/>
        <color auto="1"/>
      </font>
    </dxf>
    <dxf>
      <font>
        <b/>
        <i val="0"/>
        <color auto="1"/>
      </font>
    </dxf>
    <dxf>
      <font>
        <color theme="0"/>
      </font>
      <numFmt numFmtId="2" formatCode="0.00"/>
      <fill>
        <patternFill>
          <bgColor rgb="FFFF0000"/>
        </patternFill>
      </fill>
    </dxf>
    <dxf>
      <font>
        <b val="0"/>
        <i val="0"/>
        <strike val="0"/>
        <color auto="1"/>
      </font>
      <fill>
        <patternFill>
          <bgColor rgb="FFFF9999"/>
        </patternFill>
      </fill>
    </dxf>
  </dxfs>
  <tableStyles count="0" defaultTableStyle="TableStyleMedium9" defaultPivotStyle="PivotStyleMedium7"/>
  <colors>
    <mruColors>
      <color rgb="FFDBAD4F"/>
      <color rgb="FFE8D548"/>
      <color rgb="FF25C6FF"/>
      <color rgb="FF2D5CA3"/>
      <color rgb="FFFF9999"/>
      <color rgb="FFFCB041"/>
      <color rgb="FF007AC3"/>
      <color rgb="FF45C9F5"/>
      <color rgb="FFA5A5A5"/>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35" Type="http://schemas.openxmlformats.org/officeDocument/2006/relationships/customXml" Target="../customXml/item4.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403058219236837"/>
          <c:y val="9.5763478492218571E-2"/>
          <c:w val="0.79760111087068786"/>
          <c:h val="0.76614939846295294"/>
        </c:manualLayout>
      </c:layout>
      <c:barChart>
        <c:barDir val="bar"/>
        <c:grouping val="stacked"/>
        <c:varyColors val="0"/>
        <c:ser>
          <c:idx val="0"/>
          <c:order val="0"/>
          <c:tx>
            <c:strRef>
              <c:f>'6-Biogas Production'!$D$37</c:f>
              <c:strCache>
                <c:ptCount val="1"/>
                <c:pt idx="0">
                  <c:v>Methane Production (m3/day)</c:v>
                </c:pt>
              </c:strCache>
            </c:strRef>
          </c:tx>
          <c:spPr>
            <a:solidFill>
              <a:srgbClr val="25C6FF"/>
            </a:solidFill>
            <a:ln>
              <a:solidFill>
                <a:schemeClr val="tx1"/>
              </a:solidFill>
            </a:ln>
            <a:effectLst/>
          </c:spPr>
          <c:invertIfNegative val="0"/>
          <c:cat>
            <c:strRef>
              <c:f>'6-Biogas Production'!$A$38:$A$52</c:f>
              <c:strCache>
                <c:ptCount val="3"/>
                <c:pt idx="0">
                  <c:v>Calf</c:v>
                </c:pt>
                <c:pt idx="1">
                  <c:v>Adolescents Pigs</c:v>
                </c:pt>
                <c:pt idx="2">
                  <c:v>Poultry Chicken</c:v>
                </c:pt>
              </c:strCache>
            </c:strRef>
          </c:cat>
          <c:val>
            <c:numRef>
              <c:f>'6-Biogas Production'!$D$38:$D$52</c:f>
              <c:numCache>
                <c:formatCode>#,##0.000</c:formatCode>
                <c:ptCount val="15"/>
                <c:pt idx="0">
                  <c:v>152.40940022744337</c:v>
                </c:pt>
                <c:pt idx="1">
                  <c:v>4.9929474194843868</c:v>
                </c:pt>
                <c:pt idx="2">
                  <c:v>4.5438005415117608</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958A-4EC9-87AA-C63B7159DC41}"/>
            </c:ext>
          </c:extLst>
        </c:ser>
        <c:ser>
          <c:idx val="1"/>
          <c:order val="1"/>
          <c:tx>
            <c:strRef>
              <c:f>'6-Biogas Production'!$E$37</c:f>
              <c:strCache>
                <c:ptCount val="1"/>
                <c:pt idx="0">
                  <c:v>Other Gases (m3/day)</c:v>
                </c:pt>
              </c:strCache>
            </c:strRef>
          </c:tx>
          <c:spPr>
            <a:solidFill>
              <a:schemeClr val="accent2"/>
            </a:solidFill>
            <a:ln>
              <a:solidFill>
                <a:sysClr val="windowText" lastClr="000000"/>
              </a:solidFill>
            </a:ln>
            <a:effectLst/>
          </c:spPr>
          <c:invertIfNegative val="0"/>
          <c:cat>
            <c:strRef>
              <c:f>'6-Biogas Production'!$A$38:$A$52</c:f>
              <c:strCache>
                <c:ptCount val="3"/>
                <c:pt idx="0">
                  <c:v>Calf</c:v>
                </c:pt>
                <c:pt idx="1">
                  <c:v>Adolescents Pigs</c:v>
                </c:pt>
                <c:pt idx="2">
                  <c:v>Poultry Chicken</c:v>
                </c:pt>
              </c:strCache>
            </c:strRef>
          </c:cat>
          <c:val>
            <c:numRef>
              <c:f>'6-Biogas Production'!$E$38:$E$52</c:f>
              <c:numCache>
                <c:formatCode>#,##0.000</c:formatCode>
                <c:ptCount val="15"/>
                <c:pt idx="0">
                  <c:v>153.02025954699224</c:v>
                </c:pt>
                <c:pt idx="1">
                  <c:v>5.0129592327889343</c:v>
                </c:pt>
                <c:pt idx="2" formatCode="#,##0">
                  <c:v>4.5620121669286409</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numCache>
            </c:numRef>
          </c:val>
          <c:extLst>
            <c:ext xmlns:c16="http://schemas.microsoft.com/office/drawing/2014/chart" uri="{C3380CC4-5D6E-409C-BE32-E72D297353CC}">
              <c16:uniqueId val="{00000001-958A-4EC9-87AA-C63B7159DC41}"/>
            </c:ext>
          </c:extLst>
        </c:ser>
        <c:dLbls>
          <c:showLegendKey val="0"/>
          <c:showVal val="0"/>
          <c:showCatName val="0"/>
          <c:showSerName val="0"/>
          <c:showPercent val="0"/>
          <c:showBubbleSize val="0"/>
        </c:dLbls>
        <c:gapWidth val="75"/>
        <c:overlap val="100"/>
        <c:axId val="42551408"/>
        <c:axId val="42552584"/>
      </c:barChart>
      <c:catAx>
        <c:axId val="42551408"/>
        <c:scaling>
          <c:orientation val="maxMin"/>
        </c:scaling>
        <c:delete val="0"/>
        <c:axPos val="l"/>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b="1"/>
                  <a:t>Feedstocks</a:t>
                </a:r>
              </a:p>
            </c:rich>
          </c:tx>
          <c:layout>
            <c:manualLayout>
              <c:xMode val="edge"/>
              <c:yMode val="edge"/>
              <c:x val="1.1811396327707228E-2"/>
              <c:y val="0.38052649006472933"/>
            </c:manualLayout>
          </c:layout>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42552584"/>
        <c:crosses val="autoZero"/>
        <c:auto val="1"/>
        <c:lblAlgn val="ctr"/>
        <c:lblOffset val="100"/>
        <c:noMultiLvlLbl val="0"/>
      </c:catAx>
      <c:valAx>
        <c:axId val="42552584"/>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400" b="1">
                    <a:solidFill>
                      <a:sysClr val="windowText" lastClr="000000"/>
                    </a:solidFill>
                  </a:rPr>
                  <a:t>Biogas</a:t>
                </a:r>
                <a:r>
                  <a:rPr lang="en-US" sz="1400" b="1" baseline="0">
                    <a:solidFill>
                      <a:sysClr val="windowText" lastClr="000000"/>
                    </a:solidFill>
                  </a:rPr>
                  <a:t> </a:t>
                </a:r>
                <a:r>
                  <a:rPr lang="en-US" sz="1400" b="1">
                    <a:solidFill>
                      <a:sysClr val="windowText" lastClr="000000"/>
                    </a:solidFill>
                  </a:rPr>
                  <a:t>Production</a:t>
                </a:r>
              </a:p>
            </c:rich>
          </c:tx>
          <c:layout>
            <c:manualLayout>
              <c:xMode val="edge"/>
              <c:yMode val="edge"/>
              <c:x val="0.431080192671778"/>
              <c:y val="0.92183471051094557"/>
            </c:manualLayout>
          </c:layout>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42551408"/>
        <c:crosses val="autoZero"/>
        <c:crossBetween val="between"/>
      </c:valAx>
      <c:spPr>
        <a:noFill/>
        <a:ln>
          <a:noFill/>
        </a:ln>
        <a:effectLst/>
      </c:spPr>
    </c:plotArea>
    <c:legend>
      <c:legendPos val="r"/>
      <c:layout>
        <c:manualLayout>
          <c:xMode val="edge"/>
          <c:yMode val="edge"/>
          <c:x val="0.65583046179790094"/>
          <c:y val="0.882674212074121"/>
          <c:w val="0.27471199509571359"/>
          <c:h val="0.10070274972857911"/>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123559413957541"/>
          <c:y val="3.2231598687294888E-2"/>
          <c:w val="0.76912258528183575"/>
          <c:h val="0.82981715893108299"/>
        </c:manualLayout>
      </c:layout>
      <c:barChart>
        <c:barDir val="bar"/>
        <c:grouping val="stacked"/>
        <c:varyColors val="0"/>
        <c:ser>
          <c:idx val="0"/>
          <c:order val="0"/>
          <c:tx>
            <c:strRef>
              <c:f>'7-Digestate Production'!$F$34</c:f>
              <c:strCache>
                <c:ptCount val="1"/>
                <c:pt idx="0">
                  <c:v>Dry Sludge</c:v>
                </c:pt>
              </c:strCache>
            </c:strRef>
          </c:tx>
          <c:spPr>
            <a:solidFill>
              <a:srgbClr val="25C6FF"/>
            </a:solidFill>
            <a:ln>
              <a:solidFill>
                <a:sysClr val="windowText" lastClr="000000"/>
              </a:solidFill>
            </a:ln>
            <a:effectLst/>
          </c:spPr>
          <c:invertIfNegative val="0"/>
          <c:cat>
            <c:strRef>
              <c:f>'7-Digestate Production'!$A$35:$A$49</c:f>
              <c:strCache>
                <c:ptCount val="3"/>
                <c:pt idx="0">
                  <c:v>Calf</c:v>
                </c:pt>
                <c:pt idx="1">
                  <c:v>Adolescents Pigs</c:v>
                </c:pt>
                <c:pt idx="2">
                  <c:v>Poultry Chicken</c:v>
                </c:pt>
              </c:strCache>
            </c:strRef>
          </c:cat>
          <c:val>
            <c:numRef>
              <c:f>'7-Digestate Production'!$F$35:$F$49</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BAC6-442B-BEE0-941BC32B8085}"/>
            </c:ext>
          </c:extLst>
        </c:ser>
        <c:ser>
          <c:idx val="1"/>
          <c:order val="1"/>
          <c:tx>
            <c:strRef>
              <c:f>'7-Digestate Production'!$G$34</c:f>
              <c:strCache>
                <c:ptCount val="1"/>
                <c:pt idx="0">
                  <c:v>Liquid Effluent</c:v>
                </c:pt>
              </c:strCache>
            </c:strRef>
          </c:tx>
          <c:spPr>
            <a:solidFill>
              <a:schemeClr val="accent2"/>
            </a:solidFill>
            <a:ln>
              <a:solidFill>
                <a:sysClr val="windowText" lastClr="000000"/>
              </a:solidFill>
            </a:ln>
            <a:effectLst/>
          </c:spPr>
          <c:invertIfNegative val="0"/>
          <c:cat>
            <c:strRef>
              <c:f>'7-Digestate Production'!$A$35:$A$49</c:f>
              <c:strCache>
                <c:ptCount val="3"/>
                <c:pt idx="0">
                  <c:v>Calf</c:v>
                </c:pt>
                <c:pt idx="1">
                  <c:v>Adolescents Pigs</c:v>
                </c:pt>
                <c:pt idx="2">
                  <c:v>Poultry Chicken</c:v>
                </c:pt>
              </c:strCache>
            </c:strRef>
          </c:cat>
          <c:val>
            <c:numRef>
              <c:f>'7-Digestate Production'!$G$35:$G$49</c:f>
              <c:numCache>
                <c:formatCode>#,##0</c:formatCode>
                <c:ptCount val="15"/>
                <c:pt idx="0">
                  <c:v>18103.322324950503</c:v>
                </c:pt>
                <c:pt idx="1">
                  <c:v>286.65656615031747</c:v>
                </c:pt>
                <c:pt idx="2">
                  <c:v>148.01234100404031</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BAC6-442B-BEE0-941BC32B8085}"/>
            </c:ext>
          </c:extLst>
        </c:ser>
        <c:dLbls>
          <c:showLegendKey val="0"/>
          <c:showVal val="0"/>
          <c:showCatName val="0"/>
          <c:showSerName val="0"/>
          <c:showPercent val="0"/>
          <c:showBubbleSize val="0"/>
        </c:dLbls>
        <c:gapWidth val="75"/>
        <c:overlap val="100"/>
        <c:axId val="141834552"/>
        <c:axId val="141833376"/>
      </c:barChart>
      <c:catAx>
        <c:axId val="141834552"/>
        <c:scaling>
          <c:orientation val="maxMin"/>
        </c:scaling>
        <c:delete val="0"/>
        <c:axPos val="l"/>
        <c:title>
          <c:tx>
            <c:rich>
              <a:bodyPr rot="-5400000" spcFirstLastPara="1" vertOverflow="ellipsis" vert="horz" wrap="square" anchor="ctr" anchorCtr="1"/>
              <a:lstStyle/>
              <a:p>
                <a:pPr>
                  <a:defRPr sz="11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b="1"/>
                  <a:t>Feedstocks</a:t>
                </a:r>
              </a:p>
            </c:rich>
          </c:tx>
          <c:layout>
            <c:manualLayout>
              <c:xMode val="edge"/>
              <c:yMode val="edge"/>
              <c:x val="2.1461562377393089E-2"/>
              <c:y val="0.35752048403034281"/>
            </c:manualLayout>
          </c:layout>
          <c:overlay val="0"/>
          <c:spPr>
            <a:noFill/>
            <a:ln>
              <a:noFill/>
            </a:ln>
            <a:effectLst/>
          </c:spPr>
          <c:txPr>
            <a:bodyPr rot="-5400000" spcFirstLastPara="1" vertOverflow="ellipsis" vert="horz" wrap="square" anchor="ctr" anchorCtr="1"/>
            <a:lstStyle/>
            <a:p>
              <a:pPr>
                <a:defRPr sz="11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41833376"/>
        <c:crosses val="autoZero"/>
        <c:auto val="1"/>
        <c:lblAlgn val="ctr"/>
        <c:lblOffset val="100"/>
        <c:noMultiLvlLbl val="0"/>
      </c:catAx>
      <c:valAx>
        <c:axId val="141833376"/>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400" b="1" baseline="0"/>
                  <a:t>Digestate Component</a:t>
                </a:r>
                <a:endParaRPr lang="en-US" sz="1400" b="1"/>
              </a:p>
            </c:rich>
          </c:tx>
          <c:layout>
            <c:manualLayout>
              <c:xMode val="edge"/>
              <c:yMode val="edge"/>
              <c:x val="0.36777602078148525"/>
              <c:y val="0.93363220815752468"/>
            </c:manualLayout>
          </c:layout>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41834552"/>
        <c:crosses val="autoZero"/>
        <c:crossBetween val="between"/>
      </c:valAx>
      <c:spPr>
        <a:noFill/>
        <a:ln>
          <a:noFill/>
        </a:ln>
        <a:effectLst/>
      </c:spPr>
    </c:plotArea>
    <c:legend>
      <c:legendPos val="r"/>
      <c:layout>
        <c:manualLayout>
          <c:xMode val="edge"/>
          <c:yMode val="edge"/>
          <c:x val="0.84823069930958628"/>
          <c:y val="0.12831910461321833"/>
          <c:w val="0.1041963934235597"/>
          <c:h val="0.10646394675349125"/>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2" Type="http://schemas.openxmlformats.org/officeDocument/2006/relationships/hyperlink" Target="https://www.globalmethane.org/resources/" TargetMode="External"/><Relationship Id="rId1" Type="http://schemas.openxmlformats.org/officeDocument/2006/relationships/hyperlink" Target="mailto:biogastoolkit@epa.gov" TargetMode="External"/></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18</xdr:col>
      <xdr:colOff>0</xdr:colOff>
      <xdr:row>24</xdr:row>
      <xdr:rowOff>175432</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1887200" cy="48998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57150</xdr:colOff>
      <xdr:row>2</xdr:row>
      <xdr:rowOff>17144</xdr:rowOff>
    </xdr:from>
    <xdr:to>
      <xdr:col>14</xdr:col>
      <xdr:colOff>0</xdr:colOff>
      <xdr:row>26</xdr:row>
      <xdr:rowOff>171450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57150" y="442594"/>
          <a:ext cx="9188450" cy="4878706"/>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a:lnSpc>
              <a:spcPct val="107000"/>
            </a:lnSpc>
            <a:spcBef>
              <a:spcPts val="0"/>
            </a:spcBef>
            <a:spcAft>
              <a:spcPts val="800"/>
            </a:spcAft>
          </a:pPr>
          <a:r>
            <a:rPr lang="en-US" sz="1100">
              <a:effectLst/>
              <a:latin typeface="Arial" panose="020B0604020202020204" pitchFamily="34" charset="0"/>
              <a:ea typeface="Calibri" panose="020F0502020204030204" pitchFamily="34" charset="0"/>
              <a:cs typeface="Arial" panose="020B0604020202020204" pitchFamily="34" charset="0"/>
            </a:rPr>
            <a:t>As of</a:t>
          </a:r>
          <a:r>
            <a:rPr lang="en-US" sz="1100" baseline="0">
              <a:effectLst/>
              <a:latin typeface="Arial" panose="020B0604020202020204" pitchFamily="34" charset="0"/>
              <a:ea typeface="Calibri" panose="020F0502020204030204" pitchFamily="34" charset="0"/>
              <a:cs typeface="Arial" panose="020B0604020202020204" pitchFamily="34" charset="0"/>
            </a:rPr>
            <a:t> February 2022</a:t>
          </a:r>
          <a:r>
            <a:rPr lang="en-US" sz="1100">
              <a:effectLst/>
              <a:latin typeface="Arial" panose="020B0604020202020204" pitchFamily="34" charset="0"/>
              <a:ea typeface="Calibri" panose="020F0502020204030204" pitchFamily="34" charset="0"/>
              <a:cs typeface="Arial" panose="020B0604020202020204" pitchFamily="34" charset="0"/>
            </a:rPr>
            <a:t>, there have been four</a:t>
          </a:r>
          <a:r>
            <a:rPr lang="en-US" sz="1100" baseline="0">
              <a:effectLst/>
              <a:latin typeface="Arial" panose="020B0604020202020204" pitchFamily="34" charset="0"/>
              <a:ea typeface="Calibri" panose="020F0502020204030204" pitchFamily="34" charset="0"/>
              <a:cs typeface="Arial" panose="020B0604020202020204" pitchFamily="34" charset="0"/>
            </a:rPr>
            <a:t> </a:t>
          </a:r>
          <a:r>
            <a:rPr lang="en-US" sz="1100">
              <a:effectLst/>
              <a:latin typeface="Arial" panose="020B0604020202020204" pitchFamily="34" charset="0"/>
              <a:ea typeface="Calibri" panose="020F0502020204030204" pitchFamily="34" charset="0"/>
              <a:cs typeface="Arial" panose="020B0604020202020204" pitchFamily="34" charset="0"/>
            </a:rPr>
            <a:t>public releases of the Anaerobic Digestion (AD)</a:t>
          </a:r>
          <a:r>
            <a:rPr lang="en-US" sz="1100" baseline="0">
              <a:effectLst/>
              <a:latin typeface="Arial" panose="020B0604020202020204" pitchFamily="34" charset="0"/>
              <a:ea typeface="Calibri" panose="020F0502020204030204" pitchFamily="34" charset="0"/>
              <a:cs typeface="Arial" panose="020B0604020202020204" pitchFamily="34" charset="0"/>
            </a:rPr>
            <a:t> Screening Tool</a:t>
          </a:r>
          <a:r>
            <a:rPr lang="en-US" sz="1100">
              <a:effectLst/>
              <a:latin typeface="Arial" panose="020B0604020202020204" pitchFamily="34" charset="0"/>
              <a:ea typeface="Calibri" panose="020F0502020204030204" pitchFamily="34" charset="0"/>
              <a:cs typeface="Arial" panose="020B0604020202020204" pitchFamily="34" charset="0"/>
            </a:rPr>
            <a:t>. The following list briefly describes the differences between these versions of the AD Screening Tool. </a:t>
          </a:r>
        </a:p>
        <a:p>
          <a:pPr marL="0" marR="0">
            <a:lnSpc>
              <a:spcPct val="107000"/>
            </a:lnSpc>
            <a:spcBef>
              <a:spcPts val="0"/>
            </a:spcBef>
            <a:spcAft>
              <a:spcPts val="800"/>
            </a:spcAft>
          </a:pPr>
          <a:r>
            <a:rPr lang="en-US" sz="1100" b="1" u="sng">
              <a:effectLst/>
              <a:latin typeface="Arial" panose="020B0604020202020204" pitchFamily="34" charset="0"/>
              <a:ea typeface="Calibri" panose="020F0502020204030204" pitchFamily="34" charset="0"/>
              <a:cs typeface="Arial" panose="020B0604020202020204" pitchFamily="34" charset="0"/>
            </a:rPr>
            <a:t>Anaerobic Digestion Project Screening Tool</a:t>
          </a:r>
          <a:r>
            <a:rPr lang="en-US" sz="1100" b="1" u="sng" baseline="0">
              <a:effectLst/>
              <a:latin typeface="Arial" panose="020B0604020202020204" pitchFamily="34" charset="0"/>
              <a:ea typeface="Calibri" panose="020F0502020204030204" pitchFamily="34" charset="0"/>
              <a:cs typeface="Arial" panose="020B0604020202020204" pitchFamily="34" charset="0"/>
            </a:rPr>
            <a:t> (AD-PST)</a:t>
          </a:r>
          <a:r>
            <a:rPr lang="en-US" sz="1100" b="1" u="sng">
              <a:effectLst/>
              <a:latin typeface="Arial" panose="020B0604020202020204" pitchFamily="34" charset="0"/>
              <a:ea typeface="Calibri" panose="020F0502020204030204" pitchFamily="34" charset="0"/>
              <a:cs typeface="Arial" panose="020B0604020202020204" pitchFamily="34" charset="0"/>
            </a:rPr>
            <a:t> </a:t>
          </a:r>
          <a:r>
            <a:rPr lang="en-US" sz="1100" b="1" u="sng">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1.0 (July 2018)</a:t>
          </a:r>
        </a:p>
        <a:p>
          <a:pPr marL="171450" marR="0" lvl="0" indent="-171450">
            <a:lnSpc>
              <a:spcPct val="107000"/>
            </a:lnSpc>
            <a:spcBef>
              <a:spcPts val="0"/>
            </a:spcBef>
            <a:spcAft>
              <a:spcPts val="0"/>
            </a:spcAft>
            <a:buFont typeface="Courier New" panose="02070309020205020404" pitchFamily="49" charset="0"/>
            <a:buChar char="o"/>
          </a:pPr>
          <a:r>
            <a:rPr lang="en-US" sz="1100">
              <a:effectLst/>
              <a:latin typeface="Arial" panose="020B0604020202020204" pitchFamily="34" charset="0"/>
              <a:ea typeface="Calibri" panose="020F0502020204030204" pitchFamily="34" charset="0"/>
              <a:cs typeface="Arial" panose="020B0604020202020204" pitchFamily="34" charset="0"/>
            </a:rPr>
            <a:t>Released original AD-PST in July 2018.</a:t>
          </a:r>
          <a:endParaRPr lang="en-US" sz="1100" b="1" u="sng">
            <a:effectLst/>
            <a:latin typeface="Arial" panose="020B0604020202020204" pitchFamily="34" charset="0"/>
            <a:ea typeface="Calibri" panose="020F0502020204030204" pitchFamily="34" charset="0"/>
            <a:cs typeface="Arial" panose="020B0604020202020204" pitchFamily="34" charset="0"/>
          </a:endParaRPr>
        </a:p>
        <a:p>
          <a:pPr marL="0" marR="0" indent="0">
            <a:lnSpc>
              <a:spcPct val="107000"/>
            </a:lnSpc>
            <a:spcBef>
              <a:spcPts val="0"/>
            </a:spcBef>
            <a:spcAft>
              <a:spcPts val="0"/>
            </a:spcAft>
            <a:buFont typeface="Arial" panose="020B0604020202020204" pitchFamily="34" charset="0"/>
            <a:buNone/>
          </a:pPr>
          <a:endParaRPr lang="en-US" sz="1100" b="1" u="sng">
            <a:effectLst/>
            <a:latin typeface="Arial" panose="020B0604020202020204" pitchFamily="34" charset="0"/>
            <a:ea typeface="Calibri" panose="020F0502020204030204" pitchFamily="34" charset="0"/>
            <a:cs typeface="Arial" panose="020B0604020202020204" pitchFamily="34" charset="0"/>
          </a:endParaRPr>
        </a:p>
        <a:p>
          <a:pPr marL="0" marR="0" indent="0">
            <a:lnSpc>
              <a:spcPct val="107000"/>
            </a:lnSpc>
            <a:spcBef>
              <a:spcPts val="0"/>
            </a:spcBef>
            <a:spcAft>
              <a:spcPts val="800"/>
            </a:spcAft>
            <a:buFont typeface="Arial" panose="020B0604020202020204" pitchFamily="34" charset="0"/>
            <a:buNone/>
          </a:pPr>
          <a:r>
            <a:rPr lang="en-US" sz="1100" b="1" u="sng">
              <a:effectLst/>
              <a:latin typeface="Arial" panose="020B0604020202020204" pitchFamily="34" charset="0"/>
              <a:ea typeface="Calibri" panose="020F0502020204030204" pitchFamily="34" charset="0"/>
              <a:cs typeface="Arial" panose="020B0604020202020204" pitchFamily="34" charset="0"/>
            </a:rPr>
            <a:t>AD </a:t>
          </a:r>
          <a:r>
            <a:rPr lang="en-US" sz="1100" b="1" u="sng" baseline="0">
              <a:effectLst/>
              <a:latin typeface="Arial" panose="020B0604020202020204" pitchFamily="34" charset="0"/>
              <a:ea typeface="Calibri" panose="020F0502020204030204" pitchFamily="34" charset="0"/>
              <a:cs typeface="Arial" panose="020B0604020202020204" pitchFamily="34" charset="0"/>
            </a:rPr>
            <a:t>Screening Tool </a:t>
          </a:r>
          <a:r>
            <a:rPr lang="en-US" sz="1100" b="1" u="sng">
              <a:effectLst/>
              <a:latin typeface="Arial" panose="020B0604020202020204" pitchFamily="34" charset="0"/>
              <a:ea typeface="Calibri" panose="020F0502020204030204" pitchFamily="34" charset="0"/>
              <a:cs typeface="Arial" panose="020B0604020202020204" pitchFamily="34" charset="0"/>
            </a:rPr>
            <a:t>2.0 (October 2021)</a:t>
          </a:r>
        </a:p>
        <a:p>
          <a:pPr marL="171450" marR="0" lvl="0" indent="-171450">
            <a:lnSpc>
              <a:spcPct val="107000"/>
            </a:lnSpc>
            <a:spcBef>
              <a:spcPts val="0"/>
            </a:spcBef>
            <a:spcAft>
              <a:spcPts val="0"/>
            </a:spcAft>
            <a:buFont typeface="Courier New" panose="02070309020205020404" pitchFamily="49" charset="0"/>
            <a:buChar char="o"/>
          </a:pPr>
          <a:r>
            <a:rPr lang="en-US" sz="1100">
              <a:effectLst/>
              <a:latin typeface="Arial" panose="020B0604020202020204" pitchFamily="34" charset="0"/>
              <a:ea typeface="Calibri" panose="020F0502020204030204" pitchFamily="34" charset="0"/>
              <a:cs typeface="Arial" panose="020B0604020202020204" pitchFamily="34" charset="0"/>
            </a:rPr>
            <a:t>Revised the user interface and input sheets for ease of use</a:t>
          </a:r>
        </a:p>
        <a:p>
          <a:pPr marL="171450" marR="0" lvl="0" indent="-171450">
            <a:lnSpc>
              <a:spcPct val="107000"/>
            </a:lnSpc>
            <a:spcBef>
              <a:spcPts val="0"/>
            </a:spcBef>
            <a:spcAft>
              <a:spcPts val="0"/>
            </a:spcAft>
            <a:buFont typeface="Courier New" panose="02070309020205020404" pitchFamily="49" charset="0"/>
            <a:buChar char="o"/>
          </a:pPr>
          <a:r>
            <a:rPr lang="en-US" sz="1100">
              <a:effectLst/>
              <a:latin typeface="Arial" panose="020B0604020202020204" pitchFamily="34" charset="0"/>
              <a:ea typeface="Calibri" panose="020F0502020204030204" pitchFamily="34" charset="0"/>
              <a:cs typeface="Arial" panose="020B0604020202020204" pitchFamily="34" charset="0"/>
            </a:rPr>
            <a:t>Added calibration</a:t>
          </a:r>
          <a:r>
            <a:rPr lang="en-US" sz="1100" baseline="0">
              <a:effectLst/>
              <a:latin typeface="Arial" panose="020B0604020202020204" pitchFamily="34" charset="0"/>
              <a:ea typeface="Calibri" panose="020F0502020204030204" pitchFamily="34" charset="0"/>
              <a:cs typeface="Arial" panose="020B0604020202020204" pitchFamily="34" charset="0"/>
            </a:rPr>
            <a:t> factors for high and low biogas production estimates</a:t>
          </a:r>
        </a:p>
        <a:p>
          <a:pPr marL="171450" marR="0" lvl="0" indent="-171450">
            <a:lnSpc>
              <a:spcPct val="107000"/>
            </a:lnSpc>
            <a:spcBef>
              <a:spcPts val="0"/>
            </a:spcBef>
            <a:spcAft>
              <a:spcPts val="0"/>
            </a:spcAft>
            <a:buFont typeface="Courier New" panose="02070309020205020404" pitchFamily="49" charset="0"/>
            <a:buChar char="o"/>
          </a:pPr>
          <a:r>
            <a:rPr lang="en-US" sz="1100">
              <a:effectLst/>
              <a:latin typeface="Arial" panose="020B0604020202020204" pitchFamily="34" charset="0"/>
              <a:ea typeface="Calibri" panose="020F0502020204030204" pitchFamily="34" charset="0"/>
              <a:cs typeface="Arial" panose="020B0604020202020204" pitchFamily="34" charset="0"/>
            </a:rPr>
            <a:t>Added feature</a:t>
          </a:r>
          <a:r>
            <a:rPr lang="en-US" sz="1100" baseline="0">
              <a:effectLst/>
              <a:latin typeface="Arial" panose="020B0604020202020204" pitchFamily="34" charset="0"/>
              <a:ea typeface="Calibri" panose="020F0502020204030204" pitchFamily="34" charset="0"/>
              <a:cs typeface="Arial" panose="020B0604020202020204" pitchFamily="34" charset="0"/>
            </a:rPr>
            <a:t> to estimate methane emissions reductions compared to baseline waste management systems</a:t>
          </a:r>
          <a:endParaRPr lang="en-US" sz="1100">
            <a:effectLst/>
            <a:latin typeface="Arial" panose="020B0604020202020204" pitchFamily="34" charset="0"/>
            <a:ea typeface="Calibri" panose="020F0502020204030204" pitchFamily="34" charset="0"/>
            <a:cs typeface="Arial" panose="020B0604020202020204" pitchFamily="34" charset="0"/>
          </a:endParaRPr>
        </a:p>
        <a:p>
          <a:pPr marL="171450" marR="0" lvl="0" indent="-171450">
            <a:lnSpc>
              <a:spcPct val="107000"/>
            </a:lnSpc>
            <a:spcBef>
              <a:spcPts val="0"/>
            </a:spcBef>
            <a:spcAft>
              <a:spcPts val="0"/>
            </a:spcAft>
            <a:buFont typeface="Courier New" panose="02070309020205020404" pitchFamily="49" charset="0"/>
            <a:buChar char="o"/>
          </a:pPr>
          <a:r>
            <a:rPr lang="en-US" sz="1100">
              <a:effectLst/>
              <a:latin typeface="Arial" panose="020B0604020202020204" pitchFamily="34" charset="0"/>
              <a:ea typeface="Calibri" panose="020F0502020204030204" pitchFamily="34" charset="0"/>
              <a:cs typeface="Arial" panose="020B0604020202020204" pitchFamily="34" charset="0"/>
            </a:rPr>
            <a:t>Added</a:t>
          </a:r>
          <a:r>
            <a:rPr lang="en-US" sz="1100" baseline="0">
              <a:effectLst/>
              <a:latin typeface="Arial" panose="020B0604020202020204" pitchFamily="34" charset="0"/>
              <a:ea typeface="Calibri" panose="020F0502020204030204" pitchFamily="34" charset="0"/>
              <a:cs typeface="Arial" panose="020B0604020202020204" pitchFamily="34" charset="0"/>
            </a:rPr>
            <a:t> agricultural feedstocks in addition to solid waste</a:t>
          </a:r>
          <a:endParaRPr lang="en-US" sz="1100">
            <a:effectLst/>
            <a:latin typeface="Arial" panose="020B0604020202020204" pitchFamily="34" charset="0"/>
            <a:ea typeface="Calibri" panose="020F0502020204030204" pitchFamily="34" charset="0"/>
            <a:cs typeface="Arial" panose="020B0604020202020204" pitchFamily="34" charset="0"/>
          </a:endParaRPr>
        </a:p>
        <a:p>
          <a:pPr marL="171450" marR="0" lvl="0" indent="-171450">
            <a:lnSpc>
              <a:spcPct val="107000"/>
            </a:lnSpc>
            <a:spcBef>
              <a:spcPts val="0"/>
            </a:spcBef>
            <a:spcAft>
              <a:spcPts val="0"/>
            </a:spcAft>
            <a:buFont typeface="Courier New" panose="02070309020205020404" pitchFamily="49" charset="0"/>
            <a:buChar char="o"/>
          </a:pPr>
          <a:r>
            <a:rPr lang="en-US" sz="1100">
              <a:effectLst/>
              <a:latin typeface="Arial" panose="020B0604020202020204" pitchFamily="34" charset="0"/>
              <a:ea typeface="Calibri" panose="020F0502020204030204" pitchFamily="34" charset="0"/>
              <a:cs typeface="Arial" panose="020B0604020202020204" pitchFamily="34" charset="0"/>
            </a:rPr>
            <a:t>Completed peer review process</a:t>
          </a:r>
        </a:p>
        <a:p>
          <a:pPr marL="171450" marR="0" lvl="0" indent="-171450">
            <a:lnSpc>
              <a:spcPct val="107000"/>
            </a:lnSpc>
            <a:spcBef>
              <a:spcPts val="0"/>
            </a:spcBef>
            <a:spcAft>
              <a:spcPts val="800"/>
            </a:spcAft>
            <a:buFont typeface="Courier New" panose="02070309020205020404" pitchFamily="49" charset="0"/>
            <a:buChar char="o"/>
          </a:pPr>
          <a:r>
            <a:rPr lang="en-US" sz="1100">
              <a:effectLst/>
              <a:latin typeface="Arial" panose="020B0604020202020204" pitchFamily="34" charset="0"/>
              <a:ea typeface="Calibri" panose="020F0502020204030204" pitchFamily="34" charset="0"/>
              <a:cs typeface="Arial" panose="020B0604020202020204" pitchFamily="34" charset="0"/>
            </a:rPr>
            <a:t>Published AD</a:t>
          </a:r>
          <a:r>
            <a:rPr lang="en-US" sz="1100" baseline="0">
              <a:effectLst/>
              <a:latin typeface="Arial" panose="020B0604020202020204" pitchFamily="34" charset="0"/>
              <a:ea typeface="Calibri" panose="020F0502020204030204" pitchFamily="34" charset="0"/>
              <a:cs typeface="Arial" panose="020B0604020202020204" pitchFamily="34" charset="0"/>
            </a:rPr>
            <a:t> Screening Tool</a:t>
          </a:r>
          <a:r>
            <a:rPr lang="en-US" sz="1100">
              <a:effectLst/>
              <a:latin typeface="Arial" panose="020B0604020202020204" pitchFamily="34" charset="0"/>
              <a:ea typeface="Calibri" panose="020F0502020204030204" pitchFamily="34" charset="0"/>
              <a:cs typeface="Arial" panose="020B0604020202020204" pitchFamily="34" charset="0"/>
            </a:rPr>
            <a:t> User Manual </a:t>
          </a:r>
        </a:p>
        <a:p>
          <a:pPr marL="0" marR="0" lvl="0" indent="0">
            <a:lnSpc>
              <a:spcPct val="107000"/>
            </a:lnSpc>
            <a:spcBef>
              <a:spcPts val="0"/>
            </a:spcBef>
            <a:spcAft>
              <a:spcPts val="800"/>
            </a:spcAft>
            <a:buFont typeface="Courier New" panose="02070309020205020404" pitchFamily="49" charset="0"/>
            <a:buNone/>
          </a:pPr>
          <a:r>
            <a:rPr lang="en-US" sz="1100" b="1" u="sng">
              <a:effectLst/>
              <a:latin typeface="Arial" panose="020B0604020202020204" pitchFamily="34" charset="0"/>
              <a:ea typeface="Calibri" panose="020F0502020204030204" pitchFamily="34" charset="0"/>
              <a:cs typeface="Arial" panose="020B0604020202020204" pitchFamily="34" charset="0"/>
            </a:rPr>
            <a:t>AD Screening Tool 2.1 &amp; 2.2 (January &amp; March 2022)</a:t>
          </a:r>
        </a:p>
        <a:p>
          <a:pPr marL="171450" marR="0" lvl="0" indent="-171450">
            <a:lnSpc>
              <a:spcPct val="107000"/>
            </a:lnSpc>
            <a:spcBef>
              <a:spcPts val="0"/>
            </a:spcBef>
            <a:spcAft>
              <a:spcPts val="0"/>
            </a:spcAft>
            <a:buFont typeface="Courier New" panose="02070309020205020404" pitchFamily="49" charset="0"/>
            <a:buChar char="o"/>
          </a:pPr>
          <a:r>
            <a:rPr lang="en-US" sz="1100">
              <a:solidFill>
                <a:schemeClr val="dk1"/>
              </a:solidFill>
              <a:effectLst/>
              <a:latin typeface="Arial" panose="020B0604020202020204" pitchFamily="34" charset="0"/>
              <a:ea typeface="Calibri" panose="020F0502020204030204" pitchFamily="34" charset="0"/>
              <a:cs typeface="Arial" panose="020B0604020202020204" pitchFamily="34" charset="0"/>
            </a:rPr>
            <a:t>Fixed</a:t>
          </a:r>
          <a:r>
            <a:rPr lang="en-US" sz="1100" baseline="0">
              <a:solidFill>
                <a:schemeClr val="dk1"/>
              </a:solidFill>
              <a:effectLst/>
              <a:latin typeface="Arial" panose="020B0604020202020204" pitchFamily="34" charset="0"/>
              <a:ea typeface="Calibri" panose="020F0502020204030204" pitchFamily="34" charset="0"/>
              <a:cs typeface="Arial" panose="020B0604020202020204" pitchFamily="34" charset="0"/>
            </a:rPr>
            <a:t> bug causing an error in project methane emissions estimates</a:t>
          </a:r>
        </a:p>
        <a:p>
          <a:pPr marL="171450" marR="0" lvl="0" indent="-171450">
            <a:lnSpc>
              <a:spcPct val="107000"/>
            </a:lnSpc>
            <a:spcBef>
              <a:spcPts val="0"/>
            </a:spcBef>
            <a:spcAft>
              <a:spcPts val="0"/>
            </a:spcAft>
            <a:buFont typeface="Courier New" panose="02070309020205020404" pitchFamily="49" charset="0"/>
            <a:buChar char="o"/>
          </a:pPr>
          <a:r>
            <a:rPr lang="en-US" sz="1100" baseline="0">
              <a:solidFill>
                <a:schemeClr val="dk1"/>
              </a:solidFill>
              <a:effectLst/>
              <a:latin typeface="Arial" panose="020B0604020202020204" pitchFamily="34" charset="0"/>
              <a:ea typeface="Calibri" panose="020F0502020204030204" pitchFamily="34" charset="0"/>
              <a:cs typeface="Arial" panose="020B0604020202020204" pitchFamily="34" charset="0"/>
            </a:rPr>
            <a:t>Fixed bug causing an error in the feedstock substrate composition</a:t>
          </a:r>
        </a:p>
        <a:p>
          <a:pPr marL="171450" marR="0" lvl="0" indent="-171450">
            <a:lnSpc>
              <a:spcPct val="107000"/>
            </a:lnSpc>
            <a:spcBef>
              <a:spcPts val="0"/>
            </a:spcBef>
            <a:spcAft>
              <a:spcPts val="0"/>
            </a:spcAft>
            <a:buFont typeface="Courier New" panose="02070309020205020404" pitchFamily="49" charset="0"/>
            <a:buChar char="o"/>
          </a:pPr>
          <a:endParaRPr lang="en-US" sz="1100" baseline="0">
            <a:solidFill>
              <a:schemeClr val="dk1"/>
            </a:solidFill>
            <a:effectLst/>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 typeface="Courier New" panose="02070309020205020404" pitchFamily="49" charset="0"/>
            <a:buNone/>
            <a:tabLst/>
            <a:defRPr/>
          </a:pPr>
          <a:r>
            <a:rPr kumimoji="0" lang="en-US" sz="1100" b="1" i="0" u="sng"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AD Screening Tool 2.3 (October 2023)</a:t>
          </a:r>
        </a:p>
        <a:p>
          <a:pPr marL="171450" marR="0" lvl="0" indent="-171450" defTabSz="914400" eaLnBrk="1" fontAlgn="auto" latinLnBrk="0" hangingPunct="1">
            <a:lnSpc>
              <a:spcPct val="107000"/>
            </a:lnSpc>
            <a:spcBef>
              <a:spcPts val="0"/>
            </a:spcBef>
            <a:spcAft>
              <a:spcPts val="0"/>
            </a:spcAft>
            <a:buClrTx/>
            <a:buSzTx/>
            <a:buFont typeface="Courier New" panose="02070309020205020404" pitchFamily="49" charset="0"/>
            <a:buChar char="o"/>
            <a:tabLst/>
            <a:defRPr/>
          </a:pPr>
          <a:r>
            <a:rPr kumimoji="0" lang="en-US" sz="1100" b="1"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4-Emissions Inputs:</a:t>
          </a:r>
          <a:r>
            <a:rPr kumimoji="0" lang="en-US" sz="11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 Updated default grid gross loss value from 5.1% to 4.5% per the most recent eGRID dataset (eGRID2021)</a:t>
          </a:r>
        </a:p>
        <a:p>
          <a:pPr marL="171450" marR="0" lvl="0" indent="-171450" defTabSz="914400" eaLnBrk="1" fontAlgn="auto" latinLnBrk="0" hangingPunct="1">
            <a:lnSpc>
              <a:spcPct val="107000"/>
            </a:lnSpc>
            <a:spcBef>
              <a:spcPts val="0"/>
            </a:spcBef>
            <a:spcAft>
              <a:spcPts val="0"/>
            </a:spcAft>
            <a:buClrTx/>
            <a:buSzTx/>
            <a:buFont typeface="Courier New" panose="02070309020205020404" pitchFamily="49" charset="0"/>
            <a:buChar char="o"/>
            <a:tabLst/>
            <a:defRPr/>
          </a:pPr>
          <a:r>
            <a:rPr kumimoji="0" lang="en-US" sz="1100" b="1"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7-Digestate Production</a:t>
          </a:r>
          <a:r>
            <a:rPr kumimoji="0" lang="en-US" sz="11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 Updated a hidden formula for </a:t>
          </a:r>
          <a:r>
            <a:rPr kumimoji="0" lang="en-US" sz="1100" b="0" i="1"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Digestate Production (kg / day) - Remaining Volatile Solids </a:t>
          </a:r>
          <a:r>
            <a:rPr kumimoji="0" lang="en-US" sz="11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to account for the percent composition of methane in the Total Biogas Production.</a:t>
          </a:r>
        </a:p>
        <a:p>
          <a:pPr marL="171450" marR="0" lvl="0" indent="-171450" defTabSz="914400" eaLnBrk="1" fontAlgn="auto" latinLnBrk="0" hangingPunct="1">
            <a:lnSpc>
              <a:spcPct val="107000"/>
            </a:lnSpc>
            <a:spcBef>
              <a:spcPts val="0"/>
            </a:spcBef>
            <a:spcAft>
              <a:spcPts val="0"/>
            </a:spcAft>
            <a:buClrTx/>
            <a:buSzTx/>
            <a:buFont typeface="Courier New" panose="02070309020205020404" pitchFamily="49" charset="0"/>
            <a:buChar char="o"/>
            <a:tabLst/>
            <a:defRPr/>
          </a:pPr>
          <a:r>
            <a:rPr kumimoji="0" lang="en-US" sz="1100" b="1"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8-Emission Reductions</a:t>
          </a:r>
          <a:r>
            <a:rPr kumimoji="0" lang="en-US" sz="11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 Updated default methane GWP from 25 to 28 per the IPCC AR5 report</a:t>
          </a:r>
        </a:p>
        <a:p>
          <a:pPr marL="171450" marR="0" lvl="0" indent="-171450" defTabSz="914400" eaLnBrk="1" fontAlgn="auto" latinLnBrk="0" hangingPunct="1">
            <a:lnSpc>
              <a:spcPct val="107000"/>
            </a:lnSpc>
            <a:spcBef>
              <a:spcPts val="0"/>
            </a:spcBef>
            <a:spcAft>
              <a:spcPts val="0"/>
            </a:spcAft>
            <a:buClrTx/>
            <a:buSzTx/>
            <a:buFont typeface="Courier New" panose="02070309020205020404" pitchFamily="49" charset="0"/>
            <a:buChar char="o"/>
            <a:tabLst/>
            <a:defRPr/>
          </a:pPr>
          <a:r>
            <a:rPr kumimoji="0" lang="en-US" sz="1100" b="1"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9-Feedstock Characteristcs</a:t>
          </a:r>
          <a:r>
            <a:rPr kumimoji="0" lang="en-US" sz="11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 Updated error in formula for the </a:t>
          </a:r>
          <a:r>
            <a:rPr lang="en-US" sz="1100" b="0" i="0" baseline="0">
              <a:solidFill>
                <a:schemeClr val="dk1"/>
              </a:solidFill>
              <a:effectLst/>
              <a:latin typeface="Arial" panose="020B0604020202020204" pitchFamily="34" charset="0"/>
              <a:ea typeface="+mn-ea"/>
              <a:cs typeface="Arial" panose="020B0604020202020204" pitchFamily="34" charset="0"/>
            </a:rPr>
            <a:t>Slaughterhouse Waste (Carcass/Paunch) row, Fixed Solids (Ash) column (cell H99).</a:t>
          </a:r>
          <a:endParaRPr kumimoji="0" lang="en-US" sz="11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xdr:row>
      <xdr:rowOff>69560</xdr:rowOff>
    </xdr:from>
    <xdr:to>
      <xdr:col>2</xdr:col>
      <xdr:colOff>8944428</xdr:colOff>
      <xdr:row>19</xdr:row>
      <xdr:rowOff>9071</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84026" y="450560"/>
          <a:ext cx="10275545" cy="3531797"/>
        </a:xfrm>
        <a:prstGeom prst="rect">
          <a:avLst/>
        </a:prstGeom>
        <a:solidFill>
          <a:schemeClr val="bg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Arial" panose="020B0604020202020204" pitchFamily="34" charset="0"/>
              <a:ea typeface="+mn-ea"/>
              <a:cs typeface="Arial" panose="020B0604020202020204" pitchFamily="34" charset="0"/>
            </a:rPr>
            <a:t>The municipal solid waste (MSW) and agricultural sectors are significant sources of short-lived climate pollutant (SLCP) emissions, especially methane and black carbon. Anaerobic digestion (AD) is a natural process in which bacteria break down organic matter in an oxygen-free environment to form biogas and digestate. AD systems provide a variety of environmental and public health benefits that reduce SLCPs, divert organic waste, reduce odors, and destroy pathogens. </a:t>
          </a:r>
          <a:endParaRPr lang="en-US">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Arial" panose="020B0604020202020204" pitchFamily="34" charset="0"/>
              <a:ea typeface="+mn-ea"/>
              <a:cs typeface="Arial" panose="020B0604020202020204" pitchFamily="34" charset="0"/>
            </a:rPr>
            <a:t>The U.S. Environmental Protection Agency on behalf of the Global Methane Initiative (GMI) developed the the Anaerobic Digestion (AD) Screening Tool to support biogas developers in conducting preliminary feasibility assessments of the volume of biogas their AD system could generate based on available waste streams. The tool will provide a first-order estimate of the potential quantity of gas and digestate that could be produced annually by a given waste stream, as well as estimates of emissions reductions from the project as a whole. </a:t>
          </a:r>
          <a:endParaRPr lang="en-US">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The tool also provides users with inputs for the OrganEcs - Anaerobic Digestion Version 3.1 tool based on the digester characteristics input here. OrganEcs was developed by the U.S. Environmental Protection Agency under the auspices of the Global Methane Initiative and in support of the Climate and Clean Air Coalition. Access OrganEcs at https://www.globalmethane.org/resources/details.aspx?resourceid=5175</a:t>
          </a:r>
        </a:p>
        <a:p>
          <a:pPr marL="0" marR="0" lvl="0" indent="0" defTabSz="914400" eaLnBrk="1" fontAlgn="auto" latinLnBrk="0" hangingPunct="1">
            <a:lnSpc>
              <a:spcPct val="100000"/>
            </a:lnSpc>
            <a:spcBef>
              <a:spcPts val="0"/>
            </a:spcBef>
            <a:spcAft>
              <a:spcPts val="0"/>
            </a:spcAft>
            <a:buClrTx/>
            <a:buSzTx/>
            <a:buFontTx/>
            <a:buNone/>
            <a:tabLst/>
            <a:defRPr/>
          </a:pPr>
          <a:endParaRPr lang="en-US" sz="1200" b="1" i="0" baseline="0">
            <a:solidFill>
              <a:sysClr val="windowText" lastClr="000000"/>
            </a:solidFill>
            <a:effectLst/>
            <a:latin typeface="Arial" panose="020B0604020202020204" pitchFamily="34" charset="0"/>
            <a:ea typeface="+mn-ea"/>
            <a:cs typeface="Arial" panose="020B0604020202020204" pitchFamily="34" charset="0"/>
          </a:endParaRPr>
        </a:p>
        <a:p>
          <a:pPr eaLnBrk="1" fontAlgn="auto" latinLnBrk="0" hangingPunct="1"/>
          <a:r>
            <a:rPr lang="en-US" sz="1200" b="1" i="0" baseline="0">
              <a:solidFill>
                <a:sysClr val="windowText" lastClr="000000"/>
              </a:solidFill>
              <a:effectLst/>
              <a:latin typeface="Arial" panose="020B0604020202020204" pitchFamily="34" charset="0"/>
              <a:ea typeface="+mn-ea"/>
              <a:cs typeface="Arial" panose="020B0604020202020204" pitchFamily="34" charset="0"/>
            </a:rPr>
            <a:t>Model Organization</a:t>
          </a:r>
          <a:endParaRPr lang="en-US" sz="1200">
            <a:solidFill>
              <a:sysClr val="windowText" lastClr="000000"/>
            </a:solidFill>
            <a:effectLst/>
            <a:latin typeface="Arial" panose="020B0604020202020204" pitchFamily="34" charset="0"/>
            <a:cs typeface="Arial" panose="020B0604020202020204" pitchFamily="34" charset="0"/>
          </a:endParaRPr>
        </a:p>
        <a:p>
          <a:pPr eaLnBrk="1" fontAlgn="auto" latinLnBrk="0" hangingPunct="1"/>
          <a:r>
            <a:rPr lang="en-US" sz="1100" b="0" i="0" baseline="0">
              <a:solidFill>
                <a:sysClr val="windowText" lastClr="000000"/>
              </a:solidFill>
              <a:effectLst/>
              <a:latin typeface="Arial" panose="020B0604020202020204" pitchFamily="34" charset="0"/>
              <a:ea typeface="+mn-ea"/>
              <a:cs typeface="Arial" panose="020B0604020202020204" pitchFamily="34" charset="0"/>
            </a:rPr>
            <a:t>AD Screening Tool is organized as follows: </a:t>
          </a:r>
          <a:endParaRPr lang="en-US" sz="1100">
            <a:solidFill>
              <a:sysClr val="windowText" lastClr="000000"/>
            </a:solidFill>
            <a:effectLst/>
            <a:latin typeface="Arial" panose="020B0604020202020204" pitchFamily="34" charset="0"/>
            <a:cs typeface="Arial" panose="020B0604020202020204" pitchFamily="34" charset="0"/>
          </a:endParaRPr>
        </a:p>
        <a:p>
          <a:pPr eaLnBrk="1" fontAlgn="auto" latinLnBrk="0" hangingPunct="1"/>
          <a:r>
            <a:rPr lang="en-US" sz="1100" b="0" i="0" baseline="0">
              <a:solidFill>
                <a:schemeClr val="dk1"/>
              </a:solidFill>
              <a:effectLst/>
              <a:latin typeface="Arial" panose="020B0604020202020204" pitchFamily="34" charset="0"/>
              <a:ea typeface="+mn-ea"/>
              <a:cs typeface="Arial" panose="020B0604020202020204" pitchFamily="34" charset="0"/>
            </a:rPr>
            <a:t>•  </a:t>
          </a:r>
          <a:r>
            <a:rPr lang="en-US" sz="1100" b="0" i="0" baseline="0">
              <a:solidFill>
                <a:sysClr val="windowText" lastClr="000000"/>
              </a:solidFill>
              <a:effectLst/>
              <a:latin typeface="Arial" panose="020B0604020202020204" pitchFamily="34" charset="0"/>
              <a:ea typeface="+mn-ea"/>
              <a:cs typeface="Arial" panose="020B0604020202020204" pitchFamily="34" charset="0"/>
            </a:rPr>
            <a:t>The </a:t>
          </a:r>
          <a:r>
            <a:rPr lang="en-US" sz="1200" b="1" i="0" baseline="0">
              <a:ln>
                <a:solidFill>
                  <a:sysClr val="windowText" lastClr="000000"/>
                </a:solidFill>
              </a:ln>
              <a:solidFill>
                <a:srgbClr val="DBAD4F"/>
              </a:solidFill>
              <a:effectLst/>
              <a:latin typeface="Arial" panose="020B0604020202020204" pitchFamily="34" charset="0"/>
              <a:ea typeface="+mn-ea"/>
              <a:cs typeface="Arial" panose="020B0604020202020204" pitchFamily="34" charset="0"/>
            </a:rPr>
            <a:t>BROWN</a:t>
          </a:r>
          <a:r>
            <a:rPr lang="en-US" sz="1100" b="1" i="0" baseline="0">
              <a:solidFill>
                <a:schemeClr val="bg1"/>
              </a:solidFill>
              <a:effectLst/>
              <a:latin typeface="Arial" panose="020B0604020202020204" pitchFamily="34" charset="0"/>
              <a:ea typeface="+mn-ea"/>
              <a:cs typeface="Arial" panose="020B0604020202020204" pitchFamily="34" charset="0"/>
            </a:rPr>
            <a:t> </a:t>
          </a:r>
          <a:r>
            <a:rPr lang="en-US" sz="1100" b="0" i="0" baseline="0">
              <a:solidFill>
                <a:sysClr val="windowText" lastClr="000000"/>
              </a:solidFill>
              <a:effectLst/>
              <a:latin typeface="Arial" panose="020B0604020202020204" pitchFamily="34" charset="0"/>
              <a:ea typeface="+mn-ea"/>
              <a:cs typeface="Arial" panose="020B0604020202020204" pitchFamily="34" charset="0"/>
            </a:rPr>
            <a:t>tabs provide instructions, notes, assumptions, default values references, and additional information. </a:t>
          </a:r>
        </a:p>
        <a:p>
          <a:pPr eaLnBrk="1" fontAlgn="auto" latinLnBrk="0" hangingPunct="1"/>
          <a:r>
            <a:rPr lang="en-US" sz="1100" b="0" i="0" baseline="0">
              <a:solidFill>
                <a:schemeClr val="dk1"/>
              </a:solidFill>
              <a:effectLst/>
              <a:latin typeface="Arial" panose="020B0604020202020204" pitchFamily="34" charset="0"/>
              <a:ea typeface="+mn-ea"/>
              <a:cs typeface="Arial" panose="020B0604020202020204" pitchFamily="34" charset="0"/>
            </a:rPr>
            <a:t>•  </a:t>
          </a:r>
          <a:r>
            <a:rPr lang="en-US" sz="1100" b="0" i="0" baseline="0">
              <a:solidFill>
                <a:sysClr val="windowText" lastClr="000000"/>
              </a:solidFill>
              <a:effectLst/>
              <a:latin typeface="Arial" panose="020B0604020202020204" pitchFamily="34" charset="0"/>
              <a:ea typeface="+mn-ea"/>
              <a:cs typeface="Arial" panose="020B0604020202020204" pitchFamily="34" charset="0"/>
            </a:rPr>
            <a:t>Users are required to enter data on the </a:t>
          </a:r>
          <a:r>
            <a:rPr lang="en-US" sz="1200" b="1" i="0" baseline="0">
              <a:solidFill>
                <a:srgbClr val="25C6FF"/>
              </a:solidFill>
              <a:effectLst/>
              <a:latin typeface="Arial" panose="020B0604020202020204" pitchFamily="34" charset="0"/>
              <a:ea typeface="+mn-ea"/>
              <a:cs typeface="Arial" panose="020B0604020202020204" pitchFamily="34" charset="0"/>
            </a:rPr>
            <a:t>BLUE</a:t>
          </a:r>
          <a:r>
            <a:rPr lang="en-US" sz="1100" b="0" i="0" baseline="0">
              <a:solidFill>
                <a:srgbClr val="25C6FF"/>
              </a:solidFill>
              <a:effectLst/>
              <a:latin typeface="Arial" panose="020B0604020202020204" pitchFamily="34" charset="0"/>
              <a:ea typeface="+mn-ea"/>
              <a:cs typeface="Arial" panose="020B0604020202020204" pitchFamily="34" charset="0"/>
            </a:rPr>
            <a:t> </a:t>
          </a:r>
          <a:r>
            <a:rPr lang="en-US" sz="1100" b="0" i="0" baseline="0">
              <a:solidFill>
                <a:sysClr val="windowText" lastClr="000000"/>
              </a:solidFill>
              <a:effectLst/>
              <a:latin typeface="Arial" panose="020B0604020202020204" pitchFamily="34" charset="0"/>
              <a:ea typeface="+mn-ea"/>
              <a:cs typeface="Arial" panose="020B0604020202020204" pitchFamily="34" charset="0"/>
            </a:rPr>
            <a:t>tabs.</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Arial" panose="020B0604020202020204" pitchFamily="34" charset="0"/>
              <a:ea typeface="+mn-ea"/>
              <a:cs typeface="Arial" panose="020B0604020202020204" pitchFamily="34" charset="0"/>
            </a:rPr>
            <a:t>•  The four </a:t>
          </a:r>
          <a:r>
            <a:rPr lang="en-US" sz="1200" b="1" i="0" baseline="0">
              <a:solidFill>
                <a:schemeClr val="dk1"/>
              </a:solidFill>
              <a:effectLst/>
              <a:latin typeface="Arial" panose="020B0604020202020204" pitchFamily="34" charset="0"/>
              <a:ea typeface="+mn-ea"/>
              <a:cs typeface="Arial" panose="020B0604020202020204" pitchFamily="34" charset="0"/>
            </a:rPr>
            <a:t>BLACK</a:t>
          </a:r>
          <a:r>
            <a:rPr lang="en-US" sz="1100" b="0" i="0" baseline="0">
              <a:solidFill>
                <a:schemeClr val="dk1"/>
              </a:solidFill>
              <a:effectLst/>
              <a:latin typeface="Arial" panose="020B0604020202020204" pitchFamily="34" charset="0"/>
              <a:ea typeface="+mn-ea"/>
              <a:cs typeface="Arial" panose="020B0604020202020204" pitchFamily="34" charset="0"/>
            </a:rPr>
            <a:t> tabs provide several tables and charts that summarize the tool's outputs</a:t>
          </a:r>
          <a:endParaRPr lang="en-US" sz="1100">
            <a:solidFill>
              <a:sysClr val="windowText" lastClr="000000"/>
            </a:solidFill>
            <a:effectLst/>
            <a:latin typeface="Arial" panose="020B0604020202020204" pitchFamily="34" charset="0"/>
            <a:cs typeface="Arial" panose="020B0604020202020204" pitchFamily="34" charset="0"/>
          </a:endParaRPr>
        </a:p>
        <a:p>
          <a:pPr eaLnBrk="1" fontAlgn="auto" latinLnBrk="0" hangingPunct="1"/>
          <a:r>
            <a:rPr lang="en-US" sz="1100" b="0" i="0" baseline="0">
              <a:solidFill>
                <a:schemeClr val="dk1"/>
              </a:solidFill>
              <a:effectLst/>
              <a:latin typeface="Arial" panose="020B0604020202020204" pitchFamily="34" charset="0"/>
              <a:ea typeface="+mn-ea"/>
              <a:cs typeface="Arial" panose="020B0604020202020204" pitchFamily="34" charset="0"/>
            </a:rPr>
            <a:t>•  </a:t>
          </a:r>
          <a:r>
            <a:rPr lang="en-US" sz="1100" b="0" i="0" baseline="0">
              <a:solidFill>
                <a:sysClr val="windowText" lastClr="000000"/>
              </a:solidFill>
              <a:effectLst/>
              <a:latin typeface="Arial" panose="020B0604020202020204" pitchFamily="34" charset="0"/>
              <a:ea typeface="+mn-ea"/>
              <a:cs typeface="Arial" panose="020B0604020202020204" pitchFamily="34" charset="0"/>
            </a:rPr>
            <a:t>The </a:t>
          </a:r>
          <a:r>
            <a:rPr kumimoji="0" lang="en-US" sz="1200" b="1" i="0" u="none" strike="noStrike" kern="0" cap="none" spc="0" normalizeH="0" baseline="0" noProof="0">
              <a:ln>
                <a:solidFill>
                  <a:schemeClr val="tx1"/>
                </a:solidFill>
              </a:ln>
              <a:solidFill>
                <a:srgbClr val="FFFF00"/>
              </a:solidFill>
              <a:effectLst/>
              <a:uLnTx/>
              <a:uFillTx/>
              <a:latin typeface="Arial" panose="020B0604020202020204" pitchFamily="34" charset="0"/>
              <a:ea typeface="+mn-ea"/>
              <a:cs typeface="Arial" panose="020B0604020202020204" pitchFamily="34" charset="0"/>
            </a:rPr>
            <a:t>YELLOW</a:t>
          </a:r>
          <a:r>
            <a:rPr kumimoji="0" lang="en-US" sz="11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a:t>
          </a:r>
          <a:r>
            <a:rPr lang="en-US" sz="1100" b="0" i="0" baseline="0">
              <a:solidFill>
                <a:sysClr val="windowText" lastClr="000000"/>
              </a:solidFill>
              <a:effectLst/>
              <a:latin typeface="Arial" panose="020B0604020202020204" pitchFamily="34" charset="0"/>
              <a:ea typeface="+mn-ea"/>
              <a:cs typeface="Arial" panose="020B0604020202020204" pitchFamily="34" charset="0"/>
            </a:rPr>
            <a:t>tabs provides information on assumptions and defaults.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35277</xdr:rowOff>
    </xdr:from>
    <xdr:to>
      <xdr:col>12</xdr:col>
      <xdr:colOff>649109</xdr:colOff>
      <xdr:row>15</xdr:row>
      <xdr:rowOff>77610</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91015" y="416277"/>
          <a:ext cx="8608483" cy="2808111"/>
        </a:xfrm>
        <a:prstGeom prst="rect">
          <a:avLst/>
        </a:prstGeom>
        <a:solidFill>
          <a:schemeClr val="bg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To run the AD Screening Tool, users should take the following steps: </a:t>
          </a:r>
        </a:p>
        <a:p>
          <a:pPr marL="228600" marR="0" lvl="0" indent="-228600" defTabSz="914400" eaLnBrk="1" fontAlgn="auto" latinLnBrk="0" hangingPunct="1">
            <a:lnSpc>
              <a:spcPct val="100000"/>
            </a:lnSpc>
            <a:spcBef>
              <a:spcPts val="0"/>
            </a:spcBef>
            <a:spcAft>
              <a:spcPts val="0"/>
            </a:spcAft>
            <a:buClrTx/>
            <a:buSzTx/>
            <a:buFont typeface="+mj-lt"/>
            <a:buAutoNum type="arabicPeriod"/>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Users must "Enable Macros." Users will be prompted to do so when opening the workbook. If not prompted to enable macros, the user can enable macros at </a:t>
          </a:r>
          <a:r>
            <a:rPr kumimoji="0" lang="en-US" sz="1100" b="0" i="1"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File → Trust Center →Trust Center Settings.</a:t>
          </a:r>
        </a:p>
        <a:p>
          <a:pPr marL="228600" marR="0" lvl="0" indent="-228600" defTabSz="914400" eaLnBrk="1" fontAlgn="auto" latinLnBrk="0" hangingPunct="1">
            <a:lnSpc>
              <a:spcPct val="100000"/>
            </a:lnSpc>
            <a:spcBef>
              <a:spcPts val="0"/>
            </a:spcBef>
            <a:spcAft>
              <a:spcPts val="0"/>
            </a:spcAft>
            <a:buClrTx/>
            <a:buSzTx/>
            <a:buFont typeface="+mj-lt"/>
            <a:buAutoNum type="arabicPeriod"/>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Enter data into the </a:t>
          </a:r>
          <a:r>
            <a:rPr kumimoji="0" lang="en-US" sz="1200" b="1" i="0" u="none" strike="noStrike" kern="0" cap="none" spc="0" normalizeH="0" baseline="0" noProof="0">
              <a:ln>
                <a:noFill/>
              </a:ln>
              <a:solidFill>
                <a:srgbClr val="25C6FF"/>
              </a:solidFill>
              <a:effectLst/>
              <a:uLnTx/>
              <a:uFillTx/>
              <a:latin typeface="Arial" panose="020B0604020202020204" pitchFamily="34" charset="0"/>
              <a:ea typeface="+mn-ea"/>
              <a:cs typeface="Arial" panose="020B0604020202020204" pitchFamily="34" charset="0"/>
            </a:rPr>
            <a:t>BLUE</a:t>
          </a:r>
          <a:r>
            <a:rPr kumimoji="0" lang="en-US" sz="1100" b="0" i="0" u="none" strike="noStrike" kern="0" cap="none" spc="0" normalizeH="0" baseline="0" noProof="0">
              <a:ln>
                <a:noFill/>
              </a:ln>
              <a:solidFill>
                <a:srgbClr val="25C6FF"/>
              </a:solidFill>
              <a:effectLst/>
              <a:uLnTx/>
              <a:uFillTx/>
              <a:latin typeface="Arial" panose="020B0604020202020204" pitchFamily="34" charset="0"/>
              <a:ea typeface="+mn-ea"/>
              <a:cs typeface="Arial" panose="020B0604020202020204" pitchFamily="34" charset="0"/>
            </a:rPr>
            <a:t> </a:t>
          </a: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tabs, "3-Digester Inputs" and "4-Emissions Inputs." Users </a:t>
          </a:r>
          <a:r>
            <a:rPr kumimoji="0" lang="en-US" sz="1100" b="1" i="0" u="sng"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must</a:t>
          </a: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enter data in every cell that is shaded </a:t>
          </a:r>
          <a:r>
            <a:rPr kumimoji="0" lang="en-US" sz="1200" b="1" i="0" u="none" strike="noStrike" kern="0" cap="none" spc="0" normalizeH="0" baseline="0" noProof="0">
              <a:ln>
                <a:noFill/>
              </a:ln>
              <a:solidFill>
                <a:srgbClr val="25C6FF"/>
              </a:solidFill>
              <a:effectLst/>
              <a:uLnTx/>
              <a:uFillTx/>
              <a:latin typeface="Arial" panose="020B0604020202020204" pitchFamily="34" charset="0"/>
              <a:ea typeface="+mn-ea"/>
              <a:cs typeface="Arial" panose="020B0604020202020204" pitchFamily="34" charset="0"/>
            </a:rPr>
            <a:t>BLUE</a:t>
          </a: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This information will be used to generate biogas and digestate estimates. </a:t>
          </a:r>
        </a:p>
        <a:p>
          <a:pPr marL="228600" marR="0" lvl="0" indent="-228600" defTabSz="914400" eaLnBrk="1" fontAlgn="auto" latinLnBrk="0" hangingPunct="1">
            <a:lnSpc>
              <a:spcPct val="100000"/>
            </a:lnSpc>
            <a:spcBef>
              <a:spcPts val="0"/>
            </a:spcBef>
            <a:spcAft>
              <a:spcPts val="0"/>
            </a:spcAft>
            <a:buClrTx/>
            <a:buSzTx/>
            <a:buFont typeface="+mj-lt"/>
            <a:buAutoNum type="arabicPeriod"/>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For every data point the user enters, the user should make a note of the information source or any assumptions made. The tool provides space for the users to make annotations. </a:t>
          </a:r>
        </a:p>
        <a:p>
          <a:pPr marL="228600" marR="0" lvl="0" indent="-228600" defTabSz="914400" eaLnBrk="1" fontAlgn="auto" latinLnBrk="0" hangingPunct="1">
            <a:lnSpc>
              <a:spcPct val="100000"/>
            </a:lnSpc>
            <a:spcBef>
              <a:spcPts val="0"/>
            </a:spcBef>
            <a:spcAft>
              <a:spcPts val="0"/>
            </a:spcAft>
            <a:buClrTx/>
            <a:buSzTx/>
            <a:buFont typeface="+mj-lt"/>
            <a:buAutoNum type="arabicPeriod"/>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There are several</a:t>
          </a:r>
          <a:r>
            <a:rPr kumimoji="0" lang="en-US" sz="1100" b="0" i="0" u="none" strike="noStrike" kern="0" cap="none" spc="0" normalizeH="0" baseline="0" noProof="0">
              <a:ln>
                <a:noFill/>
              </a:ln>
              <a:solidFill>
                <a:srgbClr val="DBAD4F"/>
              </a:solidFill>
              <a:effectLst/>
              <a:uLnTx/>
              <a:uFillTx/>
              <a:latin typeface="Arial" panose="020B0604020202020204" pitchFamily="34" charset="0"/>
              <a:ea typeface="+mn-ea"/>
              <a:cs typeface="Arial" panose="020B0604020202020204" pitchFamily="34" charset="0"/>
            </a:rPr>
            <a:t> </a:t>
          </a:r>
          <a:r>
            <a:rPr kumimoji="0" lang="en-US" sz="1200" b="1" i="0" u="none" strike="noStrike" kern="0" cap="none" spc="0" normalizeH="0" baseline="0" noProof="0">
              <a:ln w="3175">
                <a:solidFill>
                  <a:prstClr val="black"/>
                </a:solidFill>
              </a:ln>
              <a:solidFill>
                <a:srgbClr val="FFFF00"/>
              </a:solidFill>
              <a:effectLst/>
              <a:uLnTx/>
              <a:uFillTx/>
              <a:latin typeface="Arial" panose="020B0604020202020204" pitchFamily="34" charset="0"/>
              <a:ea typeface="+mn-ea"/>
              <a:cs typeface="Arial" panose="020B0604020202020204" pitchFamily="34" charset="0"/>
            </a:rPr>
            <a:t>YELLOW</a:t>
          </a:r>
          <a:r>
            <a:rPr kumimoji="0" lang="en-US" sz="1200" b="1" i="0" u="none" strike="noStrike" kern="0" cap="none" spc="0" normalizeH="0" baseline="0" noProof="0">
              <a:ln>
                <a:noFill/>
              </a:ln>
              <a:solidFill>
                <a:srgbClr val="FFFF00"/>
              </a:solidFill>
              <a:effectLst/>
              <a:uLnTx/>
              <a:uFillTx/>
              <a:latin typeface="Arial" panose="020B0604020202020204" pitchFamily="34" charset="0"/>
              <a:ea typeface="+mn-ea"/>
              <a:cs typeface="Arial" panose="020B0604020202020204" pitchFamily="34" charset="0"/>
            </a:rPr>
            <a:t> </a:t>
          </a: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cells in the "3-Digester Inputs"</a:t>
          </a:r>
          <a:r>
            <a:rPr kumimoji="0" lang="en-US" sz="1100" b="0" i="0" u="none" strike="noStrike" kern="0" cap="none" spc="0" normalizeH="0" baseline="0" noProof="0">
              <a:ln>
                <a:noFill/>
              </a:ln>
              <a:solidFill>
                <a:srgbClr val="25C6FF"/>
              </a:solidFill>
              <a:effectLst/>
              <a:uLnTx/>
              <a:uFillTx/>
              <a:latin typeface="Arial" panose="020B0604020202020204" pitchFamily="34" charset="0"/>
              <a:ea typeface="+mn-ea"/>
              <a:cs typeface="Arial" panose="020B0604020202020204" pitchFamily="34" charset="0"/>
            </a:rPr>
            <a:t> </a:t>
          </a:r>
          <a:r>
            <a:rPr kumimoji="0" lang="en-US" sz="1200" b="1" i="0" u="none" strike="noStrike" kern="0" cap="none" spc="0" normalizeH="0" baseline="0" noProof="0">
              <a:ln>
                <a:noFill/>
              </a:ln>
              <a:solidFill>
                <a:srgbClr val="25C6FF"/>
              </a:solidFill>
              <a:effectLst/>
              <a:uLnTx/>
              <a:uFillTx/>
              <a:latin typeface="Arial" panose="020B0604020202020204" pitchFamily="34" charset="0"/>
              <a:ea typeface="+mn-ea"/>
              <a:cs typeface="Arial" panose="020B0604020202020204" pitchFamily="34" charset="0"/>
            </a:rPr>
            <a:t>BLUE</a:t>
          </a:r>
          <a:r>
            <a:rPr kumimoji="0" lang="en-US" sz="1100" b="1" i="0" u="none" strike="noStrike" kern="0" cap="none" spc="0" normalizeH="0" baseline="0" noProof="0">
              <a:ln>
                <a:noFill/>
              </a:ln>
              <a:solidFill>
                <a:srgbClr val="25C6FF"/>
              </a:solidFill>
              <a:effectLst/>
              <a:uLnTx/>
              <a:uFillTx/>
              <a:latin typeface="Arial" panose="020B0604020202020204" pitchFamily="34" charset="0"/>
              <a:ea typeface="+mn-ea"/>
              <a:cs typeface="Arial" panose="020B0604020202020204" pitchFamily="34" charset="0"/>
            </a:rPr>
            <a:t> </a:t>
          </a: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tab. These cells represent default values or assumptions. Users are not required to change these values, but are encouraged to do so if local data are available.</a:t>
          </a:r>
        </a:p>
        <a:p>
          <a:pPr marL="228600" marR="0" lvl="0" indent="-228600" defTabSz="914400" eaLnBrk="1" fontAlgn="auto" latinLnBrk="0" hangingPunct="1">
            <a:lnSpc>
              <a:spcPct val="100000"/>
            </a:lnSpc>
            <a:spcBef>
              <a:spcPts val="0"/>
            </a:spcBef>
            <a:spcAft>
              <a:spcPts val="0"/>
            </a:spcAft>
            <a:buClrTx/>
            <a:buSzTx/>
            <a:buFont typeface="+mj-lt"/>
            <a:buAutoNum type="arabicPeriod"/>
            <a:tabLst/>
            <a:defRPr/>
          </a:pPr>
          <a:r>
            <a:rPr lang="en-US" sz="1100" b="0" i="0" baseline="0">
              <a:solidFill>
                <a:schemeClr val="dk1"/>
              </a:solidFill>
              <a:effectLst/>
              <a:latin typeface="Arial" panose="020B0604020202020204" pitchFamily="34" charset="0"/>
              <a:ea typeface="+mn-ea"/>
              <a:cs typeface="Arial" panose="020B0604020202020204" pitchFamily="34" charset="0"/>
            </a:rPr>
            <a:t>The four </a:t>
          </a:r>
          <a:r>
            <a:rPr lang="en-US" sz="1100" b="1" i="0" baseline="0">
              <a:solidFill>
                <a:schemeClr val="dk1"/>
              </a:solidFill>
              <a:effectLst/>
              <a:latin typeface="Arial" panose="020B0604020202020204" pitchFamily="34" charset="0"/>
              <a:ea typeface="+mn-ea"/>
              <a:cs typeface="Arial" panose="020B0604020202020204" pitchFamily="34" charset="0"/>
            </a:rPr>
            <a:t>BLACK</a:t>
          </a:r>
          <a:r>
            <a:rPr lang="en-US" sz="1100" b="0" i="0" baseline="0">
              <a:solidFill>
                <a:schemeClr val="dk1"/>
              </a:solidFill>
              <a:effectLst/>
              <a:latin typeface="Arial" panose="020B0604020202020204" pitchFamily="34" charset="0"/>
              <a:ea typeface="+mn-ea"/>
              <a:cs typeface="Arial" panose="020B0604020202020204" pitchFamily="34" charset="0"/>
            </a:rPr>
            <a:t> tabs provide several tables and charts that summarize the tool's outputs.</a:t>
          </a: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Tips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The tool provides suggestions and guidance for most of the </a:t>
          </a:r>
          <a:r>
            <a:rPr kumimoji="0" lang="en-US" sz="1200" b="1" i="0" u="none" strike="noStrike" kern="0" cap="none" spc="0" normalizeH="0" baseline="0" noProof="0">
              <a:ln>
                <a:noFill/>
              </a:ln>
              <a:solidFill>
                <a:srgbClr val="00B0F0"/>
              </a:solidFill>
              <a:effectLst/>
              <a:uLnTx/>
              <a:uFillTx/>
              <a:latin typeface="Arial" panose="020B0604020202020204" pitchFamily="34" charset="0"/>
              <a:ea typeface="+mn-ea"/>
              <a:cs typeface="Arial" panose="020B0604020202020204" pitchFamily="34" charset="0"/>
            </a:rPr>
            <a:t>BLUE</a:t>
          </a:r>
          <a:r>
            <a:rPr kumimoji="0" lang="en-US" sz="11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a:t>
          </a: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fields. Users will see the guidance when they click the cells.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Some cells have automatic validity checks. If a user enters an incorrect value or does not choose a valid selection, the automatic validity cell will turn </a:t>
          </a:r>
          <a:r>
            <a:rPr kumimoji="0" lang="en-US" sz="1200" b="1" i="0" u="none" strike="noStrike" kern="0" cap="none" spc="0" normalizeH="0" baseline="0" noProof="0">
              <a:ln>
                <a:noFill/>
              </a:ln>
              <a:solidFill>
                <a:srgbClr val="FF0000"/>
              </a:solidFill>
              <a:effectLst/>
              <a:uLnTx/>
              <a:uFillTx/>
              <a:latin typeface="Arial" panose="020B0604020202020204" pitchFamily="34" charset="0"/>
              <a:ea typeface="+mn-ea"/>
              <a:cs typeface="Arial" panose="020B0604020202020204" pitchFamily="34" charset="0"/>
            </a:rPr>
            <a:t>RED</a:t>
          </a: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and an error message will appear. Please correct the error before continuing.</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8466</xdr:colOff>
      <xdr:row>1</xdr:row>
      <xdr:rowOff>15875</xdr:rowOff>
    </xdr:from>
    <xdr:to>
      <xdr:col>4</xdr:col>
      <xdr:colOff>3055937</xdr:colOff>
      <xdr:row>2</xdr:row>
      <xdr:rowOff>1119188</xdr:rowOff>
    </xdr:to>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8466" y="396875"/>
          <a:ext cx="11683471" cy="1277938"/>
        </a:xfrm>
        <a:prstGeom prst="rect">
          <a:avLst/>
        </a:prstGeom>
        <a:solidFill>
          <a:schemeClr val="bg1">
            <a:lumMod val="95000"/>
          </a:schemeClr>
        </a:solidFill>
        <a:ln w="9525" cmpd="sng">
          <a:solidFill>
            <a:sysClr val="windowText" lastClr="000000"/>
          </a:solid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Instructions: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Please enter your project's information. The information entered in this sheet will be used throughout this workbook. Users must enter data in every cell that is shaded </a:t>
          </a:r>
          <a:r>
            <a:rPr kumimoji="0" lang="en-US" sz="1100" b="1" i="0" u="none" strike="noStrike" kern="0" cap="none" spc="0" normalizeH="0" baseline="0" noProof="0">
              <a:ln>
                <a:noFill/>
              </a:ln>
              <a:solidFill>
                <a:srgbClr val="25C6FF"/>
              </a:solidFill>
              <a:effectLst/>
              <a:uLnTx/>
              <a:uFillTx/>
              <a:latin typeface="Arial" panose="020B0604020202020204" pitchFamily="34" charset="0"/>
              <a:ea typeface="+mn-ea"/>
              <a:cs typeface="Arial" panose="020B0604020202020204" pitchFamily="34" charset="0"/>
            </a:rPr>
            <a:t>BLUE</a:t>
          </a: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This information will be used to generate biogas and digestate production. For every data point the user enters, the user should make a note of the information source or any assumptions made. The tool provides space for the users to make annotations. </a:t>
          </a:r>
          <a:r>
            <a:rPr kumimoji="0" lang="en-US" sz="1200" b="1" i="0" u="none" strike="noStrike" kern="0" cap="none" spc="0" normalizeH="0" baseline="0" noProof="0">
              <a:ln w="3175">
                <a:solidFill>
                  <a:sysClr val="windowText" lastClr="000000"/>
                </a:solidFill>
              </a:ln>
              <a:solidFill>
                <a:srgbClr val="FFFF00"/>
              </a:solidFill>
              <a:effectLst/>
              <a:uLnTx/>
              <a:uFillTx/>
              <a:latin typeface="Arial" panose="020B0604020202020204" pitchFamily="34" charset="0"/>
              <a:ea typeface="+mn-ea"/>
              <a:cs typeface="Arial" panose="020B0604020202020204" pitchFamily="34" charset="0"/>
            </a:rPr>
            <a:t>YELLOW </a:t>
          </a: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cells represent default values or assumptions. Users do not need to change these values, but are encouraged to do so if local data are available.  There is programed information for over 95 default waste types available for the user to choose from, or they may enter their own.</a:t>
          </a:r>
        </a:p>
      </xdr:txBody>
    </xdr:sp>
    <xdr:clientData/>
  </xdr:twoCellAnchor>
  <mc:AlternateContent xmlns:mc="http://schemas.openxmlformats.org/markup-compatibility/2006">
    <mc:Choice xmlns:a14="http://schemas.microsoft.com/office/drawing/2010/main" Requires="a14">
      <xdr:twoCellAnchor>
        <xdr:from>
          <xdr:col>4</xdr:col>
          <xdr:colOff>107950</xdr:colOff>
          <xdr:row>64</xdr:row>
          <xdr:rowOff>0</xdr:rowOff>
        </xdr:from>
        <xdr:to>
          <xdr:col>4</xdr:col>
          <xdr:colOff>2209800</xdr:colOff>
          <xdr:row>66</xdr:row>
          <xdr:rowOff>69850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600-00001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Reset Energy Content and Consumption Assumptions</a:t>
              </a:r>
            </a:p>
          </xdr:txBody>
        </xdr:sp>
        <xdr:clientData fPrintsWithSheet="0"/>
      </xdr:twoCellAnchor>
    </mc:Choice>
    <mc:Fallback/>
  </mc:AlternateContent>
  <xdr:twoCellAnchor>
    <xdr:from>
      <xdr:col>3</xdr:col>
      <xdr:colOff>549435</xdr:colOff>
      <xdr:row>7</xdr:row>
      <xdr:rowOff>35936</xdr:rowOff>
    </xdr:from>
    <xdr:to>
      <xdr:col>4</xdr:col>
      <xdr:colOff>864398</xdr:colOff>
      <xdr:row>10</xdr:row>
      <xdr:rowOff>78478</xdr:rowOff>
    </xdr:to>
    <xdr:grpSp>
      <xdr:nvGrpSpPr>
        <xdr:cNvPr id="6" name="Group 5">
          <a:extLst>
            <a:ext uri="{FF2B5EF4-FFF2-40B4-BE49-F238E27FC236}">
              <a16:creationId xmlns:a16="http://schemas.microsoft.com/office/drawing/2014/main" id="{00000000-0008-0000-0600-000006000000}"/>
            </a:ext>
          </a:extLst>
        </xdr:cNvPr>
        <xdr:cNvGrpSpPr/>
      </xdr:nvGrpSpPr>
      <xdr:grpSpPr>
        <a:xfrm>
          <a:off x="7820185" y="2664836"/>
          <a:ext cx="1654813" cy="1166492"/>
          <a:chOff x="14128238" y="658626"/>
          <a:chExt cx="1654964" cy="1079860"/>
        </a:xfrm>
      </xdr:grpSpPr>
      <xdr:sp macro="" textlink="">
        <xdr:nvSpPr>
          <xdr:cNvPr id="7" name="Rectangle 6">
            <a:extLst>
              <a:ext uri="{FF2B5EF4-FFF2-40B4-BE49-F238E27FC236}">
                <a16:creationId xmlns:a16="http://schemas.microsoft.com/office/drawing/2014/main" id="{00000000-0008-0000-0600-000007000000}"/>
              </a:ext>
            </a:extLst>
          </xdr:cNvPr>
          <xdr:cNvSpPr/>
        </xdr:nvSpPr>
        <xdr:spPr>
          <a:xfrm>
            <a:off x="14128238" y="658626"/>
            <a:ext cx="1654964" cy="267902"/>
          </a:xfrm>
          <a:prstGeom prst="rect">
            <a:avLst/>
          </a:prstGeom>
          <a:solidFill>
            <a:schemeClr val="tx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b="1">
                <a:solidFill>
                  <a:schemeClr val="bg1"/>
                </a:solidFill>
                <a:latin typeface="Arial" panose="020B0604020202020204" pitchFamily="34" charset="0"/>
                <a:cs typeface="Arial" panose="020B0604020202020204" pitchFamily="34" charset="0"/>
              </a:rPr>
              <a:t>Legend</a:t>
            </a:r>
          </a:p>
        </xdr:txBody>
      </xdr:sp>
      <xdr:sp macro="" textlink="">
        <xdr:nvSpPr>
          <xdr:cNvPr id="8" name="Rectangle 7">
            <a:extLst>
              <a:ext uri="{FF2B5EF4-FFF2-40B4-BE49-F238E27FC236}">
                <a16:creationId xmlns:a16="http://schemas.microsoft.com/office/drawing/2014/main" id="{00000000-0008-0000-0600-000008000000}"/>
              </a:ext>
            </a:extLst>
          </xdr:cNvPr>
          <xdr:cNvSpPr/>
        </xdr:nvSpPr>
        <xdr:spPr>
          <a:xfrm>
            <a:off x="14128238" y="926662"/>
            <a:ext cx="1654964" cy="200141"/>
          </a:xfrm>
          <a:prstGeom prst="rect">
            <a:avLst/>
          </a:prstGeom>
          <a:solidFill>
            <a:srgbClr val="25C6FF"/>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r>
              <a:rPr lang="en-US" sz="1100">
                <a:solidFill>
                  <a:schemeClr val="tx1"/>
                </a:solidFill>
                <a:latin typeface="Arial" panose="020B0604020202020204" pitchFamily="34" charset="0"/>
                <a:cs typeface="Arial" panose="020B0604020202020204" pitchFamily="34" charset="0"/>
              </a:rPr>
              <a:t>Required Input</a:t>
            </a:r>
          </a:p>
        </xdr:txBody>
      </xdr:sp>
      <xdr:sp macro="" textlink="">
        <xdr:nvSpPr>
          <xdr:cNvPr id="10" name="Rectangle 9">
            <a:extLst>
              <a:ext uri="{FF2B5EF4-FFF2-40B4-BE49-F238E27FC236}">
                <a16:creationId xmlns:a16="http://schemas.microsoft.com/office/drawing/2014/main" id="{00000000-0008-0000-0600-00000A000000}"/>
              </a:ext>
            </a:extLst>
          </xdr:cNvPr>
          <xdr:cNvSpPr/>
        </xdr:nvSpPr>
        <xdr:spPr>
          <a:xfrm>
            <a:off x="14128238" y="1126937"/>
            <a:ext cx="1654964" cy="200141"/>
          </a:xfrm>
          <a:prstGeom prst="rect">
            <a:avLst/>
          </a:prstGeom>
          <a:solidFill>
            <a:schemeClr val="bg1">
              <a:lumMod val="9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r>
              <a:rPr lang="en-US" sz="1100">
                <a:solidFill>
                  <a:schemeClr val="tx1"/>
                </a:solidFill>
                <a:latin typeface="Arial" panose="020B0604020202020204" pitchFamily="34" charset="0"/>
                <a:cs typeface="Arial" panose="020B0604020202020204" pitchFamily="34" charset="0"/>
              </a:rPr>
              <a:t>Calculated Value</a:t>
            </a:r>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a:off x="14128238" y="1338072"/>
            <a:ext cx="1654964" cy="200141"/>
          </a:xfrm>
          <a:prstGeom prst="rect">
            <a:avLst/>
          </a:prstGeom>
          <a:solidFill>
            <a:srgbClr val="FF9999"/>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r>
              <a:rPr lang="en-US" sz="1100" b="0">
                <a:solidFill>
                  <a:sysClr val="windowText" lastClr="000000"/>
                </a:solidFill>
                <a:latin typeface="Arial" panose="020B0604020202020204" pitchFamily="34" charset="0"/>
                <a:cs typeface="Arial" panose="020B0604020202020204" pitchFamily="34" charset="0"/>
              </a:rPr>
              <a:t>Warning</a:t>
            </a:r>
          </a:p>
        </xdr:txBody>
      </xdr:sp>
      <xdr:sp macro="" textlink="">
        <xdr:nvSpPr>
          <xdr:cNvPr id="12" name="Rectangle 11">
            <a:extLst>
              <a:ext uri="{FF2B5EF4-FFF2-40B4-BE49-F238E27FC236}">
                <a16:creationId xmlns:a16="http://schemas.microsoft.com/office/drawing/2014/main" id="{00000000-0008-0000-0600-00000C000000}"/>
              </a:ext>
            </a:extLst>
          </xdr:cNvPr>
          <xdr:cNvSpPr/>
        </xdr:nvSpPr>
        <xdr:spPr>
          <a:xfrm>
            <a:off x="14128238" y="1538345"/>
            <a:ext cx="1654964" cy="200141"/>
          </a:xfrm>
          <a:prstGeom prst="rect">
            <a:avLst/>
          </a:prstGeom>
          <a:solidFill>
            <a:srgbClr val="E8D548"/>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r>
              <a:rPr lang="en-US" sz="1100" b="0">
                <a:solidFill>
                  <a:sysClr val="windowText" lastClr="000000"/>
                </a:solidFill>
                <a:latin typeface="Arial" panose="020B0604020202020204" pitchFamily="34" charset="0"/>
                <a:cs typeface="Arial" panose="020B0604020202020204" pitchFamily="34" charset="0"/>
              </a:rPr>
              <a:t>Default</a:t>
            </a:r>
            <a:r>
              <a:rPr lang="en-US" sz="1100" b="0" baseline="0">
                <a:solidFill>
                  <a:sysClr val="windowText" lastClr="000000"/>
                </a:solidFill>
                <a:latin typeface="Arial" panose="020B0604020202020204" pitchFamily="34" charset="0"/>
                <a:cs typeface="Arial" panose="020B0604020202020204" pitchFamily="34" charset="0"/>
              </a:rPr>
              <a:t> Value</a:t>
            </a:r>
            <a:endParaRPr lang="en-US" sz="1100" b="0">
              <a:solidFill>
                <a:sysClr val="windowText" lastClr="000000"/>
              </a:solidFill>
              <a:latin typeface="Arial" panose="020B0604020202020204" pitchFamily="34" charset="0"/>
              <a:cs typeface="Arial" panose="020B0604020202020204" pitchFamily="34" charset="0"/>
            </a:endParaRPr>
          </a:p>
        </xdr:txBody>
      </xdr:sp>
    </xdr:grpSp>
    <xdr:clientData/>
  </xdr:twoCellAnchor>
  <xdr:twoCellAnchor>
    <xdr:from>
      <xdr:col>6</xdr:col>
      <xdr:colOff>103186</xdr:colOff>
      <xdr:row>33</xdr:row>
      <xdr:rowOff>1269</xdr:rowOff>
    </xdr:from>
    <xdr:to>
      <xdr:col>9</xdr:col>
      <xdr:colOff>1731169</xdr:colOff>
      <xdr:row>43</xdr:row>
      <xdr:rowOff>8467</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3954653" y="10728536"/>
          <a:ext cx="8155783" cy="2792731"/>
        </a:xfrm>
        <a:prstGeom prst="rect">
          <a:avLst/>
        </a:prstGeom>
        <a:solidFill>
          <a:srgbClr val="FCB04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none">
              <a:latin typeface="Arial" panose="020B0604020202020204" pitchFamily="34" charset="0"/>
              <a:cs typeface="Arial" panose="020B0604020202020204" pitchFamily="34" charset="0"/>
            </a:rPr>
            <a:t>Definitions:</a:t>
          </a:r>
        </a:p>
        <a:p>
          <a:pPr marL="171450" indent="-171450">
            <a:spcAft>
              <a:spcPts val="600"/>
            </a:spcAft>
            <a:buFont typeface="Arial" panose="020B0604020202020204" pitchFamily="34" charset="0"/>
            <a:buChar char="•"/>
          </a:pPr>
          <a:r>
            <a:rPr lang="en-US" sz="1100" b="0" u="none">
              <a:latin typeface="Arial" panose="020B0604020202020204" pitchFamily="34" charset="0"/>
              <a:cs typeface="Arial" panose="020B0604020202020204" pitchFamily="34" charset="0"/>
            </a:rPr>
            <a:t>% w.b. - percent on wet basis</a:t>
          </a:r>
        </a:p>
        <a:p>
          <a:pPr marL="171450" indent="-171450">
            <a:spcAft>
              <a:spcPts val="600"/>
            </a:spcAft>
            <a:buFont typeface="Arial" panose="020B0604020202020204" pitchFamily="34" charset="0"/>
            <a:buChar char="•"/>
          </a:pPr>
          <a:r>
            <a:rPr lang="en-US" sz="1100" b="0" u="none">
              <a:latin typeface="Arial" panose="020B0604020202020204" pitchFamily="34" charset="0"/>
              <a:cs typeface="Arial" panose="020B0604020202020204" pitchFamily="34" charset="0"/>
            </a:rPr>
            <a:t>% d.w. - percent dry weight basis</a:t>
          </a:r>
        </a:p>
        <a:p>
          <a:pPr marL="171450" indent="-171450">
            <a:spcAft>
              <a:spcPts val="600"/>
            </a:spcAft>
            <a:buFont typeface="Arial" panose="020B0604020202020204" pitchFamily="34" charset="0"/>
            <a:buChar char="•"/>
          </a:pPr>
          <a:r>
            <a:rPr lang="en-US" sz="1100" b="0" u="none">
              <a:latin typeface="Arial" panose="020B0604020202020204" pitchFamily="34" charset="0"/>
              <a:cs typeface="Arial" panose="020B0604020202020204" pitchFamily="34" charset="0"/>
            </a:rPr>
            <a:t>Solids Retention Time (SRT) – SRT is the average time the activated-sludge solids are in the Anaerobic Digester. SRT is an important design and operating parameter usually expressed in days.</a:t>
          </a:r>
        </a:p>
        <a:p>
          <a:pPr marL="171450" indent="-171450">
            <a:spcAft>
              <a:spcPts val="600"/>
            </a:spcAft>
            <a:buFont typeface="Arial" panose="020B0604020202020204" pitchFamily="34" charset="0"/>
            <a:buChar char="•"/>
          </a:pPr>
          <a:r>
            <a:rPr lang="en-US" sz="1100" b="0" u="none">
              <a:latin typeface="Arial" panose="020B0604020202020204" pitchFamily="34" charset="0"/>
              <a:cs typeface="Arial" panose="020B0604020202020204" pitchFamily="34" charset="0"/>
            </a:rPr>
            <a:t>Hydraulic Residence Time (HRT) – Only applicable to wet systems, HRT is a measure of the average length of time that a water or liquids remains in the Anaerobic Digester. </a:t>
          </a:r>
        </a:p>
        <a:p>
          <a:pPr marL="171450" indent="-171450">
            <a:spcAft>
              <a:spcPts val="600"/>
            </a:spcAft>
            <a:buFont typeface="Arial" panose="020B0604020202020204" pitchFamily="34" charset="0"/>
            <a:buChar char="•"/>
          </a:pPr>
          <a:r>
            <a:rPr lang="en-US" sz="1100" b="0" u="none">
              <a:latin typeface="Arial" panose="020B0604020202020204" pitchFamily="34" charset="0"/>
              <a:cs typeface="Arial" panose="020B0604020202020204" pitchFamily="34" charset="0"/>
            </a:rPr>
            <a:t>Total Solids (TS) - Residue remaining after water is removed from waste material by evaporation; dry matter</a:t>
          </a:r>
        </a:p>
        <a:p>
          <a:pPr marL="171450" indent="-171450">
            <a:spcAft>
              <a:spcPts val="600"/>
            </a:spcAft>
            <a:buFont typeface="Arial" panose="020B0604020202020204" pitchFamily="34" charset="0"/>
            <a:buChar char="•"/>
          </a:pPr>
          <a:r>
            <a:rPr lang="en-US" sz="1100" b="0" u="none">
              <a:latin typeface="Arial" panose="020B0604020202020204" pitchFamily="34" charset="0"/>
              <a:cs typeface="Arial" panose="020B0604020202020204" pitchFamily="34" charset="0"/>
            </a:rPr>
            <a:t>Moisture Content (MC) -  MC is the quantity of water contained in a  given waste material. Moisture Content plus Total Solids should equal 100%. </a:t>
          </a:r>
        </a:p>
        <a:p>
          <a:pPr marL="171450" indent="-171450">
            <a:spcAft>
              <a:spcPts val="600"/>
            </a:spcAft>
            <a:buFont typeface="Arial" panose="020B0604020202020204" pitchFamily="34" charset="0"/>
            <a:buChar char="•"/>
          </a:pPr>
          <a:r>
            <a:rPr lang="en-US" sz="1100" b="0" u="none">
              <a:latin typeface="Arial" panose="020B0604020202020204" pitchFamily="34" charset="0"/>
              <a:cs typeface="Arial" panose="020B0604020202020204" pitchFamily="34" charset="0"/>
            </a:rPr>
            <a:t>Volatile Solids (VS) - That part of total solids driven off as volatile (combustible) gases when heated to 600 °C; organic matter</a:t>
          </a:r>
        </a:p>
        <a:p>
          <a:pPr marL="171450" indent="-171450">
            <a:spcAft>
              <a:spcPts val="600"/>
            </a:spcAft>
            <a:buFont typeface="Arial" panose="020B0604020202020204" pitchFamily="34" charset="0"/>
            <a:buChar char="•"/>
          </a:pPr>
          <a:r>
            <a:rPr lang="en-US" sz="1100" b="0" u="none">
              <a:latin typeface="Arial" panose="020B0604020202020204" pitchFamily="34" charset="0"/>
              <a:cs typeface="Arial" panose="020B0604020202020204" pitchFamily="34" charset="0"/>
            </a:rPr>
            <a:t>Fixed Solids - That part of total solids remaining after volatile gases driven off at 600 °C; ash</a:t>
          </a:r>
        </a:p>
        <a:p>
          <a:endParaRPr lang="en-US" sz="1100" b="1" u="sng">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5</xdr:col>
          <xdr:colOff>212816</xdr:colOff>
          <xdr:row>32</xdr:row>
          <xdr:rowOff>181258</xdr:rowOff>
        </xdr:from>
        <xdr:to>
          <xdr:col>14</xdr:col>
          <xdr:colOff>1816082</xdr:colOff>
          <xdr:row>32</xdr:row>
          <xdr:rowOff>622053</xdr:rowOff>
        </xdr:to>
        <xdr:grpSp>
          <xdr:nvGrpSpPr>
            <xdr:cNvPr id="4" name="Group 3">
              <a:extLst>
                <a:ext uri="{FF2B5EF4-FFF2-40B4-BE49-F238E27FC236}">
                  <a16:creationId xmlns:a16="http://schemas.microsoft.com/office/drawing/2014/main" id="{00000000-0008-0000-0600-000004000000}"/>
                </a:ext>
              </a:extLst>
            </xdr:cNvPr>
            <xdr:cNvGrpSpPr/>
          </xdr:nvGrpSpPr>
          <xdr:grpSpPr>
            <a:xfrm>
              <a:off x="11884116" y="10455558"/>
              <a:ext cx="19516616" cy="440795"/>
              <a:chOff x="10751345" y="7485496"/>
              <a:chExt cx="21256795" cy="311898"/>
            </a:xfrm>
          </xdr:grpSpPr>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600-00001B040000}"/>
                  </a:ext>
                </a:extLst>
              </xdr:cNvPr>
              <xdr:cNvSpPr/>
            </xdr:nvSpPr>
            <xdr:spPr bwMode="auto">
              <a:xfrm>
                <a:off x="10751345" y="7510463"/>
                <a:ext cx="1828800" cy="285775"/>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Reset Moisture Content</a:t>
                </a:r>
              </a:p>
            </xdr:txBody>
          </xdr:sp>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600-00001C040000}"/>
                  </a:ext>
                </a:extLst>
              </xdr:cNvPr>
              <xdr:cNvSpPr/>
            </xdr:nvSpPr>
            <xdr:spPr bwMode="auto">
              <a:xfrm>
                <a:off x="13082589" y="7502149"/>
                <a:ext cx="1828800" cy="285775"/>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Reset Total Solids</a:t>
                </a:r>
              </a:p>
            </xdr:txBody>
          </xdr:sp>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600-00001D040000}"/>
                  </a:ext>
                </a:extLst>
              </xdr:cNvPr>
              <xdr:cNvSpPr/>
            </xdr:nvSpPr>
            <xdr:spPr bwMode="auto">
              <a:xfrm>
                <a:off x="15619282" y="7502149"/>
                <a:ext cx="1838325" cy="285775"/>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Reset Volatile Solids</a:t>
                </a:r>
              </a:p>
            </xdr:txBody>
          </xdr:sp>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600-00001E040000}"/>
                  </a:ext>
                </a:extLst>
              </xdr:cNvPr>
              <xdr:cNvSpPr/>
            </xdr:nvSpPr>
            <xdr:spPr bwMode="auto">
              <a:xfrm>
                <a:off x="18027353" y="7493835"/>
                <a:ext cx="1838325" cy="285775"/>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Reset Inert Materials</a:t>
                </a:r>
              </a:p>
            </xdr:txBody>
          </xdr:sp>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600-00001F040000}"/>
                  </a:ext>
                </a:extLst>
              </xdr:cNvPr>
              <xdr:cNvSpPr/>
            </xdr:nvSpPr>
            <xdr:spPr bwMode="auto">
              <a:xfrm>
                <a:off x="20431883" y="7493835"/>
                <a:ext cx="1838325" cy="285775"/>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Reset Nitrogen Content</a:t>
                </a:r>
              </a:p>
            </xdr:txBody>
          </xdr:sp>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600-000021040000}"/>
                  </a:ext>
                </a:extLst>
              </xdr:cNvPr>
              <xdr:cNvSpPr/>
            </xdr:nvSpPr>
            <xdr:spPr bwMode="auto">
              <a:xfrm>
                <a:off x="22857668" y="7487183"/>
                <a:ext cx="1838325" cy="284166"/>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Reset Carbon Content</a:t>
                </a:r>
              </a:p>
            </xdr:txBody>
          </xdr:sp>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600-000026040000}"/>
                  </a:ext>
                </a:extLst>
              </xdr:cNvPr>
              <xdr:cNvSpPr/>
            </xdr:nvSpPr>
            <xdr:spPr bwMode="auto">
              <a:xfrm>
                <a:off x="25339495" y="7485496"/>
                <a:ext cx="1838325" cy="285775"/>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Reset Protein Content</a:t>
                </a:r>
              </a:p>
            </xdr:txBody>
          </xdr:sp>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600-000027040000}"/>
                  </a:ext>
                </a:extLst>
              </xdr:cNvPr>
              <xdr:cNvSpPr/>
            </xdr:nvSpPr>
            <xdr:spPr bwMode="auto">
              <a:xfrm>
                <a:off x="27782991" y="7502155"/>
                <a:ext cx="1838325" cy="285775"/>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Reset Fat Content</a:t>
                </a:r>
              </a:p>
            </xdr:txBody>
          </xdr:sp>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600-000028040000}"/>
                  </a:ext>
                </a:extLst>
              </xdr:cNvPr>
              <xdr:cNvSpPr/>
            </xdr:nvSpPr>
            <xdr:spPr bwMode="auto">
              <a:xfrm>
                <a:off x="30169813" y="7511619"/>
                <a:ext cx="1838327" cy="285775"/>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Reset Sugars and Starches</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107950</xdr:colOff>
          <xdr:row>53</xdr:row>
          <xdr:rowOff>76200</xdr:rowOff>
        </xdr:from>
        <xdr:to>
          <xdr:col>4</xdr:col>
          <xdr:colOff>1936750</xdr:colOff>
          <xdr:row>53</xdr:row>
          <xdr:rowOff>635000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600-00002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Reset Gas Composition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1</xdr:row>
      <xdr:rowOff>31750</xdr:rowOff>
    </xdr:from>
    <xdr:to>
      <xdr:col>1</xdr:col>
      <xdr:colOff>4170911</xdr:colOff>
      <xdr:row>8</xdr:row>
      <xdr:rowOff>10584</xdr:rowOff>
    </xdr:to>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0" y="264583"/>
          <a:ext cx="9399078" cy="1397001"/>
        </a:xfrm>
        <a:prstGeom prst="rect">
          <a:avLst/>
        </a:prstGeom>
        <a:solidFill>
          <a:schemeClr val="bg1">
            <a:lumMod val="95000"/>
          </a:schemeClr>
        </a:solidFill>
        <a:ln w="9525" cmpd="sng">
          <a:solidFill>
            <a:sysClr val="windowText" lastClr="000000"/>
          </a:solid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Instructions: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Users must enter data in every cell that is shaded </a:t>
          </a:r>
          <a:r>
            <a:rPr kumimoji="0" lang="en-US" sz="1200" b="1" i="0" u="none" strike="noStrike" kern="0" cap="none" spc="0" normalizeH="0" baseline="0" noProof="0">
              <a:ln>
                <a:noFill/>
              </a:ln>
              <a:solidFill>
                <a:srgbClr val="25C6FF"/>
              </a:solidFill>
              <a:effectLst/>
              <a:uLnTx/>
              <a:uFillTx/>
              <a:latin typeface="Arial" panose="020B0604020202020204" pitchFamily="34" charset="0"/>
              <a:ea typeface="+mn-ea"/>
              <a:cs typeface="Arial" panose="020B0604020202020204" pitchFamily="34" charset="0"/>
            </a:rPr>
            <a:t>BLUE</a:t>
          </a: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This information will be used to estimate net emission reductions from the modeled biogas project. For every data point the user enters, the user should make a note of the information source or any assumptions made. The tool provides space for the users to make annotations. </a:t>
          </a:r>
          <a:r>
            <a:rPr kumimoji="0" lang="en-US" sz="1200" b="1" i="0" u="none" strike="noStrike" kern="0" cap="none" spc="0" normalizeH="0" baseline="0" noProof="0">
              <a:ln w="3175">
                <a:solidFill>
                  <a:sysClr val="windowText" lastClr="000000"/>
                </a:solidFill>
              </a:ln>
              <a:solidFill>
                <a:srgbClr val="FFFF00"/>
              </a:solidFill>
              <a:effectLst/>
              <a:uLnTx/>
              <a:uFillTx/>
              <a:latin typeface="Arial" panose="020B0604020202020204" pitchFamily="34" charset="0"/>
              <a:ea typeface="+mn-ea"/>
              <a:cs typeface="Arial" panose="020B0604020202020204" pitchFamily="34" charset="0"/>
            </a:rPr>
            <a:t>YELLOW </a:t>
          </a: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cells represent default values or assumptions. Users do not need to change these values, but are encouraged to do so if local data are available.  There is programed information for over 80 default waste types available for the user to choose from, or they may enter their own.</a:t>
          </a:r>
        </a:p>
      </xdr:txBody>
    </xdr:sp>
    <xdr:clientData/>
  </xdr:twoCellAnchor>
  <xdr:twoCellAnchor>
    <xdr:from>
      <xdr:col>2</xdr:col>
      <xdr:colOff>74083</xdr:colOff>
      <xdr:row>2</xdr:row>
      <xdr:rowOff>21166</xdr:rowOff>
    </xdr:from>
    <xdr:to>
      <xdr:col>2</xdr:col>
      <xdr:colOff>1729048</xdr:colOff>
      <xdr:row>7</xdr:row>
      <xdr:rowOff>125544</xdr:rowOff>
    </xdr:to>
    <xdr:grpSp>
      <xdr:nvGrpSpPr>
        <xdr:cNvPr id="12" name="Group 11">
          <a:extLst>
            <a:ext uri="{FF2B5EF4-FFF2-40B4-BE49-F238E27FC236}">
              <a16:creationId xmlns:a16="http://schemas.microsoft.com/office/drawing/2014/main" id="{00000000-0008-0000-0700-00000C000000}"/>
            </a:ext>
          </a:extLst>
        </xdr:cNvPr>
        <xdr:cNvGrpSpPr/>
      </xdr:nvGrpSpPr>
      <xdr:grpSpPr>
        <a:xfrm>
          <a:off x="9499831" y="462998"/>
          <a:ext cx="1654965" cy="1160933"/>
          <a:chOff x="14128238" y="658626"/>
          <a:chExt cx="1654964" cy="1079860"/>
        </a:xfrm>
      </xdr:grpSpPr>
      <xdr:sp macro="" textlink="">
        <xdr:nvSpPr>
          <xdr:cNvPr id="13" name="Rectangle 12">
            <a:extLst>
              <a:ext uri="{FF2B5EF4-FFF2-40B4-BE49-F238E27FC236}">
                <a16:creationId xmlns:a16="http://schemas.microsoft.com/office/drawing/2014/main" id="{00000000-0008-0000-0700-00000D000000}"/>
              </a:ext>
            </a:extLst>
          </xdr:cNvPr>
          <xdr:cNvSpPr/>
        </xdr:nvSpPr>
        <xdr:spPr>
          <a:xfrm>
            <a:off x="14128238" y="658626"/>
            <a:ext cx="1654964" cy="267902"/>
          </a:xfrm>
          <a:prstGeom prst="rect">
            <a:avLst/>
          </a:prstGeom>
          <a:solidFill>
            <a:schemeClr val="tx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b="1">
                <a:solidFill>
                  <a:schemeClr val="bg1"/>
                </a:solidFill>
                <a:latin typeface="Arial" panose="020B0604020202020204" pitchFamily="34" charset="0"/>
                <a:cs typeface="Arial" panose="020B0604020202020204" pitchFamily="34" charset="0"/>
              </a:rPr>
              <a:t>Legend</a:t>
            </a:r>
          </a:p>
        </xdr:txBody>
      </xdr:sp>
      <xdr:sp macro="" textlink="">
        <xdr:nvSpPr>
          <xdr:cNvPr id="14" name="Rectangle 13">
            <a:extLst>
              <a:ext uri="{FF2B5EF4-FFF2-40B4-BE49-F238E27FC236}">
                <a16:creationId xmlns:a16="http://schemas.microsoft.com/office/drawing/2014/main" id="{00000000-0008-0000-0700-00000E000000}"/>
              </a:ext>
            </a:extLst>
          </xdr:cNvPr>
          <xdr:cNvSpPr/>
        </xdr:nvSpPr>
        <xdr:spPr>
          <a:xfrm>
            <a:off x="14128238" y="926662"/>
            <a:ext cx="1654964" cy="200141"/>
          </a:xfrm>
          <a:prstGeom prst="rect">
            <a:avLst/>
          </a:prstGeom>
          <a:solidFill>
            <a:srgbClr val="25C6FF"/>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r>
              <a:rPr lang="en-US" sz="1100">
                <a:solidFill>
                  <a:schemeClr val="tx1"/>
                </a:solidFill>
                <a:latin typeface="Arial" panose="020B0604020202020204" pitchFamily="34" charset="0"/>
                <a:cs typeface="Arial" panose="020B0604020202020204" pitchFamily="34" charset="0"/>
              </a:rPr>
              <a:t>Required Input</a:t>
            </a:r>
          </a:p>
        </xdr:txBody>
      </xdr:sp>
      <xdr:sp macro="" textlink="">
        <xdr:nvSpPr>
          <xdr:cNvPr id="15" name="Rectangle 14">
            <a:extLst>
              <a:ext uri="{FF2B5EF4-FFF2-40B4-BE49-F238E27FC236}">
                <a16:creationId xmlns:a16="http://schemas.microsoft.com/office/drawing/2014/main" id="{00000000-0008-0000-0700-00000F000000}"/>
              </a:ext>
            </a:extLst>
          </xdr:cNvPr>
          <xdr:cNvSpPr/>
        </xdr:nvSpPr>
        <xdr:spPr>
          <a:xfrm>
            <a:off x="14128238" y="1126937"/>
            <a:ext cx="1654964" cy="200141"/>
          </a:xfrm>
          <a:prstGeom prst="rect">
            <a:avLst/>
          </a:prstGeom>
          <a:solidFill>
            <a:schemeClr val="bg1">
              <a:lumMod val="9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r>
              <a:rPr lang="en-US" sz="1100">
                <a:solidFill>
                  <a:schemeClr val="tx1"/>
                </a:solidFill>
                <a:latin typeface="Arial" panose="020B0604020202020204" pitchFamily="34" charset="0"/>
                <a:cs typeface="Arial" panose="020B0604020202020204" pitchFamily="34" charset="0"/>
              </a:rPr>
              <a:t>Calculated Value</a:t>
            </a:r>
          </a:p>
        </xdr:txBody>
      </xdr:sp>
      <xdr:sp macro="" textlink="">
        <xdr:nvSpPr>
          <xdr:cNvPr id="16" name="Rectangle 15">
            <a:extLst>
              <a:ext uri="{FF2B5EF4-FFF2-40B4-BE49-F238E27FC236}">
                <a16:creationId xmlns:a16="http://schemas.microsoft.com/office/drawing/2014/main" id="{00000000-0008-0000-0700-000010000000}"/>
              </a:ext>
            </a:extLst>
          </xdr:cNvPr>
          <xdr:cNvSpPr/>
        </xdr:nvSpPr>
        <xdr:spPr>
          <a:xfrm>
            <a:off x="14128238" y="1338072"/>
            <a:ext cx="1654964" cy="200141"/>
          </a:xfrm>
          <a:prstGeom prst="rect">
            <a:avLst/>
          </a:prstGeom>
          <a:solidFill>
            <a:srgbClr val="FF000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r>
              <a:rPr lang="en-US" sz="1100" b="1">
                <a:solidFill>
                  <a:schemeClr val="bg1"/>
                </a:solidFill>
                <a:latin typeface="Arial" panose="020B0604020202020204" pitchFamily="34" charset="0"/>
                <a:cs typeface="Arial" panose="020B0604020202020204" pitchFamily="34" charset="0"/>
              </a:rPr>
              <a:t>Error</a:t>
            </a:r>
          </a:p>
        </xdr:txBody>
      </xdr:sp>
      <xdr:sp macro="" textlink="">
        <xdr:nvSpPr>
          <xdr:cNvPr id="17" name="Rectangle 16">
            <a:extLst>
              <a:ext uri="{FF2B5EF4-FFF2-40B4-BE49-F238E27FC236}">
                <a16:creationId xmlns:a16="http://schemas.microsoft.com/office/drawing/2014/main" id="{00000000-0008-0000-0700-000011000000}"/>
              </a:ext>
            </a:extLst>
          </xdr:cNvPr>
          <xdr:cNvSpPr/>
        </xdr:nvSpPr>
        <xdr:spPr>
          <a:xfrm>
            <a:off x="14128238" y="1538345"/>
            <a:ext cx="1654964" cy="200141"/>
          </a:xfrm>
          <a:prstGeom prst="rect">
            <a:avLst/>
          </a:prstGeom>
          <a:solidFill>
            <a:srgbClr val="E8D548"/>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r>
              <a:rPr lang="en-US" sz="1100" b="0">
                <a:solidFill>
                  <a:sysClr val="windowText" lastClr="000000"/>
                </a:solidFill>
                <a:latin typeface="Arial" panose="020B0604020202020204" pitchFamily="34" charset="0"/>
                <a:cs typeface="Arial" panose="020B0604020202020204" pitchFamily="34" charset="0"/>
              </a:rPr>
              <a:t>Default</a:t>
            </a:r>
            <a:r>
              <a:rPr lang="en-US" sz="1100" b="0" baseline="0">
                <a:solidFill>
                  <a:sysClr val="windowText" lastClr="000000"/>
                </a:solidFill>
                <a:latin typeface="Arial" panose="020B0604020202020204" pitchFamily="34" charset="0"/>
                <a:cs typeface="Arial" panose="020B0604020202020204" pitchFamily="34" charset="0"/>
              </a:rPr>
              <a:t> Value</a:t>
            </a:r>
            <a:endParaRPr lang="en-US" sz="1100" b="0">
              <a:solidFill>
                <a:sysClr val="windowText" lastClr="000000"/>
              </a:solidFill>
              <a:latin typeface="Arial" panose="020B0604020202020204" pitchFamily="34" charset="0"/>
              <a:cs typeface="Arial" panose="020B0604020202020204" pitchFamily="34" charset="0"/>
            </a:endParaRPr>
          </a:p>
        </xdr:txBody>
      </xdr:sp>
    </xdr:grpSp>
    <xdr:clientData/>
  </xdr:twoCellAnchor>
  <mc:AlternateContent xmlns:mc="http://schemas.openxmlformats.org/markup-compatibility/2006">
    <mc:Choice xmlns:a14="http://schemas.microsoft.com/office/drawing/2010/main" Requires="a14">
      <xdr:twoCellAnchor>
        <xdr:from>
          <xdr:col>4</xdr:col>
          <xdr:colOff>101600</xdr:colOff>
          <xdr:row>41</xdr:row>
          <xdr:rowOff>69850</xdr:rowOff>
        </xdr:from>
        <xdr:to>
          <xdr:col>6</xdr:col>
          <xdr:colOff>609600</xdr:colOff>
          <xdr:row>45</xdr:row>
          <xdr:rowOff>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700-00000B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Reset Electricity Consumption and Generation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26</xdr:row>
          <xdr:rowOff>222250</xdr:rowOff>
        </xdr:from>
        <xdr:to>
          <xdr:col>6</xdr:col>
          <xdr:colOff>596900</xdr:colOff>
          <xdr:row>29</xdr:row>
          <xdr:rowOff>177800</xdr:rowOff>
        </xdr:to>
        <xdr:sp macro="" textlink="">
          <xdr:nvSpPr>
            <xdr:cNvPr id="6156" name="Button 12" descr="Reset Flaring Defaults" hidden="1">
              <a:extLst>
                <a:ext uri="{63B3BB69-23CF-44E3-9099-C40C66FF867C}">
                  <a14:compatExt spid="_x0000_s6156"/>
                </a:ext>
                <a:ext uri="{FF2B5EF4-FFF2-40B4-BE49-F238E27FC236}">
                  <a16:creationId xmlns:a16="http://schemas.microsoft.com/office/drawing/2014/main" id="{00000000-0008-0000-0700-00000C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Reset Flaring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63500</xdr:colOff>
          <xdr:row>46</xdr:row>
          <xdr:rowOff>863600</xdr:rowOff>
        </xdr:from>
        <xdr:to>
          <xdr:col>6</xdr:col>
          <xdr:colOff>596900</xdr:colOff>
          <xdr:row>48</xdr:row>
          <xdr:rowOff>184150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700-00000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Reset Leakage Defaults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11840</xdr:colOff>
      <xdr:row>45</xdr:row>
      <xdr:rowOff>27083</xdr:rowOff>
    </xdr:from>
    <xdr:to>
      <xdr:col>10</xdr:col>
      <xdr:colOff>-1</xdr:colOff>
      <xdr:row>51</xdr:row>
      <xdr:rowOff>130969</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840" y="11421364"/>
          <a:ext cx="14251847" cy="1318324"/>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buFont typeface="Arial" panose="020B0604020202020204" pitchFamily="34" charset="0"/>
            <a:buNone/>
          </a:pPr>
          <a:r>
            <a:rPr lang="en-US" sz="1100" b="1" baseline="0">
              <a:latin typeface="Arial" panose="020B0604020202020204" pitchFamily="34" charset="0"/>
              <a:cs typeface="Arial" panose="020B0604020202020204" pitchFamily="34" charset="0"/>
            </a:rPr>
            <a:t>Pretreatment Methods:</a:t>
          </a:r>
        </a:p>
        <a:p>
          <a:pPr marL="171450" indent="-171450">
            <a:buFont typeface="Arial" panose="020B0604020202020204" pitchFamily="34" charset="0"/>
            <a:buChar char="•"/>
          </a:pPr>
          <a:r>
            <a:rPr lang="en-US" sz="1100" b="0" baseline="0">
              <a:latin typeface="Arial" panose="020B0604020202020204" pitchFamily="34" charset="0"/>
              <a:cs typeface="Arial" panose="020B0604020202020204" pitchFamily="34" charset="0"/>
            </a:rPr>
            <a:t>Air Stripping - Air stripping is the process of moving air through contaminated sludge before it enters the anaerobic digester to remove contaminants. </a:t>
          </a:r>
        </a:p>
        <a:p>
          <a:pPr marL="171450" indent="-171450">
            <a:buFont typeface="Arial" panose="020B0604020202020204" pitchFamily="34" charset="0"/>
            <a:buChar char="•"/>
          </a:pPr>
          <a:r>
            <a:rPr lang="en-US" sz="1100" b="0" baseline="0">
              <a:latin typeface="Arial" panose="020B0604020202020204" pitchFamily="34" charset="0"/>
              <a:cs typeface="Arial" panose="020B0604020202020204" pitchFamily="34" charset="0"/>
            </a:rPr>
            <a:t>Precipitation - Precipitation is the creation of a solid from a solution to easily remove waste stream contaminants before the sludge enters the Anaerobic Digester. </a:t>
          </a:r>
        </a:p>
        <a:p>
          <a:pPr marL="171450" indent="-171450">
            <a:buFont typeface="Arial" panose="020B0604020202020204" pitchFamily="34" charset="0"/>
            <a:buChar char="•"/>
          </a:pPr>
          <a:r>
            <a:rPr lang="en-US" sz="1100" b="0" baseline="0">
              <a:latin typeface="Arial" panose="020B0604020202020204" pitchFamily="34" charset="0"/>
              <a:cs typeface="Arial" panose="020B0604020202020204" pitchFamily="34" charset="0"/>
            </a:rPr>
            <a:t>Dilution - Dilution is the process of decreasing a waste stream inhibitor’s concentration in a solution, usually simply by mixing with more solvent (e.g. water) to dilute the solution.</a:t>
          </a:r>
        </a:p>
        <a:p>
          <a:pPr marL="171450" indent="-171450">
            <a:buFont typeface="Arial" panose="020B0604020202020204" pitchFamily="34" charset="0"/>
            <a:buChar char="•"/>
          </a:pPr>
          <a:r>
            <a:rPr lang="en-US" sz="1100" b="0" baseline="0">
              <a:latin typeface="Arial" panose="020B0604020202020204" pitchFamily="34" charset="0"/>
              <a:cs typeface="Arial" panose="020B0604020202020204" pitchFamily="34" charset="0"/>
            </a:rPr>
            <a:t>Sorption - Sorption is the process by which toxic inhibitor are separated from the waste stream with solvents.</a:t>
          </a:r>
        </a:p>
        <a:p>
          <a:pPr marL="171450" indent="-171450">
            <a:buFont typeface="Arial" panose="020B0604020202020204" pitchFamily="34" charset="0"/>
            <a:buChar char="•"/>
          </a:pPr>
          <a:r>
            <a:rPr lang="en-US" sz="1100" b="0" baseline="0">
              <a:latin typeface="Arial" panose="020B0604020202020204" pitchFamily="34" charset="0"/>
              <a:cs typeface="Arial" panose="020B0604020202020204" pitchFamily="34" charset="0"/>
            </a:rPr>
            <a:t>Chelation - Chelation is the process of bonding of ions and molecules to metal ions to remove a waste inhibitor from the waste stream. </a:t>
          </a:r>
        </a:p>
        <a:p>
          <a:pPr marL="171450" indent="-171450">
            <a:buFont typeface="Arial" panose="020B0604020202020204" pitchFamily="34" charset="0"/>
            <a:buChar char="•"/>
          </a:pPr>
          <a:r>
            <a:rPr lang="en-US" sz="1100" b="0" baseline="0">
              <a:latin typeface="Arial" panose="020B0604020202020204" pitchFamily="34" charset="0"/>
              <a:cs typeface="Arial" panose="020B0604020202020204" pitchFamily="34" charset="0"/>
            </a:rPr>
            <a:t>Partial or Full Oxidization - Is the process where the waste is combined chemically with oxygen.</a:t>
          </a:r>
        </a:p>
        <a:p>
          <a:pPr marL="171450" indent="-171450">
            <a:buFont typeface="Arial" panose="020B0604020202020204" pitchFamily="34" charset="0"/>
            <a:buChar char="•"/>
          </a:pPr>
          <a:endParaRPr lang="en-US" sz="1100" b="0" baseline="0">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56030</xdr:colOff>
      <xdr:row>10</xdr:row>
      <xdr:rowOff>96332</xdr:rowOff>
    </xdr:from>
    <xdr:to>
      <xdr:col>6</xdr:col>
      <xdr:colOff>0</xdr:colOff>
      <xdr:row>33</xdr:row>
      <xdr:rowOff>44823</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50326</xdr:rowOff>
    </xdr:from>
    <xdr:to>
      <xdr:col>6</xdr:col>
      <xdr:colOff>9936</xdr:colOff>
      <xdr:row>4</xdr:row>
      <xdr:rowOff>13607</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0" y="431326"/>
          <a:ext cx="13317722" cy="711674"/>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solidFill>
                <a:sysClr val="windowText" lastClr="000000"/>
              </a:solidFill>
              <a:latin typeface="Arial" panose="020B0604020202020204" pitchFamily="34" charset="0"/>
              <a:cs typeface="Arial" panose="020B0604020202020204" pitchFamily="34" charset="0"/>
            </a:rPr>
            <a:t>The total biogas produced from the given waste stream is presented in the table and figures below. This should be considered a first order estimate. In reality, an Anaerobic Digester’s output can vary considerably depending on a number of operational,</a:t>
          </a:r>
          <a:r>
            <a:rPr lang="en-US" sz="1100" baseline="0">
              <a:solidFill>
                <a:sysClr val="windowText" lastClr="000000"/>
              </a:solidFill>
              <a:latin typeface="Arial" panose="020B0604020202020204" pitchFamily="34" charset="0"/>
              <a:cs typeface="Arial" panose="020B0604020202020204" pitchFamily="34" charset="0"/>
            </a:rPr>
            <a:t> and </a:t>
          </a:r>
          <a:r>
            <a:rPr lang="en-US" sz="1100">
              <a:solidFill>
                <a:sysClr val="windowText" lastClr="000000"/>
              </a:solidFill>
              <a:latin typeface="Arial" panose="020B0604020202020204" pitchFamily="34" charset="0"/>
              <a:cs typeface="Arial" panose="020B0604020202020204" pitchFamily="34" charset="0"/>
            </a:rPr>
            <a:t>reactor, design parameters and/or</a:t>
          </a:r>
          <a:r>
            <a:rPr lang="en-US" sz="1100" baseline="0">
              <a:solidFill>
                <a:sysClr val="windowText" lastClr="000000"/>
              </a:solidFill>
              <a:latin typeface="Arial" panose="020B0604020202020204" pitchFamily="34" charset="0"/>
              <a:cs typeface="Arial" panose="020B0604020202020204" pitchFamily="34" charset="0"/>
            </a:rPr>
            <a:t> </a:t>
          </a:r>
          <a:r>
            <a:rPr lang="en-US" sz="1100">
              <a:solidFill>
                <a:sysClr val="windowText" lastClr="000000"/>
              </a:solidFill>
              <a:latin typeface="Arial" panose="020B0604020202020204" pitchFamily="34" charset="0"/>
              <a:cs typeface="Arial" panose="020B0604020202020204" pitchFamily="34" charset="0"/>
            </a:rPr>
            <a:t>waste characteristics.  True</a:t>
          </a:r>
          <a:r>
            <a:rPr lang="en-US" sz="1100" baseline="0">
              <a:solidFill>
                <a:sysClr val="windowText" lastClr="000000"/>
              </a:solidFill>
              <a:latin typeface="Arial" panose="020B0604020202020204" pitchFamily="34" charset="0"/>
              <a:cs typeface="Arial" panose="020B0604020202020204" pitchFamily="34" charset="0"/>
            </a:rPr>
            <a:t> biogas production may be significantly higher or lower than estimated. For more accurate results override the default assumption on the "Anaerobic Digester Inputs" tab.</a:t>
          </a:r>
          <a:endParaRPr lang="en-US" sz="1100">
            <a:solidFill>
              <a:sysClr val="windowText" lastClr="000000"/>
            </a:solidFill>
            <a:latin typeface="Arial" panose="020B0604020202020204" pitchFamily="34" charset="0"/>
            <a:cs typeface="Arial" panose="020B0604020202020204"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78582</xdr:colOff>
      <xdr:row>8</xdr:row>
      <xdr:rowOff>83342</xdr:rowOff>
    </xdr:from>
    <xdr:to>
      <xdr:col>5</xdr:col>
      <xdr:colOff>2071687</xdr:colOff>
      <xdr:row>31</xdr:row>
      <xdr:rowOff>36098</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53181</xdr:rowOff>
    </xdr:from>
    <xdr:to>
      <xdr:col>5</xdr:col>
      <xdr:colOff>1498600</xdr:colOff>
      <xdr:row>4</xdr:row>
      <xdr:rowOff>76200</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0" y="434181"/>
          <a:ext cx="14033500" cy="581819"/>
        </a:xfrm>
        <a:prstGeom prst="rect">
          <a:avLst/>
        </a:prstGeom>
        <a:solidFill>
          <a:schemeClr val="bg1">
            <a:lumMod val="95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US" sz="1100">
              <a:solidFill>
                <a:sysClr val="windowText" lastClr="000000"/>
              </a:solidFill>
              <a:latin typeface="Arial" panose="020B0604020202020204" pitchFamily="34" charset="0"/>
              <a:cs typeface="Arial" panose="020B0604020202020204" pitchFamily="34" charset="0"/>
            </a:rPr>
            <a:t>The total digestate produced from the given waste stream is presented in the table and figures below. This should be considered a first order estimate. In reality, an Anaerobic Digester’s output can vary considerably depending on a number of operational, reactor, and waste characteristics of the system. </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xdr:row>
      <xdr:rowOff>38100</xdr:rowOff>
    </xdr:from>
    <xdr:to>
      <xdr:col>6</xdr:col>
      <xdr:colOff>631825</xdr:colOff>
      <xdr:row>6</xdr:row>
      <xdr:rowOff>88900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0" y="266700"/>
          <a:ext cx="14614525" cy="939800"/>
        </a:xfrm>
        <a:prstGeom prst="rect">
          <a:avLst/>
        </a:prstGeom>
        <a:solidFill>
          <a:schemeClr val="bg1">
            <a:lumMod val="95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Arial" panose="020B0604020202020204" pitchFamily="34" charset="0"/>
              <a:ea typeface="+mn-ea"/>
              <a:cs typeface="Arial" panose="020B0604020202020204" pitchFamily="34" charset="0"/>
            </a:rPr>
            <a:t>The baseline emissions, project emissions, and net emissions reductions from the Anaerobic Digester</a:t>
          </a:r>
          <a:r>
            <a:rPr lang="en-US" sz="1100" baseline="0">
              <a:solidFill>
                <a:schemeClr val="dk1"/>
              </a:solidFill>
              <a:effectLst/>
              <a:latin typeface="Arial" panose="020B0604020202020204" pitchFamily="34" charset="0"/>
              <a:ea typeface="+mn-ea"/>
              <a:cs typeface="Arial" panose="020B0604020202020204" pitchFamily="34" charset="0"/>
            </a:rPr>
            <a:t> </a:t>
          </a:r>
          <a:r>
            <a:rPr lang="en-US" sz="1100">
              <a:solidFill>
                <a:schemeClr val="dk1"/>
              </a:solidFill>
              <a:effectLst/>
              <a:latin typeface="Arial" panose="020B0604020202020204" pitchFamily="34" charset="0"/>
              <a:ea typeface="+mn-ea"/>
              <a:cs typeface="Arial" panose="020B0604020202020204" pitchFamily="34" charset="0"/>
            </a:rPr>
            <a:t>are presented in the tables</a:t>
          </a:r>
          <a:r>
            <a:rPr lang="en-US" sz="1100" baseline="0">
              <a:solidFill>
                <a:schemeClr val="dk1"/>
              </a:solidFill>
              <a:effectLst/>
              <a:latin typeface="Arial" panose="020B0604020202020204" pitchFamily="34" charset="0"/>
              <a:ea typeface="+mn-ea"/>
              <a:cs typeface="Arial" panose="020B0604020202020204" pitchFamily="34" charset="0"/>
            </a:rPr>
            <a:t> </a:t>
          </a:r>
          <a:r>
            <a:rPr lang="en-US" sz="1100">
              <a:solidFill>
                <a:schemeClr val="dk1"/>
              </a:solidFill>
              <a:effectLst/>
              <a:latin typeface="Arial" panose="020B0604020202020204" pitchFamily="34" charset="0"/>
              <a:ea typeface="+mn-ea"/>
              <a:cs typeface="Arial" panose="020B0604020202020204" pitchFamily="34" charset="0"/>
            </a:rPr>
            <a:t>below. This should be considered a first order estimate. In reality, an Anaerobic Digester’s emissions, and therefore</a:t>
          </a:r>
          <a:r>
            <a:rPr lang="en-US" sz="1100" baseline="0">
              <a:solidFill>
                <a:schemeClr val="dk1"/>
              </a:solidFill>
              <a:effectLst/>
              <a:latin typeface="Arial" panose="020B0604020202020204" pitchFamily="34" charset="0"/>
              <a:ea typeface="+mn-ea"/>
              <a:cs typeface="Arial" panose="020B0604020202020204" pitchFamily="34" charset="0"/>
            </a:rPr>
            <a:t> net emission reductions,</a:t>
          </a:r>
          <a:r>
            <a:rPr lang="en-US" sz="1100">
              <a:solidFill>
                <a:schemeClr val="dk1"/>
              </a:solidFill>
              <a:effectLst/>
              <a:latin typeface="Arial" panose="020B0604020202020204" pitchFamily="34" charset="0"/>
              <a:ea typeface="+mn-ea"/>
              <a:cs typeface="Arial" panose="020B0604020202020204" pitchFamily="34" charset="0"/>
            </a:rPr>
            <a:t> can vary considerably depending on a number of operational,</a:t>
          </a:r>
          <a:r>
            <a:rPr lang="en-US" sz="1100" baseline="0">
              <a:solidFill>
                <a:schemeClr val="dk1"/>
              </a:solidFill>
              <a:effectLst/>
              <a:latin typeface="Arial" panose="020B0604020202020204" pitchFamily="34" charset="0"/>
              <a:ea typeface="+mn-ea"/>
              <a:cs typeface="Arial" panose="020B0604020202020204" pitchFamily="34" charset="0"/>
            </a:rPr>
            <a:t> and </a:t>
          </a:r>
          <a:r>
            <a:rPr lang="en-US" sz="1100">
              <a:solidFill>
                <a:schemeClr val="dk1"/>
              </a:solidFill>
              <a:effectLst/>
              <a:latin typeface="Arial" panose="020B0604020202020204" pitchFamily="34" charset="0"/>
              <a:ea typeface="+mn-ea"/>
              <a:cs typeface="Arial" panose="020B0604020202020204" pitchFamily="34" charset="0"/>
            </a:rPr>
            <a:t>reactor, design parameters and/or</a:t>
          </a:r>
          <a:r>
            <a:rPr lang="en-US" sz="1100" baseline="0">
              <a:solidFill>
                <a:schemeClr val="dk1"/>
              </a:solidFill>
              <a:effectLst/>
              <a:latin typeface="Arial" panose="020B0604020202020204" pitchFamily="34" charset="0"/>
              <a:ea typeface="+mn-ea"/>
              <a:cs typeface="Arial" panose="020B0604020202020204" pitchFamily="34" charset="0"/>
            </a:rPr>
            <a:t> </a:t>
          </a:r>
          <a:r>
            <a:rPr lang="en-US" sz="1100">
              <a:solidFill>
                <a:schemeClr val="dk1"/>
              </a:solidFill>
              <a:effectLst/>
              <a:latin typeface="Arial" panose="020B0604020202020204" pitchFamily="34" charset="0"/>
              <a:ea typeface="+mn-ea"/>
              <a:cs typeface="Arial" panose="020B0604020202020204" pitchFamily="34" charset="0"/>
            </a:rPr>
            <a:t>waste characteristics. True</a:t>
          </a:r>
          <a:r>
            <a:rPr lang="en-US" sz="1100" baseline="0">
              <a:solidFill>
                <a:schemeClr val="dk1"/>
              </a:solidFill>
              <a:effectLst/>
              <a:latin typeface="Arial" panose="020B0604020202020204" pitchFamily="34" charset="0"/>
              <a:ea typeface="+mn-ea"/>
              <a:cs typeface="Arial" panose="020B0604020202020204" pitchFamily="34" charset="0"/>
            </a:rPr>
            <a:t> methane emissions and emissions reductions may be significantly higher or lower than estimated.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Arial" panose="020B0604020202020204" pitchFamily="34" charset="0"/>
              <a:ea typeface="+mn-ea"/>
              <a:cs typeface="Arial" panose="020B0604020202020204" pitchFamily="34" charset="0"/>
            </a:rPr>
            <a:t>For more accurate results override the default assumptions on the "Emissions Inputs" tab.</a:t>
          </a:r>
          <a:endParaRPr lang="en-US">
            <a:effectLst/>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4</xdr:col>
          <xdr:colOff>298450</xdr:colOff>
          <xdr:row>40</xdr:row>
          <xdr:rowOff>63500</xdr:rowOff>
        </xdr:from>
        <xdr:to>
          <xdr:col>5</xdr:col>
          <xdr:colOff>793750</xdr:colOff>
          <xdr:row>40</xdr:row>
          <xdr:rowOff>520700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B00-00000A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Reset Global Warming Potential Values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0</xdr:colOff>
      <xdr:row>2</xdr:row>
      <xdr:rowOff>12700</xdr:rowOff>
    </xdr:from>
    <xdr:to>
      <xdr:col>14</xdr:col>
      <xdr:colOff>939800</xdr:colOff>
      <xdr:row>6</xdr:row>
      <xdr:rowOff>95624</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0" y="241300"/>
          <a:ext cx="14020800" cy="794124"/>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l"/>
          <a:r>
            <a:rPr lang="en-US" sz="1100">
              <a:solidFill>
                <a:sysClr val="windowText" lastClr="000000"/>
              </a:solidFill>
              <a:latin typeface="Arial" panose="020B0604020202020204" pitchFamily="34" charset="0"/>
              <a:cs typeface="Arial" panose="020B0604020202020204" pitchFamily="34" charset="0"/>
            </a:rPr>
            <a:t>The table below shows the default waste characteristics and their sources. The</a:t>
          </a:r>
          <a:r>
            <a:rPr lang="en-US" sz="1200">
              <a:solidFill>
                <a:srgbClr val="FFFF00"/>
              </a:solidFill>
              <a:latin typeface="Arial" panose="020B0604020202020204" pitchFamily="34" charset="0"/>
              <a:cs typeface="Arial" panose="020B0604020202020204" pitchFamily="34" charset="0"/>
            </a:rPr>
            <a:t> </a:t>
          </a:r>
          <a:r>
            <a:rPr kumimoji="0" lang="en-US" sz="1200" b="1" i="0" u="none" strike="noStrike" kern="0" cap="none" spc="0" normalizeH="0" baseline="0" noProof="0">
              <a:ln>
                <a:solidFill>
                  <a:prstClr val="black"/>
                </a:solidFill>
              </a:ln>
              <a:solidFill>
                <a:srgbClr val="FFFF00"/>
              </a:solidFill>
              <a:effectLst/>
              <a:uLnTx/>
              <a:uFillTx/>
              <a:latin typeface="Arial" panose="020B0604020202020204" pitchFamily="34" charset="0"/>
              <a:ea typeface="+mn-ea"/>
              <a:cs typeface="Arial" panose="020B0604020202020204" pitchFamily="34" charset="0"/>
            </a:rPr>
            <a:t>YELLOW</a:t>
          </a:r>
          <a:r>
            <a:rPr lang="en-US" sz="1200" baseline="0">
              <a:solidFill>
                <a:srgbClr val="FFFF00"/>
              </a:solidFill>
              <a:latin typeface="Arial" panose="020B0604020202020204" pitchFamily="34" charset="0"/>
              <a:cs typeface="Arial" panose="020B0604020202020204" pitchFamily="34" charset="0"/>
            </a:rPr>
            <a:t> </a:t>
          </a:r>
          <a:r>
            <a:rPr lang="en-US" sz="1100">
              <a:solidFill>
                <a:sysClr val="windowText" lastClr="000000"/>
              </a:solidFill>
              <a:latin typeface="Arial" panose="020B0604020202020204" pitchFamily="34" charset="0"/>
              <a:cs typeface="Arial" panose="020B0604020202020204" pitchFamily="34" charset="0"/>
            </a:rPr>
            <a:t>columns are default values used in tool calculations. The</a:t>
          </a:r>
          <a:r>
            <a:rPr lang="en-US" sz="1200">
              <a:solidFill>
                <a:sysClr val="windowText" lastClr="000000"/>
              </a:solidFill>
              <a:latin typeface="Arial" panose="020B0604020202020204" pitchFamily="34" charset="0"/>
              <a:cs typeface="Arial" panose="020B0604020202020204" pitchFamily="34" charset="0"/>
            </a:rPr>
            <a:t> </a:t>
          </a:r>
          <a:r>
            <a:rPr lang="en-US" sz="1200" b="1">
              <a:solidFill>
                <a:schemeClr val="tx1">
                  <a:lumMod val="95000"/>
                  <a:lumOff val="5000"/>
                </a:schemeClr>
              </a:solidFill>
              <a:latin typeface="Arial" panose="020B0604020202020204" pitchFamily="34" charset="0"/>
              <a:cs typeface="Arial" panose="020B0604020202020204" pitchFamily="34" charset="0"/>
            </a:rPr>
            <a:t>GREY</a:t>
          </a:r>
          <a:r>
            <a:rPr lang="en-US" sz="1200">
              <a:solidFill>
                <a:schemeClr val="tx1">
                  <a:lumMod val="95000"/>
                  <a:lumOff val="5000"/>
                </a:schemeClr>
              </a:solidFill>
              <a:latin typeface="Arial" panose="020B0604020202020204" pitchFamily="34" charset="0"/>
              <a:cs typeface="Arial" panose="020B0604020202020204" pitchFamily="34" charset="0"/>
            </a:rPr>
            <a:t> </a:t>
          </a:r>
          <a:r>
            <a:rPr lang="en-US" sz="1100">
              <a:solidFill>
                <a:sysClr val="windowText" lastClr="000000"/>
              </a:solidFill>
              <a:latin typeface="Arial" panose="020B0604020202020204" pitchFamily="34" charset="0"/>
              <a:cs typeface="Arial" panose="020B0604020202020204" pitchFamily="34" charset="0"/>
            </a:rPr>
            <a:t>columns are additional information about the respective waste category. The defaults come from peer reviewed, academic, government, non-profit, and/or encyclopedic sources. These values are from a mix of field and</a:t>
          </a:r>
          <a:r>
            <a:rPr lang="en-US" sz="1100" baseline="0">
              <a:solidFill>
                <a:sysClr val="windowText" lastClr="000000"/>
              </a:solidFill>
              <a:latin typeface="Arial" panose="020B0604020202020204" pitchFamily="34" charset="0"/>
              <a:cs typeface="Arial" panose="020B0604020202020204" pitchFamily="34" charset="0"/>
            </a:rPr>
            <a:t> laboratory studies, as well as recommended values for modeling and calculations. In reality a waste's characteristics may differ significantly than the defaults listed below.</a:t>
          </a:r>
          <a:endParaRPr lang="en-US" sz="1100">
            <a:solidFill>
              <a:sysClr val="windowText" lastClr="000000"/>
            </a:solidFill>
            <a:latin typeface="Arial" panose="020B0604020202020204" pitchFamily="34" charset="0"/>
            <a:cs typeface="Arial" panose="020B0604020202020204"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1</xdr:row>
      <xdr:rowOff>31750</xdr:rowOff>
    </xdr:from>
    <xdr:to>
      <xdr:col>2</xdr:col>
      <xdr:colOff>1657350</xdr:colOff>
      <xdr:row>1</xdr:row>
      <xdr:rowOff>1473200</xdr:rowOff>
    </xdr:to>
    <xdr:sp macro="" textlink="">
      <xdr:nvSpPr>
        <xdr:cNvPr id="6" name="TextBox 2">
          <a:extLst>
            <a:ext uri="{FF2B5EF4-FFF2-40B4-BE49-F238E27FC236}">
              <a16:creationId xmlns:a16="http://schemas.microsoft.com/office/drawing/2014/main" id="{00000000-0008-0000-0E00-000006000000}"/>
            </a:ext>
          </a:extLst>
        </xdr:cNvPr>
        <xdr:cNvSpPr txBox="1"/>
      </xdr:nvSpPr>
      <xdr:spPr>
        <a:xfrm>
          <a:off x="0" y="260350"/>
          <a:ext cx="4870450" cy="14414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Arial" panose="020B0604020202020204" pitchFamily="34" charset="0"/>
              <a:ea typeface="+mn-ea"/>
              <a:cs typeface="Arial" panose="020B0604020202020204" pitchFamily="34" charset="0"/>
            </a:rPr>
            <a:t>The AD Screening Tool uses a mass</a:t>
          </a:r>
          <a:r>
            <a:rPr lang="en-US" sz="1100" baseline="0">
              <a:solidFill>
                <a:schemeClr val="dk1"/>
              </a:solidFill>
              <a:effectLst/>
              <a:latin typeface="Arial" panose="020B0604020202020204" pitchFamily="34" charset="0"/>
              <a:ea typeface="+mn-ea"/>
              <a:cs typeface="Arial" panose="020B0604020202020204" pitchFamily="34" charset="0"/>
            </a:rPr>
            <a:t> balance approach to estimate the maximum potential for biogas generation from each feedstock. The calibration factors shown here were developed by comparing the maximum potential values from the AD Screening Tool to actual digester data collected by EPA. The range represents the 25th and 75th percentile values of the ratio between the measured biogas data and the modeled. These values are used to adjust the maximum potenial biogas generation values to estimate the likely biogas generation potential values.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effectLst/>
            <a:latin typeface="Arial" panose="020B0604020202020204" pitchFamily="34" charset="0"/>
            <a:cs typeface="Arial" panose="020B0604020202020204" pitchFamily="34"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68580</xdr:colOff>
      <xdr:row>1</xdr:row>
      <xdr:rowOff>24765</xdr:rowOff>
    </xdr:from>
    <xdr:to>
      <xdr:col>11</xdr:col>
      <xdr:colOff>154940</xdr:colOff>
      <xdr:row>4</xdr:row>
      <xdr:rowOff>63500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68580" y="247015"/>
          <a:ext cx="9738360" cy="705485"/>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Methane conversion factor represents the percentage of a waste's maximum methane-producing capacity achieved during waste management and disposal, i.e. part of organic matter actually converted into methane. The figure below lists 23 default Methane Conversion Factors for Cool, Temperate, and Warm climates taken from IPCC. </a:t>
          </a:r>
        </a:p>
        <a:p>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16192</xdr:colOff>
      <xdr:row>1</xdr:row>
      <xdr:rowOff>105251</xdr:rowOff>
    </xdr:from>
    <xdr:to>
      <xdr:col>0</xdr:col>
      <xdr:colOff>10537507</xdr:colOff>
      <xdr:row>10</xdr:row>
      <xdr:rowOff>20927</xdr:rowOff>
    </xdr:to>
    <xdr:grpSp>
      <xdr:nvGrpSpPr>
        <xdr:cNvPr id="2" name="Group 1">
          <a:extLst>
            <a:ext uri="{FF2B5EF4-FFF2-40B4-BE49-F238E27FC236}">
              <a16:creationId xmlns:a16="http://schemas.microsoft.com/office/drawing/2014/main" id="{00000000-0008-0000-1200-000002000000}"/>
            </a:ext>
          </a:extLst>
        </xdr:cNvPr>
        <xdr:cNvGrpSpPr/>
      </xdr:nvGrpSpPr>
      <xdr:grpSpPr>
        <a:xfrm>
          <a:off x="16192" y="464480"/>
          <a:ext cx="10521315" cy="1602961"/>
          <a:chOff x="187430" y="360562"/>
          <a:chExt cx="9175084" cy="1600467"/>
        </a:xfrm>
      </xdr:grpSpPr>
      <xdr:sp macro="" textlink="">
        <xdr:nvSpPr>
          <xdr:cNvPr id="3" name="TextBox 2">
            <a:hlinkClick xmlns:r="http://schemas.openxmlformats.org/officeDocument/2006/relationships" r:id="rId1"/>
            <a:extLst>
              <a:ext uri="{FF2B5EF4-FFF2-40B4-BE49-F238E27FC236}">
                <a16:creationId xmlns:a16="http://schemas.microsoft.com/office/drawing/2014/main" id="{00000000-0008-0000-1200-000003000000}"/>
              </a:ext>
            </a:extLst>
          </xdr:cNvPr>
          <xdr:cNvSpPr txBox="1"/>
        </xdr:nvSpPr>
        <xdr:spPr>
          <a:xfrm>
            <a:off x="190753" y="360562"/>
            <a:ext cx="9168439" cy="68103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For questions about using the AD Screening Tool, please contact the tool developers at the following email address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600" b="0" i="0" u="sng" strike="noStrike" kern="0" cap="none" spc="0" normalizeH="0" baseline="0" noProof="0">
                <a:ln>
                  <a:noFill/>
                </a:ln>
                <a:solidFill>
                  <a:srgbClr val="2D5CA3"/>
                </a:solidFill>
                <a:effectLst/>
                <a:uLnTx/>
                <a:uFillTx/>
                <a:latin typeface="Arial" panose="020B0604020202020204" pitchFamily="34" charset="0"/>
                <a:ea typeface="+mn-ea"/>
                <a:cs typeface="Arial" panose="020B0604020202020204" pitchFamily="34" charset="0"/>
              </a:rPr>
              <a:t>biogastoolkit@epa.gov</a:t>
            </a:r>
            <a:endParaRPr kumimoji="0" lang="en-US"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xdr:txBody>
      </xdr:sp>
      <xdr:sp macro="" textlink="">
        <xdr:nvSpPr>
          <xdr:cNvPr id="4" name="TextBox 3">
            <a:hlinkClick xmlns:r="http://schemas.openxmlformats.org/officeDocument/2006/relationships" r:id="rId2"/>
            <a:extLst>
              <a:ext uri="{FF2B5EF4-FFF2-40B4-BE49-F238E27FC236}">
                <a16:creationId xmlns:a16="http://schemas.microsoft.com/office/drawing/2014/main" id="{00000000-0008-0000-1200-000004000000}"/>
              </a:ext>
            </a:extLst>
          </xdr:cNvPr>
          <xdr:cNvSpPr txBox="1"/>
        </xdr:nvSpPr>
        <xdr:spPr>
          <a:xfrm>
            <a:off x="187430" y="1053352"/>
            <a:ext cx="9175084" cy="907677"/>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0" lang="en-US" sz="1100" b="0" i="0" u="none" strike="noStrike" kern="0" cap="none" spc="0" normalizeH="0" baseline="0">
                <a:ln>
                  <a:noFill/>
                </a:ln>
                <a:solidFill>
                  <a:sysClr val="windowText" lastClr="000000"/>
                </a:solidFill>
                <a:effectLst/>
                <a:uLnTx/>
                <a:uFillTx/>
                <a:latin typeface="Arial" panose="020B0604020202020204" pitchFamily="34" charset="0"/>
                <a:ea typeface="+mn-ea"/>
                <a:cs typeface="Arial" panose="020B0604020202020204" pitchFamily="34" charset="0"/>
              </a:rPr>
              <a:t>Additional information and resources are available on the Global Methane Initiative website:</a:t>
            </a:r>
          </a:p>
          <a:p>
            <a:endParaRPr kumimoji="0" lang="en-US" sz="1100" b="0" i="0" u="none" strike="noStrike" kern="0" cap="none" spc="0" normalizeH="0" baseline="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600" b="0" i="0" u="sng" strike="noStrike" kern="0" cap="none" spc="0" normalizeH="0" baseline="0">
                <a:ln>
                  <a:noFill/>
                </a:ln>
                <a:solidFill>
                  <a:srgbClr val="2D5CA3"/>
                </a:solidFill>
                <a:effectLst/>
                <a:uLnTx/>
                <a:uFillTx/>
                <a:latin typeface="Arial" panose="020B0604020202020204" pitchFamily="34" charset="0"/>
                <a:ea typeface="+mn-ea"/>
                <a:cs typeface="Arial" panose="020B0604020202020204" pitchFamily="34" charset="0"/>
              </a:rPr>
              <a:t>https://www.globalmethane.org/resources/</a:t>
            </a:r>
          </a:p>
          <a:p>
            <a:endParaRPr kumimoji="0" lang="en-US" sz="1100" b="0" i="0" u="none" strike="noStrike" kern="0" cap="none" spc="0" normalizeH="0" baseline="0">
              <a:ln>
                <a:noFill/>
              </a:ln>
              <a:solidFill>
                <a:sysClr val="windowText" lastClr="000000"/>
              </a:solidFill>
              <a:effectLst/>
              <a:uLnTx/>
              <a:uFillTx/>
              <a:latin typeface="Arial" panose="020B0604020202020204" pitchFamily="34" charset="0"/>
              <a:ea typeface="+mn-ea"/>
              <a:cs typeface="Arial" panose="020B0604020202020204" pitchFamily="34" charset="0"/>
            </a:endParaRPr>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0</xdr:colOff>
      <xdr:row>1</xdr:row>
      <xdr:rowOff>25400</xdr:rowOff>
    </xdr:from>
    <xdr:to>
      <xdr:col>14</xdr:col>
      <xdr:colOff>6350</xdr:colOff>
      <xdr:row>26</xdr:row>
      <xdr:rowOff>133350</xdr:rowOff>
    </xdr:to>
    <xdr:sp macro="" textlink="">
      <xdr:nvSpPr>
        <xdr:cNvPr id="3" name="TextBox 2">
          <a:extLst>
            <a:ext uri="{FF2B5EF4-FFF2-40B4-BE49-F238E27FC236}">
              <a16:creationId xmlns:a16="http://schemas.microsoft.com/office/drawing/2014/main" id="{00000000-0008-0000-1300-000003000000}"/>
            </a:ext>
          </a:extLst>
        </xdr:cNvPr>
        <xdr:cNvSpPr txBox="1"/>
      </xdr:nvSpPr>
      <xdr:spPr>
        <a:xfrm>
          <a:off x="88900" y="393700"/>
          <a:ext cx="8591550" cy="5029200"/>
        </a:xfrm>
        <a:prstGeom prst="rect">
          <a:avLst/>
        </a:prstGeom>
        <a:solidFill>
          <a:schemeClr val="bg1">
            <a:lumMod val="95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Methodology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The tool uses a Mass-Balance Methodology to estimate biogas and digestate production. This is a common methodology which examines the products from the anaerobic digestion of solid wastes. Solid wastes entering the digester consist of organic material, inorganic constituents and water. During the digestion process a fraction of the volatile solids are converted into biogas consisting of primarily methane and carbon dioxide. Other compounds present in the biogas, such as hydrogen sulfide, are important but often considered negligible for this framework when calculating the production of biogas. Also leaving the digester are the digested residue, waste water, and non-recyclables. The digested residue consists of the volatile solids that were not converted into gas, any microbial biomass formed and the fraction of the total solids that was not digestible. The amount of waste water that comes out of the digester may change depending on the technology and digester design (Chavez-Vazquez et al. 2002).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Emission reductions estimations are based on the U.S. Environmental Protection Agency (EPA) AgSTAR Program's Protocol for Quantifying and Reporting the Performance of Anaerobic Digestion Systems for Livestock Manures (EPA 2011). Project emissions reflect methane and other relevant greenhouse gas emisisons from flaring and leakage at the project site, methane utilization for facility processes, electricity consumed by the project, and transportation of waste to the project site. Baseline emissions are calculated based on the managment systems in place for manure and co-digested wastes prior to the use of the AD system.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Tool Uses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The tool also offers example applications for potential Anaerobic Digestion projects based on the projected waste supply and user-identified energy needs and data. For example, the tool may suggest the energy possible with the recoverable biogas. The tool provides additional information to assist users in interpreting these results and identifying next steps for conducting more detailed analyses.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Disclaimer</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The Anaerobic Digestion (AD) Screening Tool was developed by Abt Associates on behalf of the U.S. EPA, to support the agency’s efforts to reduce methane from the municipal solid waste sector under the auspices of the Global Methane Initiative. The methods used by the tool are based on engineering and scientific judgment and represent the standard of care that would be exercised by a professional experienced in the field of Anaerobic Digestion projects. The U.S. EPA and Abt Associates do not guarantee the quantity of available biogas or digestate, and no other warranty is expressed or implied. No other party is intended as a beneficiary of this work product, its content, or information embedded therein. Third parties use this tool at their own risk. This tool is meant to be a preliminary screening tool, not a full project feasibility assessment. The tool results have not been verified or validated through experimental trials against actual anaerobic digesters.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trlProp" Target="../ctrlProps/ctrlProp1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70C0"/>
  </sheetPr>
  <dimension ref="A1:T124"/>
  <sheetViews>
    <sheetView workbookViewId="0">
      <selection sqref="A1:XFD1"/>
    </sheetView>
  </sheetViews>
  <sheetFormatPr defaultColWidth="0" defaultRowHeight="15.5" zeroHeight="1"/>
  <cols>
    <col min="1" max="19" width="8.6640625" customWidth="1"/>
    <col min="20" max="20" width="1.6640625" customWidth="1"/>
    <col min="21" max="16384" width="8.6640625" hidden="1"/>
  </cols>
  <sheetData>
    <row r="1"/>
    <row r="2"/>
    <row r="3"/>
    <row r="4"/>
    <row r="5"/>
    <row r="6"/>
    <row r="7"/>
    <row r="8"/>
    <row r="9"/>
    <row r="10"/>
    <row r="11"/>
    <row r="12"/>
    <row r="13"/>
    <row r="14"/>
    <row r="15"/>
    <row r="16"/>
    <row r="17"/>
    <row r="18"/>
    <row r="19"/>
    <row r="20"/>
    <row r="21"/>
    <row r="22"/>
    <row r="23"/>
    <row r="24"/>
    <row r="25"/>
    <row r="26"/>
    <row r="27" ht="4.25" customHeight="1"/>
    <row r="124" spans="4:4" hidden="1">
      <c r="D124" t="s">
        <v>0</v>
      </c>
    </row>
  </sheetData>
  <sheetProtection selectLockedCells="1" selectUnlockedCells="1"/>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DBAD4F"/>
  </sheetPr>
  <dimension ref="A1:N1"/>
  <sheetViews>
    <sheetView workbookViewId="0">
      <selection activeCell="D29" sqref="D29"/>
    </sheetView>
  </sheetViews>
  <sheetFormatPr defaultRowHeight="15.5"/>
  <sheetData>
    <row r="1" spans="1:14" ht="18">
      <c r="A1" s="287" t="s">
        <v>751</v>
      </c>
      <c r="B1" s="290"/>
      <c r="C1" s="290"/>
      <c r="D1" s="290"/>
      <c r="E1" s="290"/>
      <c r="F1" s="290"/>
      <c r="G1" s="290"/>
      <c r="H1" s="290"/>
      <c r="I1" s="290"/>
      <c r="J1" s="290"/>
      <c r="K1" s="290"/>
      <c r="L1" s="290"/>
      <c r="M1" s="290"/>
      <c r="N1" s="290"/>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DBAD4F"/>
  </sheetPr>
  <dimension ref="A1:D23"/>
  <sheetViews>
    <sheetView workbookViewId="0"/>
  </sheetViews>
  <sheetFormatPr defaultColWidth="9" defaultRowHeight="15.5"/>
  <cols>
    <col min="1" max="1" width="1.08203125" style="9" customWidth="1"/>
    <col min="2" max="16384" width="9" style="9"/>
  </cols>
  <sheetData>
    <row r="1" spans="1:4" s="288" customFormat="1" ht="27.75" customHeight="1">
      <c r="A1" s="9"/>
      <c r="B1" s="287" t="s">
        <v>1</v>
      </c>
    </row>
    <row r="2" spans="1:4" ht="17.5">
      <c r="B2" s="10"/>
      <c r="C2" s="10"/>
      <c r="D2" s="10"/>
    </row>
    <row r="3" spans="1:4" ht="17.5">
      <c r="B3" s="24" t="s">
        <v>2</v>
      </c>
      <c r="C3" s="10"/>
      <c r="D3" s="10"/>
    </row>
    <row r="4" spans="1:4" ht="17.5">
      <c r="B4" s="24" t="s">
        <v>3</v>
      </c>
      <c r="C4" s="10"/>
      <c r="D4" s="10"/>
    </row>
    <row r="5" spans="1:4" ht="17.5">
      <c r="B5" s="24" t="s">
        <v>4</v>
      </c>
      <c r="C5" s="10"/>
      <c r="D5" s="10"/>
    </row>
    <row r="6" spans="1:4" ht="17.5">
      <c r="B6" s="24" t="s">
        <v>5</v>
      </c>
      <c r="C6" s="10"/>
      <c r="D6" s="10"/>
    </row>
    <row r="7" spans="1:4" ht="17.5">
      <c r="B7" s="24" t="s">
        <v>6</v>
      </c>
      <c r="C7" s="10"/>
      <c r="D7" s="10"/>
    </row>
    <row r="8" spans="1:4" ht="17.5">
      <c r="B8" s="24" t="s">
        <v>7</v>
      </c>
      <c r="C8" s="10"/>
      <c r="D8" s="10"/>
    </row>
    <row r="9" spans="1:4" ht="17.5">
      <c r="B9" s="24" t="s">
        <v>8</v>
      </c>
      <c r="C9" s="10"/>
      <c r="D9" s="10"/>
    </row>
    <row r="10" spans="1:4" ht="17.5">
      <c r="B10" s="24" t="s">
        <v>9</v>
      </c>
      <c r="C10" s="10"/>
      <c r="D10" s="10"/>
    </row>
    <row r="11" spans="1:4" ht="17.5">
      <c r="B11" s="24" t="s">
        <v>10</v>
      </c>
      <c r="C11" s="10"/>
      <c r="D11" s="10"/>
    </row>
    <row r="12" spans="1:4" ht="17.5">
      <c r="B12" s="24" t="s">
        <v>11</v>
      </c>
      <c r="C12" s="10"/>
      <c r="D12" s="10"/>
    </row>
    <row r="13" spans="1:4" ht="17.5">
      <c r="B13" s="24" t="s">
        <v>12</v>
      </c>
      <c r="C13" s="10"/>
      <c r="D13" s="10"/>
    </row>
    <row r="14" spans="1:4" ht="17.5">
      <c r="B14" s="24" t="s">
        <v>13</v>
      </c>
      <c r="C14" s="10"/>
      <c r="D14" s="10"/>
    </row>
    <row r="15" spans="1:4" ht="17.5">
      <c r="B15" s="24" t="s">
        <v>14</v>
      </c>
      <c r="C15" s="10"/>
      <c r="D15" s="10"/>
    </row>
    <row r="16" spans="1:4" ht="17.5">
      <c r="B16" s="24" t="s">
        <v>15</v>
      </c>
      <c r="C16" s="10"/>
      <c r="D16" s="10"/>
    </row>
    <row r="17" spans="2:4" ht="17.5">
      <c r="B17" s="24" t="s">
        <v>16</v>
      </c>
      <c r="C17" s="10"/>
      <c r="D17" s="10"/>
    </row>
    <row r="18" spans="2:4" ht="17.5">
      <c r="B18" s="24" t="s">
        <v>17</v>
      </c>
      <c r="D18" s="10"/>
    </row>
    <row r="19" spans="2:4" ht="17.5">
      <c r="B19" s="24" t="s">
        <v>18</v>
      </c>
      <c r="D19" s="10"/>
    </row>
    <row r="20" spans="2:4" ht="17.5">
      <c r="B20" s="10"/>
      <c r="C20" s="10"/>
      <c r="D20" s="10"/>
    </row>
    <row r="21" spans="2:4" ht="17.5">
      <c r="B21" s="10"/>
      <c r="C21" s="10"/>
      <c r="D21" s="10"/>
    </row>
    <row r="22" spans="2:4" ht="17.5">
      <c r="B22" s="10"/>
      <c r="C22" s="10"/>
      <c r="D22" s="10"/>
    </row>
    <row r="23" spans="2:4" ht="17.5">
      <c r="B23" s="10"/>
      <c r="C23" s="10"/>
      <c r="D23" s="10"/>
    </row>
  </sheetData>
  <hyperlinks>
    <hyperlink ref="B3" location="Introduction!A1" display="Introduction"/>
    <hyperlink ref="B4" location="Instructions!A1" display="Instructions"/>
    <hyperlink ref="B8" location="'Digester Inputs'!A1" display="Anaerobic Digester Inputs"/>
    <hyperlink ref="B14" location="'Waste Characteristics'!A1" display="Waste Characteristics"/>
    <hyperlink ref="B10" location="'Biogas Production'!A1" display="Biogas Production"/>
    <hyperlink ref="B11" location="'Digestate Production'!A1" display="Digestate Production"/>
    <hyperlink ref="B12" location="'Annual Summary'!A1" display="Annual Summary"/>
    <hyperlink ref="B18" location="References!A1" display="References"/>
    <hyperlink ref="B5" location="'Tool Concept Notes'!A1" display="Tool Concept Notes"/>
    <hyperlink ref="B15" location="Contents!A1" display="Feedstocks Toxicity Info"/>
    <hyperlink ref="B6" location="'Default Waste Inputs List'!A1" display="Default Waste Input List"/>
    <hyperlink ref="B7" location="'Gas to Volume'!A1" display="Gas to Volume"/>
    <hyperlink ref="B19" location="Help!A1" display="Help"/>
    <hyperlink ref="B9" location="'Emissions Inputs'!A1" display="Emissions Inputs"/>
    <hyperlink ref="B13" location="'Estimated Emissions Reductions'!A1" display="Estimated Emissions Reductions"/>
    <hyperlink ref="B16" location="'OrganEcs Input Sheet'!A1" display="OrganEcs Input Sheet"/>
    <hyperlink ref="B17" location="MCF!A1" display="MCF"/>
  </hyperlink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DBAD4F"/>
  </sheetPr>
  <dimension ref="A1:J27"/>
  <sheetViews>
    <sheetView workbookViewId="0">
      <selection activeCell="C5" sqref="C5"/>
    </sheetView>
  </sheetViews>
  <sheetFormatPr defaultColWidth="8.58203125" defaultRowHeight="15.5"/>
  <cols>
    <col min="3" max="3" width="117.5" customWidth="1"/>
  </cols>
  <sheetData>
    <row r="1" spans="1:10" s="55" customFormat="1" ht="30" customHeight="1">
      <c r="A1" s="287" t="s">
        <v>19</v>
      </c>
      <c r="B1" s="289"/>
      <c r="C1" s="289"/>
    </row>
    <row r="2" spans="1:10">
      <c r="A2" s="8"/>
      <c r="B2" s="8"/>
      <c r="C2" s="8"/>
      <c r="D2" s="8"/>
      <c r="E2" s="8"/>
      <c r="F2" s="8"/>
      <c r="G2" s="8"/>
      <c r="H2" s="8"/>
      <c r="I2" s="8"/>
      <c r="J2" s="8"/>
    </row>
    <row r="3" spans="1:10">
      <c r="A3" s="8"/>
      <c r="B3" s="8"/>
      <c r="C3" s="8"/>
      <c r="D3" s="8"/>
      <c r="E3" s="8"/>
      <c r="F3" s="8"/>
      <c r="G3" s="8"/>
      <c r="H3" s="8"/>
      <c r="I3" s="8"/>
      <c r="J3" s="8"/>
    </row>
    <row r="4" spans="1:10">
      <c r="A4" s="8"/>
      <c r="B4" s="8"/>
      <c r="C4" s="8"/>
      <c r="D4" s="8"/>
      <c r="E4" s="8"/>
      <c r="F4" s="8"/>
      <c r="G4" s="8"/>
      <c r="H4" s="8"/>
      <c r="I4" s="8"/>
      <c r="J4" s="8"/>
    </row>
    <row r="5" spans="1:10">
      <c r="A5" s="8"/>
      <c r="B5" s="8"/>
      <c r="C5" s="8"/>
      <c r="D5" s="8"/>
      <c r="E5" s="8"/>
      <c r="F5" s="8"/>
      <c r="G5" s="8"/>
      <c r="H5" s="8"/>
      <c r="I5" s="8"/>
      <c r="J5" s="8"/>
    </row>
    <row r="6" spans="1:10">
      <c r="A6" s="8"/>
      <c r="B6" s="8"/>
      <c r="C6" s="8"/>
      <c r="D6" s="8"/>
      <c r="E6" s="8"/>
      <c r="F6" s="8"/>
      <c r="G6" s="8"/>
      <c r="H6" s="8"/>
      <c r="I6" s="8"/>
      <c r="J6" s="8"/>
    </row>
    <row r="7" spans="1:10">
      <c r="A7" s="8"/>
      <c r="B7" s="8"/>
      <c r="C7" s="8"/>
      <c r="D7" s="8"/>
      <c r="E7" s="8"/>
      <c r="F7" s="8"/>
      <c r="G7" s="8"/>
      <c r="H7" s="8"/>
      <c r="I7" s="8"/>
      <c r="J7" s="8"/>
    </row>
    <row r="8" spans="1:10">
      <c r="A8" s="8"/>
      <c r="B8" s="8"/>
      <c r="C8" s="8"/>
      <c r="D8" s="8"/>
      <c r="E8" s="8"/>
      <c r="F8" s="8"/>
      <c r="G8" s="8"/>
      <c r="H8" s="8"/>
      <c r="I8" s="8"/>
      <c r="J8" s="8"/>
    </row>
    <row r="9" spans="1:10">
      <c r="A9" s="8"/>
      <c r="B9" s="8"/>
      <c r="C9" s="8"/>
      <c r="D9" s="8"/>
      <c r="E9" s="8"/>
      <c r="F9" s="8"/>
      <c r="G9" s="8"/>
      <c r="H9" s="8"/>
      <c r="I9" s="8"/>
      <c r="J9" s="8"/>
    </row>
    <row r="10" spans="1:10">
      <c r="A10" s="8"/>
      <c r="B10" s="8"/>
      <c r="C10" s="8"/>
      <c r="D10" s="8"/>
      <c r="E10" s="8"/>
      <c r="F10" s="8"/>
      <c r="G10" s="8"/>
      <c r="H10" s="8"/>
      <c r="I10" s="8"/>
      <c r="J10" s="8"/>
    </row>
    <row r="11" spans="1:10">
      <c r="A11" s="8"/>
      <c r="B11" s="8"/>
      <c r="C11" s="8"/>
      <c r="D11" s="8"/>
      <c r="E11" s="8"/>
      <c r="F11" s="8"/>
      <c r="G11" s="8"/>
      <c r="H11" s="8"/>
      <c r="I11" s="8"/>
      <c r="J11" s="8"/>
    </row>
    <row r="12" spans="1:10">
      <c r="A12" s="8"/>
      <c r="B12" s="8"/>
      <c r="C12" s="8"/>
      <c r="D12" s="8"/>
      <c r="E12" s="8"/>
      <c r="F12" s="8"/>
      <c r="G12" s="8"/>
      <c r="H12" s="8"/>
      <c r="I12" s="8"/>
      <c r="J12" s="8"/>
    </row>
    <row r="13" spans="1:10">
      <c r="A13" s="8"/>
      <c r="B13" s="8"/>
      <c r="C13" s="8"/>
      <c r="D13" s="8"/>
      <c r="E13" s="8"/>
      <c r="F13" s="8"/>
      <c r="G13" s="8"/>
      <c r="H13" s="8"/>
      <c r="I13" s="8"/>
      <c r="J13" s="8"/>
    </row>
    <row r="14" spans="1:10">
      <c r="A14" s="8"/>
      <c r="B14" s="8"/>
      <c r="C14" s="8"/>
      <c r="D14" s="8"/>
      <c r="E14" s="8"/>
      <c r="F14" s="8"/>
      <c r="G14" s="8"/>
      <c r="H14" s="8"/>
      <c r="I14" s="8"/>
      <c r="J14" s="8"/>
    </row>
    <row r="15" spans="1:10">
      <c r="A15" s="8"/>
      <c r="B15" s="8"/>
      <c r="C15" s="8"/>
      <c r="D15" s="8"/>
      <c r="E15" s="8"/>
      <c r="F15" s="8"/>
      <c r="G15" s="8"/>
      <c r="H15" s="8"/>
      <c r="I15" s="8"/>
      <c r="J15" s="8"/>
    </row>
    <row r="16" spans="1:10">
      <c r="A16" s="8"/>
      <c r="B16" s="8"/>
      <c r="C16" s="8"/>
      <c r="D16" s="8"/>
      <c r="E16" s="8"/>
      <c r="F16" s="8"/>
      <c r="G16" s="8"/>
      <c r="H16" s="8"/>
      <c r="I16" s="8"/>
      <c r="J16" s="8"/>
    </row>
    <row r="17" spans="1:10">
      <c r="A17" s="8"/>
      <c r="B17" s="8"/>
      <c r="C17" s="8"/>
      <c r="D17" s="8"/>
      <c r="E17" s="8"/>
      <c r="F17" s="8"/>
      <c r="G17" s="8"/>
      <c r="H17" s="8"/>
      <c r="I17" s="8"/>
      <c r="J17" s="8"/>
    </row>
    <row r="18" spans="1:10">
      <c r="A18" s="8"/>
      <c r="B18" s="8"/>
      <c r="C18" s="8"/>
      <c r="D18" s="8"/>
      <c r="E18" s="8"/>
      <c r="F18" s="8"/>
      <c r="G18" s="8"/>
      <c r="H18" s="8"/>
      <c r="I18" s="8"/>
      <c r="J18" s="8"/>
    </row>
    <row r="19" spans="1:10">
      <c r="A19" s="8"/>
      <c r="B19" s="8"/>
      <c r="C19" s="8"/>
      <c r="D19" s="8"/>
      <c r="E19" s="8"/>
      <c r="F19" s="8"/>
      <c r="G19" s="8"/>
      <c r="H19" s="8"/>
      <c r="I19" s="8"/>
      <c r="J19" s="8"/>
    </row>
    <row r="20" spans="1:10">
      <c r="A20" s="8"/>
      <c r="B20" s="8"/>
      <c r="C20" s="8"/>
      <c r="D20" s="8"/>
      <c r="E20" s="8"/>
      <c r="F20" s="8"/>
      <c r="G20" s="8"/>
      <c r="H20" s="8"/>
      <c r="I20" s="8"/>
      <c r="J20" s="8"/>
    </row>
    <row r="21" spans="1:10">
      <c r="A21" s="8"/>
      <c r="B21" s="8"/>
      <c r="C21" s="8"/>
      <c r="D21" s="8"/>
      <c r="E21" s="8"/>
      <c r="F21" s="8"/>
      <c r="G21" s="8"/>
      <c r="H21" s="8"/>
      <c r="I21" s="8"/>
      <c r="J21" s="8"/>
    </row>
    <row r="22" spans="1:10">
      <c r="A22" s="8"/>
      <c r="B22" s="8"/>
      <c r="C22" s="8"/>
      <c r="D22" s="8"/>
      <c r="E22" s="8"/>
      <c r="F22" s="8"/>
      <c r="G22" s="8"/>
      <c r="H22" s="8"/>
      <c r="I22" s="8"/>
      <c r="J22" s="8"/>
    </row>
    <row r="23" spans="1:10">
      <c r="A23" s="8"/>
      <c r="B23" s="8"/>
      <c r="C23" s="8"/>
      <c r="D23" s="8"/>
      <c r="E23" s="8"/>
      <c r="F23" s="8"/>
      <c r="G23" s="8"/>
      <c r="H23" s="8"/>
      <c r="I23" s="8"/>
      <c r="J23" s="8"/>
    </row>
    <row r="24" spans="1:10">
      <c r="A24" s="8"/>
      <c r="B24" s="8"/>
      <c r="C24" s="8"/>
      <c r="D24" s="8"/>
      <c r="E24" s="8"/>
      <c r="F24" s="8"/>
      <c r="G24" s="8"/>
      <c r="H24" s="8"/>
      <c r="I24" s="8"/>
      <c r="J24" s="8"/>
    </row>
    <row r="25" spans="1:10">
      <c r="A25" s="8"/>
      <c r="B25" s="8"/>
      <c r="C25" s="8"/>
      <c r="D25" s="8"/>
      <c r="E25" s="8"/>
      <c r="F25" s="8"/>
      <c r="G25" s="8"/>
      <c r="H25" s="8"/>
      <c r="I25" s="8"/>
      <c r="J25" s="8"/>
    </row>
    <row r="26" spans="1:10">
      <c r="A26" s="8"/>
      <c r="B26" s="8"/>
      <c r="C26" s="8"/>
      <c r="D26" s="8"/>
      <c r="E26" s="8"/>
      <c r="F26" s="8"/>
      <c r="G26" s="8"/>
      <c r="H26" s="8"/>
      <c r="I26" s="8"/>
      <c r="J26" s="8"/>
    </row>
    <row r="27" spans="1:10">
      <c r="A27" s="8"/>
      <c r="B27" s="8"/>
      <c r="C27" s="8"/>
      <c r="D27" s="8"/>
      <c r="E27" s="8"/>
      <c r="F27" s="8"/>
      <c r="G27" s="8"/>
      <c r="H27" s="8"/>
      <c r="I27" s="8"/>
      <c r="J27" s="8"/>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DBAD4F"/>
  </sheetPr>
  <dimension ref="A1:M31"/>
  <sheetViews>
    <sheetView workbookViewId="0"/>
  </sheetViews>
  <sheetFormatPr defaultColWidth="8.58203125" defaultRowHeight="15.5"/>
  <cols>
    <col min="1" max="13" width="8.58203125" customWidth="1"/>
  </cols>
  <sheetData>
    <row r="1" spans="1:13" s="56" customFormat="1" ht="30" customHeight="1">
      <c r="A1" s="287" t="s">
        <v>20</v>
      </c>
      <c r="B1" s="290"/>
      <c r="C1" s="290"/>
      <c r="D1" s="290"/>
      <c r="E1" s="290"/>
      <c r="F1" s="290"/>
      <c r="G1" s="290"/>
      <c r="H1" s="290"/>
      <c r="I1" s="290"/>
      <c r="J1" s="290"/>
      <c r="K1" s="290"/>
      <c r="L1" s="290"/>
      <c r="M1" s="290"/>
    </row>
    <row r="3" spans="1:13">
      <c r="A3" s="8"/>
      <c r="B3" s="8"/>
      <c r="C3" s="8"/>
      <c r="D3" s="8"/>
      <c r="E3" s="8"/>
      <c r="F3" s="8"/>
      <c r="G3" s="8"/>
      <c r="H3" s="8"/>
      <c r="I3" s="8"/>
      <c r="J3" s="8"/>
    </row>
    <row r="4" spans="1:13">
      <c r="A4" s="8"/>
      <c r="B4" s="8"/>
      <c r="C4" s="8"/>
      <c r="D4" s="8"/>
      <c r="E4" s="8"/>
      <c r="F4" s="8"/>
      <c r="G4" s="8"/>
      <c r="H4" s="8"/>
      <c r="I4" s="8"/>
      <c r="J4" s="8"/>
    </row>
    <row r="5" spans="1:13">
      <c r="A5" s="8"/>
      <c r="B5" s="8"/>
      <c r="C5" s="8"/>
      <c r="D5" s="8"/>
      <c r="E5" s="8"/>
      <c r="F5" s="8"/>
      <c r="G5" s="8"/>
      <c r="H5" s="8"/>
      <c r="I5" s="8"/>
      <c r="J5" s="8"/>
    </row>
    <row r="6" spans="1:13">
      <c r="A6" s="8"/>
      <c r="B6" s="8"/>
      <c r="C6" s="8"/>
      <c r="D6" s="8"/>
      <c r="E6" s="8"/>
      <c r="F6" s="8"/>
      <c r="G6" s="8"/>
      <c r="H6" s="8"/>
      <c r="I6" s="8"/>
      <c r="J6" s="8"/>
    </row>
    <row r="7" spans="1:13">
      <c r="A7" s="8"/>
      <c r="B7" s="8"/>
      <c r="C7" s="8"/>
      <c r="D7" s="8"/>
      <c r="E7" s="8"/>
      <c r="F7" s="8"/>
      <c r="G7" s="8"/>
      <c r="H7" s="8"/>
      <c r="I7" s="8"/>
      <c r="J7" s="8"/>
    </row>
    <row r="8" spans="1:13">
      <c r="A8" s="8"/>
      <c r="B8" s="8"/>
      <c r="C8" s="8"/>
      <c r="D8" s="8"/>
      <c r="E8" s="8"/>
      <c r="F8" s="8"/>
      <c r="G8" s="8"/>
      <c r="H8" s="8"/>
      <c r="I8" s="8"/>
      <c r="J8" s="8"/>
    </row>
    <row r="9" spans="1:13">
      <c r="A9" s="8"/>
      <c r="B9" s="8"/>
      <c r="C9" s="8"/>
      <c r="D9" s="8"/>
      <c r="E9" s="8"/>
      <c r="F9" s="8"/>
      <c r="G9" s="8"/>
      <c r="H9" s="8"/>
      <c r="I9" s="8"/>
      <c r="J9" s="8"/>
    </row>
    <row r="10" spans="1:13">
      <c r="A10" s="8"/>
      <c r="B10" s="8"/>
      <c r="C10" s="8"/>
      <c r="D10" s="8"/>
      <c r="E10" s="8"/>
      <c r="F10" s="8"/>
      <c r="G10" s="8"/>
      <c r="H10" s="8"/>
      <c r="I10" s="8"/>
      <c r="J10" s="8"/>
    </row>
    <row r="11" spans="1:13">
      <c r="A11" s="8"/>
      <c r="B11" s="8"/>
      <c r="C11" s="8"/>
      <c r="D11" s="8"/>
      <c r="E11" s="8"/>
      <c r="F11" s="8"/>
      <c r="G11" s="8"/>
      <c r="H11" s="8"/>
      <c r="I11" s="8"/>
      <c r="J11" s="8"/>
    </row>
    <row r="12" spans="1:13">
      <c r="A12" s="8"/>
      <c r="B12" s="8"/>
      <c r="C12" s="8"/>
      <c r="D12" s="8"/>
      <c r="E12" s="8"/>
      <c r="F12" s="8"/>
      <c r="G12" s="8"/>
      <c r="H12" s="8"/>
      <c r="I12" s="8"/>
      <c r="J12" s="8"/>
    </row>
    <row r="13" spans="1:13">
      <c r="A13" s="8"/>
      <c r="B13" s="8"/>
      <c r="C13" s="8"/>
      <c r="D13" s="8"/>
      <c r="E13" s="8"/>
      <c r="F13" s="8"/>
      <c r="G13" s="8"/>
      <c r="H13" s="8"/>
      <c r="I13" s="8"/>
      <c r="J13" s="8"/>
    </row>
    <row r="14" spans="1:13">
      <c r="A14" s="8"/>
      <c r="B14" s="8"/>
      <c r="C14" s="8"/>
      <c r="D14" s="8"/>
      <c r="E14" s="8"/>
      <c r="F14" s="8"/>
      <c r="G14" s="8"/>
      <c r="H14" s="8"/>
      <c r="I14" s="8"/>
      <c r="J14" s="8"/>
    </row>
    <row r="15" spans="1:13">
      <c r="A15" s="8"/>
      <c r="B15" s="8"/>
      <c r="C15" s="8"/>
      <c r="D15" s="8"/>
      <c r="E15" s="8"/>
      <c r="F15" s="8"/>
      <c r="G15" s="8"/>
      <c r="H15" s="8"/>
      <c r="I15" s="8"/>
      <c r="J15" s="8"/>
    </row>
    <row r="16" spans="1:13">
      <c r="A16" s="8"/>
      <c r="B16" s="8"/>
      <c r="C16" s="8"/>
      <c r="D16" s="8"/>
      <c r="E16" s="8"/>
      <c r="F16" s="8"/>
      <c r="G16" s="8"/>
      <c r="H16" s="8"/>
      <c r="I16" s="8"/>
      <c r="J16" s="8"/>
    </row>
    <row r="17" spans="1:10">
      <c r="A17" s="8"/>
      <c r="B17" s="8"/>
      <c r="C17" s="8"/>
      <c r="D17" s="8"/>
      <c r="E17" s="8"/>
      <c r="F17" s="8"/>
      <c r="G17" s="8"/>
      <c r="H17" s="8"/>
      <c r="I17" s="8"/>
      <c r="J17" s="8"/>
    </row>
    <row r="18" spans="1:10">
      <c r="A18" s="8"/>
      <c r="B18" s="8"/>
      <c r="C18" s="8"/>
      <c r="D18" s="8"/>
      <c r="E18" s="8"/>
      <c r="F18" s="8"/>
      <c r="G18" s="8"/>
      <c r="H18" s="8"/>
      <c r="I18" s="8"/>
      <c r="J18" s="8"/>
    </row>
    <row r="19" spans="1:10">
      <c r="A19" s="8"/>
      <c r="B19" s="8"/>
      <c r="C19" s="8"/>
      <c r="D19" s="8"/>
      <c r="E19" s="8"/>
      <c r="F19" s="8"/>
      <c r="G19" s="8"/>
      <c r="H19" s="8"/>
      <c r="I19" s="8"/>
      <c r="J19" s="8"/>
    </row>
    <row r="20" spans="1:10">
      <c r="A20" s="8"/>
      <c r="B20" s="8"/>
      <c r="C20" s="8"/>
      <c r="D20" s="8"/>
      <c r="E20" s="8"/>
      <c r="F20" s="8"/>
      <c r="G20" s="8"/>
      <c r="H20" s="8"/>
      <c r="I20" s="8"/>
      <c r="J20" s="8"/>
    </row>
    <row r="21" spans="1:10">
      <c r="A21" s="8"/>
      <c r="B21" s="8"/>
      <c r="C21" s="8"/>
      <c r="D21" s="8"/>
      <c r="E21" s="8"/>
      <c r="F21" s="8"/>
      <c r="G21" s="8"/>
      <c r="H21" s="8"/>
      <c r="I21" s="8"/>
      <c r="J21" s="8"/>
    </row>
    <row r="22" spans="1:10">
      <c r="A22" s="8"/>
      <c r="B22" s="8"/>
      <c r="C22" s="8"/>
      <c r="D22" s="8"/>
      <c r="E22" s="8"/>
      <c r="F22" s="8"/>
      <c r="G22" s="8"/>
      <c r="H22" s="8"/>
      <c r="I22" s="8"/>
      <c r="J22" s="8"/>
    </row>
    <row r="23" spans="1:10">
      <c r="A23" s="8"/>
      <c r="B23" s="8"/>
      <c r="C23" s="8"/>
      <c r="D23" s="8"/>
      <c r="E23" s="8"/>
      <c r="F23" s="8"/>
      <c r="G23" s="8"/>
      <c r="H23" s="8"/>
      <c r="I23" s="8"/>
      <c r="J23" s="8"/>
    </row>
    <row r="24" spans="1:10">
      <c r="A24" s="8"/>
      <c r="B24" s="8"/>
      <c r="C24" s="8"/>
      <c r="D24" s="8"/>
      <c r="E24" s="8"/>
      <c r="F24" s="8"/>
      <c r="G24" s="8"/>
      <c r="H24" s="8"/>
      <c r="I24" s="8"/>
      <c r="J24" s="8"/>
    </row>
    <row r="25" spans="1:10">
      <c r="A25" s="8"/>
      <c r="B25" s="8"/>
      <c r="C25" s="8"/>
      <c r="D25" s="8"/>
      <c r="E25" s="8"/>
      <c r="F25" s="8"/>
      <c r="G25" s="8"/>
      <c r="H25" s="8"/>
      <c r="I25" s="8"/>
      <c r="J25" s="8"/>
    </row>
    <row r="26" spans="1:10" ht="12.75" customHeight="1">
      <c r="A26" s="8"/>
      <c r="B26" s="8"/>
      <c r="C26" s="8"/>
      <c r="D26" s="8"/>
      <c r="E26" s="8"/>
      <c r="F26" s="8"/>
      <c r="G26" s="8"/>
      <c r="H26" s="8"/>
      <c r="I26" s="8"/>
      <c r="J26" s="8"/>
    </row>
    <row r="27" spans="1:10" ht="15.75" hidden="1" customHeight="1">
      <c r="A27" s="8"/>
      <c r="B27" s="8"/>
      <c r="C27" s="8"/>
      <c r="D27" s="8"/>
      <c r="E27" s="8"/>
      <c r="F27" s="8"/>
      <c r="G27" s="8"/>
      <c r="H27" s="8"/>
      <c r="I27" s="8"/>
      <c r="J27" s="8"/>
    </row>
    <row r="28" spans="1:10">
      <c r="A28" s="8"/>
      <c r="B28" s="8"/>
      <c r="C28" s="8"/>
      <c r="D28" s="8"/>
      <c r="E28" s="8"/>
      <c r="F28" s="8"/>
      <c r="G28" s="8"/>
      <c r="H28" s="8"/>
      <c r="I28" s="8"/>
      <c r="J28" s="8"/>
    </row>
    <row r="29" spans="1:10">
      <c r="A29" s="8"/>
      <c r="B29" s="8"/>
      <c r="C29" s="8"/>
      <c r="D29" s="8"/>
      <c r="E29" s="8"/>
      <c r="F29" s="8"/>
      <c r="G29" s="8"/>
      <c r="H29" s="8"/>
      <c r="I29" s="8"/>
      <c r="J29" s="8"/>
    </row>
    <row r="30" spans="1:10">
      <c r="A30" s="8"/>
      <c r="B30" s="8"/>
      <c r="C30" s="8"/>
      <c r="D30" s="8"/>
      <c r="E30" s="8"/>
      <c r="F30" s="8"/>
      <c r="G30" s="8"/>
      <c r="H30" s="8"/>
      <c r="I30" s="8"/>
      <c r="J30" s="8"/>
    </row>
    <row r="31" spans="1:10">
      <c r="A31" s="8"/>
      <c r="B31" s="8"/>
      <c r="C31" s="8"/>
      <c r="D31" s="8"/>
      <c r="E31" s="8"/>
      <c r="F31" s="8"/>
      <c r="G31" s="8"/>
      <c r="H31" s="8"/>
      <c r="I31" s="8"/>
      <c r="J31" s="8"/>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DBAD4F"/>
  </sheetPr>
  <dimension ref="A1:N65"/>
  <sheetViews>
    <sheetView workbookViewId="0"/>
  </sheetViews>
  <sheetFormatPr defaultRowHeight="15.5"/>
  <cols>
    <col min="1" max="1" width="1.1640625" customWidth="1"/>
    <col min="2" max="10" width="36.58203125" customWidth="1"/>
  </cols>
  <sheetData>
    <row r="1" spans="1:14" s="286" customFormat="1" ht="30" customHeight="1">
      <c r="A1"/>
      <c r="B1" s="287" t="s">
        <v>5</v>
      </c>
      <c r="D1" s="287"/>
      <c r="E1" s="287"/>
      <c r="F1" s="287"/>
      <c r="G1" s="287"/>
      <c r="H1" s="287"/>
      <c r="I1" s="287"/>
      <c r="J1" s="287"/>
      <c r="K1" s="287"/>
      <c r="L1" s="287"/>
      <c r="M1" s="287"/>
      <c r="N1" s="287"/>
    </row>
    <row r="2" spans="1:14" ht="18">
      <c r="B2" s="18"/>
      <c r="C2" s="18"/>
      <c r="D2" s="18"/>
      <c r="E2" s="18"/>
      <c r="F2" s="18"/>
      <c r="G2" s="18"/>
      <c r="H2" s="18"/>
      <c r="I2" s="18"/>
      <c r="J2" s="18"/>
      <c r="K2" s="18"/>
      <c r="L2" s="18"/>
      <c r="M2" s="18"/>
      <c r="N2" s="18"/>
    </row>
    <row r="3" spans="1:14" ht="18">
      <c r="B3" s="562" t="s">
        <v>21</v>
      </c>
      <c r="C3" s="563"/>
      <c r="D3" s="563"/>
      <c r="E3" s="563"/>
      <c r="F3" s="563"/>
      <c r="G3" s="563"/>
      <c r="H3" s="563"/>
      <c r="I3" s="563"/>
      <c r="J3" s="563"/>
      <c r="K3" s="18"/>
      <c r="L3" s="18"/>
      <c r="M3" s="18"/>
      <c r="N3" s="18"/>
    </row>
    <row r="4" spans="1:14" ht="19.25" customHeight="1">
      <c r="B4" s="25" t="s">
        <v>22</v>
      </c>
      <c r="C4" s="25" t="s">
        <v>23</v>
      </c>
      <c r="D4" s="25" t="s">
        <v>24</v>
      </c>
      <c r="E4" s="25" t="s">
        <v>25</v>
      </c>
      <c r="F4" s="25" t="s">
        <v>26</v>
      </c>
      <c r="G4" s="25" t="s">
        <v>27</v>
      </c>
      <c r="H4" s="25" t="s">
        <v>28</v>
      </c>
      <c r="I4" s="25" t="s">
        <v>29</v>
      </c>
      <c r="J4" s="25" t="s">
        <v>30</v>
      </c>
    </row>
    <row r="5" spans="1:14" s="8" customFormat="1" ht="19.25" customHeight="1">
      <c r="B5" s="311" t="s">
        <v>31</v>
      </c>
      <c r="C5" s="311" t="s">
        <v>32</v>
      </c>
      <c r="D5" s="311" t="s">
        <v>33</v>
      </c>
      <c r="E5" s="311" t="s">
        <v>34</v>
      </c>
      <c r="F5" s="311" t="s">
        <v>35</v>
      </c>
      <c r="G5" s="54" t="s">
        <v>36</v>
      </c>
      <c r="H5" s="311" t="s">
        <v>37</v>
      </c>
      <c r="I5" s="311" t="s">
        <v>38</v>
      </c>
      <c r="J5" s="311" t="s">
        <v>39</v>
      </c>
    </row>
    <row r="6" spans="1:14" s="8" customFormat="1" ht="19.25" customHeight="1">
      <c r="B6" s="311" t="s">
        <v>40</v>
      </c>
      <c r="C6" s="311" t="s">
        <v>41</v>
      </c>
      <c r="D6" s="311" t="s">
        <v>42</v>
      </c>
      <c r="E6" s="311" t="s">
        <v>43</v>
      </c>
      <c r="F6" s="311" t="s">
        <v>44</v>
      </c>
      <c r="G6" s="311" t="s">
        <v>45</v>
      </c>
      <c r="H6" s="311" t="s">
        <v>46</v>
      </c>
      <c r="I6" s="311" t="s">
        <v>47</v>
      </c>
      <c r="J6" s="26"/>
    </row>
    <row r="7" spans="1:14" s="8" customFormat="1" ht="19.25" customHeight="1">
      <c r="B7" s="311" t="s">
        <v>48</v>
      </c>
      <c r="C7" s="311" t="s">
        <v>49</v>
      </c>
      <c r="D7" s="311" t="s">
        <v>50</v>
      </c>
      <c r="E7" s="311" t="s">
        <v>51</v>
      </c>
      <c r="F7" s="311" t="s">
        <v>52</v>
      </c>
      <c r="G7" s="311" t="s">
        <v>53</v>
      </c>
      <c r="H7" s="311" t="s">
        <v>54</v>
      </c>
      <c r="I7" s="311" t="s">
        <v>55</v>
      </c>
      <c r="J7" s="26"/>
    </row>
    <row r="8" spans="1:14" s="8" customFormat="1" ht="19.25" customHeight="1">
      <c r="B8" s="311" t="s">
        <v>56</v>
      </c>
      <c r="C8" s="311" t="s">
        <v>57</v>
      </c>
      <c r="D8" s="311" t="s">
        <v>58</v>
      </c>
      <c r="E8" s="311" t="s">
        <v>59</v>
      </c>
      <c r="F8" s="311" t="s">
        <v>60</v>
      </c>
      <c r="G8" s="311" t="s">
        <v>61</v>
      </c>
      <c r="H8" s="26"/>
      <c r="I8" s="26"/>
      <c r="J8" s="26"/>
    </row>
    <row r="9" spans="1:14" s="8" customFormat="1" ht="19.25" customHeight="1">
      <c r="B9" s="311" t="s">
        <v>62</v>
      </c>
      <c r="C9" s="311" t="s">
        <v>63</v>
      </c>
      <c r="D9" s="311" t="s">
        <v>64</v>
      </c>
      <c r="E9" s="311" t="s">
        <v>65</v>
      </c>
      <c r="F9" s="311" t="s">
        <v>66</v>
      </c>
      <c r="G9" s="311" t="s">
        <v>67</v>
      </c>
      <c r="H9" s="26"/>
      <c r="I9" s="26"/>
      <c r="J9" s="26"/>
    </row>
    <row r="10" spans="1:14" s="8" customFormat="1" ht="19.25" customHeight="1">
      <c r="B10" s="311" t="s">
        <v>68</v>
      </c>
      <c r="C10" s="311" t="s">
        <v>69</v>
      </c>
      <c r="D10" s="311" t="s">
        <v>70</v>
      </c>
      <c r="E10" s="311" t="s">
        <v>71</v>
      </c>
      <c r="F10" s="311" t="s">
        <v>72</v>
      </c>
      <c r="G10" s="26"/>
      <c r="H10" s="26"/>
      <c r="I10" s="26"/>
      <c r="J10" s="26"/>
    </row>
    <row r="11" spans="1:14" s="8" customFormat="1" ht="19.25" customHeight="1">
      <c r="B11" s="311" t="s">
        <v>73</v>
      </c>
      <c r="C11" s="311" t="s">
        <v>74</v>
      </c>
      <c r="D11" s="311" t="s">
        <v>75</v>
      </c>
      <c r="E11" s="311" t="s">
        <v>76</v>
      </c>
      <c r="F11" s="311" t="s">
        <v>77</v>
      </c>
      <c r="G11" s="26"/>
      <c r="H11" s="26"/>
      <c r="I11" s="26"/>
      <c r="J11" s="26"/>
    </row>
    <row r="12" spans="1:14" s="8" customFormat="1" ht="19.25" customHeight="1">
      <c r="B12" s="311" t="s">
        <v>78</v>
      </c>
      <c r="C12" s="311" t="s">
        <v>79</v>
      </c>
      <c r="D12" s="311" t="s">
        <v>80</v>
      </c>
      <c r="E12" s="26"/>
      <c r="F12" s="311" t="s">
        <v>81</v>
      </c>
      <c r="G12" s="26"/>
      <c r="H12" s="26"/>
      <c r="I12" s="26"/>
      <c r="J12" s="26"/>
    </row>
    <row r="13" spans="1:14" s="8" customFormat="1" ht="19.25" customHeight="1">
      <c r="B13" s="311" t="s">
        <v>82</v>
      </c>
      <c r="C13" s="311" t="s">
        <v>83</v>
      </c>
      <c r="D13" s="311" t="s">
        <v>84</v>
      </c>
      <c r="E13" s="26"/>
      <c r="F13" s="311" t="s">
        <v>85</v>
      </c>
      <c r="G13" s="26"/>
      <c r="H13" s="26"/>
      <c r="I13" s="26"/>
      <c r="J13" s="26"/>
    </row>
    <row r="14" spans="1:14" s="8" customFormat="1" ht="19.25" customHeight="1">
      <c r="B14" s="311" t="s">
        <v>86</v>
      </c>
      <c r="C14" s="311" t="s">
        <v>87</v>
      </c>
      <c r="D14" s="311" t="s">
        <v>88</v>
      </c>
      <c r="E14" s="26"/>
      <c r="F14" s="311" t="s">
        <v>89</v>
      </c>
      <c r="G14" s="26"/>
      <c r="H14" s="26"/>
      <c r="I14" s="26"/>
      <c r="J14" s="26"/>
    </row>
    <row r="15" spans="1:14" s="8" customFormat="1" ht="19.25" customHeight="1">
      <c r="B15" s="311" t="s">
        <v>90</v>
      </c>
      <c r="C15" s="311" t="s">
        <v>91</v>
      </c>
      <c r="D15" s="311" t="s">
        <v>92</v>
      </c>
      <c r="E15" s="26"/>
      <c r="F15" s="311" t="s">
        <v>93</v>
      </c>
      <c r="G15" s="26"/>
      <c r="H15" s="26"/>
      <c r="I15" s="26"/>
      <c r="J15" s="26"/>
    </row>
    <row r="16" spans="1:14" s="8" customFormat="1" ht="19.25" customHeight="1">
      <c r="B16" s="311" t="s">
        <v>94</v>
      </c>
      <c r="C16" s="311" t="s">
        <v>95</v>
      </c>
      <c r="D16" s="311" t="s">
        <v>96</v>
      </c>
      <c r="E16" s="26"/>
      <c r="F16" s="26"/>
      <c r="G16" s="26"/>
      <c r="H16" s="26"/>
      <c r="I16" s="26"/>
      <c r="J16" s="26"/>
    </row>
    <row r="17" spans="2:10" s="8" customFormat="1" ht="19.25" customHeight="1">
      <c r="B17" s="311" t="s">
        <v>97</v>
      </c>
      <c r="C17" s="311" t="s">
        <v>98</v>
      </c>
      <c r="D17" s="311" t="s">
        <v>99</v>
      </c>
      <c r="E17" s="26"/>
      <c r="F17" s="26"/>
      <c r="G17" s="26"/>
      <c r="H17" s="26"/>
      <c r="I17" s="26"/>
      <c r="J17" s="26"/>
    </row>
    <row r="18" spans="2:10" s="8" customFormat="1" ht="19.25" customHeight="1">
      <c r="B18" s="311" t="s">
        <v>100</v>
      </c>
      <c r="C18" s="311" t="s">
        <v>101</v>
      </c>
      <c r="D18" s="311" t="s">
        <v>102</v>
      </c>
      <c r="E18" s="26"/>
      <c r="F18" s="26"/>
      <c r="G18" s="26"/>
      <c r="H18" s="26"/>
      <c r="I18" s="26"/>
      <c r="J18" s="26"/>
    </row>
    <row r="19" spans="2:10" s="8" customFormat="1" ht="19.25" customHeight="1">
      <c r="B19" s="311" t="s">
        <v>103</v>
      </c>
      <c r="C19" s="311" t="s">
        <v>104</v>
      </c>
      <c r="D19" s="311" t="s">
        <v>105</v>
      </c>
      <c r="E19" s="26"/>
      <c r="F19" s="26"/>
      <c r="G19" s="26"/>
      <c r="H19" s="26"/>
      <c r="I19" s="26"/>
      <c r="J19" s="26"/>
    </row>
    <row r="20" spans="2:10" s="8" customFormat="1" ht="19.25" customHeight="1">
      <c r="B20" s="311" t="s">
        <v>106</v>
      </c>
      <c r="C20" s="311" t="s">
        <v>107</v>
      </c>
      <c r="D20" s="311" t="s">
        <v>108</v>
      </c>
      <c r="E20" s="26"/>
      <c r="F20" s="26"/>
      <c r="G20" s="26"/>
      <c r="H20" s="26"/>
      <c r="I20" s="26"/>
      <c r="J20" s="26"/>
    </row>
    <row r="21" spans="2:10" s="8" customFormat="1" ht="19.25" customHeight="1">
      <c r="B21" s="311" t="s">
        <v>109</v>
      </c>
      <c r="C21" s="311" t="s">
        <v>110</v>
      </c>
      <c r="D21" s="26"/>
      <c r="E21" s="26"/>
      <c r="F21" s="26"/>
      <c r="G21" s="26"/>
      <c r="H21" s="26"/>
      <c r="I21" s="26"/>
      <c r="J21" s="26"/>
    </row>
    <row r="22" spans="2:10" s="8" customFormat="1" ht="19.25" customHeight="1">
      <c r="B22" s="311" t="s">
        <v>111</v>
      </c>
      <c r="C22" s="311" t="s">
        <v>112</v>
      </c>
      <c r="D22" s="26"/>
      <c r="E22" s="26"/>
      <c r="F22" s="26"/>
      <c r="G22" s="26"/>
      <c r="H22" s="26"/>
      <c r="I22" s="26"/>
      <c r="J22" s="26"/>
    </row>
    <row r="23" spans="2:10" s="8" customFormat="1" ht="19.25" customHeight="1">
      <c r="B23" s="311" t="s">
        <v>113</v>
      </c>
      <c r="C23" s="311" t="s">
        <v>114</v>
      </c>
      <c r="D23" s="26"/>
      <c r="E23" s="26"/>
      <c r="F23" s="26"/>
      <c r="G23" s="26"/>
      <c r="H23" s="26"/>
      <c r="I23" s="26"/>
      <c r="J23" s="26"/>
    </row>
    <row r="24" spans="2:10" s="8" customFormat="1" ht="19.25" customHeight="1">
      <c r="B24" s="311" t="s">
        <v>115</v>
      </c>
      <c r="C24" s="311" t="s">
        <v>116</v>
      </c>
      <c r="D24" s="26"/>
      <c r="E24" s="26"/>
      <c r="F24" s="26"/>
      <c r="G24" s="26"/>
      <c r="H24" s="26"/>
      <c r="I24" s="26"/>
      <c r="J24" s="26"/>
    </row>
    <row r="25" spans="2:10" s="8" customFormat="1" ht="19.25" customHeight="1">
      <c r="B25" s="311" t="s">
        <v>117</v>
      </c>
      <c r="C25" s="311" t="s">
        <v>118</v>
      </c>
      <c r="D25" s="26"/>
      <c r="E25" s="26"/>
      <c r="F25" s="26"/>
      <c r="G25" s="26"/>
      <c r="H25" s="26"/>
      <c r="I25" s="26"/>
      <c r="J25" s="26"/>
    </row>
    <row r="26" spans="2:10" s="8" customFormat="1" ht="19.25" customHeight="1">
      <c r="B26" s="311" t="s">
        <v>119</v>
      </c>
      <c r="C26" s="26"/>
      <c r="D26" s="26"/>
      <c r="E26" s="26"/>
      <c r="F26" s="26"/>
      <c r="G26" s="26"/>
      <c r="H26" s="26"/>
      <c r="I26" s="26"/>
      <c r="J26" s="26"/>
    </row>
    <row r="27" spans="2:10" s="8" customFormat="1" ht="19.25" customHeight="1">
      <c r="B27" s="311" t="s">
        <v>120</v>
      </c>
      <c r="C27" s="26"/>
      <c r="D27" s="26"/>
      <c r="E27" s="26"/>
      <c r="F27" s="26"/>
      <c r="G27" s="26"/>
      <c r="H27" s="26"/>
      <c r="I27" s="26"/>
      <c r="J27" s="26"/>
    </row>
    <row r="28" spans="2:10" s="8" customFormat="1" ht="19.25" customHeight="1">
      <c r="B28" s="311" t="s">
        <v>121</v>
      </c>
      <c r="C28" s="26"/>
      <c r="D28" s="26"/>
      <c r="E28" s="26"/>
      <c r="F28" s="26"/>
      <c r="G28" s="26"/>
      <c r="H28" s="26"/>
      <c r="I28" s="26"/>
      <c r="J28" s="26"/>
    </row>
    <row r="29" spans="2:10" s="8" customFormat="1" ht="19.25" customHeight="1">
      <c r="B29" s="311" t="s">
        <v>122</v>
      </c>
      <c r="C29" s="26"/>
      <c r="D29" s="26"/>
      <c r="E29" s="26"/>
      <c r="F29" s="26"/>
      <c r="G29" s="26"/>
      <c r="H29" s="26"/>
      <c r="I29" s="26"/>
      <c r="J29" s="26"/>
    </row>
    <row r="30" spans="2:10" s="8" customFormat="1" ht="19.25" customHeight="1">
      <c r="B30" s="311" t="s">
        <v>123</v>
      </c>
      <c r="C30" s="26"/>
      <c r="D30" s="26"/>
      <c r="E30" s="26"/>
      <c r="F30" s="26"/>
      <c r="G30" s="26"/>
      <c r="H30" s="26"/>
      <c r="I30" s="26"/>
      <c r="J30" s="26"/>
    </row>
    <row r="31" spans="2:10" s="8" customFormat="1" ht="19.25" customHeight="1">
      <c r="B31" s="311" t="s">
        <v>124</v>
      </c>
      <c r="C31" s="26"/>
      <c r="D31" s="26"/>
      <c r="E31" s="26"/>
      <c r="F31" s="26"/>
      <c r="G31" s="26"/>
      <c r="H31" s="26"/>
      <c r="I31" s="26"/>
      <c r="J31" s="26"/>
    </row>
    <row r="32" spans="2:10" s="8" customFormat="1" ht="19.25" customHeight="1">
      <c r="B32" s="28" t="s">
        <v>125</v>
      </c>
      <c r="C32" s="27"/>
      <c r="D32" s="27"/>
      <c r="E32" s="27"/>
      <c r="F32" s="26"/>
      <c r="G32" s="27"/>
      <c r="H32" s="27"/>
      <c r="I32" s="27"/>
      <c r="J32" s="27"/>
    </row>
    <row r="33" spans="2:10">
      <c r="B33" s="22"/>
      <c r="C33" s="22"/>
      <c r="D33" s="22"/>
      <c r="E33" s="22"/>
      <c r="H33" s="22"/>
      <c r="I33" s="22"/>
      <c r="J33" s="22"/>
    </row>
    <row r="34" spans="2:10">
      <c r="B34" s="22"/>
      <c r="C34" s="22"/>
      <c r="D34" s="22"/>
      <c r="E34" s="22"/>
      <c r="H34" s="22"/>
      <c r="I34" s="22"/>
      <c r="J34" s="22"/>
    </row>
    <row r="36" spans="2:10">
      <c r="F36" s="22"/>
    </row>
    <row r="55" spans="3:3">
      <c r="C55" s="6"/>
    </row>
    <row r="59" spans="3:3">
      <c r="C59" s="15"/>
    </row>
    <row r="65" spans="3:3">
      <c r="C65" s="7"/>
    </row>
  </sheetData>
  <sortState ref="F5:F15">
    <sortCondition ref="F5"/>
  </sortState>
  <mergeCells count="1">
    <mergeCell ref="B3:J3"/>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25C6FF"/>
  </sheetPr>
  <dimension ref="A1:BE188"/>
  <sheetViews>
    <sheetView tabSelected="1" topLeftCell="A17" workbookViewId="0">
      <selection activeCell="C23" sqref="C23"/>
    </sheetView>
  </sheetViews>
  <sheetFormatPr defaultColWidth="9" defaultRowHeight="14"/>
  <cols>
    <col min="1" max="1" width="12.6640625" style="1" customWidth="1"/>
    <col min="2" max="2" width="42.58203125" style="1" customWidth="1"/>
    <col min="3" max="3" width="40.1640625" style="1" customWidth="1"/>
    <col min="4" max="4" width="17.58203125" style="1" customWidth="1"/>
    <col min="5" max="5" width="40.1640625" style="1" customWidth="1"/>
    <col min="6" max="10" width="28.58203125" style="1" customWidth="1"/>
    <col min="11" max="11" width="35.08203125" style="1" customWidth="1"/>
    <col min="12" max="12" width="28.58203125" style="1" hidden="1" customWidth="1"/>
    <col min="13" max="13" width="28.58203125" style="1" customWidth="1"/>
    <col min="14" max="14" width="28.5" style="1" customWidth="1"/>
    <col min="15" max="15" width="28.58203125" style="1" customWidth="1"/>
    <col min="16" max="18" width="28.58203125" style="1" hidden="1" customWidth="1"/>
    <col min="19" max="19" width="22.6640625" style="1" hidden="1" customWidth="1"/>
    <col min="20" max="20" width="13.08203125" style="1" hidden="1" customWidth="1"/>
    <col min="21" max="21" width="9.58203125" style="1" hidden="1" customWidth="1"/>
    <col min="22" max="22" width="13.08203125" style="1" hidden="1" customWidth="1"/>
    <col min="23" max="23" width="12.5" style="1" hidden="1" customWidth="1"/>
    <col min="24" max="24" width="10" style="1" hidden="1" customWidth="1"/>
    <col min="25" max="25" width="17.1640625" style="1" hidden="1" customWidth="1"/>
    <col min="26" max="27" width="9" style="1" hidden="1" customWidth="1"/>
    <col min="28" max="28" width="13.08203125" style="1" hidden="1" customWidth="1"/>
    <col min="29" max="29" width="12.5" style="1" hidden="1" customWidth="1"/>
    <col min="30" max="30" width="10" style="1" hidden="1" customWidth="1"/>
    <col min="31" max="31" width="17.1640625" style="1" hidden="1" customWidth="1"/>
    <col min="32" max="34" width="9" style="1" hidden="1" customWidth="1"/>
    <col min="35" max="35" width="12.5" style="1" hidden="1" customWidth="1"/>
    <col min="36" max="36" width="10" style="1" hidden="1" customWidth="1"/>
    <col min="37" max="37" width="17.1640625" style="1" hidden="1" customWidth="1"/>
    <col min="38" max="56" width="9" style="1" hidden="1" customWidth="1"/>
    <col min="57" max="57" width="23.6640625" style="1" bestFit="1" customWidth="1"/>
    <col min="58" max="16384" width="9" style="1"/>
  </cols>
  <sheetData>
    <row r="1" spans="1:57" ht="30" customHeight="1">
      <c r="A1" s="287" t="s">
        <v>126</v>
      </c>
      <c r="B1" s="287"/>
      <c r="C1" s="291"/>
      <c r="D1" s="291"/>
      <c r="E1" s="291"/>
      <c r="F1" s="291"/>
      <c r="G1" s="291"/>
      <c r="H1" s="291"/>
      <c r="I1" s="291"/>
      <c r="J1" s="291"/>
      <c r="K1" s="291"/>
      <c r="L1" s="291"/>
      <c r="M1" s="291"/>
      <c r="N1" s="291"/>
      <c r="O1" s="291"/>
      <c r="P1" s="291"/>
      <c r="Q1" s="291"/>
      <c r="R1" s="291"/>
      <c r="S1" s="291"/>
      <c r="T1" s="291"/>
      <c r="U1" s="291"/>
      <c r="V1" s="291"/>
      <c r="W1" s="291"/>
      <c r="X1" s="291"/>
      <c r="Y1" s="291"/>
      <c r="Z1" s="291"/>
      <c r="AA1" s="291"/>
      <c r="AB1" s="291"/>
      <c r="AC1" s="291"/>
      <c r="AD1" s="291"/>
      <c r="AE1" s="291"/>
      <c r="AF1" s="291"/>
      <c r="AG1" s="291"/>
      <c r="AH1" s="291"/>
      <c r="AI1" s="291"/>
      <c r="AJ1" s="291"/>
      <c r="AK1" s="291"/>
      <c r="AL1" s="291"/>
      <c r="AM1" s="291"/>
      <c r="AN1" s="291"/>
      <c r="AO1" s="291"/>
      <c r="AP1" s="291"/>
      <c r="AQ1" s="291"/>
      <c r="AR1" s="291"/>
      <c r="AS1" s="291"/>
      <c r="AT1" s="291"/>
      <c r="AU1" s="291"/>
      <c r="AV1" s="291"/>
      <c r="AW1" s="291"/>
      <c r="AX1" s="291"/>
      <c r="AY1" s="291"/>
      <c r="AZ1" s="291"/>
      <c r="BA1" s="291"/>
      <c r="BB1" s="291"/>
      <c r="BC1" s="291"/>
      <c r="BD1" s="291"/>
      <c r="BE1" s="291"/>
    </row>
    <row r="2" spans="1:57">
      <c r="B2" s="2"/>
    </row>
    <row r="3" spans="1:57" ht="96" customHeight="1" thickBot="1">
      <c r="B3" s="2"/>
      <c r="L3" s="307"/>
    </row>
    <row r="4" spans="1:57" s="91" customFormat="1" ht="19.25" customHeight="1">
      <c r="B4" s="424" t="s">
        <v>127</v>
      </c>
      <c r="C4" s="425"/>
    </row>
    <row r="5" spans="1:57" s="91" customFormat="1" ht="19.25" customHeight="1">
      <c r="B5" s="410" t="s">
        <v>128</v>
      </c>
      <c r="C5" s="421"/>
    </row>
    <row r="6" spans="1:57" ht="14.5" thickBot="1">
      <c r="B6" s="426" t="s">
        <v>129</v>
      </c>
      <c r="C6" s="427"/>
      <c r="D6" s="91"/>
    </row>
    <row r="7" spans="1:57" ht="14.5" thickBot="1">
      <c r="B7" s="2"/>
      <c r="D7" s="91"/>
    </row>
    <row r="8" spans="1:57" s="92" customFormat="1" ht="18.75" customHeight="1">
      <c r="B8" s="417" t="s">
        <v>130</v>
      </c>
      <c r="C8" s="506" t="s">
        <v>131</v>
      </c>
      <c r="D8" s="91"/>
      <c r="F8"/>
      <c r="G8"/>
      <c r="H8"/>
      <c r="I8"/>
      <c r="J8"/>
    </row>
    <row r="9" spans="1:57" s="92" customFormat="1" ht="35.15" customHeight="1">
      <c r="B9" s="418" t="s">
        <v>132</v>
      </c>
      <c r="C9" s="500" t="s">
        <v>133</v>
      </c>
      <c r="D9"/>
      <c r="F9"/>
      <c r="G9"/>
      <c r="H9"/>
      <c r="I9" s="93"/>
      <c r="J9"/>
      <c r="K9" s="94"/>
    </row>
    <row r="10" spans="1:57" s="92" customFormat="1" ht="35.15" customHeight="1">
      <c r="B10" s="419" t="s">
        <v>134</v>
      </c>
      <c r="C10" s="420" t="s">
        <v>135</v>
      </c>
      <c r="D10"/>
      <c r="F10"/>
      <c r="G10"/>
      <c r="H10"/>
      <c r="I10" s="93"/>
      <c r="J10"/>
      <c r="K10" s="94"/>
    </row>
    <row r="11" spans="1:57" s="92" customFormat="1" ht="35.15" customHeight="1">
      <c r="B11" s="419" t="s">
        <v>136</v>
      </c>
      <c r="C11" s="421" t="s">
        <v>760</v>
      </c>
      <c r="D11"/>
      <c r="G11"/>
      <c r="H11"/>
      <c r="I11" s="93"/>
      <c r="J11"/>
      <c r="K11" s="94"/>
    </row>
    <row r="12" spans="1:57" s="92" customFormat="1" ht="35.15" customHeight="1" thickBot="1">
      <c r="B12" s="422" t="s">
        <v>137</v>
      </c>
      <c r="C12" s="423"/>
      <c r="D12"/>
      <c r="F12"/>
      <c r="G12" s="95"/>
      <c r="H12"/>
      <c r="I12" s="93"/>
      <c r="J12"/>
      <c r="K12" s="94"/>
    </row>
    <row r="13" spans="1:57" s="92" customFormat="1" ht="26.25" customHeight="1" thickBot="1">
      <c r="B13" s="307"/>
      <c r="D13" s="306"/>
      <c r="E13" s="307"/>
      <c r="F13"/>
      <c r="G13" s="95"/>
      <c r="H13"/>
      <c r="I13" s="96"/>
      <c r="J13"/>
      <c r="K13" s="94"/>
    </row>
    <row r="14" spans="1:57" s="92" customFormat="1" ht="58.5" customHeight="1" thickBot="1">
      <c r="A14" s="588" t="s">
        <v>138</v>
      </c>
      <c r="B14" s="589"/>
      <c r="C14" s="589"/>
      <c r="D14" s="589"/>
      <c r="E14" s="590"/>
      <c r="F14" s="596" t="s">
        <v>139</v>
      </c>
      <c r="G14" s="597"/>
      <c r="H14" s="597"/>
      <c r="I14" s="597"/>
      <c r="J14" s="597"/>
      <c r="K14" s="597"/>
      <c r="L14" s="597"/>
      <c r="M14" s="597"/>
      <c r="N14" s="597"/>
      <c r="O14" s="598"/>
    </row>
    <row r="15" spans="1:57" s="92" customFormat="1" ht="19.25" customHeight="1">
      <c r="A15" s="566" t="s">
        <v>140</v>
      </c>
      <c r="B15" s="566"/>
      <c r="C15" s="566"/>
      <c r="D15" s="566"/>
      <c r="E15" s="591"/>
      <c r="F15" s="565" t="s">
        <v>141</v>
      </c>
      <c r="G15" s="566"/>
      <c r="H15" s="566"/>
      <c r="I15" s="566"/>
      <c r="J15" s="566"/>
      <c r="K15" s="566"/>
      <c r="L15" s="566"/>
      <c r="M15" s="566"/>
      <c r="N15" s="566"/>
      <c r="O15" s="566"/>
      <c r="P15" s="566"/>
      <c r="Q15" s="566"/>
      <c r="S15" s="265"/>
      <c r="T15" s="265" t="s">
        <v>142</v>
      </c>
      <c r="U15" s="265"/>
      <c r="V15" s="265"/>
      <c r="W15" s="265"/>
      <c r="X15" s="265"/>
      <c r="Y15" s="265"/>
      <c r="Z15" s="265" t="s">
        <v>143</v>
      </c>
      <c r="AA15" s="265"/>
      <c r="AB15" s="265"/>
      <c r="AC15" s="265"/>
      <c r="AD15" s="265"/>
      <c r="AE15" s="265"/>
      <c r="AF15" s="265" t="s">
        <v>144</v>
      </c>
      <c r="AG15" s="265"/>
      <c r="AH15" s="265"/>
      <c r="AI15" s="265"/>
      <c r="AJ15" s="265"/>
      <c r="AK15" s="265"/>
      <c r="AL15" s="92" t="s">
        <v>145</v>
      </c>
      <c r="AR15" s="92" t="s">
        <v>146</v>
      </c>
      <c r="AX15" s="92" t="s">
        <v>147</v>
      </c>
      <c r="BE15" s="428"/>
    </row>
    <row r="16" spans="1:57" s="346" customFormat="1" ht="36" customHeight="1">
      <c r="A16" s="343" t="s">
        <v>148</v>
      </c>
      <c r="B16" s="343" t="s">
        <v>149</v>
      </c>
      <c r="C16" s="343" t="s">
        <v>150</v>
      </c>
      <c r="D16" s="343" t="s">
        <v>151</v>
      </c>
      <c r="E16" s="343" t="s">
        <v>152</v>
      </c>
      <c r="F16" s="345" t="s">
        <v>153</v>
      </c>
      <c r="G16" s="33" t="s">
        <v>154</v>
      </c>
      <c r="H16" s="33" t="s">
        <v>155</v>
      </c>
      <c r="I16" s="33" t="s">
        <v>156</v>
      </c>
      <c r="J16" s="33" t="s">
        <v>157</v>
      </c>
      <c r="K16" s="33" t="s">
        <v>158</v>
      </c>
      <c r="L16" s="33" t="s">
        <v>159</v>
      </c>
      <c r="M16" s="33" t="s">
        <v>160</v>
      </c>
      <c r="N16" s="33" t="s">
        <v>161</v>
      </c>
      <c r="O16" s="33" t="s">
        <v>162</v>
      </c>
      <c r="P16" s="33" t="s">
        <v>163</v>
      </c>
      <c r="Q16" s="33" t="s">
        <v>164</v>
      </c>
      <c r="S16" s="347" t="s">
        <v>165</v>
      </c>
      <c r="T16" s="347" t="s">
        <v>166</v>
      </c>
      <c r="U16" s="348" t="s">
        <v>167</v>
      </c>
      <c r="V16" s="348" t="s">
        <v>168</v>
      </c>
      <c r="W16" s="348" t="s">
        <v>169</v>
      </c>
      <c r="X16" s="348" t="s">
        <v>170</v>
      </c>
      <c r="Y16" s="349" t="s">
        <v>171</v>
      </c>
      <c r="Z16" s="347" t="s">
        <v>166</v>
      </c>
      <c r="AA16" s="348" t="s">
        <v>167</v>
      </c>
      <c r="AB16" s="348" t="s">
        <v>168</v>
      </c>
      <c r="AC16" s="348" t="s">
        <v>169</v>
      </c>
      <c r="AD16" s="348" t="s">
        <v>170</v>
      </c>
      <c r="AE16" s="348" t="s">
        <v>171</v>
      </c>
      <c r="AF16" s="347" t="s">
        <v>166</v>
      </c>
      <c r="AG16" s="348" t="s">
        <v>167</v>
      </c>
      <c r="AH16" s="348" t="s">
        <v>168</v>
      </c>
      <c r="AI16" s="348" t="s">
        <v>169</v>
      </c>
      <c r="AJ16" s="348" t="s">
        <v>170</v>
      </c>
      <c r="AK16" s="349" t="s">
        <v>171</v>
      </c>
      <c r="AL16" s="347" t="s">
        <v>166</v>
      </c>
      <c r="AM16" s="348" t="s">
        <v>167</v>
      </c>
      <c r="AN16" s="348" t="s">
        <v>168</v>
      </c>
      <c r="AO16" s="348" t="s">
        <v>169</v>
      </c>
      <c r="AP16" s="348" t="s">
        <v>170</v>
      </c>
      <c r="AQ16" s="349" t="s">
        <v>171</v>
      </c>
      <c r="AR16" s="347" t="s">
        <v>166</v>
      </c>
      <c r="AS16" s="348" t="s">
        <v>167</v>
      </c>
      <c r="AT16" s="348" t="s">
        <v>168</v>
      </c>
      <c r="AU16" s="348" t="s">
        <v>169</v>
      </c>
      <c r="AV16" s="348" t="s">
        <v>170</v>
      </c>
      <c r="AW16" s="349" t="s">
        <v>171</v>
      </c>
      <c r="AX16" s="347" t="s">
        <v>166</v>
      </c>
      <c r="AY16" s="348" t="s">
        <v>167</v>
      </c>
      <c r="AZ16" s="348" t="s">
        <v>168</v>
      </c>
      <c r="BA16" s="348" t="s">
        <v>169</v>
      </c>
      <c r="BB16" s="348" t="s">
        <v>170</v>
      </c>
      <c r="BC16" s="349" t="s">
        <v>171</v>
      </c>
      <c r="BE16" s="343" t="s">
        <v>172</v>
      </c>
    </row>
    <row r="17" spans="1:57" s="92" customFormat="1" ht="19.25" customHeight="1">
      <c r="A17" s="101" t="s">
        <v>175</v>
      </c>
      <c r="B17" s="101" t="s">
        <v>57</v>
      </c>
      <c r="C17" s="149">
        <f>(16159645-127750-240170)*0.453592/365</f>
        <v>19624.657879999999</v>
      </c>
      <c r="D17" s="339" t="s">
        <v>176</v>
      </c>
      <c r="E17" s="340"/>
      <c r="F17" s="102">
        <f>IFERROR(VLOOKUP(B17,'9-Feedstock Characteristics'!$A$8:$W$127,2,FALSE),"-")</f>
        <v>0.83</v>
      </c>
      <c r="G17" s="102">
        <f>IFERROR(VLOOKUP(B17,'9-Feedstock Characteristics'!$A$8:$W$127,3,FALSE),"-")</f>
        <v>0.1108433734939759</v>
      </c>
      <c r="H17" s="102">
        <f>IFERROR(VLOOKUP(B17,'9-Feedstock Characteristics'!$A$8:$W$127,7,FALSE),"-")</f>
        <v>9.2771084337349402E-2</v>
      </c>
      <c r="I17" s="102">
        <f>IFERROR(VLOOKUP(B17,'9-Feedstock Characteristics'!$A$8:$W$127,8,FALSE),"-")</f>
        <v>1.8072289156626495E-2</v>
      </c>
      <c r="J17" s="102">
        <f>IFERROR(VLOOKUP(B17,'9-Feedstock Characteristics'!$A$8:$W$127,12,FALSE)/(1-F17),"-")</f>
        <v>4.5652173913043478E-2</v>
      </c>
      <c r="K17" s="103">
        <f t="shared" ref="K17:K31" si="0">IFERROR((H17/(1-F17))*0.55,"")</f>
        <v>0.30014174344436567</v>
      </c>
      <c r="L17" s="104" t="e">
        <f>IF(C17=0,"-",IF(ReactorType="Dry",VLOOKUP(B17,'9-Feedstock Characteristics'!$A$8:$W$127,18,FALSE),VLOOKUP(B17,'9-Feedstock Characteristics'!$A$8:$W$127,18,FALSE)*((C17/(DensityofWater*VLOOKUP(B17,'9-Feedstock Characteristics'!$A$8:$W$127,19,FALSE)))/Chosen_Reactor_Volume)+DensityofWater*((Chosen_Reactor_Volume-(C17/(DensityofWater*VLOOKUP(B17,'9-Feedstock Characteristics'!$A$8:$W$127,19,FALSE))))/Chosen_Reactor_Volume)))</f>
        <v>#DIV/0!</v>
      </c>
      <c r="M17" s="102">
        <f>IFERROR(VLOOKUP(B17,'9-Feedstock Characteristics'!$A$8:$W$127,15,FALSE),"-")</f>
        <v>8.5300000000000001E-2</v>
      </c>
      <c r="N17" s="102">
        <f>IFERROR(VLOOKUP(B17,'9-Feedstock Characteristics'!$A$8:$W$127,14,FALSE),"-")</f>
        <v>1.9400000000000001E-2</v>
      </c>
      <c r="O17" s="102">
        <f>IFERROR(VLOOKUP(B17,'9-Feedstock Characteristics'!$A$8:$W$127,13,FALSE),"-")</f>
        <v>0.87722771084337348</v>
      </c>
      <c r="P17" s="105">
        <f t="shared" ref="P17:P31" si="1">IFERROR(BE17*H17,"")</f>
        <v>1820.6007912771083</v>
      </c>
      <c r="Q17" s="105">
        <f t="shared" ref="Q17:Q31" si="2">IFERROR(BE17*G17,"")</f>
        <v>2175.2632830843372</v>
      </c>
      <c r="S17" s="259" t="str">
        <f t="shared" ref="S17:S31" si="3">VLOOKUP(B17,Waste_Item_Table,21,FALSE)</f>
        <v>Manure</v>
      </c>
      <c r="T17" s="264" t="str">
        <f t="shared" ref="T17:Y31" si="4">IFERROR(IF($S17=T$16,$BE17,""),"")</f>
        <v/>
      </c>
      <c r="U17" s="92" t="str">
        <f t="shared" si="4"/>
        <v/>
      </c>
      <c r="V17" s="92">
        <f>IFERROR(IF($S17=V$16,$BE17,""),"")</f>
        <v>19624.657879999999</v>
      </c>
      <c r="W17" s="92" t="str">
        <f t="shared" si="4"/>
        <v/>
      </c>
      <c r="X17" s="92" t="str">
        <f t="shared" si="4"/>
        <v/>
      </c>
      <c r="Y17" s="263" t="str">
        <f t="shared" si="4"/>
        <v/>
      </c>
      <c r="Z17" s="264" t="str">
        <f t="shared" ref="Z17:AE17" si="5">IFERROR(IF($S17=Z$16,$J17,""),"")</f>
        <v/>
      </c>
      <c r="AA17" s="92" t="str">
        <f t="shared" si="5"/>
        <v/>
      </c>
      <c r="AB17" s="92">
        <f t="shared" si="5"/>
        <v>4.5652173913043478E-2</v>
      </c>
      <c r="AC17" s="92" t="str">
        <f t="shared" si="5"/>
        <v/>
      </c>
      <c r="AD17" s="92" t="str">
        <f t="shared" si="5"/>
        <v/>
      </c>
      <c r="AE17" s="92" t="str">
        <f t="shared" si="5"/>
        <v/>
      </c>
      <c r="AF17" s="264" t="str">
        <f t="shared" ref="AF17:AK17" si="6">IFERROR(IF($S17=AF$16,$K17/$J17,""),"")</f>
        <v/>
      </c>
      <c r="AG17" s="92" t="str">
        <f t="shared" si="6"/>
        <v/>
      </c>
      <c r="AH17" s="92">
        <f t="shared" si="6"/>
        <v>6.5745334278289622</v>
      </c>
      <c r="AI17" s="92" t="str">
        <f t="shared" si="6"/>
        <v/>
      </c>
      <c r="AJ17" s="92" t="str">
        <f t="shared" si="6"/>
        <v/>
      </c>
      <c r="AK17" s="263" t="str">
        <f t="shared" si="6"/>
        <v/>
      </c>
      <c r="AL17" s="250" t="str">
        <f t="shared" ref="AL17:AQ17" si="7">IFERROR(IF($S17=AL$16,$F17,""),"")</f>
        <v/>
      </c>
      <c r="AM17" s="249" t="str">
        <f t="shared" si="7"/>
        <v/>
      </c>
      <c r="AN17" s="249">
        <f t="shared" si="7"/>
        <v>0.83</v>
      </c>
      <c r="AO17" s="249" t="str">
        <f t="shared" si="7"/>
        <v/>
      </c>
      <c r="AP17" s="249" t="str">
        <f t="shared" si="7"/>
        <v/>
      </c>
      <c r="AQ17" s="248" t="str">
        <f t="shared" si="7"/>
        <v/>
      </c>
      <c r="AR17" s="264" t="str">
        <f t="shared" ref="AR17:AW17" si="8">IFERROR(IF($S17=AR$16,$H17,""),"")</f>
        <v/>
      </c>
      <c r="AS17" s="92" t="str">
        <f t="shared" si="8"/>
        <v/>
      </c>
      <c r="AT17" s="92">
        <f t="shared" si="8"/>
        <v>9.2771084337349402E-2</v>
      </c>
      <c r="AU17" s="92" t="str">
        <f t="shared" si="8"/>
        <v/>
      </c>
      <c r="AV17" s="92" t="str">
        <f t="shared" si="8"/>
        <v/>
      </c>
      <c r="AW17" s="263" t="str">
        <f t="shared" si="8"/>
        <v/>
      </c>
      <c r="AX17" s="269" t="str">
        <f>IFERROR(IF($S17=AX$16,'6-Biogas Production'!$Q58,""),"")</f>
        <v/>
      </c>
      <c r="AY17" s="270" t="str">
        <f>IFERROR(IF($S17=AY$16,'6-Biogas Production'!$Q58,""),"")</f>
        <v/>
      </c>
      <c r="AZ17" s="270">
        <f>IFERROR(IF($S17=AZ$16,'6-Biogas Production'!$Q58,""),"")</f>
        <v>0.14799999999999999</v>
      </c>
      <c r="BA17" s="270" t="str">
        <f>IFERROR(IF($S17=BA$16,'6-Biogas Production'!$Q58,""),"")</f>
        <v/>
      </c>
      <c r="BB17" s="270" t="str">
        <f>IFERROR(IF($S17=BB$16,'6-Biogas Production'!$Q58,""),"")</f>
        <v/>
      </c>
      <c r="BC17" s="271" t="str">
        <f>IFERROR(IF($S17=BC$16,'6-Biogas Production'!$Q58,""),"")</f>
        <v/>
      </c>
      <c r="BE17" s="341">
        <f>C17*VLOOKUP(D17,'23-Look up values'!$A$4:$B$9,2,FALSE)</f>
        <v>19624.657879999999</v>
      </c>
    </row>
    <row r="18" spans="1:57" s="92" customFormat="1" ht="19.25" customHeight="1">
      <c r="A18" s="101" t="s">
        <v>175</v>
      </c>
      <c r="B18" s="101" t="s">
        <v>32</v>
      </c>
      <c r="C18" s="149">
        <f>240170*0.453592/365</f>
        <v>298.46353599999998</v>
      </c>
      <c r="D18" s="339" t="s">
        <v>176</v>
      </c>
      <c r="E18" s="340"/>
      <c r="F18" s="106">
        <f>IFERROR(VLOOKUP(B18,'9-Feedstock Characteristics'!$A$8:$W$127,2,FALSE),"-")</f>
        <v>0.9</v>
      </c>
      <c r="G18" s="106">
        <f>IFERROR(VLOOKUP(B18,'9-Feedstock Characteristics'!$A$8:$W$127,3,FALSE),"-")</f>
        <v>9.9999999999999978E-2</v>
      </c>
      <c r="H18" s="106">
        <f>IFERROR(VLOOKUP(B18,'9-Feedstock Characteristics'!$A$8:$W$127,7,FALSE),"-")</f>
        <v>8.3076923076923062E-2</v>
      </c>
      <c r="I18" s="106">
        <f>IFERROR(VLOOKUP(B18,'9-Feedstock Characteristics'!$A$8:$W$127,8,FALSE),"-")</f>
        <v>1.6923076923076916E-2</v>
      </c>
      <c r="J18" s="106">
        <f>IFERROR(VLOOKUP(B18,'9-Feedstock Characteristics'!$A$8:$W$127,12,FALSE)/(1-F18),"-")</f>
        <v>8.3076923076923076E-2</v>
      </c>
      <c r="K18" s="107">
        <f t="shared" si="0"/>
        <v>0.45692307692307699</v>
      </c>
      <c r="L18" s="104" t="e">
        <f>IF(C18=0,"-",IF(ReactorType="Dry",VLOOKUP(B18,'9-Feedstock Characteristics'!$A$8:$W$127,18,FALSE),VLOOKUP(B18,'9-Feedstock Characteristics'!$A$8:$W$127,18,FALSE)*((C18/(DensityofWater*VLOOKUP(B18,'9-Feedstock Characteristics'!$A$8:$W$127,19,FALSE)))/Chosen_Reactor_Volume)+DensityofWater*((Chosen_Reactor_Volume-(C18/(DensityofWater*VLOOKUP(B18,'9-Feedstock Characteristics'!$A$8:$W$127,19,FALSE))))/Chosen_Reactor_Volume)))</f>
        <v>#DIV/0!</v>
      </c>
      <c r="M18" s="106">
        <f>IFERROR(VLOOKUP(B18,'9-Feedstock Characteristics'!$A$8:$W$127,15,FALSE),"-")</f>
        <v>9.3899999999999997E-2</v>
      </c>
      <c r="N18" s="106">
        <f>IFERROR(VLOOKUP(B18,'9-Feedstock Characteristics'!$A$8:$W$127,14,FALSE),"-")</f>
        <v>2.2100000000000002E-2</v>
      </c>
      <c r="O18" s="106">
        <f>IFERROR(VLOOKUP(B18,'9-Feedstock Characteristics'!$A$8:$W$127,13,FALSE),"-")</f>
        <v>0.86707692307692308</v>
      </c>
      <c r="P18" s="108">
        <f t="shared" si="1"/>
        <v>24.795432221538455</v>
      </c>
      <c r="Q18" s="108">
        <f t="shared" si="2"/>
        <v>29.84635359999999</v>
      </c>
      <c r="S18" s="259" t="str">
        <f t="shared" si="3"/>
        <v>Manure</v>
      </c>
      <c r="T18" s="264" t="str">
        <f t="shared" si="4"/>
        <v/>
      </c>
      <c r="U18" s="92" t="str">
        <f>IFERROR(IF($S18=U$16,$BE18,""),"")</f>
        <v/>
      </c>
      <c r="V18" s="92">
        <f t="shared" si="4"/>
        <v>298.46353599999998</v>
      </c>
      <c r="W18" s="92" t="str">
        <f t="shared" si="4"/>
        <v/>
      </c>
      <c r="X18" s="92" t="str">
        <f t="shared" si="4"/>
        <v/>
      </c>
      <c r="Y18" s="263" t="str">
        <f t="shared" si="4"/>
        <v/>
      </c>
      <c r="Z18" s="264" t="str">
        <f t="shared" ref="Z18:Z31" si="9">IFERROR(IF($S18=Z$16,$J18,""),"")</f>
        <v/>
      </c>
      <c r="AA18" s="92" t="str">
        <f t="shared" ref="AA18:AE31" si="10">IFERROR(IF($S18=AA$16,$J18,""),"")</f>
        <v/>
      </c>
      <c r="AB18" s="92">
        <f t="shared" si="10"/>
        <v>8.3076923076923076E-2</v>
      </c>
      <c r="AC18" s="92" t="str">
        <f t="shared" si="10"/>
        <v/>
      </c>
      <c r="AD18" s="92" t="str">
        <f t="shared" si="10"/>
        <v/>
      </c>
      <c r="AE18" s="92" t="str">
        <f t="shared" si="10"/>
        <v/>
      </c>
      <c r="AF18" s="264" t="str">
        <f t="shared" ref="AF18:AF31" si="11">IFERROR(IF($S18=AF$16,$K18/$J18,""),"")</f>
        <v/>
      </c>
      <c r="AG18" s="92" t="str">
        <f t="shared" ref="AG18:AK31" si="12">IFERROR(IF($S18=AG$16,$K18/$J18,""),"")</f>
        <v/>
      </c>
      <c r="AH18" s="92">
        <f t="shared" si="12"/>
        <v>5.5000000000000009</v>
      </c>
      <c r="AI18" s="92" t="str">
        <f t="shared" si="12"/>
        <v/>
      </c>
      <c r="AJ18" s="92" t="str">
        <f t="shared" si="12"/>
        <v/>
      </c>
      <c r="AK18" s="263" t="str">
        <f t="shared" si="12"/>
        <v/>
      </c>
      <c r="AL18" s="250" t="str">
        <f t="shared" ref="AL18:AL31" si="13">IFERROR(IF($S18=AL$16,$F18,""),"")</f>
        <v/>
      </c>
      <c r="AM18" s="249" t="str">
        <f t="shared" ref="AM18:AQ31" si="14">IFERROR(IF($S18=AM$16,$F18,""),"")</f>
        <v/>
      </c>
      <c r="AN18" s="249">
        <f t="shared" si="14"/>
        <v>0.9</v>
      </c>
      <c r="AO18" s="249" t="str">
        <f t="shared" si="14"/>
        <v/>
      </c>
      <c r="AP18" s="249" t="str">
        <f t="shared" si="14"/>
        <v/>
      </c>
      <c r="AQ18" s="248" t="str">
        <f t="shared" si="14"/>
        <v/>
      </c>
      <c r="AR18" s="264" t="str">
        <f t="shared" ref="AR18:AR31" si="15">IFERROR(IF($S18=AR$16,$H18,""),"")</f>
        <v/>
      </c>
      <c r="AS18" s="92" t="str">
        <f t="shared" ref="AS18:AW31" si="16">IFERROR(IF($S18=AS$16,$H18,""),"")</f>
        <v/>
      </c>
      <c r="AT18" s="92">
        <f t="shared" si="16"/>
        <v>8.3076923076923062E-2</v>
      </c>
      <c r="AU18" s="92" t="str">
        <f t="shared" si="16"/>
        <v/>
      </c>
      <c r="AV18" s="92" t="str">
        <f t="shared" si="16"/>
        <v/>
      </c>
      <c r="AW18" s="263" t="str">
        <f t="shared" si="16"/>
        <v/>
      </c>
      <c r="AX18" s="264" t="str">
        <f>IFERROR(IF($S18=AX$16,'6-Biogas Production'!$Q59,""),"")</f>
        <v/>
      </c>
      <c r="AY18" s="92" t="str">
        <f>IFERROR(IF($S18=AY$16,'6-Biogas Production'!$Q59,""),"")</f>
        <v/>
      </c>
      <c r="AZ18" s="92">
        <f>IFERROR(IF($S18=AZ$16,'6-Biogas Production'!$Q59,""),"")</f>
        <v>0.35599999999999998</v>
      </c>
      <c r="BA18" s="92" t="str">
        <f>IFERROR(IF($S18=BA$16,'6-Biogas Production'!$Q59,""),"")</f>
        <v/>
      </c>
      <c r="BB18" s="92" t="str">
        <f>IFERROR(IF($S18=BB$16,'6-Biogas Production'!$Q59,""),"")</f>
        <v/>
      </c>
      <c r="BC18" s="263" t="str">
        <f>IFERROR(IF($S18=BC$16,'6-Biogas Production'!$Q59,""),"")</f>
        <v/>
      </c>
      <c r="BE18" s="341">
        <f>C18*VLOOKUP(D18,'23-Look up values'!$A$4:$B$9,2,FALSE)</f>
        <v>298.46353599999998</v>
      </c>
    </row>
    <row r="19" spans="1:57" s="92" customFormat="1" ht="19.25" customHeight="1">
      <c r="A19" s="101" t="s">
        <v>175</v>
      </c>
      <c r="B19" s="101" t="s">
        <v>107</v>
      </c>
      <c r="C19" s="149">
        <f>127750*0.453592/365</f>
        <v>158.75719999999998</v>
      </c>
      <c r="D19" s="339" t="s">
        <v>176</v>
      </c>
      <c r="E19" s="340"/>
      <c r="F19" s="106">
        <f>IFERROR(VLOOKUP(B19,'9-Feedstock Characteristics'!$A$8:$W$127,2,FALSE),"-")</f>
        <v>0.75</v>
      </c>
      <c r="G19" s="106">
        <f>IFERROR(VLOOKUP(B19,'9-Feedstock Characteristics'!$A$8:$W$127,3,FALSE),"-")</f>
        <v>0.25</v>
      </c>
      <c r="H19" s="106">
        <f>IFERROR(VLOOKUP(B19,'9-Feedstock Characteristics'!$A$8:$W$127,7,FALSE),"-")</f>
        <v>0.18333333333333332</v>
      </c>
      <c r="I19" s="106">
        <f>IFERROR(VLOOKUP(B19,'9-Feedstock Characteristics'!$A$8:$W$127,8,FALSE),"-")</f>
        <v>6.666666666666668E-2</v>
      </c>
      <c r="J19" s="106">
        <f>IFERROR(VLOOKUP(B19,'9-Feedstock Characteristics'!$A$8:$W$127,12,FALSE)/(1-F19),"-")</f>
        <v>7.3333333333333334E-2</v>
      </c>
      <c r="K19" s="107">
        <f t="shared" si="0"/>
        <v>0.40333333333333332</v>
      </c>
      <c r="L19" s="104" t="e">
        <f>IF(C19=0,"-",IF(ReactorType="Dry",VLOOKUP(B19,'9-Feedstock Characteristics'!$A$8:$W$127,18,FALSE),VLOOKUP(B19,'9-Feedstock Characteristics'!$A$8:$W$127,18,FALSE)*((C19/(DensityofWater*VLOOKUP(B19,'9-Feedstock Characteristics'!$A$8:$W$127,19,FALSE)))/Chosen_Reactor_Volume)+DensityofWater*((Chosen_Reactor_Volume-(C19/(DensityofWater*VLOOKUP(B19,'9-Feedstock Characteristics'!$A$8:$W$127,19,FALSE))))/Chosen_Reactor_Volume)))</f>
        <v>#DIV/0!</v>
      </c>
      <c r="M19" s="106">
        <f>IFERROR(VLOOKUP(B19,'9-Feedstock Characteristics'!$A$8:$W$127,15,FALSE),"-")</f>
        <v>0.13100000000000001</v>
      </c>
      <c r="N19" s="106">
        <f>IFERROR(VLOOKUP(B19,'9-Feedstock Characteristics'!$A$8:$W$127,14,FALSE),"-")</f>
        <v>2.7900000000000001E-2</v>
      </c>
      <c r="O19" s="106">
        <f>IFERROR(VLOOKUP(B19,'9-Feedstock Characteristics'!$A$8:$W$127,13,FALSE),"-")</f>
        <v>0.77443333333333331</v>
      </c>
      <c r="P19" s="108">
        <f t="shared" si="1"/>
        <v>29.105486666666661</v>
      </c>
      <c r="Q19" s="108">
        <f t="shared" si="2"/>
        <v>39.689299999999996</v>
      </c>
      <c r="S19" s="259" t="str">
        <f t="shared" si="3"/>
        <v>Manure</v>
      </c>
      <c r="T19" s="264" t="str">
        <f t="shared" si="4"/>
        <v/>
      </c>
      <c r="U19" s="92" t="str">
        <f t="shared" si="4"/>
        <v/>
      </c>
      <c r="V19" s="92">
        <f t="shared" si="4"/>
        <v>158.75719999999998</v>
      </c>
      <c r="W19" s="92" t="str">
        <f t="shared" si="4"/>
        <v/>
      </c>
      <c r="X19" s="92" t="str">
        <f t="shared" si="4"/>
        <v/>
      </c>
      <c r="Y19" s="263" t="str">
        <f t="shared" si="4"/>
        <v/>
      </c>
      <c r="Z19" s="264" t="str">
        <f t="shared" si="9"/>
        <v/>
      </c>
      <c r="AA19" s="92" t="str">
        <f t="shared" si="10"/>
        <v/>
      </c>
      <c r="AB19" s="92">
        <f t="shared" si="10"/>
        <v>7.3333333333333334E-2</v>
      </c>
      <c r="AC19" s="92" t="str">
        <f t="shared" si="10"/>
        <v/>
      </c>
      <c r="AD19" s="92" t="str">
        <f t="shared" si="10"/>
        <v/>
      </c>
      <c r="AE19" s="92" t="str">
        <f t="shared" si="10"/>
        <v/>
      </c>
      <c r="AF19" s="264" t="str">
        <f t="shared" si="11"/>
        <v/>
      </c>
      <c r="AG19" s="92" t="str">
        <f t="shared" si="12"/>
        <v/>
      </c>
      <c r="AH19" s="92">
        <f t="shared" si="12"/>
        <v>5.5</v>
      </c>
      <c r="AI19" s="92" t="str">
        <f t="shared" si="12"/>
        <v/>
      </c>
      <c r="AJ19" s="92" t="str">
        <f t="shared" si="12"/>
        <v/>
      </c>
      <c r="AK19" s="263" t="str">
        <f t="shared" si="12"/>
        <v/>
      </c>
      <c r="AL19" s="250" t="str">
        <f t="shared" si="13"/>
        <v/>
      </c>
      <c r="AM19" s="249" t="str">
        <f t="shared" si="14"/>
        <v/>
      </c>
      <c r="AN19" s="249">
        <f t="shared" si="14"/>
        <v>0.75</v>
      </c>
      <c r="AO19" s="249" t="str">
        <f t="shared" si="14"/>
        <v/>
      </c>
      <c r="AP19" s="249" t="str">
        <f t="shared" si="14"/>
        <v/>
      </c>
      <c r="AQ19" s="248" t="str">
        <f t="shared" si="14"/>
        <v/>
      </c>
      <c r="AR19" s="264" t="str">
        <f t="shared" si="15"/>
        <v/>
      </c>
      <c r="AS19" s="92" t="str">
        <f t="shared" si="16"/>
        <v/>
      </c>
      <c r="AT19" s="92">
        <f t="shared" si="16"/>
        <v>0.18333333333333332</v>
      </c>
      <c r="AU19" s="92" t="str">
        <f t="shared" si="16"/>
        <v/>
      </c>
      <c r="AV19" s="92" t="str">
        <f t="shared" si="16"/>
        <v/>
      </c>
      <c r="AW19" s="263" t="str">
        <f t="shared" si="16"/>
        <v/>
      </c>
      <c r="AX19" s="264" t="str">
        <f>IFERROR(IF($S19=AX$16,'6-Biogas Production'!$Q60,""),"")</f>
        <v/>
      </c>
      <c r="AY19" s="92" t="str">
        <f>IFERROR(IF($S19=AY$16,'6-Biogas Production'!$Q60,""),"")</f>
        <v/>
      </c>
      <c r="AZ19" s="92">
        <f>IFERROR(IF($S19=AZ$16,'6-Biogas Production'!$Q60,""),"")</f>
        <v>0.27600000000000002</v>
      </c>
      <c r="BA19" s="92" t="str">
        <f>IFERROR(IF($S19=BA$16,'6-Biogas Production'!$Q60,""),"")</f>
        <v/>
      </c>
      <c r="BB19" s="92" t="str">
        <f>IFERROR(IF($S19=BB$16,'6-Biogas Production'!$Q60,""),"")</f>
        <v/>
      </c>
      <c r="BC19" s="263" t="str">
        <f>IFERROR(IF($S19=BC$16,'6-Biogas Production'!$Q60,""),"")</f>
        <v/>
      </c>
      <c r="BE19" s="341">
        <f>C19*VLOOKUP(D19,'23-Look up values'!$A$4:$B$9,2,FALSE)</f>
        <v>158.75719999999998</v>
      </c>
    </row>
    <row r="20" spans="1:57" s="92" customFormat="1" ht="19.25" customHeight="1">
      <c r="A20" s="101" t="s">
        <v>175</v>
      </c>
      <c r="B20" s="101"/>
      <c r="C20" s="149"/>
      <c r="D20" s="339" t="s">
        <v>176</v>
      </c>
      <c r="E20" s="340"/>
      <c r="F20" s="106" t="str">
        <f>IFERROR(VLOOKUP(B20,'9-Feedstock Characteristics'!$A$8:$W$127,2,FALSE),"-")</f>
        <v>-</v>
      </c>
      <c r="G20" s="106" t="str">
        <f>IFERROR(VLOOKUP(B20,'9-Feedstock Characteristics'!$A$8:$W$127,3,FALSE),"-")</f>
        <v>-</v>
      </c>
      <c r="H20" s="106" t="str">
        <f>IFERROR(VLOOKUP(B20,'9-Feedstock Characteristics'!$A$8:$W$127,7,FALSE),"-")</f>
        <v>-</v>
      </c>
      <c r="I20" s="106" t="str">
        <f>IFERROR(VLOOKUP(B20,'9-Feedstock Characteristics'!$A$8:$W$127,8,FALSE),"-")</f>
        <v>-</v>
      </c>
      <c r="J20" s="106" t="str">
        <f>IFERROR(VLOOKUP(B20,'9-Feedstock Characteristics'!$A$8:$W$127,12,FALSE)/(1-F20),"-")</f>
        <v>-</v>
      </c>
      <c r="K20" s="107" t="str">
        <f t="shared" si="0"/>
        <v/>
      </c>
      <c r="L20" s="104" t="str">
        <f>IF(C20=0,"-",IF(ReactorType="Dry",VLOOKUP(B20,'9-Feedstock Characteristics'!$A$8:$W$127,18,FALSE),VLOOKUP(B20,'9-Feedstock Characteristics'!$A$8:$W$127,18,FALSE)*((C20/(DensityofWater*VLOOKUP(B20,'9-Feedstock Characteristics'!$A$8:$W$127,19,FALSE)))/Chosen_Reactor_Volume)+DensityofWater*((Chosen_Reactor_Volume-(C20/(DensityofWater*VLOOKUP(B20,'9-Feedstock Characteristics'!$A$8:$W$127,19,FALSE))))/Chosen_Reactor_Volume)))</f>
        <v>-</v>
      </c>
      <c r="M20" s="106" t="str">
        <f>IFERROR(VLOOKUP(B20,'9-Feedstock Characteristics'!$A$8:$W$127,15,FALSE),"-")</f>
        <v>-</v>
      </c>
      <c r="N20" s="106" t="str">
        <f>IFERROR(VLOOKUP(B20,'9-Feedstock Characteristics'!$A$8:$W$127,14,FALSE),"-")</f>
        <v>-</v>
      </c>
      <c r="O20" s="106" t="str">
        <f>IFERROR(VLOOKUP(B20,'9-Feedstock Characteristics'!$A$8:$W$127,13,FALSE),"-")</f>
        <v>-</v>
      </c>
      <c r="P20" s="108" t="str">
        <f t="shared" si="1"/>
        <v/>
      </c>
      <c r="Q20" s="108" t="str">
        <f t="shared" si="2"/>
        <v/>
      </c>
      <c r="S20" s="259" t="e">
        <f t="shared" si="3"/>
        <v>#N/A</v>
      </c>
      <c r="T20" s="264" t="str">
        <f t="shared" si="4"/>
        <v/>
      </c>
      <c r="U20" s="92" t="str">
        <f t="shared" si="4"/>
        <v/>
      </c>
      <c r="V20" s="92" t="str">
        <f t="shared" si="4"/>
        <v/>
      </c>
      <c r="W20" s="92" t="str">
        <f t="shared" si="4"/>
        <v/>
      </c>
      <c r="X20" s="92" t="str">
        <f t="shared" si="4"/>
        <v/>
      </c>
      <c r="Y20" s="263" t="str">
        <f t="shared" si="4"/>
        <v/>
      </c>
      <c r="Z20" s="264" t="str">
        <f t="shared" si="9"/>
        <v/>
      </c>
      <c r="AA20" s="92" t="str">
        <f t="shared" si="10"/>
        <v/>
      </c>
      <c r="AB20" s="92" t="str">
        <f t="shared" si="10"/>
        <v/>
      </c>
      <c r="AC20" s="92" t="str">
        <f t="shared" si="10"/>
        <v/>
      </c>
      <c r="AD20" s="92" t="str">
        <f t="shared" si="10"/>
        <v/>
      </c>
      <c r="AE20" s="92" t="str">
        <f t="shared" si="10"/>
        <v/>
      </c>
      <c r="AF20" s="264" t="str">
        <f t="shared" si="11"/>
        <v/>
      </c>
      <c r="AG20" s="92" t="str">
        <f t="shared" si="12"/>
        <v/>
      </c>
      <c r="AH20" s="92" t="str">
        <f t="shared" si="12"/>
        <v/>
      </c>
      <c r="AI20" s="92" t="str">
        <f t="shared" si="12"/>
        <v/>
      </c>
      <c r="AJ20" s="92" t="str">
        <f t="shared" si="12"/>
        <v/>
      </c>
      <c r="AK20" s="263" t="str">
        <f t="shared" si="12"/>
        <v/>
      </c>
      <c r="AL20" s="250" t="str">
        <f t="shared" si="13"/>
        <v/>
      </c>
      <c r="AM20" s="249" t="str">
        <f t="shared" si="14"/>
        <v/>
      </c>
      <c r="AN20" s="249" t="str">
        <f t="shared" si="14"/>
        <v/>
      </c>
      <c r="AO20" s="249" t="str">
        <f t="shared" si="14"/>
        <v/>
      </c>
      <c r="AP20" s="249" t="str">
        <f t="shared" si="14"/>
        <v/>
      </c>
      <c r="AQ20" s="248" t="str">
        <f t="shared" si="14"/>
        <v/>
      </c>
      <c r="AR20" s="264" t="str">
        <f t="shared" si="15"/>
        <v/>
      </c>
      <c r="AS20" s="92" t="str">
        <f t="shared" si="16"/>
        <v/>
      </c>
      <c r="AT20" s="92" t="str">
        <f t="shared" si="16"/>
        <v/>
      </c>
      <c r="AU20" s="92" t="str">
        <f t="shared" si="16"/>
        <v/>
      </c>
      <c r="AV20" s="92" t="str">
        <f t="shared" si="16"/>
        <v/>
      </c>
      <c r="AW20" s="263" t="str">
        <f t="shared" si="16"/>
        <v/>
      </c>
      <c r="AX20" s="264" t="str">
        <f>IFERROR(IF($S20=AX$16,'6-Biogas Production'!$Q61,""),"")</f>
        <v/>
      </c>
      <c r="AY20" s="92" t="str">
        <f>IFERROR(IF($S20=AY$16,'6-Biogas Production'!$Q61,""),"")</f>
        <v/>
      </c>
      <c r="AZ20" s="92" t="str">
        <f>IFERROR(IF($S20=AZ$16,'6-Biogas Production'!$Q61,""),"")</f>
        <v/>
      </c>
      <c r="BA20" s="92" t="str">
        <f>IFERROR(IF($S20=BA$16,'6-Biogas Production'!$Q61,""),"")</f>
        <v/>
      </c>
      <c r="BB20" s="92" t="str">
        <f>IFERROR(IF($S20=BB$16,'6-Biogas Production'!$Q61,""),"")</f>
        <v/>
      </c>
      <c r="BC20" s="263" t="str">
        <f>IFERROR(IF($S20=BC$16,'6-Biogas Production'!$Q61,""),"")</f>
        <v/>
      </c>
      <c r="BE20" s="341">
        <f>C20*VLOOKUP(D20,'23-Look up values'!$A$4:$B$9,2,FALSE)</f>
        <v>0</v>
      </c>
    </row>
    <row r="21" spans="1:57" s="92" customFormat="1" ht="19.25" customHeight="1">
      <c r="A21" s="101" t="s">
        <v>175</v>
      </c>
      <c r="B21" s="101"/>
      <c r="C21" s="149"/>
      <c r="D21" s="339" t="s">
        <v>176</v>
      </c>
      <c r="E21" s="340"/>
      <c r="F21" s="106" t="str">
        <f>IFERROR(VLOOKUP(B21,'9-Feedstock Characteristics'!$A$8:$W$127,2,FALSE),"-")</f>
        <v>-</v>
      </c>
      <c r="G21" s="106" t="str">
        <f>IFERROR(VLOOKUP(B21,'9-Feedstock Characteristics'!$A$8:$W$127,3,FALSE),"-")</f>
        <v>-</v>
      </c>
      <c r="H21" s="106" t="str">
        <f>IFERROR(VLOOKUP(B21,'9-Feedstock Characteristics'!$A$8:$W$127,7,FALSE),"-")</f>
        <v>-</v>
      </c>
      <c r="I21" s="106" t="str">
        <f>IFERROR(VLOOKUP(B21,'9-Feedstock Characteristics'!$A$8:$W$127,8,FALSE),"-")</f>
        <v>-</v>
      </c>
      <c r="J21" s="106" t="str">
        <f>IFERROR(VLOOKUP(B21,'9-Feedstock Characteristics'!$A$8:$W$127,12,FALSE)/(1-F21),"-")</f>
        <v>-</v>
      </c>
      <c r="K21" s="107" t="str">
        <f t="shared" si="0"/>
        <v/>
      </c>
      <c r="L21" s="104" t="str">
        <f>IF(C21=0,"-",IF(ReactorType="Dry",VLOOKUP(B21,'9-Feedstock Characteristics'!$A$8:$W$127,18,FALSE),VLOOKUP(B21,'9-Feedstock Characteristics'!$A$8:$W$127,18,FALSE)*((C21/(DensityofWater*VLOOKUP(B21,'9-Feedstock Characteristics'!$A$8:$W$127,19,FALSE)))/Chosen_Reactor_Volume)+DensityofWater*((Chosen_Reactor_Volume-(C21/(DensityofWater*VLOOKUP(B21,'9-Feedstock Characteristics'!$A$8:$W$127,19,FALSE))))/Chosen_Reactor_Volume)))</f>
        <v>-</v>
      </c>
      <c r="M21" s="106" t="str">
        <f>IFERROR(VLOOKUP(B21,'9-Feedstock Characteristics'!$A$8:$W$127,15,FALSE),"-")</f>
        <v>-</v>
      </c>
      <c r="N21" s="106" t="str">
        <f>IFERROR(VLOOKUP(B21,'9-Feedstock Characteristics'!$A$8:$W$127,14,FALSE),"-")</f>
        <v>-</v>
      </c>
      <c r="O21" s="106" t="str">
        <f>IFERROR(VLOOKUP(B21,'9-Feedstock Characteristics'!$A$8:$W$127,13,FALSE),"-")</f>
        <v>-</v>
      </c>
      <c r="P21" s="108" t="str">
        <f t="shared" si="1"/>
        <v/>
      </c>
      <c r="Q21" s="108" t="str">
        <f t="shared" si="2"/>
        <v/>
      </c>
      <c r="S21" s="259" t="e">
        <f t="shared" ref="S21:S30" si="17">VLOOKUP(B21,Waste_Item_Table,21,FALSE)</f>
        <v>#N/A</v>
      </c>
      <c r="T21" s="264" t="str">
        <f t="shared" si="4"/>
        <v/>
      </c>
      <c r="U21" s="92" t="str">
        <f t="shared" si="4"/>
        <v/>
      </c>
      <c r="V21" s="92" t="str">
        <f t="shared" si="4"/>
        <v/>
      </c>
      <c r="W21" s="92" t="str">
        <f t="shared" si="4"/>
        <v/>
      </c>
      <c r="X21" s="92" t="str">
        <f t="shared" si="4"/>
        <v/>
      </c>
      <c r="Y21" s="263" t="str">
        <f t="shared" si="4"/>
        <v/>
      </c>
      <c r="Z21" s="264" t="str">
        <f t="shared" si="9"/>
        <v/>
      </c>
      <c r="AA21" s="92" t="str">
        <f t="shared" si="10"/>
        <v/>
      </c>
      <c r="AB21" s="92" t="str">
        <f t="shared" si="10"/>
        <v/>
      </c>
      <c r="AC21" s="92" t="str">
        <f t="shared" si="10"/>
        <v/>
      </c>
      <c r="AD21" s="92" t="str">
        <f t="shared" si="10"/>
        <v/>
      </c>
      <c r="AE21" s="92" t="str">
        <f t="shared" si="10"/>
        <v/>
      </c>
      <c r="AF21" s="264" t="str">
        <f t="shared" si="11"/>
        <v/>
      </c>
      <c r="AG21" s="92" t="str">
        <f t="shared" si="12"/>
        <v/>
      </c>
      <c r="AH21" s="92" t="str">
        <f t="shared" si="12"/>
        <v/>
      </c>
      <c r="AI21" s="92" t="str">
        <f t="shared" si="12"/>
        <v/>
      </c>
      <c r="AJ21" s="92" t="str">
        <f t="shared" si="12"/>
        <v/>
      </c>
      <c r="AK21" s="263" t="str">
        <f t="shared" si="12"/>
        <v/>
      </c>
      <c r="AL21" s="250" t="str">
        <f t="shared" si="13"/>
        <v/>
      </c>
      <c r="AM21" s="249" t="str">
        <f t="shared" si="14"/>
        <v/>
      </c>
      <c r="AN21" s="249" t="str">
        <f t="shared" si="14"/>
        <v/>
      </c>
      <c r="AO21" s="249" t="str">
        <f t="shared" si="14"/>
        <v/>
      </c>
      <c r="AP21" s="249" t="str">
        <f t="shared" si="14"/>
        <v/>
      </c>
      <c r="AQ21" s="248" t="str">
        <f t="shared" si="14"/>
        <v/>
      </c>
      <c r="AR21" s="264" t="str">
        <f t="shared" si="15"/>
        <v/>
      </c>
      <c r="AS21" s="92" t="str">
        <f t="shared" si="16"/>
        <v/>
      </c>
      <c r="AT21" s="92" t="str">
        <f t="shared" si="16"/>
        <v/>
      </c>
      <c r="AU21" s="92" t="str">
        <f t="shared" si="16"/>
        <v/>
      </c>
      <c r="AV21" s="92" t="str">
        <f t="shared" si="16"/>
        <v/>
      </c>
      <c r="AW21" s="263" t="str">
        <f t="shared" si="16"/>
        <v/>
      </c>
      <c r="AX21" s="264" t="str">
        <f>IFERROR(IF($S21=AX$16,'6-Biogas Production'!$Q62,""),"")</f>
        <v/>
      </c>
      <c r="AY21" s="92" t="str">
        <f>IFERROR(IF($S21=AY$16,'6-Biogas Production'!$Q62,""),"")</f>
        <v/>
      </c>
      <c r="AZ21" s="92" t="str">
        <f>IFERROR(IF($S21=AZ$16,'6-Biogas Production'!$Q62,""),"")</f>
        <v/>
      </c>
      <c r="BA21" s="92" t="str">
        <f>IFERROR(IF($S21=BA$16,'6-Biogas Production'!$Q62,""),"")</f>
        <v/>
      </c>
      <c r="BB21" s="92" t="str">
        <f>IFERROR(IF($S21=BB$16,'6-Biogas Production'!$Q62,""),"")</f>
        <v/>
      </c>
      <c r="BC21" s="263" t="str">
        <f>IFERROR(IF($S21=BC$16,'6-Biogas Production'!$Q62,""),"")</f>
        <v/>
      </c>
      <c r="BE21" s="341">
        <f>C21*VLOOKUP(D21,'23-Look up values'!$A$4:$B$9,2,FALSE)</f>
        <v>0</v>
      </c>
    </row>
    <row r="22" spans="1:57" s="92" customFormat="1" ht="19.25" customHeight="1">
      <c r="A22" s="101" t="s">
        <v>175</v>
      </c>
      <c r="B22" s="101"/>
      <c r="C22" s="149"/>
      <c r="D22" s="339" t="s">
        <v>176</v>
      </c>
      <c r="E22" s="340"/>
      <c r="F22" s="106" t="str">
        <f>IFERROR(VLOOKUP(B22,'9-Feedstock Characteristics'!$A$8:$W$127,2,FALSE),"-")</f>
        <v>-</v>
      </c>
      <c r="G22" s="106" t="str">
        <f>IFERROR(VLOOKUP(B22,'9-Feedstock Characteristics'!$A$8:$W$127,3,FALSE),"-")</f>
        <v>-</v>
      </c>
      <c r="H22" s="106" t="str">
        <f>IFERROR(VLOOKUP(B22,'9-Feedstock Characteristics'!$A$8:$W$127,7,FALSE),"-")</f>
        <v>-</v>
      </c>
      <c r="I22" s="106" t="str">
        <f>IFERROR(VLOOKUP(B22,'9-Feedstock Characteristics'!$A$8:$W$127,8,FALSE),"-")</f>
        <v>-</v>
      </c>
      <c r="J22" s="106" t="str">
        <f>IFERROR(VLOOKUP(B22,'9-Feedstock Characteristics'!$A$8:$W$127,12,FALSE)/(1-F22),"-")</f>
        <v>-</v>
      </c>
      <c r="K22" s="107" t="str">
        <f t="shared" si="0"/>
        <v/>
      </c>
      <c r="L22" s="104" t="str">
        <f>IF(C22=0,"-",IF(ReactorType="Dry",VLOOKUP(B22,'9-Feedstock Characteristics'!$A$8:$W$127,18,FALSE),VLOOKUP(B22,'9-Feedstock Characteristics'!$A$8:$W$127,18,FALSE)*((C22/(DensityofWater*VLOOKUP(B22,'9-Feedstock Characteristics'!$A$8:$W$127,19,FALSE)))/Chosen_Reactor_Volume)+DensityofWater*((Chosen_Reactor_Volume-(C22/(DensityofWater*VLOOKUP(B22,'9-Feedstock Characteristics'!$A$8:$W$127,19,FALSE))))/Chosen_Reactor_Volume)))</f>
        <v>-</v>
      </c>
      <c r="M22" s="106" t="str">
        <f>IFERROR(VLOOKUP(B22,'9-Feedstock Characteristics'!$A$8:$W$127,15,FALSE),"-")</f>
        <v>-</v>
      </c>
      <c r="N22" s="106" t="str">
        <f>IFERROR(VLOOKUP(B22,'9-Feedstock Characteristics'!$A$8:$W$127,14,FALSE),"-")</f>
        <v>-</v>
      </c>
      <c r="O22" s="106" t="str">
        <f>IFERROR(VLOOKUP(B22,'9-Feedstock Characteristics'!$A$8:$W$127,13,FALSE),"-")</f>
        <v>-</v>
      </c>
      <c r="P22" s="108" t="str">
        <f t="shared" si="1"/>
        <v/>
      </c>
      <c r="Q22" s="108" t="str">
        <f t="shared" si="2"/>
        <v/>
      </c>
      <c r="S22" s="259" t="e">
        <f t="shared" si="17"/>
        <v>#N/A</v>
      </c>
      <c r="T22" s="264" t="str">
        <f t="shared" si="4"/>
        <v/>
      </c>
      <c r="U22" s="92" t="str">
        <f t="shared" si="4"/>
        <v/>
      </c>
      <c r="V22" s="92" t="str">
        <f t="shared" si="4"/>
        <v/>
      </c>
      <c r="W22" s="92" t="str">
        <f t="shared" si="4"/>
        <v/>
      </c>
      <c r="X22" s="92" t="str">
        <f t="shared" si="4"/>
        <v/>
      </c>
      <c r="Y22" s="263" t="str">
        <f t="shared" si="4"/>
        <v/>
      </c>
      <c r="Z22" s="264" t="str">
        <f t="shared" si="9"/>
        <v/>
      </c>
      <c r="AA22" s="92" t="str">
        <f t="shared" si="10"/>
        <v/>
      </c>
      <c r="AB22" s="92" t="str">
        <f t="shared" si="10"/>
        <v/>
      </c>
      <c r="AC22" s="92" t="str">
        <f t="shared" si="10"/>
        <v/>
      </c>
      <c r="AD22" s="92" t="str">
        <f t="shared" si="10"/>
        <v/>
      </c>
      <c r="AE22" s="92" t="str">
        <f t="shared" si="10"/>
        <v/>
      </c>
      <c r="AF22" s="264" t="str">
        <f t="shared" si="11"/>
        <v/>
      </c>
      <c r="AG22" s="92" t="str">
        <f t="shared" si="12"/>
        <v/>
      </c>
      <c r="AH22" s="92" t="str">
        <f t="shared" si="12"/>
        <v/>
      </c>
      <c r="AI22" s="92" t="str">
        <f t="shared" si="12"/>
        <v/>
      </c>
      <c r="AJ22" s="92" t="str">
        <f t="shared" si="12"/>
        <v/>
      </c>
      <c r="AK22" s="263" t="str">
        <f t="shared" si="12"/>
        <v/>
      </c>
      <c r="AL22" s="250" t="str">
        <f t="shared" si="13"/>
        <v/>
      </c>
      <c r="AM22" s="249" t="str">
        <f t="shared" si="14"/>
        <v/>
      </c>
      <c r="AN22" s="249" t="str">
        <f t="shared" si="14"/>
        <v/>
      </c>
      <c r="AO22" s="249" t="str">
        <f t="shared" si="14"/>
        <v/>
      </c>
      <c r="AP22" s="249" t="str">
        <f t="shared" si="14"/>
        <v/>
      </c>
      <c r="AQ22" s="248" t="str">
        <f t="shared" si="14"/>
        <v/>
      </c>
      <c r="AR22" s="264" t="str">
        <f t="shared" si="15"/>
        <v/>
      </c>
      <c r="AS22" s="92" t="str">
        <f t="shared" si="16"/>
        <v/>
      </c>
      <c r="AT22" s="92" t="str">
        <f t="shared" si="16"/>
        <v/>
      </c>
      <c r="AU22" s="92" t="str">
        <f t="shared" si="16"/>
        <v/>
      </c>
      <c r="AV22" s="92" t="str">
        <f t="shared" si="16"/>
        <v/>
      </c>
      <c r="AW22" s="263" t="str">
        <f t="shared" si="16"/>
        <v/>
      </c>
      <c r="AX22" s="264" t="str">
        <f>IFERROR(IF($S22=AX$16,'6-Biogas Production'!$Q63,""),"")</f>
        <v/>
      </c>
      <c r="AY22" s="92" t="str">
        <f>IFERROR(IF($S22=AY$16,'6-Biogas Production'!$Q63,""),"")</f>
        <v/>
      </c>
      <c r="AZ22" s="92" t="str">
        <f>IFERROR(IF($S22=AZ$16,'6-Biogas Production'!$Q63,""),"")</f>
        <v/>
      </c>
      <c r="BA22" s="92" t="str">
        <f>IFERROR(IF($S22=BA$16,'6-Biogas Production'!$Q63,""),"")</f>
        <v/>
      </c>
      <c r="BB22" s="92" t="str">
        <f>IFERROR(IF($S22=BB$16,'6-Biogas Production'!$Q63,""),"")</f>
        <v/>
      </c>
      <c r="BC22" s="263" t="str">
        <f>IFERROR(IF($S22=BC$16,'6-Biogas Production'!$Q63,""),"")</f>
        <v/>
      </c>
      <c r="BE22" s="341">
        <f>C22*VLOOKUP(D22,'23-Look up values'!$A$4:$B$9,2,FALSE)</f>
        <v>0</v>
      </c>
    </row>
    <row r="23" spans="1:57" s="92" customFormat="1" ht="19.25" customHeight="1">
      <c r="A23" s="101" t="s">
        <v>175</v>
      </c>
      <c r="B23" s="101"/>
      <c r="C23" s="149"/>
      <c r="D23" s="339" t="s">
        <v>176</v>
      </c>
      <c r="E23" s="340"/>
      <c r="F23" s="106" t="str">
        <f>IFERROR(VLOOKUP(B23,'9-Feedstock Characteristics'!$A$8:$W$127,2,FALSE),"-")</f>
        <v>-</v>
      </c>
      <c r="G23" s="106" t="str">
        <f>IFERROR(VLOOKUP(B23,'9-Feedstock Characteristics'!$A$8:$W$127,3,FALSE),"-")</f>
        <v>-</v>
      </c>
      <c r="H23" s="106" t="str">
        <f>IFERROR(VLOOKUP(B23,'9-Feedstock Characteristics'!$A$8:$W$127,7,FALSE),"-")</f>
        <v>-</v>
      </c>
      <c r="I23" s="106" t="str">
        <f>IFERROR(VLOOKUP(B23,'9-Feedstock Characteristics'!$A$8:$W$127,8,FALSE),"-")</f>
        <v>-</v>
      </c>
      <c r="J23" s="106" t="str">
        <f>IFERROR(VLOOKUP(B23,'9-Feedstock Characteristics'!$A$8:$W$127,12,FALSE)/(1-F23),"-")</f>
        <v>-</v>
      </c>
      <c r="K23" s="107" t="str">
        <f t="shared" si="0"/>
        <v/>
      </c>
      <c r="L23" s="104" t="str">
        <f>IF(C23=0,"-",IF(ReactorType="Dry",VLOOKUP(B23,'9-Feedstock Characteristics'!$A$8:$W$127,18,FALSE),VLOOKUP(B23,'9-Feedstock Characteristics'!$A$8:$W$127,18,FALSE)*((C23/(DensityofWater*VLOOKUP(B23,'9-Feedstock Characteristics'!$A$8:$W$127,19,FALSE)))/Chosen_Reactor_Volume)+DensityofWater*((Chosen_Reactor_Volume-(C23/(DensityofWater*VLOOKUP(B23,'9-Feedstock Characteristics'!$A$8:$W$127,19,FALSE))))/Chosen_Reactor_Volume)))</f>
        <v>-</v>
      </c>
      <c r="M23" s="106" t="str">
        <f>IFERROR(VLOOKUP(B23,'9-Feedstock Characteristics'!$A$8:$W$127,15,FALSE),"-")</f>
        <v>-</v>
      </c>
      <c r="N23" s="106" t="str">
        <f>IFERROR(VLOOKUP(B23,'9-Feedstock Characteristics'!$A$8:$W$127,14,FALSE),"-")</f>
        <v>-</v>
      </c>
      <c r="O23" s="106" t="str">
        <f>IFERROR(VLOOKUP(B23,'9-Feedstock Characteristics'!$A$8:$W$127,13,FALSE),"-")</f>
        <v>-</v>
      </c>
      <c r="P23" s="108" t="str">
        <f t="shared" si="1"/>
        <v/>
      </c>
      <c r="Q23" s="108" t="str">
        <f t="shared" si="2"/>
        <v/>
      </c>
      <c r="S23" s="259" t="e">
        <f t="shared" si="17"/>
        <v>#N/A</v>
      </c>
      <c r="T23" s="264" t="str">
        <f t="shared" si="4"/>
        <v/>
      </c>
      <c r="U23" s="92" t="str">
        <f t="shared" si="4"/>
        <v/>
      </c>
      <c r="V23" s="92" t="str">
        <f t="shared" si="4"/>
        <v/>
      </c>
      <c r="W23" s="92" t="str">
        <f t="shared" si="4"/>
        <v/>
      </c>
      <c r="X23" s="92" t="str">
        <f t="shared" si="4"/>
        <v/>
      </c>
      <c r="Y23" s="263" t="str">
        <f t="shared" si="4"/>
        <v/>
      </c>
      <c r="Z23" s="264" t="str">
        <f t="shared" si="9"/>
        <v/>
      </c>
      <c r="AA23" s="92" t="str">
        <f t="shared" si="10"/>
        <v/>
      </c>
      <c r="AB23" s="92" t="str">
        <f t="shared" si="10"/>
        <v/>
      </c>
      <c r="AC23" s="92" t="str">
        <f t="shared" si="10"/>
        <v/>
      </c>
      <c r="AD23" s="92" t="str">
        <f t="shared" si="10"/>
        <v/>
      </c>
      <c r="AE23" s="92" t="str">
        <f t="shared" si="10"/>
        <v/>
      </c>
      <c r="AF23" s="264" t="str">
        <f t="shared" si="11"/>
        <v/>
      </c>
      <c r="AG23" s="92" t="str">
        <f t="shared" si="12"/>
        <v/>
      </c>
      <c r="AH23" s="92" t="str">
        <f t="shared" si="12"/>
        <v/>
      </c>
      <c r="AI23" s="92" t="str">
        <f t="shared" si="12"/>
        <v/>
      </c>
      <c r="AJ23" s="92" t="str">
        <f t="shared" si="12"/>
        <v/>
      </c>
      <c r="AK23" s="263" t="str">
        <f t="shared" si="12"/>
        <v/>
      </c>
      <c r="AL23" s="250" t="str">
        <f t="shared" si="13"/>
        <v/>
      </c>
      <c r="AM23" s="249" t="str">
        <f t="shared" si="14"/>
        <v/>
      </c>
      <c r="AN23" s="249" t="str">
        <f t="shared" si="14"/>
        <v/>
      </c>
      <c r="AO23" s="249" t="str">
        <f t="shared" si="14"/>
        <v/>
      </c>
      <c r="AP23" s="249" t="str">
        <f t="shared" si="14"/>
        <v/>
      </c>
      <c r="AQ23" s="248" t="str">
        <f t="shared" si="14"/>
        <v/>
      </c>
      <c r="AR23" s="264" t="str">
        <f t="shared" si="15"/>
        <v/>
      </c>
      <c r="AS23" s="92" t="str">
        <f t="shared" si="16"/>
        <v/>
      </c>
      <c r="AT23" s="92" t="str">
        <f t="shared" si="16"/>
        <v/>
      </c>
      <c r="AU23" s="92" t="str">
        <f t="shared" si="16"/>
        <v/>
      </c>
      <c r="AV23" s="92" t="str">
        <f t="shared" si="16"/>
        <v/>
      </c>
      <c r="AW23" s="263" t="str">
        <f t="shared" si="16"/>
        <v/>
      </c>
      <c r="AX23" s="264" t="str">
        <f>IFERROR(IF($S23=AX$16,'6-Biogas Production'!$Q64,""),"")</f>
        <v/>
      </c>
      <c r="AY23" s="92" t="str">
        <f>IFERROR(IF($S23=AY$16,'6-Biogas Production'!$Q64,""),"")</f>
        <v/>
      </c>
      <c r="AZ23" s="92" t="str">
        <f>IFERROR(IF($S23=AZ$16,'6-Biogas Production'!$Q64,""),"")</f>
        <v/>
      </c>
      <c r="BA23" s="92" t="str">
        <f>IFERROR(IF($S23=BA$16,'6-Biogas Production'!$Q64,""),"")</f>
        <v/>
      </c>
      <c r="BB23" s="92" t="str">
        <f>IFERROR(IF($S23=BB$16,'6-Biogas Production'!$Q64,""),"")</f>
        <v/>
      </c>
      <c r="BC23" s="263" t="str">
        <f>IFERROR(IF($S23=BC$16,'6-Biogas Production'!$Q64,""),"")</f>
        <v/>
      </c>
      <c r="BE23" s="341">
        <f>C23*VLOOKUP(D23,'23-Look up values'!$A$4:$B$9,2,FALSE)</f>
        <v>0</v>
      </c>
    </row>
    <row r="24" spans="1:57" s="92" customFormat="1" ht="19.25" customHeight="1">
      <c r="A24" s="101" t="s">
        <v>175</v>
      </c>
      <c r="B24" s="101"/>
      <c r="C24" s="149"/>
      <c r="D24" s="339" t="s">
        <v>176</v>
      </c>
      <c r="E24" s="340"/>
      <c r="F24" s="106" t="str">
        <f>IFERROR(VLOOKUP(B24,'9-Feedstock Characteristics'!$A$8:$W$127,2,FALSE),"-")</f>
        <v>-</v>
      </c>
      <c r="G24" s="106" t="str">
        <f>IFERROR(VLOOKUP(B24,'9-Feedstock Characteristics'!$A$8:$W$127,3,FALSE),"-")</f>
        <v>-</v>
      </c>
      <c r="H24" s="106" t="str">
        <f>IFERROR(VLOOKUP(B24,'9-Feedstock Characteristics'!$A$8:$W$127,7,FALSE),"-")</f>
        <v>-</v>
      </c>
      <c r="I24" s="106" t="str">
        <f>IFERROR(VLOOKUP(B24,'9-Feedstock Characteristics'!$A$8:$W$127,8,FALSE),"-")</f>
        <v>-</v>
      </c>
      <c r="J24" s="106" t="str">
        <f>IFERROR(VLOOKUP(B24,'9-Feedstock Characteristics'!$A$8:$W$127,12,FALSE)/(1-F24),"-")</f>
        <v>-</v>
      </c>
      <c r="K24" s="107" t="str">
        <f t="shared" si="0"/>
        <v/>
      </c>
      <c r="L24" s="104" t="str">
        <f>IF(C24=0,"-",IF(ReactorType="Dry",VLOOKUP(B24,'9-Feedstock Characteristics'!$A$8:$W$127,18,FALSE),VLOOKUP(B24,'9-Feedstock Characteristics'!$A$8:$W$127,18,FALSE)*((C24/(DensityofWater*VLOOKUP(B24,'9-Feedstock Characteristics'!$A$8:$W$127,19,FALSE)))/Chosen_Reactor_Volume)+DensityofWater*((Chosen_Reactor_Volume-(C24/(DensityofWater*VLOOKUP(B24,'9-Feedstock Characteristics'!$A$8:$W$127,19,FALSE))))/Chosen_Reactor_Volume)))</f>
        <v>-</v>
      </c>
      <c r="M24" s="106" t="str">
        <f>IFERROR(VLOOKUP(B24,'9-Feedstock Characteristics'!$A$8:$W$127,15,FALSE),"-")</f>
        <v>-</v>
      </c>
      <c r="N24" s="106" t="str">
        <f>IFERROR(VLOOKUP(B24,'9-Feedstock Characteristics'!$A$8:$W$127,14,FALSE),"-")</f>
        <v>-</v>
      </c>
      <c r="O24" s="106" t="str">
        <f>IFERROR(VLOOKUP(B24,'9-Feedstock Characteristics'!$A$8:$W$127,13,FALSE),"-")</f>
        <v>-</v>
      </c>
      <c r="P24" s="108" t="str">
        <f t="shared" si="1"/>
        <v/>
      </c>
      <c r="Q24" s="108" t="str">
        <f t="shared" si="2"/>
        <v/>
      </c>
      <c r="S24" s="259" t="e">
        <f t="shared" si="17"/>
        <v>#N/A</v>
      </c>
      <c r="T24" s="264" t="str">
        <f t="shared" si="4"/>
        <v/>
      </c>
      <c r="U24" s="92" t="str">
        <f t="shared" si="4"/>
        <v/>
      </c>
      <c r="V24" s="92" t="str">
        <f t="shared" si="4"/>
        <v/>
      </c>
      <c r="W24" s="92" t="str">
        <f t="shared" si="4"/>
        <v/>
      </c>
      <c r="X24" s="92" t="str">
        <f t="shared" si="4"/>
        <v/>
      </c>
      <c r="Y24" s="263" t="str">
        <f t="shared" si="4"/>
        <v/>
      </c>
      <c r="Z24" s="264" t="str">
        <f t="shared" si="9"/>
        <v/>
      </c>
      <c r="AA24" s="92" t="str">
        <f t="shared" si="10"/>
        <v/>
      </c>
      <c r="AB24" s="92" t="str">
        <f t="shared" si="10"/>
        <v/>
      </c>
      <c r="AC24" s="92" t="str">
        <f t="shared" si="10"/>
        <v/>
      </c>
      <c r="AD24" s="92" t="str">
        <f t="shared" si="10"/>
        <v/>
      </c>
      <c r="AE24" s="92" t="str">
        <f t="shared" si="10"/>
        <v/>
      </c>
      <c r="AF24" s="264" t="str">
        <f t="shared" si="11"/>
        <v/>
      </c>
      <c r="AG24" s="92" t="str">
        <f t="shared" si="12"/>
        <v/>
      </c>
      <c r="AH24" s="92" t="str">
        <f t="shared" si="12"/>
        <v/>
      </c>
      <c r="AI24" s="92" t="str">
        <f t="shared" si="12"/>
        <v/>
      </c>
      <c r="AJ24" s="92" t="str">
        <f t="shared" si="12"/>
        <v/>
      </c>
      <c r="AK24" s="263" t="str">
        <f t="shared" si="12"/>
        <v/>
      </c>
      <c r="AL24" s="250" t="str">
        <f t="shared" si="13"/>
        <v/>
      </c>
      <c r="AM24" s="249" t="str">
        <f t="shared" si="14"/>
        <v/>
      </c>
      <c r="AN24" s="249" t="str">
        <f t="shared" si="14"/>
        <v/>
      </c>
      <c r="AO24" s="249" t="str">
        <f t="shared" si="14"/>
        <v/>
      </c>
      <c r="AP24" s="249" t="str">
        <f t="shared" si="14"/>
        <v/>
      </c>
      <c r="AQ24" s="248" t="str">
        <f t="shared" si="14"/>
        <v/>
      </c>
      <c r="AR24" s="264" t="str">
        <f t="shared" si="15"/>
        <v/>
      </c>
      <c r="AS24" s="92" t="str">
        <f t="shared" si="16"/>
        <v/>
      </c>
      <c r="AT24" s="92" t="str">
        <f t="shared" si="16"/>
        <v/>
      </c>
      <c r="AU24" s="92" t="str">
        <f t="shared" si="16"/>
        <v/>
      </c>
      <c r="AV24" s="92" t="str">
        <f t="shared" si="16"/>
        <v/>
      </c>
      <c r="AW24" s="263" t="str">
        <f t="shared" si="16"/>
        <v/>
      </c>
      <c r="AX24" s="264" t="str">
        <f>IFERROR(IF($S24=AX$16,'6-Biogas Production'!$Q65,""),"")</f>
        <v/>
      </c>
      <c r="AY24" s="92" t="str">
        <f>IFERROR(IF($S24=AY$16,'6-Biogas Production'!$Q65,""),"")</f>
        <v/>
      </c>
      <c r="AZ24" s="92" t="str">
        <f>IFERROR(IF($S24=AZ$16,'6-Biogas Production'!$Q65,""),"")</f>
        <v/>
      </c>
      <c r="BA24" s="92" t="str">
        <f>IFERROR(IF($S24=BA$16,'6-Biogas Production'!$Q65,""),"")</f>
        <v/>
      </c>
      <c r="BB24" s="92" t="str">
        <f>IFERROR(IF($S24=BB$16,'6-Biogas Production'!$Q65,""),"")</f>
        <v/>
      </c>
      <c r="BC24" s="263" t="str">
        <f>IFERROR(IF($S24=BC$16,'6-Biogas Production'!$Q65,""),"")</f>
        <v/>
      </c>
      <c r="BE24" s="341">
        <f>C24*VLOOKUP(D24,'23-Look up values'!$A$4:$B$9,2,FALSE)</f>
        <v>0</v>
      </c>
    </row>
    <row r="25" spans="1:57" s="92" customFormat="1" ht="19.25" customHeight="1">
      <c r="A25" s="101" t="s">
        <v>175</v>
      </c>
      <c r="B25" s="101"/>
      <c r="C25" s="149"/>
      <c r="D25" s="339" t="s">
        <v>176</v>
      </c>
      <c r="E25" s="340"/>
      <c r="F25" s="106" t="str">
        <f>IFERROR(VLOOKUP(B25,'9-Feedstock Characteristics'!$A$8:$W$127,2,FALSE),"-")</f>
        <v>-</v>
      </c>
      <c r="G25" s="106" t="str">
        <f>IFERROR(VLOOKUP(B25,'9-Feedstock Characteristics'!$A$8:$W$127,3,FALSE),"-")</f>
        <v>-</v>
      </c>
      <c r="H25" s="106" t="str">
        <f>IFERROR(VLOOKUP(B25,'9-Feedstock Characteristics'!$A$8:$W$127,7,FALSE),"-")</f>
        <v>-</v>
      </c>
      <c r="I25" s="106" t="str">
        <f>IFERROR(VLOOKUP(B25,'9-Feedstock Characteristics'!$A$8:$W$127,8,FALSE),"-")</f>
        <v>-</v>
      </c>
      <c r="J25" s="106" t="str">
        <f>IFERROR(VLOOKUP(B25,'9-Feedstock Characteristics'!$A$8:$W$127,12,FALSE)/(1-F25),"-")</f>
        <v>-</v>
      </c>
      <c r="K25" s="107" t="str">
        <f t="shared" si="0"/>
        <v/>
      </c>
      <c r="L25" s="104" t="str">
        <f>IF(C25=0,"-",IF(ReactorType="Dry",VLOOKUP(B25,'9-Feedstock Characteristics'!$A$8:$W$127,18,FALSE),VLOOKUP(B25,'9-Feedstock Characteristics'!$A$8:$W$127,18,FALSE)*((C25/(DensityofWater*VLOOKUP(B25,'9-Feedstock Characteristics'!$A$8:$W$127,19,FALSE)))/Chosen_Reactor_Volume)+DensityofWater*((Chosen_Reactor_Volume-(C25/(DensityofWater*VLOOKUP(B25,'9-Feedstock Characteristics'!$A$8:$W$127,19,FALSE))))/Chosen_Reactor_Volume)))</f>
        <v>-</v>
      </c>
      <c r="M25" s="106" t="str">
        <f>IFERROR(VLOOKUP(B25,'9-Feedstock Characteristics'!$A$8:$W$127,15,FALSE),"-")</f>
        <v>-</v>
      </c>
      <c r="N25" s="106" t="str">
        <f>IFERROR(VLOOKUP(B25,'9-Feedstock Characteristics'!$A$8:$W$127,14,FALSE),"-")</f>
        <v>-</v>
      </c>
      <c r="O25" s="106" t="str">
        <f>IFERROR(VLOOKUP(B25,'9-Feedstock Characteristics'!$A$8:$W$127,13,FALSE),"-")</f>
        <v>-</v>
      </c>
      <c r="P25" s="108" t="str">
        <f t="shared" si="1"/>
        <v/>
      </c>
      <c r="Q25" s="108" t="str">
        <f t="shared" si="2"/>
        <v/>
      </c>
      <c r="S25" s="259" t="e">
        <f t="shared" si="17"/>
        <v>#N/A</v>
      </c>
      <c r="T25" s="264" t="str">
        <f t="shared" si="4"/>
        <v/>
      </c>
      <c r="U25" s="92" t="str">
        <f t="shared" si="4"/>
        <v/>
      </c>
      <c r="V25" s="92" t="str">
        <f t="shared" si="4"/>
        <v/>
      </c>
      <c r="W25" s="92" t="str">
        <f t="shared" si="4"/>
        <v/>
      </c>
      <c r="X25" s="92" t="str">
        <f t="shared" si="4"/>
        <v/>
      </c>
      <c r="Y25" s="263" t="str">
        <f t="shared" si="4"/>
        <v/>
      </c>
      <c r="Z25" s="264" t="str">
        <f t="shared" si="9"/>
        <v/>
      </c>
      <c r="AA25" s="92" t="str">
        <f t="shared" si="10"/>
        <v/>
      </c>
      <c r="AB25" s="92" t="str">
        <f t="shared" si="10"/>
        <v/>
      </c>
      <c r="AC25" s="92" t="str">
        <f t="shared" si="10"/>
        <v/>
      </c>
      <c r="AD25" s="92" t="str">
        <f t="shared" si="10"/>
        <v/>
      </c>
      <c r="AE25" s="92" t="str">
        <f t="shared" si="10"/>
        <v/>
      </c>
      <c r="AF25" s="264" t="str">
        <f t="shared" si="11"/>
        <v/>
      </c>
      <c r="AG25" s="92" t="str">
        <f t="shared" si="12"/>
        <v/>
      </c>
      <c r="AH25" s="92" t="str">
        <f t="shared" si="12"/>
        <v/>
      </c>
      <c r="AI25" s="92" t="str">
        <f t="shared" si="12"/>
        <v/>
      </c>
      <c r="AJ25" s="92" t="str">
        <f t="shared" si="12"/>
        <v/>
      </c>
      <c r="AK25" s="263" t="str">
        <f t="shared" si="12"/>
        <v/>
      </c>
      <c r="AL25" s="250" t="str">
        <f t="shared" si="13"/>
        <v/>
      </c>
      <c r="AM25" s="249" t="str">
        <f t="shared" si="14"/>
        <v/>
      </c>
      <c r="AN25" s="249" t="str">
        <f t="shared" si="14"/>
        <v/>
      </c>
      <c r="AO25" s="249" t="str">
        <f t="shared" si="14"/>
        <v/>
      </c>
      <c r="AP25" s="249" t="str">
        <f t="shared" si="14"/>
        <v/>
      </c>
      <c r="AQ25" s="248" t="str">
        <f t="shared" si="14"/>
        <v/>
      </c>
      <c r="AR25" s="264" t="str">
        <f t="shared" si="15"/>
        <v/>
      </c>
      <c r="AS25" s="92" t="str">
        <f t="shared" si="16"/>
        <v/>
      </c>
      <c r="AT25" s="92" t="str">
        <f t="shared" si="16"/>
        <v/>
      </c>
      <c r="AU25" s="92" t="str">
        <f t="shared" si="16"/>
        <v/>
      </c>
      <c r="AV25" s="92" t="str">
        <f t="shared" si="16"/>
        <v/>
      </c>
      <c r="AW25" s="263" t="str">
        <f t="shared" si="16"/>
        <v/>
      </c>
      <c r="AX25" s="264" t="str">
        <f>IFERROR(IF($S25=AX$16,'6-Biogas Production'!$Q66,""),"")</f>
        <v/>
      </c>
      <c r="AY25" s="92" t="str">
        <f>IFERROR(IF($S25=AY$16,'6-Biogas Production'!$Q66,""),"")</f>
        <v/>
      </c>
      <c r="AZ25" s="92" t="str">
        <f>IFERROR(IF($S25=AZ$16,'6-Biogas Production'!$Q66,""),"")</f>
        <v/>
      </c>
      <c r="BA25" s="92" t="str">
        <f>IFERROR(IF($S25=BA$16,'6-Biogas Production'!$Q66,""),"")</f>
        <v/>
      </c>
      <c r="BB25" s="92" t="str">
        <f>IFERROR(IF($S25=BB$16,'6-Biogas Production'!$Q66,""),"")</f>
        <v/>
      </c>
      <c r="BC25" s="263" t="str">
        <f>IFERROR(IF($S25=BC$16,'6-Biogas Production'!$Q66,""),"")</f>
        <v/>
      </c>
      <c r="BE25" s="341">
        <f>C25*VLOOKUP(D25,'23-Look up values'!$A$4:$B$9,2,FALSE)</f>
        <v>0</v>
      </c>
    </row>
    <row r="26" spans="1:57" s="92" customFormat="1" ht="19.25" customHeight="1">
      <c r="A26" s="101" t="s">
        <v>175</v>
      </c>
      <c r="B26" s="101"/>
      <c r="C26" s="149"/>
      <c r="D26" s="339" t="s">
        <v>176</v>
      </c>
      <c r="E26" s="340"/>
      <c r="F26" s="106" t="str">
        <f>IFERROR(VLOOKUP(B26,'9-Feedstock Characteristics'!$A$8:$W$127,2,FALSE),"-")</f>
        <v>-</v>
      </c>
      <c r="G26" s="106" t="str">
        <f>IFERROR(VLOOKUP(B26,'9-Feedstock Characteristics'!$A$8:$W$127,3,FALSE),"-")</f>
        <v>-</v>
      </c>
      <c r="H26" s="106" t="str">
        <f>IFERROR(VLOOKUP(B26,'9-Feedstock Characteristics'!$A$8:$W$127,7,FALSE),"-")</f>
        <v>-</v>
      </c>
      <c r="I26" s="106" t="str">
        <f>IFERROR(VLOOKUP(B26,'9-Feedstock Characteristics'!$A$8:$W$127,8,FALSE),"-")</f>
        <v>-</v>
      </c>
      <c r="J26" s="106" t="str">
        <f>IFERROR(VLOOKUP(B26,'9-Feedstock Characteristics'!$A$8:$W$127,12,FALSE)/(1-F26),"-")</f>
        <v>-</v>
      </c>
      <c r="K26" s="107" t="str">
        <f t="shared" si="0"/>
        <v/>
      </c>
      <c r="L26" s="104" t="str">
        <f>IF(C26=0,"-",IF(ReactorType="Dry",VLOOKUP(B26,'9-Feedstock Characteristics'!$A$8:$W$127,18,FALSE),VLOOKUP(B26,'9-Feedstock Characteristics'!$A$8:$W$127,18,FALSE)*((C26/(DensityofWater*VLOOKUP(B26,'9-Feedstock Characteristics'!$A$8:$W$127,19,FALSE)))/Chosen_Reactor_Volume)+DensityofWater*((Chosen_Reactor_Volume-(C26/(DensityofWater*VLOOKUP(B26,'9-Feedstock Characteristics'!$A$8:$W$127,19,FALSE))))/Chosen_Reactor_Volume)))</f>
        <v>-</v>
      </c>
      <c r="M26" s="106" t="str">
        <f>IFERROR(VLOOKUP(B26,'9-Feedstock Characteristics'!$A$8:$W$127,15,FALSE),"-")</f>
        <v>-</v>
      </c>
      <c r="N26" s="106" t="str">
        <f>IFERROR(VLOOKUP(B26,'9-Feedstock Characteristics'!$A$8:$W$127,14,FALSE),"-")</f>
        <v>-</v>
      </c>
      <c r="O26" s="106" t="str">
        <f>IFERROR(VLOOKUP(B26,'9-Feedstock Characteristics'!$A$8:$W$127,13,FALSE),"-")</f>
        <v>-</v>
      </c>
      <c r="P26" s="108" t="str">
        <f t="shared" si="1"/>
        <v/>
      </c>
      <c r="Q26" s="108" t="str">
        <f t="shared" si="2"/>
        <v/>
      </c>
      <c r="S26" s="259" t="e">
        <f t="shared" si="17"/>
        <v>#N/A</v>
      </c>
      <c r="T26" s="264" t="str">
        <f t="shared" si="4"/>
        <v/>
      </c>
      <c r="U26" s="92" t="str">
        <f t="shared" si="4"/>
        <v/>
      </c>
      <c r="V26" s="92" t="str">
        <f t="shared" si="4"/>
        <v/>
      </c>
      <c r="W26" s="92" t="str">
        <f t="shared" si="4"/>
        <v/>
      </c>
      <c r="X26" s="92" t="str">
        <f t="shared" si="4"/>
        <v/>
      </c>
      <c r="Y26" s="263" t="str">
        <f t="shared" si="4"/>
        <v/>
      </c>
      <c r="Z26" s="264" t="str">
        <f t="shared" si="9"/>
        <v/>
      </c>
      <c r="AA26" s="92" t="str">
        <f t="shared" si="10"/>
        <v/>
      </c>
      <c r="AB26" s="92" t="str">
        <f t="shared" si="10"/>
        <v/>
      </c>
      <c r="AC26" s="92" t="str">
        <f t="shared" si="10"/>
        <v/>
      </c>
      <c r="AD26" s="92" t="str">
        <f t="shared" si="10"/>
        <v/>
      </c>
      <c r="AE26" s="92" t="str">
        <f t="shared" si="10"/>
        <v/>
      </c>
      <c r="AF26" s="264" t="str">
        <f t="shared" si="11"/>
        <v/>
      </c>
      <c r="AG26" s="92" t="str">
        <f t="shared" si="12"/>
        <v/>
      </c>
      <c r="AH26" s="92" t="str">
        <f t="shared" si="12"/>
        <v/>
      </c>
      <c r="AI26" s="92" t="str">
        <f t="shared" si="12"/>
        <v/>
      </c>
      <c r="AJ26" s="92" t="str">
        <f t="shared" si="12"/>
        <v/>
      </c>
      <c r="AK26" s="263" t="str">
        <f t="shared" si="12"/>
        <v/>
      </c>
      <c r="AL26" s="250" t="str">
        <f t="shared" si="13"/>
        <v/>
      </c>
      <c r="AM26" s="249" t="str">
        <f t="shared" si="14"/>
        <v/>
      </c>
      <c r="AN26" s="249" t="str">
        <f t="shared" si="14"/>
        <v/>
      </c>
      <c r="AO26" s="249" t="str">
        <f t="shared" si="14"/>
        <v/>
      </c>
      <c r="AP26" s="249" t="str">
        <f t="shared" si="14"/>
        <v/>
      </c>
      <c r="AQ26" s="248" t="str">
        <f t="shared" si="14"/>
        <v/>
      </c>
      <c r="AR26" s="264" t="str">
        <f t="shared" si="15"/>
        <v/>
      </c>
      <c r="AS26" s="92" t="str">
        <f t="shared" si="16"/>
        <v/>
      </c>
      <c r="AT26" s="92" t="str">
        <f t="shared" si="16"/>
        <v/>
      </c>
      <c r="AU26" s="92" t="str">
        <f t="shared" si="16"/>
        <v/>
      </c>
      <c r="AV26" s="92" t="str">
        <f t="shared" si="16"/>
        <v/>
      </c>
      <c r="AW26" s="263" t="str">
        <f t="shared" si="16"/>
        <v/>
      </c>
      <c r="AX26" s="264" t="str">
        <f>IFERROR(IF($S26=AX$16,'6-Biogas Production'!$Q67,""),"")</f>
        <v/>
      </c>
      <c r="AY26" s="92" t="str">
        <f>IFERROR(IF($S26=AY$16,'6-Biogas Production'!$Q67,""),"")</f>
        <v/>
      </c>
      <c r="AZ26" s="92" t="str">
        <f>IFERROR(IF($S26=AZ$16,'6-Biogas Production'!$Q67,""),"")</f>
        <v/>
      </c>
      <c r="BA26" s="92" t="str">
        <f>IFERROR(IF($S26=BA$16,'6-Biogas Production'!$Q67,""),"")</f>
        <v/>
      </c>
      <c r="BB26" s="92" t="str">
        <f>IFERROR(IF($S26=BB$16,'6-Biogas Production'!$Q67,""),"")</f>
        <v/>
      </c>
      <c r="BC26" s="263" t="str">
        <f>IFERROR(IF($S26=BC$16,'6-Biogas Production'!$Q67,""),"")</f>
        <v/>
      </c>
      <c r="BE26" s="341">
        <f>C26*VLOOKUP(D26,'23-Look up values'!$A$4:$B$9,2,FALSE)</f>
        <v>0</v>
      </c>
    </row>
    <row r="27" spans="1:57" s="92" customFormat="1" ht="19.25" customHeight="1">
      <c r="A27" s="101" t="s">
        <v>175</v>
      </c>
      <c r="B27" s="101"/>
      <c r="C27" s="149"/>
      <c r="D27" s="339" t="s">
        <v>176</v>
      </c>
      <c r="E27" s="340"/>
      <c r="F27" s="106" t="str">
        <f>IFERROR(VLOOKUP(B27,'9-Feedstock Characteristics'!$A$8:$W$127,2,FALSE),"-")</f>
        <v>-</v>
      </c>
      <c r="G27" s="106" t="str">
        <f>IFERROR(VLOOKUP(B27,'9-Feedstock Characteristics'!$A$8:$W$127,3,FALSE),"-")</f>
        <v>-</v>
      </c>
      <c r="H27" s="106" t="str">
        <f>IFERROR(VLOOKUP(B27,'9-Feedstock Characteristics'!$A$8:$W$127,7,FALSE),"-")</f>
        <v>-</v>
      </c>
      <c r="I27" s="106" t="str">
        <f>IFERROR(VLOOKUP(B27,'9-Feedstock Characteristics'!$A$8:$W$127,8,FALSE),"-")</f>
        <v>-</v>
      </c>
      <c r="J27" s="106" t="str">
        <f>IFERROR(VLOOKUP(B27,'9-Feedstock Characteristics'!$A$8:$W$127,12,FALSE)/(1-F27),"-")</f>
        <v>-</v>
      </c>
      <c r="K27" s="107" t="str">
        <f t="shared" si="0"/>
        <v/>
      </c>
      <c r="L27" s="104" t="str">
        <f>IF(C27=0,"-",IF(ReactorType="Dry",VLOOKUP(B27,'9-Feedstock Characteristics'!$A$8:$W$127,18,FALSE),VLOOKUP(B27,'9-Feedstock Characteristics'!$A$8:$W$127,18,FALSE)*((C27/(DensityofWater*VLOOKUP(B27,'9-Feedstock Characteristics'!$A$8:$W$127,19,FALSE)))/Chosen_Reactor_Volume)+DensityofWater*((Chosen_Reactor_Volume-(C27/(DensityofWater*VLOOKUP(B27,'9-Feedstock Characteristics'!$A$8:$W$127,19,FALSE))))/Chosen_Reactor_Volume)))</f>
        <v>-</v>
      </c>
      <c r="M27" s="106" t="str">
        <f>IFERROR(VLOOKUP(B27,'9-Feedstock Characteristics'!$A$8:$W$127,15,FALSE),"-")</f>
        <v>-</v>
      </c>
      <c r="N27" s="106" t="str">
        <f>IFERROR(VLOOKUP(B27,'9-Feedstock Characteristics'!$A$8:$W$127,14,FALSE),"-")</f>
        <v>-</v>
      </c>
      <c r="O27" s="106" t="str">
        <f>IFERROR(VLOOKUP(B27,'9-Feedstock Characteristics'!$A$8:$W$127,13,FALSE),"-")</f>
        <v>-</v>
      </c>
      <c r="P27" s="108" t="str">
        <f t="shared" si="1"/>
        <v/>
      </c>
      <c r="Q27" s="108" t="str">
        <f t="shared" si="2"/>
        <v/>
      </c>
      <c r="S27" s="259" t="e">
        <f t="shared" si="17"/>
        <v>#N/A</v>
      </c>
      <c r="T27" s="264" t="str">
        <f t="shared" si="4"/>
        <v/>
      </c>
      <c r="U27" s="92" t="str">
        <f t="shared" si="4"/>
        <v/>
      </c>
      <c r="V27" s="92" t="str">
        <f t="shared" si="4"/>
        <v/>
      </c>
      <c r="W27" s="92" t="str">
        <f t="shared" si="4"/>
        <v/>
      </c>
      <c r="X27" s="92" t="str">
        <f t="shared" si="4"/>
        <v/>
      </c>
      <c r="Y27" s="263" t="str">
        <f t="shared" si="4"/>
        <v/>
      </c>
      <c r="Z27" s="264" t="str">
        <f t="shared" si="9"/>
        <v/>
      </c>
      <c r="AA27" s="92" t="str">
        <f t="shared" si="10"/>
        <v/>
      </c>
      <c r="AB27" s="92" t="str">
        <f t="shared" si="10"/>
        <v/>
      </c>
      <c r="AC27" s="92" t="str">
        <f t="shared" si="10"/>
        <v/>
      </c>
      <c r="AD27" s="92" t="str">
        <f t="shared" si="10"/>
        <v/>
      </c>
      <c r="AE27" s="92" t="str">
        <f t="shared" si="10"/>
        <v/>
      </c>
      <c r="AF27" s="264" t="str">
        <f t="shared" si="11"/>
        <v/>
      </c>
      <c r="AG27" s="92" t="str">
        <f t="shared" si="12"/>
        <v/>
      </c>
      <c r="AH27" s="92" t="str">
        <f t="shared" si="12"/>
        <v/>
      </c>
      <c r="AI27" s="92" t="str">
        <f t="shared" si="12"/>
        <v/>
      </c>
      <c r="AJ27" s="92" t="str">
        <f t="shared" si="12"/>
        <v/>
      </c>
      <c r="AK27" s="263" t="str">
        <f t="shared" si="12"/>
        <v/>
      </c>
      <c r="AL27" s="250" t="str">
        <f t="shared" si="13"/>
        <v/>
      </c>
      <c r="AM27" s="249" t="str">
        <f t="shared" si="14"/>
        <v/>
      </c>
      <c r="AN27" s="249" t="str">
        <f t="shared" si="14"/>
        <v/>
      </c>
      <c r="AO27" s="249" t="str">
        <f t="shared" si="14"/>
        <v/>
      </c>
      <c r="AP27" s="249" t="str">
        <f t="shared" si="14"/>
        <v/>
      </c>
      <c r="AQ27" s="248" t="str">
        <f t="shared" si="14"/>
        <v/>
      </c>
      <c r="AR27" s="264" t="str">
        <f t="shared" si="15"/>
        <v/>
      </c>
      <c r="AS27" s="92" t="str">
        <f t="shared" si="16"/>
        <v/>
      </c>
      <c r="AT27" s="92" t="str">
        <f t="shared" si="16"/>
        <v/>
      </c>
      <c r="AU27" s="92" t="str">
        <f t="shared" si="16"/>
        <v/>
      </c>
      <c r="AV27" s="92" t="str">
        <f t="shared" si="16"/>
        <v/>
      </c>
      <c r="AW27" s="263" t="str">
        <f t="shared" si="16"/>
        <v/>
      </c>
      <c r="AX27" s="264" t="str">
        <f>IFERROR(IF($S27=AX$16,'6-Biogas Production'!$Q68,""),"")</f>
        <v/>
      </c>
      <c r="AY27" s="92" t="str">
        <f>IFERROR(IF($S27=AY$16,'6-Biogas Production'!$Q68,""),"")</f>
        <v/>
      </c>
      <c r="AZ27" s="92" t="str">
        <f>IFERROR(IF($S27=AZ$16,'6-Biogas Production'!$Q68,""),"")</f>
        <v/>
      </c>
      <c r="BA27" s="92" t="str">
        <f>IFERROR(IF($S27=BA$16,'6-Biogas Production'!$Q68,""),"")</f>
        <v/>
      </c>
      <c r="BB27" s="92" t="str">
        <f>IFERROR(IF($S27=BB$16,'6-Biogas Production'!$Q68,""),"")</f>
        <v/>
      </c>
      <c r="BC27" s="263" t="str">
        <f>IFERROR(IF($S27=BC$16,'6-Biogas Production'!$Q68,""),"")</f>
        <v/>
      </c>
      <c r="BE27" s="341">
        <f>C27*VLOOKUP(D27,'23-Look up values'!$A$4:$B$9,2,FALSE)</f>
        <v>0</v>
      </c>
    </row>
    <row r="28" spans="1:57" s="92" customFormat="1" ht="19.25" customHeight="1">
      <c r="A28" s="101" t="s">
        <v>175</v>
      </c>
      <c r="B28" s="101"/>
      <c r="C28" s="149"/>
      <c r="D28" s="339" t="s">
        <v>176</v>
      </c>
      <c r="E28" s="340"/>
      <c r="F28" s="106" t="str">
        <f>IFERROR(VLOOKUP(B28,'9-Feedstock Characteristics'!$A$8:$W$127,2,FALSE),"-")</f>
        <v>-</v>
      </c>
      <c r="G28" s="106" t="str">
        <f>IFERROR(VLOOKUP(B28,'9-Feedstock Characteristics'!$A$8:$W$127,3,FALSE),"-")</f>
        <v>-</v>
      </c>
      <c r="H28" s="106" t="str">
        <f>IFERROR(VLOOKUP(B28,'9-Feedstock Characteristics'!$A$8:$W$127,7,FALSE),"-")</f>
        <v>-</v>
      </c>
      <c r="I28" s="106" t="str">
        <f>IFERROR(VLOOKUP(B28,'9-Feedstock Characteristics'!$A$8:$W$127,8,FALSE),"-")</f>
        <v>-</v>
      </c>
      <c r="J28" s="106" t="str">
        <f>IFERROR(VLOOKUP(B28,'9-Feedstock Characteristics'!$A$8:$W$127,12,FALSE)/(1-F28),"-")</f>
        <v>-</v>
      </c>
      <c r="K28" s="107" t="str">
        <f t="shared" si="0"/>
        <v/>
      </c>
      <c r="L28" s="104" t="str">
        <f>IF(C28=0,"-",IF(ReactorType="Dry",VLOOKUP(B28,'9-Feedstock Characteristics'!$A$8:$W$127,18,FALSE),VLOOKUP(B28,'9-Feedstock Characteristics'!$A$8:$W$127,18,FALSE)*((C28/(DensityofWater*VLOOKUP(B28,'9-Feedstock Characteristics'!$A$8:$W$127,19,FALSE)))/Chosen_Reactor_Volume)+DensityofWater*((Chosen_Reactor_Volume-(C28/(DensityofWater*VLOOKUP(B28,'9-Feedstock Characteristics'!$A$8:$W$127,19,FALSE))))/Chosen_Reactor_Volume)))</f>
        <v>-</v>
      </c>
      <c r="M28" s="106" t="str">
        <f>IFERROR(VLOOKUP(B28,'9-Feedstock Characteristics'!$A$8:$W$127,15,FALSE),"-")</f>
        <v>-</v>
      </c>
      <c r="N28" s="106" t="str">
        <f>IFERROR(VLOOKUP(B28,'9-Feedstock Characteristics'!$A$8:$W$127,14,FALSE),"-")</f>
        <v>-</v>
      </c>
      <c r="O28" s="106" t="str">
        <f>IFERROR(VLOOKUP(B28,'9-Feedstock Characteristics'!$A$8:$W$127,13,FALSE),"-")</f>
        <v>-</v>
      </c>
      <c r="P28" s="108" t="str">
        <f t="shared" si="1"/>
        <v/>
      </c>
      <c r="Q28" s="108" t="str">
        <f t="shared" si="2"/>
        <v/>
      </c>
      <c r="S28" s="259" t="e">
        <f t="shared" si="17"/>
        <v>#N/A</v>
      </c>
      <c r="T28" s="264" t="str">
        <f t="shared" si="4"/>
        <v/>
      </c>
      <c r="U28" s="92" t="str">
        <f t="shared" si="4"/>
        <v/>
      </c>
      <c r="V28" s="92" t="str">
        <f t="shared" si="4"/>
        <v/>
      </c>
      <c r="W28" s="92" t="str">
        <f t="shared" si="4"/>
        <v/>
      </c>
      <c r="X28" s="92" t="str">
        <f t="shared" si="4"/>
        <v/>
      </c>
      <c r="Y28" s="263" t="str">
        <f t="shared" si="4"/>
        <v/>
      </c>
      <c r="Z28" s="264" t="str">
        <f t="shared" si="9"/>
        <v/>
      </c>
      <c r="AA28" s="92" t="str">
        <f t="shared" si="10"/>
        <v/>
      </c>
      <c r="AB28" s="92" t="str">
        <f t="shared" si="10"/>
        <v/>
      </c>
      <c r="AC28" s="92" t="str">
        <f t="shared" si="10"/>
        <v/>
      </c>
      <c r="AD28" s="92" t="str">
        <f t="shared" si="10"/>
        <v/>
      </c>
      <c r="AE28" s="92" t="str">
        <f t="shared" si="10"/>
        <v/>
      </c>
      <c r="AF28" s="264" t="str">
        <f t="shared" si="11"/>
        <v/>
      </c>
      <c r="AG28" s="92" t="str">
        <f t="shared" si="12"/>
        <v/>
      </c>
      <c r="AH28" s="92" t="str">
        <f t="shared" si="12"/>
        <v/>
      </c>
      <c r="AI28" s="92" t="str">
        <f t="shared" si="12"/>
        <v/>
      </c>
      <c r="AJ28" s="92" t="str">
        <f t="shared" si="12"/>
        <v/>
      </c>
      <c r="AK28" s="263" t="str">
        <f t="shared" si="12"/>
        <v/>
      </c>
      <c r="AL28" s="250" t="str">
        <f t="shared" si="13"/>
        <v/>
      </c>
      <c r="AM28" s="249" t="str">
        <f t="shared" si="14"/>
        <v/>
      </c>
      <c r="AN28" s="249" t="str">
        <f t="shared" si="14"/>
        <v/>
      </c>
      <c r="AO28" s="249" t="str">
        <f t="shared" si="14"/>
        <v/>
      </c>
      <c r="AP28" s="249" t="str">
        <f t="shared" si="14"/>
        <v/>
      </c>
      <c r="AQ28" s="248" t="str">
        <f t="shared" si="14"/>
        <v/>
      </c>
      <c r="AR28" s="264" t="str">
        <f t="shared" si="15"/>
        <v/>
      </c>
      <c r="AS28" s="92" t="str">
        <f t="shared" si="16"/>
        <v/>
      </c>
      <c r="AT28" s="92" t="str">
        <f t="shared" si="16"/>
        <v/>
      </c>
      <c r="AU28" s="92" t="str">
        <f t="shared" si="16"/>
        <v/>
      </c>
      <c r="AV28" s="92" t="str">
        <f t="shared" si="16"/>
        <v/>
      </c>
      <c r="AW28" s="263" t="str">
        <f t="shared" si="16"/>
        <v/>
      </c>
      <c r="AX28" s="264" t="str">
        <f>IFERROR(IF($S28=AX$16,'6-Biogas Production'!$Q69,""),"")</f>
        <v/>
      </c>
      <c r="AY28" s="92" t="str">
        <f>IFERROR(IF($S28=AY$16,'6-Biogas Production'!$Q69,""),"")</f>
        <v/>
      </c>
      <c r="AZ28" s="92" t="str">
        <f>IFERROR(IF($S28=AZ$16,'6-Biogas Production'!$Q69,""),"")</f>
        <v/>
      </c>
      <c r="BA28" s="92" t="str">
        <f>IFERROR(IF($S28=BA$16,'6-Biogas Production'!$Q69,""),"")</f>
        <v/>
      </c>
      <c r="BB28" s="92" t="str">
        <f>IFERROR(IF($S28=BB$16,'6-Biogas Production'!$Q69,""),"")</f>
        <v/>
      </c>
      <c r="BC28" s="263" t="str">
        <f>IFERROR(IF($S28=BC$16,'6-Biogas Production'!$Q69,""),"")</f>
        <v/>
      </c>
      <c r="BE28" s="341">
        <f>C28*VLOOKUP(D28,'23-Look up values'!$A$4:$B$9,2,FALSE)</f>
        <v>0</v>
      </c>
    </row>
    <row r="29" spans="1:57" s="92" customFormat="1" ht="19.25" customHeight="1">
      <c r="A29" s="101" t="s">
        <v>175</v>
      </c>
      <c r="B29" s="101"/>
      <c r="C29" s="149"/>
      <c r="D29" s="339" t="s">
        <v>176</v>
      </c>
      <c r="E29" s="340"/>
      <c r="F29" s="106" t="str">
        <f>IFERROR(VLOOKUP(B29,'9-Feedstock Characteristics'!$A$8:$W$127,2,FALSE),"-")</f>
        <v>-</v>
      </c>
      <c r="G29" s="106" t="str">
        <f>IFERROR(VLOOKUP(B29,'9-Feedstock Characteristics'!$A$8:$W$127,3,FALSE),"-")</f>
        <v>-</v>
      </c>
      <c r="H29" s="106" t="str">
        <f>IFERROR(VLOOKUP(B29,'9-Feedstock Characteristics'!$A$8:$W$127,7,FALSE),"-")</f>
        <v>-</v>
      </c>
      <c r="I29" s="106" t="str">
        <f>IFERROR(VLOOKUP(B29,'9-Feedstock Characteristics'!$A$8:$W$127,8,FALSE),"-")</f>
        <v>-</v>
      </c>
      <c r="J29" s="106" t="str">
        <f>IFERROR(VLOOKUP(B29,'9-Feedstock Characteristics'!$A$8:$W$127,12,FALSE)/(1-F29),"-")</f>
        <v>-</v>
      </c>
      <c r="K29" s="107" t="str">
        <f t="shared" si="0"/>
        <v/>
      </c>
      <c r="L29" s="104" t="str">
        <f>IF(C29=0,"-",IF(ReactorType="Dry",VLOOKUP(B29,'9-Feedstock Characteristics'!$A$8:$W$127,18,FALSE),VLOOKUP(B29,'9-Feedstock Characteristics'!$A$8:$W$127,18,FALSE)*((C29/(DensityofWater*VLOOKUP(B29,'9-Feedstock Characteristics'!$A$8:$W$127,19,FALSE)))/Chosen_Reactor_Volume)+DensityofWater*((Chosen_Reactor_Volume-(C29/(DensityofWater*VLOOKUP(B29,'9-Feedstock Characteristics'!$A$8:$W$127,19,FALSE))))/Chosen_Reactor_Volume)))</f>
        <v>-</v>
      </c>
      <c r="M29" s="106" t="str">
        <f>IFERROR(VLOOKUP(B29,'9-Feedstock Characteristics'!$A$8:$W$127,15,FALSE),"-")</f>
        <v>-</v>
      </c>
      <c r="N29" s="106" t="str">
        <f>IFERROR(VLOOKUP(B29,'9-Feedstock Characteristics'!$A$8:$W$127,14,FALSE),"-")</f>
        <v>-</v>
      </c>
      <c r="O29" s="106" t="str">
        <f>IFERROR(VLOOKUP(B29,'9-Feedstock Characteristics'!$A$8:$W$127,13,FALSE),"-")</f>
        <v>-</v>
      </c>
      <c r="P29" s="108" t="str">
        <f t="shared" si="1"/>
        <v/>
      </c>
      <c r="Q29" s="108" t="str">
        <f t="shared" si="2"/>
        <v/>
      </c>
      <c r="S29" s="259" t="e">
        <f t="shared" si="17"/>
        <v>#N/A</v>
      </c>
      <c r="T29" s="264" t="str">
        <f t="shared" si="4"/>
        <v/>
      </c>
      <c r="U29" s="92" t="str">
        <f t="shared" si="4"/>
        <v/>
      </c>
      <c r="V29" s="92" t="str">
        <f t="shared" si="4"/>
        <v/>
      </c>
      <c r="W29" s="92" t="str">
        <f t="shared" si="4"/>
        <v/>
      </c>
      <c r="X29" s="92" t="str">
        <f t="shared" si="4"/>
        <v/>
      </c>
      <c r="Y29" s="263" t="str">
        <f t="shared" si="4"/>
        <v/>
      </c>
      <c r="Z29" s="264" t="str">
        <f t="shared" si="9"/>
        <v/>
      </c>
      <c r="AA29" s="92" t="str">
        <f t="shared" si="10"/>
        <v/>
      </c>
      <c r="AB29" s="92" t="str">
        <f t="shared" si="10"/>
        <v/>
      </c>
      <c r="AC29" s="92" t="str">
        <f t="shared" si="10"/>
        <v/>
      </c>
      <c r="AD29" s="92" t="str">
        <f t="shared" si="10"/>
        <v/>
      </c>
      <c r="AE29" s="92" t="str">
        <f t="shared" si="10"/>
        <v/>
      </c>
      <c r="AF29" s="264" t="str">
        <f t="shared" si="11"/>
        <v/>
      </c>
      <c r="AG29" s="92" t="str">
        <f t="shared" si="12"/>
        <v/>
      </c>
      <c r="AH29" s="92" t="str">
        <f t="shared" si="12"/>
        <v/>
      </c>
      <c r="AI29" s="92" t="str">
        <f t="shared" si="12"/>
        <v/>
      </c>
      <c r="AJ29" s="92" t="str">
        <f t="shared" si="12"/>
        <v/>
      </c>
      <c r="AK29" s="263" t="str">
        <f t="shared" si="12"/>
        <v/>
      </c>
      <c r="AL29" s="250" t="str">
        <f t="shared" si="13"/>
        <v/>
      </c>
      <c r="AM29" s="249" t="str">
        <f t="shared" si="14"/>
        <v/>
      </c>
      <c r="AN29" s="249" t="str">
        <f t="shared" si="14"/>
        <v/>
      </c>
      <c r="AO29" s="249" t="str">
        <f t="shared" si="14"/>
        <v/>
      </c>
      <c r="AP29" s="249" t="str">
        <f t="shared" si="14"/>
        <v/>
      </c>
      <c r="AQ29" s="248" t="str">
        <f t="shared" si="14"/>
        <v/>
      </c>
      <c r="AR29" s="264" t="str">
        <f t="shared" si="15"/>
        <v/>
      </c>
      <c r="AS29" s="92" t="str">
        <f t="shared" si="16"/>
        <v/>
      </c>
      <c r="AT29" s="92" t="str">
        <f t="shared" si="16"/>
        <v/>
      </c>
      <c r="AU29" s="92" t="str">
        <f t="shared" si="16"/>
        <v/>
      </c>
      <c r="AV29" s="92" t="str">
        <f t="shared" si="16"/>
        <v/>
      </c>
      <c r="AW29" s="263" t="str">
        <f t="shared" si="16"/>
        <v/>
      </c>
      <c r="AX29" s="264" t="str">
        <f>IFERROR(IF($S29=AX$16,'6-Biogas Production'!$Q70,""),"")</f>
        <v/>
      </c>
      <c r="AY29" s="92" t="str">
        <f>IFERROR(IF($S29=AY$16,'6-Biogas Production'!$Q70,""),"")</f>
        <v/>
      </c>
      <c r="AZ29" s="92" t="str">
        <f>IFERROR(IF($S29=AZ$16,'6-Biogas Production'!$Q70,""),"")</f>
        <v/>
      </c>
      <c r="BA29" s="92" t="str">
        <f>IFERROR(IF($S29=BA$16,'6-Biogas Production'!$Q70,""),"")</f>
        <v/>
      </c>
      <c r="BB29" s="92" t="str">
        <f>IFERROR(IF($S29=BB$16,'6-Biogas Production'!$Q70,""),"")</f>
        <v/>
      </c>
      <c r="BC29" s="263" t="str">
        <f>IFERROR(IF($S29=BC$16,'6-Biogas Production'!$Q70,""),"")</f>
        <v/>
      </c>
      <c r="BE29" s="341">
        <f>C29*VLOOKUP(D29,'23-Look up values'!$A$4:$B$9,2,FALSE)</f>
        <v>0</v>
      </c>
    </row>
    <row r="30" spans="1:57" s="92" customFormat="1" ht="19.25" customHeight="1">
      <c r="A30" s="101" t="s">
        <v>175</v>
      </c>
      <c r="B30" s="101"/>
      <c r="C30" s="149"/>
      <c r="D30" s="339" t="s">
        <v>176</v>
      </c>
      <c r="E30" s="340"/>
      <c r="F30" s="106" t="str">
        <f>IFERROR(VLOOKUP(B30,'9-Feedstock Characteristics'!$A$8:$W$127,2,FALSE),"-")</f>
        <v>-</v>
      </c>
      <c r="G30" s="106" t="str">
        <f>IFERROR(VLOOKUP(B30,'9-Feedstock Characteristics'!$A$8:$W$127,3,FALSE),"-")</f>
        <v>-</v>
      </c>
      <c r="H30" s="106" t="str">
        <f>IFERROR(VLOOKUP(B30,'9-Feedstock Characteristics'!$A$8:$W$127,7,FALSE),"-")</f>
        <v>-</v>
      </c>
      <c r="I30" s="106" t="str">
        <f>IFERROR(VLOOKUP(B30,'9-Feedstock Characteristics'!$A$8:$W$127,8,FALSE),"-")</f>
        <v>-</v>
      </c>
      <c r="J30" s="106" t="str">
        <f>IFERROR(VLOOKUP(B30,'9-Feedstock Characteristics'!$A$8:$W$127,12,FALSE)/(1-F30),"-")</f>
        <v>-</v>
      </c>
      <c r="K30" s="107" t="str">
        <f t="shared" si="0"/>
        <v/>
      </c>
      <c r="L30" s="104" t="str">
        <f>IF(C30=0,"-",IF(ReactorType="Dry",VLOOKUP(B30,'9-Feedstock Characteristics'!$A$8:$W$127,18,FALSE),VLOOKUP(B30,'9-Feedstock Characteristics'!$A$8:$W$127,18,FALSE)*((C30/(DensityofWater*VLOOKUP(B30,'9-Feedstock Characteristics'!$A$8:$W$127,19,FALSE)))/Chosen_Reactor_Volume)+DensityofWater*((Chosen_Reactor_Volume-(C30/(DensityofWater*VLOOKUP(B30,'9-Feedstock Characteristics'!$A$8:$W$127,19,FALSE))))/Chosen_Reactor_Volume)))</f>
        <v>-</v>
      </c>
      <c r="M30" s="106" t="str">
        <f>IFERROR(VLOOKUP(B30,'9-Feedstock Characteristics'!$A$8:$W$127,15,FALSE),"-")</f>
        <v>-</v>
      </c>
      <c r="N30" s="106" t="str">
        <f>IFERROR(VLOOKUP(B30,'9-Feedstock Characteristics'!$A$8:$W$127,14,FALSE),"-")</f>
        <v>-</v>
      </c>
      <c r="O30" s="106" t="str">
        <f>IFERROR(VLOOKUP(B30,'9-Feedstock Characteristics'!$A$8:$W$127,13,FALSE),"-")</f>
        <v>-</v>
      </c>
      <c r="P30" s="108" t="str">
        <f t="shared" si="1"/>
        <v/>
      </c>
      <c r="Q30" s="108" t="str">
        <f t="shared" si="2"/>
        <v/>
      </c>
      <c r="S30" s="259" t="e">
        <f t="shared" si="17"/>
        <v>#N/A</v>
      </c>
      <c r="T30" s="264" t="str">
        <f t="shared" si="4"/>
        <v/>
      </c>
      <c r="U30" s="92" t="str">
        <f t="shared" si="4"/>
        <v/>
      </c>
      <c r="V30" s="92" t="str">
        <f t="shared" si="4"/>
        <v/>
      </c>
      <c r="W30" s="92" t="str">
        <f t="shared" si="4"/>
        <v/>
      </c>
      <c r="X30" s="92" t="str">
        <f t="shared" si="4"/>
        <v/>
      </c>
      <c r="Y30" s="263" t="str">
        <f t="shared" si="4"/>
        <v/>
      </c>
      <c r="Z30" s="264" t="str">
        <f t="shared" si="9"/>
        <v/>
      </c>
      <c r="AA30" s="92" t="str">
        <f t="shared" si="10"/>
        <v/>
      </c>
      <c r="AB30" s="92" t="str">
        <f t="shared" si="10"/>
        <v/>
      </c>
      <c r="AC30" s="92" t="str">
        <f t="shared" si="10"/>
        <v/>
      </c>
      <c r="AD30" s="92" t="str">
        <f t="shared" si="10"/>
        <v/>
      </c>
      <c r="AE30" s="92" t="str">
        <f t="shared" si="10"/>
        <v/>
      </c>
      <c r="AF30" s="264" t="str">
        <f t="shared" si="11"/>
        <v/>
      </c>
      <c r="AG30" s="92" t="str">
        <f t="shared" si="12"/>
        <v/>
      </c>
      <c r="AH30" s="92" t="str">
        <f t="shared" si="12"/>
        <v/>
      </c>
      <c r="AI30" s="92" t="str">
        <f t="shared" si="12"/>
        <v/>
      </c>
      <c r="AJ30" s="92" t="str">
        <f t="shared" si="12"/>
        <v/>
      </c>
      <c r="AK30" s="263" t="str">
        <f t="shared" si="12"/>
        <v/>
      </c>
      <c r="AL30" s="250" t="str">
        <f t="shared" si="13"/>
        <v/>
      </c>
      <c r="AM30" s="249" t="str">
        <f t="shared" si="14"/>
        <v/>
      </c>
      <c r="AN30" s="249" t="str">
        <f t="shared" si="14"/>
        <v/>
      </c>
      <c r="AO30" s="249" t="str">
        <f t="shared" si="14"/>
        <v/>
      </c>
      <c r="AP30" s="249" t="str">
        <f t="shared" si="14"/>
        <v/>
      </c>
      <c r="AQ30" s="248" t="str">
        <f t="shared" si="14"/>
        <v/>
      </c>
      <c r="AR30" s="264" t="str">
        <f t="shared" si="15"/>
        <v/>
      </c>
      <c r="AS30" s="92" t="str">
        <f t="shared" si="16"/>
        <v/>
      </c>
      <c r="AT30" s="92" t="str">
        <f t="shared" si="16"/>
        <v/>
      </c>
      <c r="AU30" s="92" t="str">
        <f t="shared" si="16"/>
        <v/>
      </c>
      <c r="AV30" s="92" t="str">
        <f t="shared" si="16"/>
        <v/>
      </c>
      <c r="AW30" s="263" t="str">
        <f t="shared" si="16"/>
        <v/>
      </c>
      <c r="AX30" s="264" t="str">
        <f>IFERROR(IF($S30=AX$16,'6-Biogas Production'!$Q71,""),"")</f>
        <v/>
      </c>
      <c r="AY30" s="92" t="str">
        <f>IFERROR(IF($S30=AY$16,'6-Biogas Production'!$Q71,""),"")</f>
        <v/>
      </c>
      <c r="AZ30" s="92" t="str">
        <f>IFERROR(IF($S30=AZ$16,'6-Biogas Production'!$Q71,""),"")</f>
        <v/>
      </c>
      <c r="BA30" s="92" t="str">
        <f>IFERROR(IF($S30=BA$16,'6-Biogas Production'!$Q71,""),"")</f>
        <v/>
      </c>
      <c r="BB30" s="92" t="str">
        <f>IFERROR(IF($S30=BB$16,'6-Biogas Production'!$Q71,""),"")</f>
        <v/>
      </c>
      <c r="BC30" s="263" t="str">
        <f>IFERROR(IF($S30=BC$16,'6-Biogas Production'!$Q71,""),"")</f>
        <v/>
      </c>
      <c r="BE30" s="341">
        <f>C30*VLOOKUP(D30,'23-Look up values'!$A$4:$B$9,2,FALSE)</f>
        <v>0</v>
      </c>
    </row>
    <row r="31" spans="1:57" s="92" customFormat="1" ht="19.25" customHeight="1">
      <c r="A31" s="101" t="s">
        <v>175</v>
      </c>
      <c r="B31" s="101"/>
      <c r="C31" s="149"/>
      <c r="D31" s="339" t="s">
        <v>176</v>
      </c>
      <c r="E31" s="340"/>
      <c r="F31" s="106" t="str">
        <f>IFERROR(VLOOKUP(B31,'9-Feedstock Characteristics'!$A$8:$W$127,2,FALSE),"-")</f>
        <v>-</v>
      </c>
      <c r="G31" s="106" t="str">
        <f>IFERROR(VLOOKUP(B31,'9-Feedstock Characteristics'!$A$8:$W$127,3,FALSE),"-")</f>
        <v>-</v>
      </c>
      <c r="H31" s="106" t="str">
        <f>IFERROR(VLOOKUP(B31,'9-Feedstock Characteristics'!$A$8:$W$127,7,FALSE),"-")</f>
        <v>-</v>
      </c>
      <c r="I31" s="106" t="str">
        <f>IFERROR(VLOOKUP(B31,'9-Feedstock Characteristics'!$A$8:$W$127,8,FALSE),"-")</f>
        <v>-</v>
      </c>
      <c r="J31" s="106" t="str">
        <f>IFERROR(VLOOKUP(B31,'9-Feedstock Characteristics'!$A$8:$W$127,12,FALSE)/(1-F31),"-")</f>
        <v>-</v>
      </c>
      <c r="K31" s="107" t="str">
        <f t="shared" si="0"/>
        <v/>
      </c>
      <c r="L31" s="104" t="str">
        <f>IF(C31=0,"-",IF(ReactorType="Dry",VLOOKUP(B31,'9-Feedstock Characteristics'!$A$8:$W$127,18,FALSE),VLOOKUP(B31,'9-Feedstock Characteristics'!$A$8:$W$127,18,FALSE)*((C31/(DensityofWater*VLOOKUP(B31,'9-Feedstock Characteristics'!$A$8:$W$127,19,FALSE)))/Chosen_Reactor_Volume)+DensityofWater*((Chosen_Reactor_Volume-(C31/(DensityofWater*VLOOKUP(B31,'9-Feedstock Characteristics'!$A$8:$W$127,19,FALSE))))/Chosen_Reactor_Volume)))</f>
        <v>-</v>
      </c>
      <c r="M31" s="106" t="str">
        <f>IFERROR(VLOOKUP(B31,'9-Feedstock Characteristics'!$A$8:$W$127,15,FALSE),"-")</f>
        <v>-</v>
      </c>
      <c r="N31" s="106" t="str">
        <f>IFERROR(VLOOKUP(B31,'9-Feedstock Characteristics'!$A$8:$W$127,14,FALSE),"-")</f>
        <v>-</v>
      </c>
      <c r="O31" s="106" t="str">
        <f>IFERROR(VLOOKUP(B31,'9-Feedstock Characteristics'!$A$8:$W$127,13,FALSE),"-")</f>
        <v>-</v>
      </c>
      <c r="P31" s="108" t="str">
        <f t="shared" si="1"/>
        <v/>
      </c>
      <c r="Q31" s="108" t="str">
        <f t="shared" si="2"/>
        <v/>
      </c>
      <c r="S31" s="258" t="e">
        <f t="shared" si="3"/>
        <v>#N/A</v>
      </c>
      <c r="T31" s="262" t="str">
        <f t="shared" si="4"/>
        <v/>
      </c>
      <c r="U31" s="261" t="str">
        <f t="shared" si="4"/>
        <v/>
      </c>
      <c r="V31" s="261" t="str">
        <f t="shared" si="4"/>
        <v/>
      </c>
      <c r="W31" s="261" t="str">
        <f t="shared" si="4"/>
        <v/>
      </c>
      <c r="X31" s="261" t="str">
        <f t="shared" si="4"/>
        <v/>
      </c>
      <c r="Y31" s="260" t="str">
        <f t="shared" si="4"/>
        <v/>
      </c>
      <c r="Z31" s="262" t="str">
        <f t="shared" si="9"/>
        <v/>
      </c>
      <c r="AA31" s="261" t="str">
        <f t="shared" si="10"/>
        <v/>
      </c>
      <c r="AB31" s="261" t="str">
        <f t="shared" si="10"/>
        <v/>
      </c>
      <c r="AC31" s="261" t="str">
        <f t="shared" si="10"/>
        <v/>
      </c>
      <c r="AD31" s="261" t="str">
        <f t="shared" si="10"/>
        <v/>
      </c>
      <c r="AE31" s="261" t="str">
        <f t="shared" si="10"/>
        <v/>
      </c>
      <c r="AF31" s="262" t="str">
        <f t="shared" si="11"/>
        <v/>
      </c>
      <c r="AG31" s="261" t="str">
        <f t="shared" si="12"/>
        <v/>
      </c>
      <c r="AH31" s="261" t="str">
        <f t="shared" si="12"/>
        <v/>
      </c>
      <c r="AI31" s="261" t="str">
        <f t="shared" si="12"/>
        <v/>
      </c>
      <c r="AJ31" s="261" t="str">
        <f t="shared" si="12"/>
        <v/>
      </c>
      <c r="AK31" s="260" t="str">
        <f t="shared" si="12"/>
        <v/>
      </c>
      <c r="AL31" s="247" t="str">
        <f t="shared" si="13"/>
        <v/>
      </c>
      <c r="AM31" s="246" t="str">
        <f t="shared" si="14"/>
        <v/>
      </c>
      <c r="AN31" s="246" t="str">
        <f t="shared" si="14"/>
        <v/>
      </c>
      <c r="AO31" s="246" t="str">
        <f t="shared" si="14"/>
        <v/>
      </c>
      <c r="AP31" s="246" t="str">
        <f t="shared" si="14"/>
        <v/>
      </c>
      <c r="AQ31" s="245" t="str">
        <f t="shared" si="14"/>
        <v/>
      </c>
      <c r="AR31" s="262" t="str">
        <f t="shared" si="15"/>
        <v/>
      </c>
      <c r="AS31" s="261" t="str">
        <f t="shared" si="16"/>
        <v/>
      </c>
      <c r="AT31" s="261" t="str">
        <f t="shared" si="16"/>
        <v/>
      </c>
      <c r="AU31" s="261" t="str">
        <f t="shared" si="16"/>
        <v/>
      </c>
      <c r="AV31" s="261" t="str">
        <f t="shared" si="16"/>
        <v/>
      </c>
      <c r="AW31" s="260" t="str">
        <f t="shared" si="16"/>
        <v/>
      </c>
      <c r="AX31" s="262" t="str">
        <f>IFERROR(IF($S31=AX$16,'6-Biogas Production'!$Q72,""),"")</f>
        <v/>
      </c>
      <c r="AY31" s="261" t="str">
        <f>IFERROR(IF($S31=AY$16,'6-Biogas Production'!$Q72,""),"")</f>
        <v/>
      </c>
      <c r="AZ31" s="261" t="str">
        <f>IFERROR(IF($S31=AZ$16,'6-Biogas Production'!$Q72,""),"")</f>
        <v/>
      </c>
      <c r="BA31" s="261" t="str">
        <f>IFERROR(IF($S31=BA$16,'6-Biogas Production'!$Q72,""),"")</f>
        <v/>
      </c>
      <c r="BB31" s="261" t="str">
        <f>IFERROR(IF($S31=BB$16,'6-Biogas Production'!$Q72,""),"")</f>
        <v/>
      </c>
      <c r="BC31" s="260" t="str">
        <f>IFERROR(IF($S31=BC$16,'6-Biogas Production'!$Q72,""),"")</f>
        <v/>
      </c>
      <c r="BE31" s="341">
        <f>C31*VLOOKUP(D31,'23-Look up values'!$A$4:$B$9,2,FALSE)</f>
        <v>0</v>
      </c>
    </row>
    <row r="32" spans="1:57" s="92" customFormat="1" ht="19.25" customHeight="1">
      <c r="B32" s="109"/>
      <c r="C32" s="197"/>
      <c r="D32" s="110"/>
      <c r="E32" s="110"/>
      <c r="F32" s="111">
        <f>IFERROR(SUMPRODUCT($BE$17:$BE$31,$F$17:$F$31)/SUM($BE$17:$BE$31),"")</f>
        <v>0.83040792356515258</v>
      </c>
      <c r="G32" s="111">
        <f>IFERROR(SUMPRODUCT($BE$17:$BE$31,$G$17:$G$31)/SUM($BE$17:$BE$31),"")</f>
        <v>0.11178231776064119</v>
      </c>
      <c r="H32" s="111">
        <f>IFERROR(SUMPRODUCT($BE$17:$BE$31,$H$17:$H$31)/SUM($BE$17:$BE$31),"")</f>
        <v>9.3342945946890965E-2</v>
      </c>
      <c r="I32" s="111">
        <f>IFERROR(SUMPRODUCT($BE$17:$BE$31,$I$17:$I$31)/SUM($BE$17:$BE$31),"")</f>
        <v>1.8439371813750213E-2</v>
      </c>
      <c r="J32" s="111">
        <f>IFERROR(SUMPRODUCT($BE$17:$BE$31,$J$17:$J$31)/SUM($BE$17:$BE$31),"")</f>
        <v>4.6427226219120196E-2</v>
      </c>
      <c r="K32" s="111">
        <f>IFERROR(SUMPRODUCT($BE$17:$BE$31,$K$17:$K$31)/SUM($BE$17:$BE$31),"")</f>
        <v>0.3032876602308977</v>
      </c>
      <c r="L32" s="386" t="e">
        <f>SUMPRODUCT($BE$17:$BE$31,$L$17:$L$31)/SUM($BE$17:$BE$31)</f>
        <v>#DIV/0!</v>
      </c>
      <c r="M32" s="31">
        <f>IFERROR(SUMPRODUCT($Q$17:$Q$31,$M$17:$M$31)/SUM($Q$17:$Q$31),"")</f>
        <v>8.6222345256461247E-2</v>
      </c>
      <c r="N32" s="31">
        <f>IFERROR(SUMPRODUCT($Q$17:$Q$31,$N$17:$N$31)/SUM($Q$17:$Q$31),"")</f>
        <v>1.9586183358291022E-2</v>
      </c>
      <c r="O32" s="31">
        <f>IFERROR(SUMPRODUCT($Q$17:$Q$31,$O$17:$O$31)/SUM($Q$17:$Q$31),"")</f>
        <v>0.87527528614435846</v>
      </c>
      <c r="P32" s="30">
        <f>C32*H32</f>
        <v>0</v>
      </c>
      <c r="Q32" s="30">
        <f>C32*G32</f>
        <v>0</v>
      </c>
      <c r="BE32" s="341">
        <f>SUM(BE17:BE31)</f>
        <v>20081.878615999998</v>
      </c>
    </row>
    <row r="33" spans="2:16" s="92" customFormat="1" ht="50.15" customHeight="1" thickBot="1">
      <c r="B33" s="112"/>
      <c r="C33" s="13"/>
      <c r="D33" s="112"/>
      <c r="E33" s="112"/>
      <c r="F33" s="113"/>
      <c r="G33" s="113"/>
      <c r="H33" s="113"/>
      <c r="I33" s="113"/>
      <c r="J33" s="114"/>
      <c r="K33" s="114"/>
      <c r="L33" s="14"/>
      <c r="M33" s="14"/>
      <c r="N33" s="14"/>
      <c r="O33" s="14"/>
      <c r="P33" s="14"/>
    </row>
    <row r="34" spans="2:16" s="92" customFormat="1" ht="19.25" customHeight="1">
      <c r="B34" s="408" t="s">
        <v>177</v>
      </c>
      <c r="C34" s="503" t="s">
        <v>178</v>
      </c>
      <c r="D34" s="503" t="s">
        <v>179</v>
      </c>
      <c r="E34" s="576" t="s">
        <v>180</v>
      </c>
      <c r="F34" s="577"/>
    </row>
    <row r="35" spans="2:16" s="92" customFormat="1" ht="19.25" customHeight="1">
      <c r="B35" s="409" t="s">
        <v>181</v>
      </c>
      <c r="C35" s="115">
        <f>IFERROR(SUMPRODUCT($BE$17:$BE$31,$F$17:$F$31)/SUM($BE$17:$BE$31),)</f>
        <v>0.83040792356515258</v>
      </c>
      <c r="D35" s="115" t="s">
        <v>182</v>
      </c>
      <c r="E35" s="578"/>
      <c r="F35" s="579"/>
    </row>
    <row r="36" spans="2:16" s="92" customFormat="1" ht="19.25" customHeight="1">
      <c r="B36" s="409" t="s">
        <v>183</v>
      </c>
      <c r="C36" s="115">
        <f>IFERROR(SUMPRODUCT($BE$17:$BE$31,$G$17:$G$31)/SUM($BE$17:$BE$31),)</f>
        <v>0.11178231776064119</v>
      </c>
      <c r="D36" s="115" t="s">
        <v>182</v>
      </c>
      <c r="E36" s="578"/>
      <c r="F36" s="579"/>
    </row>
    <row r="37" spans="2:16" s="92" customFormat="1" ht="19.25" customHeight="1">
      <c r="B37" s="409" t="s">
        <v>184</v>
      </c>
      <c r="C37" s="115">
        <f>IFERROR(SUMPRODUCT($BE$17:$BE$31,$H$17:$H$31)/SUM($BE$17:$BE$31),)</f>
        <v>9.3342945946890965E-2</v>
      </c>
      <c r="D37" s="115" t="s">
        <v>182</v>
      </c>
      <c r="E37" s="578"/>
      <c r="F37" s="579"/>
    </row>
    <row r="38" spans="2:16" s="92" customFormat="1" ht="19.25" customHeight="1">
      <c r="B38" s="409" t="s">
        <v>185</v>
      </c>
      <c r="C38" s="115">
        <f>IFERROR(SUMPRODUCT($BE$17:$BE$31,$I$17:$I$31)/SUM($BE$17:$BE$31),)</f>
        <v>1.8439371813750213E-2</v>
      </c>
      <c r="D38" s="115" t="s">
        <v>182</v>
      </c>
      <c r="E38" s="578"/>
      <c r="F38" s="579"/>
    </row>
    <row r="39" spans="2:16" s="92" customFormat="1" ht="19.5" customHeight="1">
      <c r="B39" s="410" t="s">
        <v>186</v>
      </c>
      <c r="C39" s="507" t="s">
        <v>187</v>
      </c>
      <c r="D39" s="507" t="s">
        <v>188</v>
      </c>
      <c r="E39" s="594" t="s">
        <v>180</v>
      </c>
      <c r="F39" s="595"/>
    </row>
    <row r="40" spans="2:16" s="92" customFormat="1" ht="19.25" customHeight="1">
      <c r="B40" s="409" t="s">
        <v>189</v>
      </c>
      <c r="C40" s="117">
        <f>IFERROR(IF(ReactorType="Dry",21,18)*IF(ReactorTemp="Psychrophilic",4,IF(ReactorTemp="Mesophilic",1,IF(ReactorTemp="Thermophilic",0.7))),)</f>
        <v>18</v>
      </c>
      <c r="D40" s="116" t="s">
        <v>190</v>
      </c>
      <c r="E40" s="592"/>
      <c r="F40" s="593"/>
    </row>
    <row r="41" spans="2:16" s="92" customFormat="1" ht="19.25" customHeight="1">
      <c r="B41" s="411" t="s">
        <v>191</v>
      </c>
      <c r="C41" s="118">
        <f>IFERROR(K32/J32,)</f>
        <v>6.532538877069384</v>
      </c>
      <c r="D41" s="119" t="s">
        <v>192</v>
      </c>
      <c r="E41" s="580"/>
      <c r="F41" s="581"/>
    </row>
    <row r="42" spans="2:16" s="92" customFormat="1" ht="45.65" customHeight="1" thickBot="1">
      <c r="B42" s="412" t="s">
        <v>193</v>
      </c>
      <c r="C42" s="413" t="str">
        <f>IFERROR(IF(TotalSolidsPercent&lt;=0.03,"Covered Lagoon",IF(OR(TotalSolidsPercent&gt;0.03,TotalSolidsPercent&lt;=0.1),"Complete Mix Digester",IF(OR(TotalSolidsPercent&gt;0.1,TotalSolidsPercent&lt;=0.13),"Plug Flow  Digester",IF(OR(TotalSolidsPercent&gt;0.18,TotalSolidsPercent&lt;=0.5),"Slurry Digester or High-Solids Fermentation Digester","Solid Waste Digesters")))),"-")</f>
        <v>Complete Mix Digester</v>
      </c>
      <c r="D42" s="574" t="s">
        <v>194</v>
      </c>
      <c r="E42" s="574"/>
      <c r="F42" s="575"/>
    </row>
    <row r="43" spans="2:16" s="92" customFormat="1" ht="19.25" customHeight="1">
      <c r="B43" s="414" t="s">
        <v>195</v>
      </c>
      <c r="C43" s="415"/>
      <c r="D43" s="505" t="s">
        <v>196</v>
      </c>
      <c r="E43" s="586" t="s">
        <v>197</v>
      </c>
      <c r="F43" s="587"/>
    </row>
    <row r="44" spans="2:16" s="92" customFormat="1" ht="19.25" customHeight="1">
      <c r="B44" s="572" t="s">
        <v>198</v>
      </c>
      <c r="C44" s="573"/>
      <c r="D44" s="120" t="str">
        <f>IF(AND(ReactorType="Dry",AND(C36&lt;=40%,C36&gt;=15%)),"Yes",IF(AND(ReactorType="Wet",C36&lt;=15%),"Yes","No"))</f>
        <v>Yes</v>
      </c>
      <c r="E44" s="582" t="str">
        <f>IF(D44="No","In typical dry reactors TS = 15-40%. In typical wet reactors TS &lt;=15%.","")</f>
        <v/>
      </c>
      <c r="F44" s="583"/>
    </row>
    <row r="45" spans="2:16" s="92" customFormat="1" ht="30" customHeight="1" thickBot="1">
      <c r="B45" s="570" t="s">
        <v>199</v>
      </c>
      <c r="C45" s="571"/>
      <c r="D45" s="416" t="str">
        <f>IF(OR(C41&lt;25,C41&gt;35),"No","Yes")</f>
        <v>No</v>
      </c>
      <c r="E45" s="584" t="str">
        <f>IF(D45="No","Typical healthy AD systems operate with a C:N ratio between 25 and 35.","")</f>
        <v>Typical healthy AD systems operate with a C:N ratio between 25 and 35.</v>
      </c>
      <c r="F45" s="585"/>
      <c r="N45" s="490"/>
    </row>
    <row r="46" spans="2:16" s="92" customFormat="1" ht="14.5" thickBot="1">
      <c r="N46" s="490"/>
    </row>
    <row r="47" spans="2:16" s="92" customFormat="1" ht="19.25" hidden="1" customHeight="1">
      <c r="N47" s="490"/>
    </row>
    <row r="48" spans="2:16" s="92" customFormat="1" ht="19.25" hidden="1" customHeight="1">
      <c r="N48" s="490"/>
    </row>
    <row r="49" spans="2:15" s="92" customFormat="1" ht="33" hidden="1" customHeight="1">
      <c r="N49" s="490"/>
      <c r="O49" s="121"/>
    </row>
    <row r="50" spans="2:15" s="92" customFormat="1" ht="14.5" hidden="1" thickBot="1">
      <c r="B50" s="476"/>
      <c r="C50" s="476"/>
      <c r="D50" s="477"/>
      <c r="E50" s="346"/>
      <c r="F50" s="346"/>
      <c r="N50" s="490"/>
      <c r="O50" s="121"/>
    </row>
    <row r="51" spans="2:15" s="92" customFormat="1" ht="14.5" hidden="1" thickBot="1">
      <c r="N51" s="490"/>
      <c r="O51" s="121"/>
    </row>
    <row r="52" spans="2:15" s="92" customFormat="1" ht="14.5" hidden="1" thickBot="1">
      <c r="B52" s="473"/>
      <c r="C52" s="473"/>
      <c r="D52" s="474"/>
      <c r="E52" s="475"/>
      <c r="F52" s="475"/>
      <c r="G52" s="475"/>
      <c r="H52" s="475"/>
      <c r="I52" s="475"/>
      <c r="J52" s="122"/>
      <c r="N52" s="490"/>
      <c r="O52" s="121"/>
    </row>
    <row r="53" spans="2:15" s="92" customFormat="1" ht="14.5" hidden="1" thickBot="1">
      <c r="N53" s="490"/>
      <c r="O53" s="121"/>
    </row>
    <row r="54" spans="2:15" s="92" customFormat="1" ht="59.25" customHeight="1" thickBot="1">
      <c r="B54" s="567" t="s">
        <v>200</v>
      </c>
      <c r="C54" s="568"/>
      <c r="D54" s="569"/>
      <c r="N54" s="307"/>
      <c r="O54" s="121"/>
    </row>
    <row r="55" spans="2:15" s="92" customFormat="1" ht="19.25" customHeight="1">
      <c r="B55" s="380" t="s">
        <v>201</v>
      </c>
      <c r="C55" s="390" t="s">
        <v>131</v>
      </c>
      <c r="D55" s="391" t="s">
        <v>151</v>
      </c>
      <c r="E55"/>
      <c r="F55"/>
      <c r="G55"/>
      <c r="H55"/>
      <c r="I55"/>
      <c r="J55"/>
      <c r="N55" s="307"/>
      <c r="O55" s="121"/>
    </row>
    <row r="56" spans="2:15" s="92" customFormat="1" ht="35.15" customHeight="1">
      <c r="B56" s="392" t="s">
        <v>202</v>
      </c>
      <c r="C56" s="123" t="str">
        <f>$I$97</f>
        <v>Mostly Sugars &amp; Starches</v>
      </c>
      <c r="D56" s="393"/>
      <c r="E56"/>
      <c r="F56"/>
      <c r="G56"/>
      <c r="H56"/>
      <c r="I56"/>
      <c r="J56"/>
      <c r="N56" s="307" t="str">
        <f>IFERROR(IF(SUM(TotalProtein+TotalFats)&lt;5%,$C$98,IF(TotalSugar&lt;5%,$C$101,IF(SUM(TotalProtein+TotalFats)&gt;66%,$C$100,IF(SUM(TotalProtein+TotalFats)&gt;50%,$C$99,$C$98)))),"-")</f>
        <v>Methane</v>
      </c>
      <c r="O56" s="121"/>
    </row>
    <row r="57" spans="2:15" s="92" customFormat="1" ht="19.25" customHeight="1">
      <c r="B57" s="394" t="s">
        <v>201</v>
      </c>
      <c r="C57" s="124"/>
      <c r="D57" s="395"/>
      <c r="E57"/>
      <c r="F57"/>
      <c r="G57"/>
      <c r="H57"/>
      <c r="I57"/>
      <c r="J57"/>
      <c r="N57" s="307"/>
      <c r="O57" s="121"/>
    </row>
    <row r="58" spans="2:15" s="92" customFormat="1" ht="19.25" customHeight="1">
      <c r="B58" s="396" t="s">
        <v>769</v>
      </c>
      <c r="C58" s="557">
        <f>$I$99</f>
        <v>0.499</v>
      </c>
      <c r="D58" s="393" t="s">
        <v>203</v>
      </c>
      <c r="E58"/>
      <c r="F58"/>
      <c r="G58"/>
      <c r="H58"/>
      <c r="I58"/>
      <c r="J58"/>
      <c r="N58" s="307">
        <f>INDEX($M$86:$M$90,MATCH($N$56,$C$97:$C$101,0))</f>
        <v>0</v>
      </c>
      <c r="O58" s="121"/>
    </row>
    <row r="59" spans="2:15" s="92" customFormat="1" ht="19.25" customHeight="1">
      <c r="B59" s="397" t="s">
        <v>770</v>
      </c>
      <c r="C59" s="125">
        <f>$I$100</f>
        <v>0.499</v>
      </c>
      <c r="D59" s="398" t="s">
        <v>203</v>
      </c>
      <c r="F59"/>
      <c r="G59"/>
      <c r="H59"/>
      <c r="I59"/>
      <c r="J59"/>
      <c r="N59" s="307">
        <f>INDEX($N$86:$N$90,MATCH($N$56,$C$97:$C$101,0))</f>
        <v>0</v>
      </c>
      <c r="O59" s="121"/>
    </row>
    <row r="60" spans="2:15" s="92" customFormat="1" ht="19.25" customHeight="1">
      <c r="B60" s="397" t="s">
        <v>771</v>
      </c>
      <c r="C60" s="125">
        <f>$I$101</f>
        <v>1E-3</v>
      </c>
      <c r="D60" s="398" t="s">
        <v>203</v>
      </c>
      <c r="E60"/>
      <c r="F60"/>
      <c r="G60"/>
      <c r="H60"/>
      <c r="I60"/>
      <c r="J60"/>
      <c r="N60" s="307">
        <f>INDEX($O$86:$O$90,MATCH($N$56,$C$97:$C$101,0))</f>
        <v>0</v>
      </c>
      <c r="O60" s="121"/>
    </row>
    <row r="61" spans="2:15" s="92" customFormat="1" ht="35.15" customHeight="1">
      <c r="B61" s="399" t="s">
        <v>772</v>
      </c>
      <c r="C61" s="125">
        <f>$I$102</f>
        <v>1E-3</v>
      </c>
      <c r="D61" s="398" t="s">
        <v>203</v>
      </c>
      <c r="E61"/>
      <c r="F61"/>
      <c r="G61"/>
      <c r="H61"/>
      <c r="I61"/>
      <c r="J61"/>
      <c r="N61" s="307">
        <f>INDEX($P$86:$P$90,MATCH($N$56,$C$97:$C$101,0))</f>
        <v>1E-3</v>
      </c>
      <c r="O61" s="121"/>
    </row>
    <row r="62" spans="2:15" s="92" customFormat="1" ht="19.25" customHeight="1">
      <c r="B62" s="400" t="s">
        <v>204</v>
      </c>
      <c r="C62" s="125">
        <f>SUM(C58:C61)</f>
        <v>1</v>
      </c>
      <c r="D62" s="401"/>
      <c r="E62"/>
      <c r="F62"/>
      <c r="G62"/>
      <c r="H62"/>
      <c r="I62"/>
      <c r="J62"/>
      <c r="N62" s="307"/>
      <c r="O62" s="121"/>
    </row>
    <row r="63" spans="2:15" s="92" customFormat="1" ht="19.25" customHeight="1">
      <c r="B63" s="402" t="s">
        <v>205</v>
      </c>
      <c r="C63" s="126">
        <f>1.18</f>
        <v>1.18</v>
      </c>
      <c r="D63" s="403" t="s">
        <v>206</v>
      </c>
      <c r="E63"/>
      <c r="F63"/>
      <c r="G63"/>
      <c r="H63"/>
      <c r="I63"/>
      <c r="J63"/>
      <c r="N63" s="307"/>
      <c r="O63" s="121"/>
    </row>
    <row r="64" spans="2:15" s="92" customFormat="1">
      <c r="B64" s="404"/>
      <c r="D64" s="405"/>
      <c r="N64" s="307"/>
      <c r="O64" s="121"/>
    </row>
    <row r="65" spans="2:14" s="92" customFormat="1" ht="19.25" customHeight="1">
      <c r="B65" s="380" t="s">
        <v>207</v>
      </c>
      <c r="C65" s="390" t="s">
        <v>757</v>
      </c>
      <c r="D65" s="391" t="s">
        <v>151</v>
      </c>
      <c r="H65"/>
      <c r="N65" s="307"/>
    </row>
    <row r="66" spans="2:14" s="92" customFormat="1" ht="19.25" customHeight="1">
      <c r="B66" s="396" t="s">
        <v>208</v>
      </c>
      <c r="C66" s="97">
        <v>9.6111109999999993</v>
      </c>
      <c r="D66" s="393" t="s">
        <v>209</v>
      </c>
      <c r="H66"/>
      <c r="N66" s="490"/>
    </row>
    <row r="67" spans="2:14" s="92" customFormat="1" ht="19.25" customHeight="1">
      <c r="B67" s="397" t="s">
        <v>210</v>
      </c>
      <c r="C67" s="98">
        <v>6.5</v>
      </c>
      <c r="D67" s="398" t="s">
        <v>209</v>
      </c>
      <c r="N67" s="490"/>
    </row>
    <row r="68" spans="2:14" s="92" customFormat="1" ht="19.25" customHeight="1">
      <c r="B68" s="397" t="s">
        <v>211</v>
      </c>
      <c r="C68" s="99">
        <v>300</v>
      </c>
      <c r="D68" s="398" t="s">
        <v>212</v>
      </c>
      <c r="N68" s="490"/>
    </row>
    <row r="69" spans="2:14" s="92" customFormat="1" ht="19.25" customHeight="1">
      <c r="B69" s="397" t="s">
        <v>213</v>
      </c>
      <c r="C69" s="99">
        <v>400</v>
      </c>
      <c r="D69" s="398" t="s">
        <v>212</v>
      </c>
      <c r="N69" s="490"/>
    </row>
    <row r="70" spans="2:14" s="92" customFormat="1" ht="19.25" customHeight="1" thickBot="1">
      <c r="B70" s="406" t="s">
        <v>758</v>
      </c>
      <c r="C70" s="407">
        <v>1500</v>
      </c>
      <c r="D70" s="504" t="s">
        <v>212</v>
      </c>
      <c r="E70"/>
      <c r="F70"/>
      <c r="G70"/>
      <c r="H70"/>
      <c r="I70"/>
      <c r="J70"/>
      <c r="L70" s="100"/>
      <c r="N70" s="490"/>
    </row>
    <row r="71" spans="2:14" ht="27" customHeight="1">
      <c r="N71" s="16"/>
    </row>
    <row r="72" spans="2:14">
      <c r="B72" s="471"/>
      <c r="N72" s="16"/>
    </row>
    <row r="73" spans="2:14">
      <c r="N73" s="16"/>
    </row>
    <row r="74" spans="2:14">
      <c r="N74" s="16"/>
    </row>
    <row r="75" spans="2:14">
      <c r="N75" s="16"/>
    </row>
    <row r="76" spans="2:14">
      <c r="N76" s="16"/>
    </row>
    <row r="77" spans="2:14">
      <c r="N77" s="16"/>
    </row>
    <row r="78" spans="2:14">
      <c r="M78" s="16"/>
      <c r="N78" s="16"/>
    </row>
    <row r="79" spans="2:14">
      <c r="M79" s="16"/>
      <c r="N79" s="16"/>
    </row>
    <row r="80" spans="2:14">
      <c r="M80" s="16"/>
      <c r="N80" s="16"/>
    </row>
    <row r="81" spans="3:16" ht="11.25" customHeight="1">
      <c r="M81" s="16"/>
      <c r="N81" s="16"/>
    </row>
    <row r="82" spans="3:16">
      <c r="M82" s="16"/>
      <c r="N82" s="16"/>
    </row>
    <row r="83" spans="3:16">
      <c r="M83" s="16"/>
      <c r="N83" s="16"/>
    </row>
    <row r="84" spans="3:16">
      <c r="K84" s="16"/>
      <c r="L84" s="16"/>
      <c r="M84" s="16"/>
      <c r="N84" s="16"/>
      <c r="O84" s="16"/>
    </row>
    <row r="85" spans="3:16">
      <c r="K85" s="16"/>
      <c r="L85" s="16"/>
      <c r="M85" s="16"/>
      <c r="N85" s="16"/>
      <c r="O85" s="16"/>
    </row>
    <row r="86" spans="3:16" ht="16">
      <c r="K86" s="16"/>
      <c r="L86" s="16" t="s">
        <v>214</v>
      </c>
      <c r="M86" s="16"/>
      <c r="N86" s="16"/>
      <c r="O86" s="16"/>
      <c r="P86" s="127" t="s">
        <v>217</v>
      </c>
    </row>
    <row r="87" spans="3:16">
      <c r="K87" s="16"/>
      <c r="L87" s="16" t="s">
        <v>218</v>
      </c>
      <c r="M87" s="16"/>
      <c r="N87" s="16"/>
      <c r="O87" s="16"/>
      <c r="P87" s="129">
        <v>1E-3</v>
      </c>
    </row>
    <row r="88" spans="3:16">
      <c r="K88" s="16"/>
      <c r="L88" s="16" t="s">
        <v>219</v>
      </c>
      <c r="M88" s="16"/>
      <c r="N88" s="16"/>
      <c r="O88" s="16"/>
      <c r="P88" s="129">
        <v>5.0000000000000001E-3</v>
      </c>
    </row>
    <row r="89" spans="3:16">
      <c r="K89" s="16"/>
      <c r="L89" s="16" t="s">
        <v>220</v>
      </c>
      <c r="M89" s="16"/>
      <c r="N89" s="16"/>
      <c r="O89" s="16"/>
      <c r="P89" s="129">
        <v>0.01</v>
      </c>
    </row>
    <row r="90" spans="3:16">
      <c r="K90" s="16"/>
      <c r="L90" s="16" t="s">
        <v>221</v>
      </c>
      <c r="M90" s="16"/>
      <c r="N90" s="16"/>
      <c r="O90" s="16"/>
      <c r="P90" s="129">
        <v>0.01</v>
      </c>
    </row>
    <row r="91" spans="3:16">
      <c r="K91" s="16"/>
      <c r="L91" s="16"/>
      <c r="M91" s="16"/>
      <c r="N91" s="16"/>
      <c r="O91" s="16"/>
    </row>
    <row r="92" spans="3:16">
      <c r="K92" s="16"/>
      <c r="L92" s="16"/>
      <c r="M92" s="16"/>
      <c r="N92" s="16"/>
      <c r="O92" s="16"/>
    </row>
    <row r="93" spans="3:16">
      <c r="N93" s="16"/>
    </row>
    <row r="94" spans="3:16">
      <c r="N94" s="16"/>
    </row>
    <row r="95" spans="3:16">
      <c r="N95" s="16"/>
    </row>
    <row r="96" spans="3:16" ht="15.75" hidden="1" customHeight="1">
      <c r="C96" s="564" t="s">
        <v>222</v>
      </c>
      <c r="D96" s="564"/>
      <c r="E96" s="564"/>
      <c r="F96" s="564"/>
      <c r="G96" s="564"/>
      <c r="I96" s="552" t="s">
        <v>756</v>
      </c>
      <c r="N96" s="16"/>
    </row>
    <row r="97" spans="2:14" hidden="1">
      <c r="C97" s="549" t="s">
        <v>214</v>
      </c>
      <c r="D97" s="550" t="s">
        <v>218</v>
      </c>
      <c r="E97" s="550" t="s">
        <v>219</v>
      </c>
      <c r="F97" s="550" t="s">
        <v>220</v>
      </c>
      <c r="G97" s="550" t="s">
        <v>221</v>
      </c>
      <c r="I97" s="553" t="str">
        <f>IFERROR(IF(SUM(TotalProtein+TotalFats)&lt;5%,$D$97,IF(SUM(TotalProtein+TotalFats)&gt;50%,$E$97,IF(SUM(TotalProtein+TotalFats)&gt;66%,$F$97,IF(TotalSugar&lt;5%,$G$97,$D$97)))),"")</f>
        <v>Mostly Sugars &amp; Starches</v>
      </c>
      <c r="N97" s="16"/>
    </row>
    <row r="98" spans="2:14" hidden="1">
      <c r="C98" s="551" t="s">
        <v>215</v>
      </c>
      <c r="D98" s="128">
        <v>0.499</v>
      </c>
      <c r="E98" s="128">
        <v>0.54500000000000004</v>
      </c>
      <c r="F98" s="129">
        <v>0.59</v>
      </c>
      <c r="G98" s="129">
        <v>0.68</v>
      </c>
      <c r="I98" s="554"/>
      <c r="N98" s="16"/>
    </row>
    <row r="99" spans="2:14" hidden="1">
      <c r="C99" s="551" t="s">
        <v>216</v>
      </c>
      <c r="D99" s="128">
        <v>0.499</v>
      </c>
      <c r="E99" s="128">
        <v>0.44500000000000001</v>
      </c>
      <c r="F99" s="129">
        <v>0.39</v>
      </c>
      <c r="G99" s="129">
        <v>0.28999999999999998</v>
      </c>
      <c r="I99" s="555">
        <f>IFERROR(HLOOKUP($C$56,$C$97:$G$101,2,FALSE),"-")</f>
        <v>0.499</v>
      </c>
      <c r="J99" s="1">
        <f>MATCH(I97,D97:G97,0)</f>
        <v>1</v>
      </c>
      <c r="N99" s="16"/>
    </row>
    <row r="100" spans="2:14" ht="18.75" hidden="1" customHeight="1">
      <c r="C100" s="551" t="s">
        <v>754</v>
      </c>
      <c r="D100" s="128">
        <v>1E-3</v>
      </c>
      <c r="E100" s="128">
        <v>5.0000000000000001E-3</v>
      </c>
      <c r="F100" s="129">
        <v>0.01</v>
      </c>
      <c r="G100" s="129">
        <v>0.02</v>
      </c>
      <c r="I100" s="555">
        <f>IFERROR(HLOOKUP($C$56,$C$97:$G$101,3,FALSE),"-")</f>
        <v>0.499</v>
      </c>
      <c r="N100" s="16"/>
    </row>
    <row r="101" spans="2:14" ht="18.75" hidden="1" customHeight="1">
      <c r="C101" s="551" t="s">
        <v>755</v>
      </c>
      <c r="D101" s="128">
        <v>1E-3</v>
      </c>
      <c r="E101" s="128">
        <v>5.0000000000000001E-3</v>
      </c>
      <c r="F101" s="129">
        <v>0.01</v>
      </c>
      <c r="G101" s="129">
        <v>0.01</v>
      </c>
      <c r="I101" s="555">
        <f>IFERROR(HLOOKUP($C$56,$C$97:$G$101,4,FALSE),"-")</f>
        <v>1E-3</v>
      </c>
      <c r="N101" s="16"/>
    </row>
    <row r="102" spans="2:14" hidden="1">
      <c r="B102" s="130"/>
      <c r="I102" s="556">
        <f>IFERROR(HLOOKUP($C$56,$C$97:$G$101,5,FALSE),"-")</f>
        <v>1E-3</v>
      </c>
      <c r="N102" s="16"/>
    </row>
    <row r="103" spans="2:14" ht="14.25" hidden="1" customHeight="1">
      <c r="B103" s="5"/>
      <c r="N103" s="16"/>
    </row>
    <row r="104" spans="2:14" hidden="1">
      <c r="B104" s="5"/>
      <c r="N104" s="16"/>
    </row>
    <row r="105" spans="2:14" hidden="1">
      <c r="B105" s="5"/>
      <c r="N105" s="16"/>
    </row>
    <row r="106" spans="2:14" hidden="1">
      <c r="B106" s="5"/>
      <c r="N106" s="16"/>
    </row>
    <row r="107" spans="2:14" hidden="1">
      <c r="B107" s="5"/>
      <c r="N107" s="16"/>
    </row>
    <row r="108" spans="2:14" hidden="1">
      <c r="B108" s="5"/>
      <c r="N108" s="16"/>
    </row>
    <row r="109" spans="2:14" hidden="1">
      <c r="B109" s="5"/>
      <c r="N109" s="16"/>
    </row>
    <row r="110" spans="2:14" hidden="1">
      <c r="B110" s="5"/>
      <c r="N110" s="16"/>
    </row>
    <row r="111" spans="2:14" hidden="1">
      <c r="B111" s="5"/>
      <c r="N111" s="16"/>
    </row>
    <row r="112" spans="2:14" hidden="1">
      <c r="B112" s="5"/>
      <c r="N112" s="16"/>
    </row>
    <row r="113" spans="2:15" hidden="1">
      <c r="B113" s="5"/>
      <c r="N113" s="16"/>
    </row>
    <row r="114" spans="2:15" hidden="1">
      <c r="B114" s="5"/>
      <c r="N114" s="16"/>
    </row>
    <row r="115" spans="2:15" ht="17.25" hidden="1" customHeight="1" thickBot="1">
      <c r="B115" s="131" t="s">
        <v>223</v>
      </c>
      <c r="N115" s="16"/>
    </row>
    <row r="116" spans="2:15" hidden="1">
      <c r="B116" s="132" t="s">
        <v>107</v>
      </c>
      <c r="C116" s="344">
        <f t="shared" ref="C116:C130" si="18">BE17</f>
        <v>19624.657879999999</v>
      </c>
      <c r="D116" s="133"/>
      <c r="E116" s="133"/>
      <c r="F116" s="134">
        <f>IFERROR(VLOOKUP(B116,'9-Feedstock Characteristics'!$A$8:$W$127,2,FALSE),"-")</f>
        <v>0.75</v>
      </c>
      <c r="G116" s="135">
        <f>IFERROR(VLOOKUP(B116,'9-Feedstock Characteristics'!$A$8:$W$127,3,FALSE),"-")</f>
        <v>0.25</v>
      </c>
      <c r="H116" s="135">
        <f>IFERROR(VLOOKUP(B116,'9-Feedstock Characteristics'!$A$8:$W$127,7,FALSE),"-")</f>
        <v>0.18333333333333332</v>
      </c>
      <c r="I116" s="135">
        <f>IFERROR(VLOOKUP(B116,'9-Feedstock Characteristics'!$A$8:$W$127,8,FALSE),"-")</f>
        <v>6.666666666666668E-2</v>
      </c>
      <c r="J116" s="135">
        <f>IFERROR(VLOOKUP(B116,'9-Feedstock Characteristics'!$A$8:$W$127,12,FALSE)/(1-F116),"-")</f>
        <v>7.3333333333333334E-2</v>
      </c>
      <c r="K116" s="135">
        <f>IFERROR((H116/(1-F116))*0.55,"")</f>
        <v>0.40333333333333332</v>
      </c>
      <c r="L116" s="135" t="e">
        <f>IF(C116=0,"-",IF(ReactorType="Dry",VLOOKUP(B116,'9-Feedstock Characteristics'!$A$8:$W$127,18,FALSE),VLOOKUP(B116,'9-Feedstock Characteristics'!$A$8:$W$127,18,FALSE)*((C116/(DensityofWater*VLOOKUP(B116,'9-Feedstock Characteristics'!$A$8:$W$127,19,FALSE)))/Chosen_Reactor_Volume)+DensityofWater*((Chosen_Reactor_Volume-(C116/(DensityofWater*VLOOKUP(B116,'9-Feedstock Characteristics'!$A$8:$W$127,19,FALSE))))/Chosen_Reactor_Volume)))</f>
        <v>#DIV/0!</v>
      </c>
      <c r="M116" s="135">
        <f>IFERROR(VLOOKUP(B116,'9-Feedstock Characteristics'!$A$8:$W$127,15,FALSE),"-")</f>
        <v>0.13100000000000001</v>
      </c>
      <c r="N116" s="491">
        <f>IFERROR(VLOOKUP(B116,'9-Feedstock Characteristics'!$A$8:$W$127,14,FALSE),"-")</f>
        <v>2.7900000000000001E-2</v>
      </c>
      <c r="O116" s="136">
        <f>IFERROR(VLOOKUP(B116,'9-Feedstock Characteristics'!$A$8:$W$127,13,FALSE),"-")</f>
        <v>0.77443333333333331</v>
      </c>
    </row>
    <row r="117" spans="2:15" hidden="1">
      <c r="B117" s="137" t="s">
        <v>49</v>
      </c>
      <c r="C117" s="1">
        <f t="shared" si="18"/>
        <v>298.46353599999998</v>
      </c>
      <c r="F117" s="138">
        <f>IFERROR(VLOOKUP(B117,'9-Feedstock Characteristics'!$A$8:$W$127,2,FALSE),"-")</f>
        <v>0.74</v>
      </c>
      <c r="G117" s="139">
        <f>IFERROR(VLOOKUP(B117,'9-Feedstock Characteristics'!$A$8:$W$127,3,FALSE),"-")</f>
        <v>0.26</v>
      </c>
      <c r="H117" s="139">
        <f>IFERROR(VLOOKUP(B117,'9-Feedstock Characteristics'!$A$8:$W$127,7,FALSE),"-")</f>
        <v>0.2009090909090909</v>
      </c>
      <c r="I117" s="139">
        <f>IFERROR(VLOOKUP(B117,'9-Feedstock Characteristics'!$A$8:$W$127,8,FALSE),"-")</f>
        <v>5.9090909090909111E-2</v>
      </c>
      <c r="J117" s="139">
        <f>IFERROR(VLOOKUP(B117,'9-Feedstock Characteristics'!$A$8:$W$127,12,FALSE)/(1-F117),"-")</f>
        <v>4.3636363636363633E-2</v>
      </c>
      <c r="K117" s="139">
        <f t="shared" ref="K117:K130" si="19">IFERROR((H117/(1-F117))*0.55,"")</f>
        <v>0.42500000000000004</v>
      </c>
      <c r="L117" s="139" t="e">
        <f>IF(C117=0,"-",IF(ReactorType="Dry",VLOOKUP(B117,'9-Feedstock Characteristics'!$A$8:$W$127,18,FALSE),VLOOKUP(B117,'9-Feedstock Characteristics'!$A$8:$W$127,18,FALSE)*((C117/(DensityofWater*VLOOKUP(B117,'9-Feedstock Characteristics'!$A$8:$W$127,19,FALSE)))/Chosen_Reactor_Volume)+DensityofWater*((Chosen_Reactor_Volume-(C117/(DensityofWater*VLOOKUP(B117,'9-Feedstock Characteristics'!$A$8:$W$127,19,FALSE))))/Chosen_Reactor_Volume)))</f>
        <v>#DIV/0!</v>
      </c>
      <c r="M117" s="139">
        <f>IFERROR(VLOOKUP(B117,'9-Feedstock Characteristics'!$A$8:$W$127,15,FALSE),"-")</f>
        <v>0.13100000000000001</v>
      </c>
      <c r="N117" s="492">
        <f>IFERROR(VLOOKUP(B117,'9-Feedstock Characteristics'!$A$8:$W$127,14,FALSE),"-")</f>
        <v>2.7900000000000001E-2</v>
      </c>
      <c r="O117" s="140">
        <f>IFERROR(VLOOKUP(B117,'9-Feedstock Characteristics'!$A$8:$W$127,13,FALSE),"-")</f>
        <v>0.78200909090909088</v>
      </c>
    </row>
    <row r="118" spans="2:15" hidden="1">
      <c r="B118" s="137" t="s">
        <v>224</v>
      </c>
      <c r="C118" s="1">
        <f t="shared" si="18"/>
        <v>158.75719999999998</v>
      </c>
      <c r="F118" s="138">
        <f>IFERROR(VLOOKUP(B118,'9-Feedstock Characteristics'!$A$8:$W$127,2,FALSE),"-")</f>
        <v>0.74</v>
      </c>
      <c r="G118" s="139">
        <f>IFERROR(VLOOKUP(B118,'9-Feedstock Characteristics'!$A$8:$W$127,3,FALSE),"-")</f>
        <v>0.26</v>
      </c>
      <c r="H118" s="139">
        <f>IFERROR(VLOOKUP(B118,'9-Feedstock Characteristics'!$A$8:$W$127,7,FALSE),"-")</f>
        <v>0.20977272727272728</v>
      </c>
      <c r="I118" s="139">
        <f>IFERROR(VLOOKUP(B118,'9-Feedstock Characteristics'!$A$8:$W$127,8,FALSE),"-")</f>
        <v>5.0227272727272732E-2</v>
      </c>
      <c r="J118" s="139">
        <f>IFERROR(VLOOKUP(B118,'9-Feedstock Characteristics'!$A$8:$W$127,12,FALSE)/(1-F118),"-")</f>
        <v>6.0227272727272733E-2</v>
      </c>
      <c r="K118" s="139">
        <f t="shared" si="19"/>
        <v>0.44375000000000003</v>
      </c>
      <c r="L118" s="139" t="e">
        <f>IF(C118=0,"-",IF(ReactorType="Dry",VLOOKUP(B118,'9-Feedstock Characteristics'!$A$8:$W$127,18,FALSE),VLOOKUP(B118,'9-Feedstock Characteristics'!$A$8:$W$127,18,FALSE)*((C118/(DensityofWater*VLOOKUP(B118,'9-Feedstock Characteristics'!$A$8:$W$127,19,FALSE)))/Chosen_Reactor_Volume)+DensityofWater*((Chosen_Reactor_Volume-(C118/(DensityofWater*VLOOKUP(B118,'9-Feedstock Characteristics'!$A$8:$W$127,19,FALSE))))/Chosen_Reactor_Volume)))</f>
        <v>#DIV/0!</v>
      </c>
      <c r="M118" s="139">
        <f>IFERROR(VLOOKUP(B118,'9-Feedstock Characteristics'!$A$8:$W$127,15,FALSE),"-")</f>
        <v>0.13100000000000001</v>
      </c>
      <c r="N118" s="492">
        <f>IFERROR(VLOOKUP(B118,'9-Feedstock Characteristics'!$A$8:$W$127,14,FALSE),"-")</f>
        <v>2.7900000000000001E-2</v>
      </c>
      <c r="O118" s="140">
        <f>IFERROR(VLOOKUP(B118,'9-Feedstock Characteristics'!$A$8:$W$127,13,FALSE),"-")</f>
        <v>0.79087272727272717</v>
      </c>
    </row>
    <row r="119" spans="2:15" hidden="1">
      <c r="B119" s="137" t="s">
        <v>225</v>
      </c>
      <c r="C119" s="1">
        <f t="shared" si="18"/>
        <v>0</v>
      </c>
      <c r="F119" s="138">
        <f>IFERROR(VLOOKUP(B119,'9-Feedstock Characteristics'!$A$8:$W$127,2,FALSE),"-")</f>
        <v>0.74</v>
      </c>
      <c r="G119" s="139">
        <f>IFERROR(VLOOKUP(B119,'9-Feedstock Characteristics'!$A$8:$W$127,3,FALSE),"-")</f>
        <v>0.26</v>
      </c>
      <c r="H119" s="139">
        <f>IFERROR(VLOOKUP(B119,'9-Feedstock Characteristics'!$A$8:$W$127,7,FALSE),"-")</f>
        <v>0.21233333333333337</v>
      </c>
      <c r="I119" s="139">
        <f>IFERROR(VLOOKUP(B119,'9-Feedstock Characteristics'!$A$8:$W$127,8,FALSE),"-")</f>
        <v>4.7666666666666635E-2</v>
      </c>
      <c r="J119" s="139">
        <f>IFERROR(VLOOKUP(B119,'9-Feedstock Characteristics'!$A$8:$W$127,12,FALSE)/(1-F119),"-")</f>
        <v>0.06</v>
      </c>
      <c r="K119" s="139">
        <f t="shared" si="19"/>
        <v>0.44916666666666677</v>
      </c>
      <c r="L119" s="139" t="str">
        <f>IF(C119=0,"-",IF(ReactorType="Dry",VLOOKUP(B119,'9-Feedstock Characteristics'!$A$8:$W$127,18,FALSE),VLOOKUP(B119,'9-Feedstock Characteristics'!$A$8:$W$127,18,FALSE)*((C119/(DensityofWater*VLOOKUP(B119,'9-Feedstock Characteristics'!$A$8:$W$127,19,FALSE)))/Chosen_Reactor_Volume)+DensityofWater*((Chosen_Reactor_Volume-(C119/(DensityofWater*VLOOKUP(B119,'9-Feedstock Characteristics'!$A$8:$W$127,19,FALSE))))/Chosen_Reactor_Volume)))</f>
        <v>-</v>
      </c>
      <c r="M119" s="139">
        <f>IFERROR(VLOOKUP(B119,'9-Feedstock Characteristics'!$A$8:$W$127,15,FALSE),"-")</f>
        <v>0.13100000000000001</v>
      </c>
      <c r="N119" s="492">
        <f>IFERROR(VLOOKUP(B119,'9-Feedstock Characteristics'!$A$8:$W$127,14,FALSE),"-")</f>
        <v>2.7900000000000001E-2</v>
      </c>
      <c r="O119" s="140">
        <f>IFERROR(VLOOKUP(B119,'9-Feedstock Characteristics'!$A$8:$W$127,13,FALSE),"-")</f>
        <v>0.79343333333333332</v>
      </c>
    </row>
    <row r="120" spans="2:15" hidden="1">
      <c r="B120" s="137" t="s">
        <v>87</v>
      </c>
      <c r="C120" s="1">
        <f t="shared" si="18"/>
        <v>0</v>
      </c>
      <c r="F120" s="138">
        <f>IFERROR(VLOOKUP(B120,'9-Feedstock Characteristics'!$A$8:$W$127,2,FALSE),"-")</f>
        <v>0.74</v>
      </c>
      <c r="G120" s="139">
        <f>IFERROR(VLOOKUP(B120,'9-Feedstock Characteristics'!$A$8:$W$127,3,FALSE),"-")</f>
        <v>0.26</v>
      </c>
      <c r="H120" s="139">
        <f>IFERROR(VLOOKUP(B120,'9-Feedstock Characteristics'!$A$8:$W$127,7,FALSE),"-")</f>
        <v>0.15407407407407406</v>
      </c>
      <c r="I120" s="139">
        <f>IFERROR(VLOOKUP(B120,'9-Feedstock Characteristics'!$A$8:$W$127,8,FALSE),"-")</f>
        <v>0.10592592592592595</v>
      </c>
      <c r="J120" s="139">
        <f>IFERROR(VLOOKUP(B120,'9-Feedstock Characteristics'!$A$8:$W$127,12,FALSE)/(1-F120),"-")</f>
        <v>3.7037037037037035E-2</v>
      </c>
      <c r="K120" s="139">
        <f t="shared" si="19"/>
        <v>0.32592592592592595</v>
      </c>
      <c r="L120" s="139" t="str">
        <f>IF(C120=0,"-",IF(ReactorType="Dry",VLOOKUP(B120,'9-Feedstock Characteristics'!$A$8:$W$127,18,FALSE),VLOOKUP(B120,'9-Feedstock Characteristics'!$A$8:$W$127,18,FALSE)*((C120/(DensityofWater*VLOOKUP(B120,'9-Feedstock Characteristics'!$A$8:$W$127,19,FALSE)))/Chosen_Reactor_Volume)+DensityofWater*((Chosen_Reactor_Volume-(C120/(DensityofWater*VLOOKUP(B120,'9-Feedstock Characteristics'!$A$8:$W$127,19,FALSE))))/Chosen_Reactor_Volume)))</f>
        <v>-</v>
      </c>
      <c r="M120" s="139">
        <f>IFERROR(VLOOKUP(B120,'9-Feedstock Characteristics'!$A$8:$W$127,15,FALSE),"-")</f>
        <v>0.13100000000000001</v>
      </c>
      <c r="N120" s="492">
        <f>IFERROR(VLOOKUP(B120,'9-Feedstock Characteristics'!$A$8:$W$127,14,FALSE),"-")</f>
        <v>2.7900000000000001E-2</v>
      </c>
      <c r="O120" s="140">
        <f>IFERROR(VLOOKUP(B120,'9-Feedstock Characteristics'!$A$8:$W$127,13,FALSE),"-")</f>
        <v>0.73517407407407398</v>
      </c>
    </row>
    <row r="121" spans="2:15" hidden="1">
      <c r="B121" s="137" t="s">
        <v>226</v>
      </c>
      <c r="C121" s="1">
        <f t="shared" si="18"/>
        <v>0</v>
      </c>
      <c r="F121" s="138" t="str">
        <f>IFERROR(VLOOKUP(B121,'9-Feedstock Characteristics'!$A$8:$W$127,2,FALSE),"-")</f>
        <v>-</v>
      </c>
      <c r="G121" s="139" t="str">
        <f>IFERROR(VLOOKUP(B121,'9-Feedstock Characteristics'!$A$8:$W$127,3,FALSE),"-")</f>
        <v>-</v>
      </c>
      <c r="H121" s="139" t="str">
        <f>IFERROR(VLOOKUP(B121,'9-Feedstock Characteristics'!$A$8:$W$127,7,FALSE),"-")</f>
        <v>-</v>
      </c>
      <c r="I121" s="139" t="str">
        <f>IFERROR(VLOOKUP(B121,'9-Feedstock Characteristics'!$A$8:$W$127,8,FALSE),"-")</f>
        <v>-</v>
      </c>
      <c r="J121" s="139" t="str">
        <f>IFERROR(VLOOKUP(B121,'9-Feedstock Characteristics'!$A$8:$W$127,12,FALSE)/(1-F121),"-")</f>
        <v>-</v>
      </c>
      <c r="K121" s="139" t="str">
        <f t="shared" si="19"/>
        <v/>
      </c>
      <c r="L121" s="139" t="str">
        <f>IF(C121=0,"-",IF(ReactorType="Dry",VLOOKUP(B121,'9-Feedstock Characteristics'!$A$8:$W$127,18,FALSE),VLOOKUP(B121,'9-Feedstock Characteristics'!$A$8:$W$127,18,FALSE)*((C121/(DensityofWater*VLOOKUP(B121,'9-Feedstock Characteristics'!$A$8:$W$127,19,FALSE)))/Chosen_Reactor_Volume)+DensityofWater*((Chosen_Reactor_Volume-(C121/(DensityofWater*VLOOKUP(B121,'9-Feedstock Characteristics'!$A$8:$W$127,19,FALSE))))/Chosen_Reactor_Volume)))</f>
        <v>-</v>
      </c>
      <c r="M121" s="139" t="str">
        <f>IFERROR(VLOOKUP(B121,'9-Feedstock Characteristics'!$A$8:$W$127,15,FALSE),"-")</f>
        <v>-</v>
      </c>
      <c r="N121" s="492" t="str">
        <f>IFERROR(VLOOKUP(B121,'9-Feedstock Characteristics'!$A$8:$W$127,14,FALSE),"-")</f>
        <v>-</v>
      </c>
      <c r="O121" s="140" t="str">
        <f>IFERROR(VLOOKUP(B121,'9-Feedstock Characteristics'!$A$8:$W$127,13,FALSE),"-")</f>
        <v>-</v>
      </c>
    </row>
    <row r="122" spans="2:15" hidden="1">
      <c r="B122" s="137" t="s">
        <v>118</v>
      </c>
      <c r="C122" s="1">
        <f t="shared" si="18"/>
        <v>0</v>
      </c>
      <c r="F122" s="138">
        <f>IFERROR(VLOOKUP(B122,'9-Feedstock Characteristics'!$A$8:$W$127,2,FALSE),"-")</f>
        <v>0.98</v>
      </c>
      <c r="G122" s="139">
        <f>IFERROR(VLOOKUP(B122,'9-Feedstock Characteristics'!$A$8:$W$127,3,FALSE),"-")</f>
        <v>2.0000000000000018E-2</v>
      </c>
      <c r="H122" s="139">
        <f>IFERROR(VLOOKUP(B122,'9-Feedstock Characteristics'!$A$8:$W$127,7,FALSE),"-")</f>
        <v>1.1333333333333343E-2</v>
      </c>
      <c r="I122" s="139">
        <f>IFERROR(VLOOKUP(B122,'9-Feedstock Characteristics'!$A$8:$W$127,8,FALSE),"-")</f>
        <v>8.6666666666666749E-3</v>
      </c>
      <c r="J122" s="139">
        <f>IFERROR(VLOOKUP(B122,'9-Feedstock Characteristics'!$A$8:$W$127,12,FALSE)/(1-F122),"-")</f>
        <v>0.13333333333333333</v>
      </c>
      <c r="K122" s="139">
        <f t="shared" si="19"/>
        <v>0.3116666666666667</v>
      </c>
      <c r="L122" s="139" t="str">
        <f>IF(C122=0,"-",IF(ReactorType="Dry",VLOOKUP(B122,'9-Feedstock Characteristics'!$A$8:$W$127,18,FALSE),VLOOKUP(B122,'9-Feedstock Characteristics'!$A$8:$W$127,18,FALSE)*((C122/(DensityofWater*VLOOKUP(B122,'9-Feedstock Characteristics'!$A$8:$W$127,19,FALSE)))/Chosen_Reactor_Volume)+DensityofWater*((Chosen_Reactor_Volume-(C122/(DensityofWater*VLOOKUP(B122,'9-Feedstock Characteristics'!$A$8:$W$127,19,FALSE))))/Chosen_Reactor_Volume)))</f>
        <v>-</v>
      </c>
      <c r="M122" s="139">
        <f>IFERROR(VLOOKUP(B122,'9-Feedstock Characteristics'!$A$8:$W$127,15,FALSE),"-")</f>
        <v>8.5300000000000001E-2</v>
      </c>
      <c r="N122" s="492">
        <f>IFERROR(VLOOKUP(B122,'9-Feedstock Characteristics'!$A$8:$W$127,14,FALSE),"-")</f>
        <v>1.9400000000000001E-2</v>
      </c>
      <c r="O122" s="140">
        <f>IFERROR(VLOOKUP(B122,'9-Feedstock Characteristics'!$A$8:$W$127,13,FALSE),"-")</f>
        <v>0.88663333333333327</v>
      </c>
    </row>
    <row r="123" spans="2:15" hidden="1">
      <c r="B123" s="137" t="s">
        <v>227</v>
      </c>
      <c r="C123" s="1">
        <f t="shared" si="18"/>
        <v>0</v>
      </c>
      <c r="F123" s="138" t="str">
        <f>IFERROR(VLOOKUP(B123,'9-Feedstock Characteristics'!$A$8:$W$127,2,FALSE),"-")</f>
        <v>-</v>
      </c>
      <c r="G123" s="139" t="str">
        <f>IFERROR(VLOOKUP(B123,'9-Feedstock Characteristics'!$A$8:$W$127,3,FALSE),"-")</f>
        <v>-</v>
      </c>
      <c r="H123" s="139" t="str">
        <f>IFERROR(VLOOKUP(B123,'9-Feedstock Characteristics'!$A$8:$W$127,7,FALSE),"-")</f>
        <v>-</v>
      </c>
      <c r="I123" s="139" t="str">
        <f>IFERROR(VLOOKUP(B123,'9-Feedstock Characteristics'!$A$8:$W$127,8,FALSE),"-")</f>
        <v>-</v>
      </c>
      <c r="J123" s="139" t="str">
        <f>IFERROR(VLOOKUP(B123,'9-Feedstock Characteristics'!$A$8:$W$127,12,FALSE)/(1-F123),"-")</f>
        <v>-</v>
      </c>
      <c r="K123" s="139" t="str">
        <f t="shared" si="19"/>
        <v/>
      </c>
      <c r="L123" s="139" t="str">
        <f>IF(C123=0,"-",IF(ReactorType="Dry",VLOOKUP(B123,'9-Feedstock Characteristics'!$A$8:$W$127,18,FALSE),VLOOKUP(B123,'9-Feedstock Characteristics'!$A$8:$W$127,18,FALSE)*((C123/(DensityofWater*VLOOKUP(B123,'9-Feedstock Characteristics'!$A$8:$W$127,19,FALSE)))/Chosen_Reactor_Volume)+DensityofWater*((Chosen_Reactor_Volume-(C123/(DensityofWater*VLOOKUP(B123,'9-Feedstock Characteristics'!$A$8:$W$127,19,FALSE))))/Chosen_Reactor_Volume)))</f>
        <v>-</v>
      </c>
      <c r="M123" s="139" t="str">
        <f>IFERROR(VLOOKUP(B123,'9-Feedstock Characteristics'!$A$8:$W$127,15,FALSE),"-")</f>
        <v>-</v>
      </c>
      <c r="N123" s="492" t="str">
        <f>IFERROR(VLOOKUP(B123,'9-Feedstock Characteristics'!$A$8:$W$127,14,FALSE),"-")</f>
        <v>-</v>
      </c>
      <c r="O123" s="140" t="str">
        <f>IFERROR(VLOOKUP(B123,'9-Feedstock Characteristics'!$A$8:$W$127,13,FALSE),"-")</f>
        <v>-</v>
      </c>
    </row>
    <row r="124" spans="2:15" hidden="1">
      <c r="B124" s="137" t="s">
        <v>228</v>
      </c>
      <c r="C124" s="1">
        <f t="shared" si="18"/>
        <v>0</v>
      </c>
      <c r="F124" s="138" t="str">
        <f>IFERROR(VLOOKUP(B124,'9-Feedstock Characteristics'!$A$8:$W$127,2,FALSE),"-")</f>
        <v>-</v>
      </c>
      <c r="G124" s="139" t="str">
        <f>IFERROR(VLOOKUP(B124,'9-Feedstock Characteristics'!$A$8:$W$127,3,FALSE),"-")</f>
        <v>-</v>
      </c>
      <c r="H124" s="139" t="str">
        <f>IFERROR(VLOOKUP(B124,'9-Feedstock Characteristics'!$A$8:$W$127,7,FALSE),"-")</f>
        <v>-</v>
      </c>
      <c r="I124" s="139" t="str">
        <f>IFERROR(VLOOKUP(B124,'9-Feedstock Characteristics'!$A$8:$W$127,8,FALSE),"-")</f>
        <v>-</v>
      </c>
      <c r="J124" s="139" t="str">
        <f>IFERROR(VLOOKUP(B124,'9-Feedstock Characteristics'!$A$8:$W$127,12,FALSE)/(1-F124),"-")</f>
        <v>-</v>
      </c>
      <c r="K124" s="139" t="str">
        <f t="shared" si="19"/>
        <v/>
      </c>
      <c r="L124" s="139" t="str">
        <f>IF(C124=0,"-",IF(ReactorType="Dry",VLOOKUP(B124,'9-Feedstock Characteristics'!$A$8:$W$127,18,FALSE),VLOOKUP(B124,'9-Feedstock Characteristics'!$A$8:$W$127,18,FALSE)*((C124/(DensityofWater*VLOOKUP(B124,'9-Feedstock Characteristics'!$A$8:$W$127,19,FALSE)))/Chosen_Reactor_Volume)+DensityofWater*((Chosen_Reactor_Volume-(C124/(DensityofWater*VLOOKUP(B124,'9-Feedstock Characteristics'!$A$8:$W$127,19,FALSE))))/Chosen_Reactor_Volume)))</f>
        <v>-</v>
      </c>
      <c r="M124" s="139" t="str">
        <f>IFERROR(VLOOKUP(B124,'9-Feedstock Characteristics'!$A$8:$W$127,15,FALSE),"-")</f>
        <v>-</v>
      </c>
      <c r="N124" s="492" t="str">
        <f>IFERROR(VLOOKUP(B124,'9-Feedstock Characteristics'!$A$8:$W$127,14,FALSE),"-")</f>
        <v>-</v>
      </c>
      <c r="O124" s="140" t="str">
        <f>IFERROR(VLOOKUP(B124,'9-Feedstock Characteristics'!$A$8:$W$127,13,FALSE),"-")</f>
        <v>-</v>
      </c>
    </row>
    <row r="125" spans="2:15" hidden="1">
      <c r="B125" s="137" t="s">
        <v>61</v>
      </c>
      <c r="C125" s="1">
        <f t="shared" si="18"/>
        <v>0</v>
      </c>
      <c r="F125" s="138">
        <f>IFERROR(VLOOKUP(B125,'9-Feedstock Characteristics'!$A$8:$W$127,2,FALSE),"-")</f>
        <v>0.38200000000000001</v>
      </c>
      <c r="G125" s="139">
        <f>IFERROR(VLOOKUP(B125,'9-Feedstock Characteristics'!$A$8:$W$127,3,FALSE),"-")</f>
        <v>0.61799999999999999</v>
      </c>
      <c r="H125" s="139">
        <f>IFERROR(VLOOKUP(B125,'9-Feedstock Characteristics'!$A$8:$W$127,7,FALSE),"-")</f>
        <v>0.55743600000000004</v>
      </c>
      <c r="I125" s="139">
        <f>IFERROR(VLOOKUP(B125,'9-Feedstock Characteristics'!$A$8:$W$127,8,FALSE),"-")</f>
        <v>6.0563999999999951E-2</v>
      </c>
      <c r="J125" s="139">
        <f>IFERROR(VLOOKUP(B125,'9-Feedstock Characteristics'!$A$8:$W$127,12,FALSE)/(1-F125),"-")</f>
        <v>1.4563106796116504E-2</v>
      </c>
      <c r="K125" s="139">
        <f t="shared" si="19"/>
        <v>0.49610000000000004</v>
      </c>
      <c r="L125" s="139" t="str">
        <f>IF(C125=0,"-",IF(ReactorType="Dry",VLOOKUP(B125,'9-Feedstock Characteristics'!$A$8:$W$127,18,FALSE),VLOOKUP(B125,'9-Feedstock Characteristics'!$A$8:$W$127,18,FALSE)*((C125/(DensityofWater*VLOOKUP(B125,'9-Feedstock Characteristics'!$A$8:$W$127,19,FALSE)))/Chosen_Reactor_Volume)+DensityofWater*((Chosen_Reactor_Volume-(C125/(DensityofWater*VLOOKUP(B125,'9-Feedstock Characteristics'!$A$8:$W$127,19,FALSE))))/Chosen_Reactor_Volume)))</f>
        <v>-</v>
      </c>
      <c r="M125" s="139">
        <f>IFERROR(VLOOKUP(B125,'9-Feedstock Characteristics'!$A$8:$W$127,15,FALSE),"-")</f>
        <v>8.6500000000000007E-2</v>
      </c>
      <c r="N125" s="492">
        <f>IFERROR(VLOOKUP(B125,'9-Feedstock Characteristics'!$A$8:$W$127,14,FALSE),"-")</f>
        <v>4.8500000000000001E-2</v>
      </c>
      <c r="O125" s="140">
        <f>IFERROR(VLOOKUP(B125,'9-Feedstock Characteristics'!$A$8:$W$127,13,FALSE),"-")</f>
        <v>0.80443600000000004</v>
      </c>
    </row>
    <row r="126" spans="2:15" ht="14.25" hidden="1" customHeight="1">
      <c r="B126" s="137" t="s">
        <v>31</v>
      </c>
      <c r="C126" s="1">
        <f t="shared" si="18"/>
        <v>0</v>
      </c>
      <c r="F126" s="138">
        <f>IFERROR(VLOOKUP(B126,'9-Feedstock Characteristics'!$A$8:$W$127,2,FALSE),"-")</f>
        <v>0.57999999999999996</v>
      </c>
      <c r="G126" s="139">
        <f>IFERROR(VLOOKUP(B126,'9-Feedstock Characteristics'!$A$8:$W$127,3,FALSE),"-")</f>
        <v>0.42000000000000004</v>
      </c>
      <c r="H126" s="139">
        <f>IFERROR(VLOOKUP(B126,'9-Feedstock Characteristics'!$A$8:$W$127,7,FALSE),"-")</f>
        <v>0.38220000000000004</v>
      </c>
      <c r="I126" s="139">
        <f>IFERROR(VLOOKUP(B126,'9-Feedstock Characteristics'!$A$8:$W$127,8,FALSE),"-")</f>
        <v>3.78E-2</v>
      </c>
      <c r="J126" s="139">
        <f>IFERROR(VLOOKUP(B126,'9-Feedstock Characteristics'!$A$8:$W$127,12,FALSE)/(1-F126),"-")</f>
        <v>5.3571428571428562E-2</v>
      </c>
      <c r="K126" s="139">
        <f t="shared" si="19"/>
        <v>0.50050000000000006</v>
      </c>
      <c r="L126" s="139" t="str">
        <f>IF(C126=0,"-",IF(ReactorType="Dry",VLOOKUP(B126,'9-Feedstock Characteristics'!$A$8:$W$127,18,FALSE),VLOOKUP(B126,'9-Feedstock Characteristics'!$A$8:$W$127,18,FALSE)*((C126/(DensityofWater*VLOOKUP(B126,'9-Feedstock Characteristics'!$A$8:$W$127,19,FALSE)))/Chosen_Reactor_Volume)+DensityofWater*((Chosen_Reactor_Volume-(C126/(DensityofWater*VLOOKUP(B126,'9-Feedstock Characteristics'!$A$8:$W$127,19,FALSE))))/Chosen_Reactor_Volume)))</f>
        <v>-</v>
      </c>
      <c r="M126" s="139">
        <f>IFERROR(VLOOKUP(B126,'9-Feedstock Characteristics'!$A$8:$W$127,15,FALSE),"-")</f>
        <v>3.9899999999999998E-2</v>
      </c>
      <c r="N126" s="492">
        <f>IFERROR(VLOOKUP(B126,'9-Feedstock Characteristics'!$A$8:$W$127,14,FALSE),"-")</f>
        <v>6.8999999999999999E-3</v>
      </c>
      <c r="O126" s="140">
        <f>IFERROR(VLOOKUP(B126,'9-Feedstock Characteristics'!$A$8:$W$127,13,FALSE),"-")</f>
        <v>0.91539999999999999</v>
      </c>
    </row>
    <row r="127" spans="2:15" hidden="1">
      <c r="B127" s="137" t="s">
        <v>229</v>
      </c>
      <c r="C127" s="1">
        <f t="shared" si="18"/>
        <v>0</v>
      </c>
      <c r="F127" s="138" t="str">
        <f>IFERROR(VLOOKUP(B127,'9-Feedstock Characteristics'!$A$8:$W$127,2,FALSE),"-")</f>
        <v>-</v>
      </c>
      <c r="G127" s="139" t="str">
        <f>IFERROR(VLOOKUP(B127,'9-Feedstock Characteristics'!$A$8:$W$127,3,FALSE),"-")</f>
        <v>-</v>
      </c>
      <c r="H127" s="139" t="str">
        <f>IFERROR(VLOOKUP(B127,'9-Feedstock Characteristics'!$A$8:$W$127,7,FALSE),"-")</f>
        <v>-</v>
      </c>
      <c r="I127" s="139" t="str">
        <f>IFERROR(VLOOKUP(B127,'9-Feedstock Characteristics'!$A$8:$W$127,8,FALSE),"-")</f>
        <v>-</v>
      </c>
      <c r="J127" s="139" t="str">
        <f>IFERROR(VLOOKUP(B127,'9-Feedstock Characteristics'!$A$8:$W$127,12,FALSE)/(1-F127),"-")</f>
        <v>-</v>
      </c>
      <c r="K127" s="139" t="str">
        <f t="shared" si="19"/>
        <v/>
      </c>
      <c r="L127" s="139" t="str">
        <f>IF(C127=0,"-",IF(ReactorType="Dry",VLOOKUP(B127,'9-Feedstock Characteristics'!$A$8:$W$127,18,FALSE),VLOOKUP(B127,'9-Feedstock Characteristics'!$A$8:$W$127,18,FALSE)*((C127/(DensityofWater*VLOOKUP(B127,'9-Feedstock Characteristics'!$A$8:$W$127,19,FALSE)))/Chosen_Reactor_Volume)+DensityofWater*((Chosen_Reactor_Volume-(C127/(DensityofWater*VLOOKUP(B127,'9-Feedstock Characteristics'!$A$8:$W$127,19,FALSE))))/Chosen_Reactor_Volume)))</f>
        <v>-</v>
      </c>
      <c r="M127" s="139" t="str">
        <f>IFERROR(VLOOKUP(B127,'9-Feedstock Characteristics'!$A$8:$W$127,15,FALSE),"-")</f>
        <v>-</v>
      </c>
      <c r="N127" s="492" t="str">
        <f>IFERROR(VLOOKUP(B127,'9-Feedstock Characteristics'!$A$8:$W$127,14,FALSE),"-")</f>
        <v>-</v>
      </c>
      <c r="O127" s="140" t="str">
        <f>IFERROR(VLOOKUP(B127,'9-Feedstock Characteristics'!$A$8:$W$127,13,FALSE),"-")</f>
        <v>-</v>
      </c>
    </row>
    <row r="128" spans="2:15" hidden="1">
      <c r="B128" s="137" t="s">
        <v>230</v>
      </c>
      <c r="C128" s="1">
        <f t="shared" si="18"/>
        <v>0</v>
      </c>
      <c r="F128" s="138" t="str">
        <f>IFERROR(VLOOKUP(B128,'9-Feedstock Characteristics'!$A$8:$W$127,2,FALSE),"-")</f>
        <v>-</v>
      </c>
      <c r="G128" s="139" t="str">
        <f>IFERROR(VLOOKUP(B128,'9-Feedstock Characteristics'!$A$8:$W$127,3,FALSE),"-")</f>
        <v>-</v>
      </c>
      <c r="H128" s="139" t="str">
        <f>IFERROR(VLOOKUP(B128,'9-Feedstock Characteristics'!$A$8:$W$127,7,FALSE),"-")</f>
        <v>-</v>
      </c>
      <c r="I128" s="139" t="str">
        <f>IFERROR(VLOOKUP(B128,'9-Feedstock Characteristics'!$A$8:$W$127,8,FALSE),"-")</f>
        <v>-</v>
      </c>
      <c r="J128" s="139" t="str">
        <f>IFERROR(VLOOKUP(B128,'9-Feedstock Characteristics'!$A$8:$W$127,12,FALSE)/(1-F128),"-")</f>
        <v>-</v>
      </c>
      <c r="K128" s="139" t="str">
        <f t="shared" si="19"/>
        <v/>
      </c>
      <c r="L128" s="139" t="str">
        <f>IF(C128=0,"-",IF(ReactorType="Dry",VLOOKUP(B128,'9-Feedstock Characteristics'!$A$8:$W$127,18,FALSE),VLOOKUP(B128,'9-Feedstock Characteristics'!$A$8:$W$127,18,FALSE)*((C128/(DensityofWater*VLOOKUP(B128,'9-Feedstock Characteristics'!$A$8:$W$127,19,FALSE)))/Chosen_Reactor_Volume)+DensityofWater*((Chosen_Reactor_Volume-(C128/(DensityofWater*VLOOKUP(B128,'9-Feedstock Characteristics'!$A$8:$W$127,19,FALSE))))/Chosen_Reactor_Volume)))</f>
        <v>-</v>
      </c>
      <c r="M128" s="139" t="str">
        <f>IFERROR(VLOOKUP(B128,'9-Feedstock Characteristics'!$A$8:$W$127,15,FALSE),"-")</f>
        <v>-</v>
      </c>
      <c r="N128" s="492" t="str">
        <f>IFERROR(VLOOKUP(B128,'9-Feedstock Characteristics'!$A$8:$W$127,14,FALSE),"-")</f>
        <v>-</v>
      </c>
      <c r="O128" s="140" t="str">
        <f>IFERROR(VLOOKUP(B128,'9-Feedstock Characteristics'!$A$8:$W$127,13,FALSE),"-")</f>
        <v>-</v>
      </c>
    </row>
    <row r="129" spans="2:15" hidden="1">
      <c r="B129" s="137" t="s">
        <v>231</v>
      </c>
      <c r="C129" s="1">
        <f t="shared" si="18"/>
        <v>0</v>
      </c>
      <c r="F129" s="138" t="str">
        <f>IFERROR(VLOOKUP(B129,'9-Feedstock Characteristics'!$A$8:$W$127,2,FALSE),"-")</f>
        <v>-</v>
      </c>
      <c r="G129" s="139" t="str">
        <f>IFERROR(VLOOKUP(B129,'9-Feedstock Characteristics'!$A$8:$W$127,3,FALSE),"-")</f>
        <v>-</v>
      </c>
      <c r="H129" s="139" t="str">
        <f>IFERROR(VLOOKUP(B129,'9-Feedstock Characteristics'!$A$8:$W$127,7,FALSE),"-")</f>
        <v>-</v>
      </c>
      <c r="I129" s="139" t="str">
        <f>IFERROR(VLOOKUP(B129,'9-Feedstock Characteristics'!$A$8:$W$127,8,FALSE),"-")</f>
        <v>-</v>
      </c>
      <c r="J129" s="139" t="str">
        <f>IFERROR(VLOOKUP(B129,'9-Feedstock Characteristics'!$A$8:$W$127,12,FALSE)/(1-F129),"-")</f>
        <v>-</v>
      </c>
      <c r="K129" s="139" t="str">
        <f t="shared" si="19"/>
        <v/>
      </c>
      <c r="L129" s="139" t="str">
        <f>IF(C129=0,"-",IF(ReactorType="Dry",VLOOKUP(B129,'9-Feedstock Characteristics'!$A$8:$W$127,18,FALSE),VLOOKUP(B129,'9-Feedstock Characteristics'!$A$8:$W$127,18,FALSE)*((C129/(DensityofWater*VLOOKUP(B129,'9-Feedstock Characteristics'!$A$8:$W$127,19,FALSE)))/Chosen_Reactor_Volume)+DensityofWater*((Chosen_Reactor_Volume-(C129/(DensityofWater*VLOOKUP(B129,'9-Feedstock Characteristics'!$A$8:$W$127,19,FALSE))))/Chosen_Reactor_Volume)))</f>
        <v>-</v>
      </c>
      <c r="M129" s="139" t="str">
        <f>IFERROR(VLOOKUP(B129,'9-Feedstock Characteristics'!$A$8:$W$127,15,FALSE),"-")</f>
        <v>-</v>
      </c>
      <c r="N129" s="492" t="str">
        <f>IFERROR(VLOOKUP(B129,'9-Feedstock Characteristics'!$A$8:$W$127,14,FALSE),"-")</f>
        <v>-</v>
      </c>
      <c r="O129" s="140" t="str">
        <f>IFERROR(VLOOKUP(B129,'9-Feedstock Characteristics'!$A$8:$W$127,13,FALSE),"-")</f>
        <v>-</v>
      </c>
    </row>
    <row r="130" spans="2:15" ht="14.5" hidden="1" thickBot="1">
      <c r="B130" s="141" t="s">
        <v>104</v>
      </c>
      <c r="C130" s="142">
        <f t="shared" si="18"/>
        <v>0</v>
      </c>
      <c r="D130" s="142"/>
      <c r="E130" s="142"/>
      <c r="F130" s="143">
        <f>IFERROR(VLOOKUP(B130,'9-Feedstock Characteristics'!$A$8:$W$127,2,FALSE),"-")</f>
        <v>0.9</v>
      </c>
      <c r="G130" s="144">
        <f>IFERROR(VLOOKUP(B130,'9-Feedstock Characteristics'!$A$8:$W$127,3,FALSE),"-")</f>
        <v>9.9999999999999978E-2</v>
      </c>
      <c r="H130" s="144">
        <f>IFERROR(VLOOKUP(B130,'9-Feedstock Characteristics'!$A$8:$W$127,7,FALSE),"-")</f>
        <v>8.7999999999999995E-2</v>
      </c>
      <c r="I130" s="144">
        <f>IFERROR(VLOOKUP(B130,'9-Feedstock Characteristics'!$A$8:$W$127,8,FALSE),"-")</f>
        <v>1.1999999999999983E-2</v>
      </c>
      <c r="J130" s="144">
        <f>IFERROR(VLOOKUP(B130,'9-Feedstock Characteristics'!$A$8:$W$127,12,FALSE)/(1-F130),"-")</f>
        <v>9.1999999999999998E-2</v>
      </c>
      <c r="K130" s="144">
        <f t="shared" si="19"/>
        <v>0.4840000000000001</v>
      </c>
      <c r="L130" s="144" t="str">
        <f>IF(C130=0,"-",IF(ReactorType="Dry",VLOOKUP(B130,'9-Feedstock Characteristics'!$A$8:$W$127,18,FALSE),VLOOKUP(B130,'9-Feedstock Characteristics'!$A$8:$W$127,18,FALSE)*((C130/(DensityofWater*VLOOKUP(B130,'9-Feedstock Characteristics'!$A$8:$W$127,19,FALSE)))/Chosen_Reactor_Volume)+DensityofWater*((Chosen_Reactor_Volume-(C130/(DensityofWater*VLOOKUP(B130,'9-Feedstock Characteristics'!$A$8:$W$127,19,FALSE))))/Chosen_Reactor_Volume)))</f>
        <v>-</v>
      </c>
      <c r="M130" s="144">
        <f>IFERROR(VLOOKUP(B130,'9-Feedstock Characteristics'!$A$8:$W$127,15,FALSE),"-")</f>
        <v>9.3899999999999997E-2</v>
      </c>
      <c r="N130" s="493">
        <f>IFERROR(VLOOKUP(B130,'9-Feedstock Characteristics'!$A$8:$W$127,14,FALSE),"-")</f>
        <v>2.2100000000000002E-2</v>
      </c>
      <c r="O130" s="145">
        <f>IFERROR(VLOOKUP(B130,'9-Feedstock Characteristics'!$A$8:$W$127,13,FALSE),"-")</f>
        <v>0.872</v>
      </c>
    </row>
    <row r="131" spans="2:15" hidden="1">
      <c r="N131" s="16"/>
    </row>
    <row r="132" spans="2:15" hidden="1">
      <c r="B132" s="5"/>
      <c r="N132" s="16"/>
    </row>
    <row r="133" spans="2:15" hidden="1">
      <c r="B133" s="5"/>
      <c r="N133" s="16"/>
    </row>
    <row r="134" spans="2:15" hidden="1">
      <c r="B134" s="5"/>
      <c r="N134" s="16"/>
    </row>
    <row r="135" spans="2:15" ht="15.5" hidden="1">
      <c r="B135" s="146" t="s">
        <v>232</v>
      </c>
      <c r="C135" s="147"/>
      <c r="N135" s="16"/>
    </row>
    <row r="136" spans="2:15" hidden="1">
      <c r="B136" s="57" t="str">
        <f>B17</f>
        <v>Calf</v>
      </c>
      <c r="C136" s="58"/>
      <c r="D136" s="58">
        <v>10000</v>
      </c>
      <c r="N136" s="16"/>
    </row>
    <row r="137" spans="2:15" hidden="1">
      <c r="B137" s="57" t="str">
        <f t="shared" ref="B137:B150" si="20">B18</f>
        <v>Adolescents Pigs</v>
      </c>
      <c r="C137" s="58"/>
      <c r="D137" s="58">
        <v>10000</v>
      </c>
      <c r="N137" s="16"/>
    </row>
    <row r="138" spans="2:15" hidden="1">
      <c r="B138" s="57" t="str">
        <f t="shared" si="20"/>
        <v>Poultry Chicken</v>
      </c>
      <c r="C138" s="58"/>
      <c r="D138" s="58">
        <v>10000</v>
      </c>
      <c r="N138" s="16"/>
    </row>
    <row r="139" spans="2:15" hidden="1">
      <c r="B139" s="57">
        <f t="shared" si="20"/>
        <v>0</v>
      </c>
      <c r="C139" s="58"/>
      <c r="D139" s="58">
        <v>10000</v>
      </c>
      <c r="N139" s="16"/>
    </row>
    <row r="140" spans="2:15" hidden="1">
      <c r="B140" s="57">
        <f t="shared" ref="B140:B149" si="21">B21</f>
        <v>0</v>
      </c>
      <c r="C140" s="58"/>
      <c r="D140" s="58">
        <v>10000</v>
      </c>
      <c r="N140" s="16"/>
    </row>
    <row r="141" spans="2:15" hidden="1">
      <c r="B141" s="57">
        <f t="shared" si="21"/>
        <v>0</v>
      </c>
      <c r="C141" s="58"/>
      <c r="D141" s="58">
        <v>10000</v>
      </c>
      <c r="N141" s="16"/>
    </row>
    <row r="142" spans="2:15" hidden="1">
      <c r="B142" s="57">
        <f t="shared" si="21"/>
        <v>0</v>
      </c>
      <c r="C142" s="58"/>
      <c r="D142" s="58">
        <v>0</v>
      </c>
      <c r="N142" s="16"/>
    </row>
    <row r="143" spans="2:15" hidden="1">
      <c r="B143" s="57">
        <f t="shared" si="21"/>
        <v>0</v>
      </c>
      <c r="C143" s="58"/>
      <c r="D143" s="58">
        <v>0</v>
      </c>
      <c r="N143" s="16"/>
    </row>
    <row r="144" spans="2:15" hidden="1">
      <c r="B144" s="57">
        <f t="shared" si="21"/>
        <v>0</v>
      </c>
      <c r="C144" s="58"/>
      <c r="D144" s="58">
        <v>0</v>
      </c>
      <c r="N144" s="16"/>
    </row>
    <row r="145" spans="2:14" hidden="1">
      <c r="B145" s="57">
        <f t="shared" si="21"/>
        <v>0</v>
      </c>
      <c r="C145" s="58"/>
      <c r="D145" s="58">
        <v>0</v>
      </c>
      <c r="N145" s="16"/>
    </row>
    <row r="146" spans="2:14" hidden="1">
      <c r="B146" s="57">
        <f t="shared" si="21"/>
        <v>0</v>
      </c>
      <c r="C146" s="58"/>
      <c r="D146" s="58">
        <v>0</v>
      </c>
      <c r="N146" s="16"/>
    </row>
    <row r="147" spans="2:14" hidden="1">
      <c r="B147" s="57">
        <f t="shared" si="21"/>
        <v>0</v>
      </c>
      <c r="C147" s="58"/>
      <c r="D147" s="58">
        <v>0</v>
      </c>
      <c r="N147" s="16"/>
    </row>
    <row r="148" spans="2:14" hidden="1">
      <c r="B148" s="57">
        <f t="shared" si="21"/>
        <v>0</v>
      </c>
      <c r="C148" s="58"/>
      <c r="D148" s="58">
        <v>0</v>
      </c>
      <c r="N148" s="16"/>
    </row>
    <row r="149" spans="2:14" hidden="1">
      <c r="B149" s="57">
        <f t="shared" si="21"/>
        <v>0</v>
      </c>
      <c r="C149" s="58"/>
      <c r="D149" s="58">
        <v>0</v>
      </c>
      <c r="N149" s="16"/>
    </row>
    <row r="150" spans="2:14" hidden="1">
      <c r="B150" s="57">
        <f t="shared" si="20"/>
        <v>0</v>
      </c>
      <c r="C150" s="58"/>
      <c r="D150" s="58">
        <v>0</v>
      </c>
      <c r="N150" s="16"/>
    </row>
    <row r="151" spans="2:14" hidden="1">
      <c r="B151" s="5" t="s">
        <v>204</v>
      </c>
      <c r="C151" s="148"/>
      <c r="D151" s="148">
        <f>SUM(D136:D150)</f>
        <v>60000</v>
      </c>
      <c r="N151" s="16"/>
    </row>
    <row r="152" spans="2:14">
      <c r="B152" s="5"/>
      <c r="N152" s="16"/>
    </row>
    <row r="153" spans="2:14">
      <c r="B153" s="5"/>
      <c r="N153" s="16"/>
    </row>
    <row r="154" spans="2:14">
      <c r="B154" s="5"/>
      <c r="N154" s="16"/>
    </row>
    <row r="155" spans="2:14">
      <c r="B155" s="5"/>
      <c r="N155" s="16"/>
    </row>
    <row r="156" spans="2:14">
      <c r="B156" s="5"/>
      <c r="N156" s="16"/>
    </row>
    <row r="157" spans="2:14">
      <c r="B157" s="5"/>
      <c r="N157" s="16"/>
    </row>
    <row r="158" spans="2:14">
      <c r="B158" s="5"/>
      <c r="N158" s="16"/>
    </row>
    <row r="159" spans="2:14">
      <c r="B159" s="5"/>
      <c r="N159" s="16"/>
    </row>
    <row r="160" spans="2:14">
      <c r="B160" s="5"/>
    </row>
    <row r="161" spans="2:2">
      <c r="B161" s="5"/>
    </row>
    <row r="162" spans="2:2">
      <c r="B162" s="5"/>
    </row>
    <row r="163" spans="2:2">
      <c r="B163" s="5"/>
    </row>
    <row r="164" spans="2:2">
      <c r="B164" s="5"/>
    </row>
    <row r="165" spans="2:2">
      <c r="B165" s="5"/>
    </row>
    <row r="166" spans="2:2">
      <c r="B166" s="5"/>
    </row>
    <row r="167" spans="2:2">
      <c r="B167" s="5"/>
    </row>
    <row r="168" spans="2:2">
      <c r="B168" s="5"/>
    </row>
    <row r="169" spans="2:2">
      <c r="B169" s="5"/>
    </row>
    <row r="170" spans="2:2">
      <c r="B170" s="5"/>
    </row>
    <row r="171" spans="2:2">
      <c r="B171" s="5"/>
    </row>
    <row r="172" spans="2:2">
      <c r="B172" s="5"/>
    </row>
    <row r="173" spans="2:2">
      <c r="B173" s="5"/>
    </row>
    <row r="174" spans="2:2">
      <c r="B174" s="5"/>
    </row>
    <row r="175" spans="2:2">
      <c r="B175" s="5"/>
    </row>
    <row r="176" spans="2:2">
      <c r="B176" s="5"/>
    </row>
    <row r="177" spans="2:2">
      <c r="B177" s="5"/>
    </row>
    <row r="178" spans="2:2">
      <c r="B178" s="5"/>
    </row>
    <row r="179" spans="2:2">
      <c r="B179" s="5"/>
    </row>
    <row r="180" spans="2:2">
      <c r="B180" s="5"/>
    </row>
    <row r="181" spans="2:2">
      <c r="B181" s="5"/>
    </row>
    <row r="182" spans="2:2">
      <c r="B182" s="5"/>
    </row>
    <row r="183" spans="2:2">
      <c r="B183" s="5"/>
    </row>
    <row r="184" spans="2:2">
      <c r="B184" s="5"/>
    </row>
    <row r="185" spans="2:2">
      <c r="B185" s="5"/>
    </row>
    <row r="186" spans="2:2">
      <c r="B186" s="5"/>
    </row>
    <row r="187" spans="2:2">
      <c r="B187" s="5"/>
    </row>
    <row r="188" spans="2:2">
      <c r="B188" s="5"/>
    </row>
  </sheetData>
  <sheetProtection selectLockedCells="1"/>
  <sortState ref="B102:B196">
    <sortCondition ref="B101"/>
  </sortState>
  <dataConsolidate/>
  <mergeCells count="20">
    <mergeCell ref="A14:E14"/>
    <mergeCell ref="A15:E15"/>
    <mergeCell ref="E40:F40"/>
    <mergeCell ref="E35:F35"/>
    <mergeCell ref="E39:F39"/>
    <mergeCell ref="F14:O14"/>
    <mergeCell ref="C96:G96"/>
    <mergeCell ref="F15:Q15"/>
    <mergeCell ref="B54:D54"/>
    <mergeCell ref="B45:C45"/>
    <mergeCell ref="B44:C44"/>
    <mergeCell ref="D42:F42"/>
    <mergeCell ref="E34:F34"/>
    <mergeCell ref="E36:F36"/>
    <mergeCell ref="E37:F37"/>
    <mergeCell ref="E38:F38"/>
    <mergeCell ref="E41:F41"/>
    <mergeCell ref="E44:F44"/>
    <mergeCell ref="E45:F45"/>
    <mergeCell ref="E43:F43"/>
  </mergeCells>
  <conditionalFormatting sqref="D52 D50 D44:D45">
    <cfRule type="containsText" dxfId="11" priority="6" operator="containsText" text="No">
      <formula>NOT(ISERROR(SEARCH("No",D44)))</formula>
    </cfRule>
  </conditionalFormatting>
  <conditionalFormatting sqref="D13">
    <cfRule type="expression" dxfId="10" priority="5">
      <formula>$D$13="ERROR"</formula>
    </cfRule>
  </conditionalFormatting>
  <conditionalFormatting sqref="E13">
    <cfRule type="expression" dxfId="9" priority="4">
      <formula>$D$13="Error"</formula>
    </cfRule>
  </conditionalFormatting>
  <conditionalFormatting sqref="L3">
    <cfRule type="expression" dxfId="8" priority="3">
      <formula>$D$13="Error"</formula>
    </cfRule>
  </conditionalFormatting>
  <conditionalFormatting sqref="B13">
    <cfRule type="expression" dxfId="7" priority="2">
      <formula>$D$13="Error"</formula>
    </cfRule>
  </conditionalFormatting>
  <conditionalFormatting sqref="C12">
    <cfRule type="expression" dxfId="6" priority="1">
      <formula>$C$11="No"</formula>
    </cfRule>
  </conditionalFormatting>
  <dataValidations xWindow="633" yWindow="692" count="11">
    <dataValidation type="list" allowBlank="1" showInputMessage="1" showErrorMessage="1" sqref="C11">
      <formula1>"CHOOSE ONE,Yes, No"</formula1>
    </dataValidation>
    <dataValidation type="list" allowBlank="1" showInputMessage="1" showErrorMessage="1" promptTitle="Note: " prompt="- Wet AD Systems generally contain &lt;15% Total Solids, the main component of the feedstock is water._x000a_- Dry AD Systems generally contain 15% to 40% Total Solids._x000a__x000a_Wet is used as the default System Type, but the user may override to select a Dry System." sqref="C9">
      <formula1>"CHOOSE ONE, Wet, Dry"</formula1>
    </dataValidation>
    <dataValidation type="list" allowBlank="1" showInputMessage="1" showErrorMessage="1" promptTitle="Temperature Range Definitions" prompt="- Unheated/Ambient (10 - 20 ˚C; 50 - 68 ˚F)_x000a_- Mesophilic (30 - 40 ˚C, 86 - 104 ˚F)_x000a_- Thermophilic (50 - 60 ˚C, 122 - 140 ˚F)_x000a__x000a_Mesophilic is used as the Default value. The user may choose to override._x000a_Source: AgSTAR Project Development Handbook " sqref="C10">
      <formula1>"Unheated/Ambient, Mesophilic, Thermophilic"</formula1>
    </dataValidation>
    <dataValidation type="decimal" allowBlank="1" showInputMessage="1" showErrorMessage="1" sqref="C12 C58:C61">
      <formula1>0</formula1>
      <formula2>1</formula2>
    </dataValidation>
    <dataValidation type="list" allowBlank="1" showInputMessage="1" showErrorMessage="1" sqref="C56">
      <formula1>$D$97:$G$97</formula1>
    </dataValidation>
    <dataValidation allowBlank="1" showInputMessage="1" showErrorMessage="1" promptTitle="Default Background" prompt="This default assumes a biogas cook stove consumes 300 liters biogas per person per day." sqref="C68"/>
    <dataValidation allowBlank="1" showInputMessage="1" showErrorMessage="1" promptTitle="Default Background" prompt="This default assumes a household heater consumes 200 liters per hour and burns gas for two hours per day." sqref="C69"/>
    <dataValidation allowBlank="1" showInputMessage="1" showErrorMessage="1" promptTitle="Default Background" prompt="This default assumes one gas lamp is on for 10 hours per day and consumes 150 liters per hour." sqref="C70"/>
    <dataValidation allowBlank="1" showInputMessage="1" showErrorMessage="1" promptTitle="Energy Content of Biogas" prompt="Biogas' average methane content ranges from 50-75%. This implies the energy content of biogas may range from 6 to 6.5 kWh/cubic meter." sqref="C67"/>
    <dataValidation type="list" allowBlank="1" showInputMessage="1" showErrorMessage="1" sqref="A17:A31">
      <formula1>FeedstockList</formula1>
    </dataValidation>
    <dataValidation type="list" allowBlank="1" showInputMessage="1" showErrorMessage="1" sqref="B17:B31">
      <formula1>INDIRECT(A17)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4" r:id="rId4" name="Button 20">
              <controlPr defaultSize="0" print="0" autoFill="0" autoPict="0" macro="[0]!ResetEnergyConsumption">
                <anchor moveWithCells="1" sizeWithCells="1">
                  <from>
                    <xdr:col>4</xdr:col>
                    <xdr:colOff>107950</xdr:colOff>
                    <xdr:row>64</xdr:row>
                    <xdr:rowOff>0</xdr:rowOff>
                  </from>
                  <to>
                    <xdr:col>4</xdr:col>
                    <xdr:colOff>2209800</xdr:colOff>
                    <xdr:row>66</xdr:row>
                    <xdr:rowOff>69850</xdr:rowOff>
                  </to>
                </anchor>
              </controlPr>
            </control>
          </mc:Choice>
        </mc:AlternateContent>
        <mc:AlternateContent xmlns:mc="http://schemas.openxmlformats.org/markup-compatibility/2006">
          <mc:Choice Requires="x14">
            <control shapeId="1051" r:id="rId5" name="Button 27">
              <controlPr defaultSize="0" print="0" autoFill="0" autoPict="0" macro="[0]!MoistureContentReset">
                <anchor moveWithCells="1" sizeWithCells="1">
                  <from>
                    <xdr:col>5</xdr:col>
                    <xdr:colOff>215900</xdr:colOff>
                    <xdr:row>32</xdr:row>
                    <xdr:rowOff>215900</xdr:rowOff>
                  </from>
                  <to>
                    <xdr:col>5</xdr:col>
                    <xdr:colOff>1892300</xdr:colOff>
                    <xdr:row>32</xdr:row>
                    <xdr:rowOff>622300</xdr:rowOff>
                  </to>
                </anchor>
              </controlPr>
            </control>
          </mc:Choice>
        </mc:AlternateContent>
        <mc:AlternateContent xmlns:mc="http://schemas.openxmlformats.org/markup-compatibility/2006">
          <mc:Choice Requires="x14">
            <control shapeId="1052" r:id="rId6" name="Button 28">
              <controlPr defaultSize="0" print="0" autoFill="0" autoPict="0" macro="[0]!TotalSolidsReset">
                <anchor moveWithCells="1" sizeWithCells="1">
                  <from>
                    <xdr:col>6</xdr:col>
                    <xdr:colOff>177800</xdr:colOff>
                    <xdr:row>32</xdr:row>
                    <xdr:rowOff>203200</xdr:rowOff>
                  </from>
                  <to>
                    <xdr:col>6</xdr:col>
                    <xdr:colOff>1854200</xdr:colOff>
                    <xdr:row>32</xdr:row>
                    <xdr:rowOff>609600</xdr:rowOff>
                  </to>
                </anchor>
              </controlPr>
            </control>
          </mc:Choice>
        </mc:AlternateContent>
        <mc:AlternateContent xmlns:mc="http://schemas.openxmlformats.org/markup-compatibility/2006">
          <mc:Choice Requires="x14">
            <control shapeId="1053" r:id="rId7" name="Button 29">
              <controlPr defaultSize="0" print="0" autoFill="0" autoPict="0" macro="[0]!VolatileSolidsReset">
                <anchor moveWithCells="1" sizeWithCells="1">
                  <from>
                    <xdr:col>7</xdr:col>
                    <xdr:colOff>323850</xdr:colOff>
                    <xdr:row>32</xdr:row>
                    <xdr:rowOff>203200</xdr:rowOff>
                  </from>
                  <to>
                    <xdr:col>7</xdr:col>
                    <xdr:colOff>2012950</xdr:colOff>
                    <xdr:row>32</xdr:row>
                    <xdr:rowOff>609600</xdr:rowOff>
                  </to>
                </anchor>
              </controlPr>
            </control>
          </mc:Choice>
        </mc:AlternateContent>
        <mc:AlternateContent xmlns:mc="http://schemas.openxmlformats.org/markup-compatibility/2006">
          <mc:Choice Requires="x14">
            <control shapeId="1054" r:id="rId8" name="Button 30">
              <controlPr defaultSize="0" print="0" autoFill="0" autoPict="0" macro="[0]!InertsReset">
                <anchor moveWithCells="1" sizeWithCells="1">
                  <from>
                    <xdr:col>8</xdr:col>
                    <xdr:colOff>361950</xdr:colOff>
                    <xdr:row>32</xdr:row>
                    <xdr:rowOff>190500</xdr:rowOff>
                  </from>
                  <to>
                    <xdr:col>8</xdr:col>
                    <xdr:colOff>2044700</xdr:colOff>
                    <xdr:row>32</xdr:row>
                    <xdr:rowOff>596900</xdr:rowOff>
                  </to>
                </anchor>
              </controlPr>
            </control>
          </mc:Choice>
        </mc:AlternateContent>
        <mc:AlternateContent xmlns:mc="http://schemas.openxmlformats.org/markup-compatibility/2006">
          <mc:Choice Requires="x14">
            <control shapeId="1055" r:id="rId9" name="Button 31">
              <controlPr defaultSize="0" print="0" autoFill="0" autoPict="0" macro="[0]!NitrogenReset">
                <anchor moveWithCells="1" sizeWithCells="1">
                  <from>
                    <xdr:col>9</xdr:col>
                    <xdr:colOff>387350</xdr:colOff>
                    <xdr:row>32</xdr:row>
                    <xdr:rowOff>190500</xdr:rowOff>
                  </from>
                  <to>
                    <xdr:col>9</xdr:col>
                    <xdr:colOff>2076450</xdr:colOff>
                    <xdr:row>32</xdr:row>
                    <xdr:rowOff>596900</xdr:rowOff>
                  </to>
                </anchor>
              </controlPr>
            </control>
          </mc:Choice>
        </mc:AlternateContent>
        <mc:AlternateContent xmlns:mc="http://schemas.openxmlformats.org/markup-compatibility/2006">
          <mc:Choice Requires="x14">
            <control shapeId="1057" r:id="rId10" name="Button 33">
              <controlPr defaultSize="0" print="0" autoFill="0" autoPict="0" macro="[0]!CarbonReset">
                <anchor moveWithCells="1" sizeWithCells="1">
                  <from>
                    <xdr:col>10</xdr:col>
                    <xdr:colOff>438150</xdr:colOff>
                    <xdr:row>32</xdr:row>
                    <xdr:rowOff>184150</xdr:rowOff>
                  </from>
                  <to>
                    <xdr:col>10</xdr:col>
                    <xdr:colOff>2127250</xdr:colOff>
                    <xdr:row>32</xdr:row>
                    <xdr:rowOff>584200</xdr:rowOff>
                  </to>
                </anchor>
              </controlPr>
            </control>
          </mc:Choice>
        </mc:AlternateContent>
        <mc:AlternateContent xmlns:mc="http://schemas.openxmlformats.org/markup-compatibility/2006">
          <mc:Choice Requires="x14">
            <control shapeId="1062" r:id="rId11" name="Button 38">
              <controlPr defaultSize="0" print="0" autoFill="0" autoPict="0" macro="[0]!ProteinReset">
                <anchor moveWithCells="1" sizeWithCells="1">
                  <from>
                    <xdr:col>12</xdr:col>
                    <xdr:colOff>44450</xdr:colOff>
                    <xdr:row>32</xdr:row>
                    <xdr:rowOff>184150</xdr:rowOff>
                  </from>
                  <to>
                    <xdr:col>12</xdr:col>
                    <xdr:colOff>1733550</xdr:colOff>
                    <xdr:row>32</xdr:row>
                    <xdr:rowOff>584200</xdr:rowOff>
                  </to>
                </anchor>
              </controlPr>
            </control>
          </mc:Choice>
        </mc:AlternateContent>
        <mc:AlternateContent xmlns:mc="http://schemas.openxmlformats.org/markup-compatibility/2006">
          <mc:Choice Requires="x14">
            <control shapeId="1063" r:id="rId12" name="Button 39">
              <controlPr defaultSize="0" print="0" autoFill="0" autoPict="0" macro="[0]!FatsReset">
                <anchor moveWithCells="1" sizeWithCells="1">
                  <from>
                    <xdr:col>13</xdr:col>
                    <xdr:colOff>107950</xdr:colOff>
                    <xdr:row>32</xdr:row>
                    <xdr:rowOff>203200</xdr:rowOff>
                  </from>
                  <to>
                    <xdr:col>13</xdr:col>
                    <xdr:colOff>1797050</xdr:colOff>
                    <xdr:row>32</xdr:row>
                    <xdr:rowOff>609600</xdr:rowOff>
                  </to>
                </anchor>
              </controlPr>
            </control>
          </mc:Choice>
        </mc:AlternateContent>
        <mc:AlternateContent xmlns:mc="http://schemas.openxmlformats.org/markup-compatibility/2006">
          <mc:Choice Requires="x14">
            <control shapeId="1064" r:id="rId13" name="Button 40">
              <controlPr defaultSize="0" print="0" autoFill="0" autoPict="0" macro="[0]!SugarsReset">
                <anchor moveWithCells="1" sizeWithCells="1">
                  <from>
                    <xdr:col>14</xdr:col>
                    <xdr:colOff>127000</xdr:colOff>
                    <xdr:row>32</xdr:row>
                    <xdr:rowOff>215900</xdr:rowOff>
                  </from>
                  <to>
                    <xdr:col>14</xdr:col>
                    <xdr:colOff>1816100</xdr:colOff>
                    <xdr:row>32</xdr:row>
                    <xdr:rowOff>622300</xdr:rowOff>
                  </to>
                </anchor>
              </controlPr>
            </control>
          </mc:Choice>
        </mc:AlternateContent>
        <mc:AlternateContent xmlns:mc="http://schemas.openxmlformats.org/markup-compatibility/2006">
          <mc:Choice Requires="x14">
            <control shapeId="1067" r:id="rId14" name="Button 43">
              <controlPr defaultSize="0" print="0" autoFill="0" autoPict="0" macro="[0]!BiogasCompReset">
                <anchor moveWithCells="1" sizeWithCells="1">
                  <from>
                    <xdr:col>4</xdr:col>
                    <xdr:colOff>107950</xdr:colOff>
                    <xdr:row>53</xdr:row>
                    <xdr:rowOff>76200</xdr:rowOff>
                  </from>
                  <to>
                    <xdr:col>4</xdr:col>
                    <xdr:colOff>1936750</xdr:colOff>
                    <xdr:row>53</xdr:row>
                    <xdr:rowOff>635000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633" yWindow="692" count="1">
        <x14:dataValidation type="list" allowBlank="1" showInputMessage="1" showErrorMessage="1">
          <x14:formula1>
            <xm:f>'23-Look up values'!$A$4:$A$9</xm:f>
          </x14:formula1>
          <xm:sqref>D17:D31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missionsInputs">
    <tabColor rgb="FF25C6FF"/>
  </sheetPr>
  <dimension ref="A1:BH78"/>
  <sheetViews>
    <sheetView topLeftCell="B25" zoomScale="85" zoomScaleNormal="85" workbookViewId="0">
      <selection activeCell="B45" sqref="B45"/>
    </sheetView>
  </sheetViews>
  <sheetFormatPr defaultColWidth="8.58203125" defaultRowHeight="15.5"/>
  <cols>
    <col min="1" max="1" width="68.58203125" style="207" customWidth="1"/>
    <col min="2" max="2" width="55.1640625" style="207" bestFit="1" customWidth="1"/>
    <col min="3" max="3" width="27.58203125" style="207" customWidth="1"/>
    <col min="4" max="4" width="68.08203125" style="207" customWidth="1"/>
    <col min="5" max="5" width="8.58203125" style="207" customWidth="1"/>
    <col min="6" max="7" width="8.58203125" style="207"/>
    <col min="8" max="10" width="8.58203125" style="207" customWidth="1"/>
    <col min="11" max="11" width="12.58203125" style="207" customWidth="1"/>
    <col min="12" max="16384" width="8.58203125" style="207"/>
  </cols>
  <sheetData>
    <row r="1" spans="1:60" ht="18">
      <c r="A1" s="287" t="s">
        <v>233</v>
      </c>
      <c r="B1" s="291"/>
      <c r="C1" s="291"/>
      <c r="D1" s="29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row>
    <row r="2" spans="1:60" ht="17.149999999999999" customHeight="1">
      <c r="A2" s="18"/>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row>
    <row r="3" spans="1:60" ht="18">
      <c r="A3" s="18"/>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row>
    <row r="4" spans="1:60" ht="18">
      <c r="A4" s="18"/>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row>
    <row r="5" spans="1:60" ht="18">
      <c r="A5" s="18"/>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row>
    <row r="6" spans="1:60">
      <c r="A6" s="206"/>
    </row>
    <row r="9" spans="1:60" ht="16" thickBot="1"/>
    <row r="10" spans="1:60" ht="79.400000000000006" customHeight="1">
      <c r="A10" s="599" t="s">
        <v>234</v>
      </c>
      <c r="B10" s="600"/>
      <c r="C10" s="600"/>
      <c r="D10" s="601"/>
    </row>
    <row r="11" spans="1:60">
      <c r="A11" s="350" t="s">
        <v>235</v>
      </c>
      <c r="B11" s="351" t="s">
        <v>236</v>
      </c>
      <c r="C11" s="351" t="s">
        <v>151</v>
      </c>
      <c r="D11" s="352" t="s">
        <v>237</v>
      </c>
    </row>
    <row r="12" spans="1:60">
      <c r="A12" s="353" t="s">
        <v>238</v>
      </c>
      <c r="B12" s="275" t="s">
        <v>542</v>
      </c>
      <c r="C12" s="209" t="s">
        <v>240</v>
      </c>
      <c r="D12" s="608"/>
    </row>
    <row r="13" spans="1:60">
      <c r="A13" s="353" t="s">
        <v>241</v>
      </c>
      <c r="B13" s="275" t="s">
        <v>542</v>
      </c>
      <c r="C13" s="209" t="s">
        <v>240</v>
      </c>
      <c r="D13" s="608"/>
    </row>
    <row r="14" spans="1:60">
      <c r="A14" s="353" t="s">
        <v>243</v>
      </c>
      <c r="B14" s="512">
        <v>20</v>
      </c>
      <c r="C14" s="209" t="s">
        <v>763</v>
      </c>
      <c r="D14" s="608"/>
    </row>
    <row r="15" spans="1:60">
      <c r="A15" s="354" t="s">
        <v>244</v>
      </c>
      <c r="B15" s="231"/>
      <c r="C15" s="231"/>
      <c r="D15" s="355"/>
    </row>
    <row r="16" spans="1:60">
      <c r="A16" s="353" t="s">
        <v>245</v>
      </c>
      <c r="B16" s="275" t="s">
        <v>760</v>
      </c>
      <c r="C16" s="209" t="s">
        <v>246</v>
      </c>
      <c r="D16" s="608"/>
    </row>
    <row r="17" spans="1:4">
      <c r="A17" s="356" t="s">
        <v>247</v>
      </c>
      <c r="B17" s="274"/>
      <c r="C17" s="209" t="s">
        <v>240</v>
      </c>
      <c r="D17" s="608"/>
    </row>
    <row r="18" spans="1:4" ht="16" thickBot="1">
      <c r="A18" s="357" t="s">
        <v>248</v>
      </c>
      <c r="B18" s="358"/>
      <c r="C18" s="359" t="s">
        <v>249</v>
      </c>
      <c r="D18" s="609"/>
    </row>
    <row r="19" spans="1:4" ht="28.4" customHeight="1" thickBot="1"/>
    <row r="20" spans="1:4" ht="123.65" customHeight="1" thickBot="1">
      <c r="A20" s="602" t="s">
        <v>724</v>
      </c>
      <c r="B20" s="603"/>
      <c r="C20" s="603"/>
      <c r="D20" s="604"/>
    </row>
    <row r="21" spans="1:4">
      <c r="A21" s="350" t="s">
        <v>250</v>
      </c>
      <c r="B21" s="351" t="s">
        <v>187</v>
      </c>
      <c r="C21" s="351" t="s">
        <v>151</v>
      </c>
      <c r="D21" s="352" t="s">
        <v>180</v>
      </c>
    </row>
    <row r="22" spans="1:4">
      <c r="A22" s="353" t="s">
        <v>251</v>
      </c>
      <c r="B22" s="502">
        <v>0.9</v>
      </c>
      <c r="C22" s="209" t="s">
        <v>252</v>
      </c>
      <c r="D22" s="608"/>
    </row>
    <row r="23" spans="1:4" ht="16" thickBot="1">
      <c r="A23" s="360" t="s">
        <v>253</v>
      </c>
      <c r="B23" s="361" t="s">
        <v>254</v>
      </c>
      <c r="C23" s="359" t="s">
        <v>240</v>
      </c>
      <c r="D23" s="609"/>
    </row>
    <row r="24" spans="1:4" ht="27.65" customHeight="1" thickBot="1"/>
    <row r="25" spans="1:4" ht="128.15" customHeight="1">
      <c r="A25" s="605" t="s">
        <v>255</v>
      </c>
      <c r="B25" s="606"/>
      <c r="C25" s="606"/>
      <c r="D25" s="607"/>
    </row>
    <row r="26" spans="1:4" ht="27.65" customHeight="1">
      <c r="A26" s="350" t="s">
        <v>256</v>
      </c>
      <c r="B26" s="351" t="s">
        <v>187</v>
      </c>
      <c r="C26" s="351" t="s">
        <v>151</v>
      </c>
      <c r="D26" s="352" t="s">
        <v>180</v>
      </c>
    </row>
    <row r="27" spans="1:4" ht="21" customHeight="1">
      <c r="A27" s="353" t="s">
        <v>257</v>
      </c>
      <c r="B27" s="502">
        <f>1-Methane_Utilization_Percentage</f>
        <v>9.9999999999999978E-2</v>
      </c>
      <c r="C27" s="209" t="s">
        <v>258</v>
      </c>
      <c r="D27" s="610"/>
    </row>
    <row r="28" spans="1:4">
      <c r="A28" s="353" t="s">
        <v>259</v>
      </c>
      <c r="B28" s="275" t="s">
        <v>703</v>
      </c>
      <c r="C28" s="209" t="s">
        <v>240</v>
      </c>
      <c r="D28" s="610"/>
    </row>
    <row r="29" spans="1:4">
      <c r="A29" s="353" t="s">
        <v>261</v>
      </c>
      <c r="B29" s="275" t="s">
        <v>775</v>
      </c>
      <c r="C29" s="209" t="s">
        <v>240</v>
      </c>
      <c r="D29" s="610"/>
    </row>
    <row r="30" spans="1:4" ht="16" thickBot="1">
      <c r="A30" s="360" t="s">
        <v>262</v>
      </c>
      <c r="B30" s="367">
        <f>IFERROR(IF(Use_Defaults_Flare="No","",VLOOKUP(FlareType,'22-Flaring &amp; Leakage'!$A$5:$B$7,2,FALSE)),0)</f>
        <v>0.96</v>
      </c>
      <c r="C30" s="359" t="s">
        <v>252</v>
      </c>
      <c r="D30" s="611"/>
    </row>
    <row r="31" spans="1:4" ht="27.65" customHeight="1" thickBot="1"/>
    <row r="32" spans="1:4" ht="157.4" customHeight="1" thickBot="1">
      <c r="A32" s="602" t="s">
        <v>773</v>
      </c>
      <c r="B32" s="603"/>
      <c r="C32" s="603"/>
      <c r="D32" s="604"/>
    </row>
    <row r="33" spans="1:4">
      <c r="A33" s="350" t="s">
        <v>263</v>
      </c>
      <c r="B33" s="351" t="s">
        <v>187</v>
      </c>
      <c r="C33" s="351" t="s">
        <v>151</v>
      </c>
      <c r="D33" s="352" t="s">
        <v>180</v>
      </c>
    </row>
    <row r="34" spans="1:4">
      <c r="A34" s="353" t="s">
        <v>129</v>
      </c>
      <c r="B34" s="275" t="s">
        <v>264</v>
      </c>
      <c r="C34" s="209" t="s">
        <v>240</v>
      </c>
      <c r="D34" s="362"/>
    </row>
    <row r="35" spans="1:4">
      <c r="A35" s="363" t="s">
        <v>265</v>
      </c>
      <c r="B35" s="230"/>
      <c r="C35" s="230"/>
      <c r="D35" s="364"/>
    </row>
    <row r="36" spans="1:4">
      <c r="A36" s="353" t="s">
        <v>266</v>
      </c>
      <c r="B36" s="501" t="s">
        <v>760</v>
      </c>
      <c r="C36" s="209" t="s">
        <v>246</v>
      </c>
      <c r="D36" s="362"/>
    </row>
    <row r="37" spans="1:4">
      <c r="A37" s="353" t="s">
        <v>267</v>
      </c>
      <c r="B37" s="274"/>
      <c r="C37" s="209" t="s">
        <v>268</v>
      </c>
      <c r="D37" s="362"/>
    </row>
    <row r="38" spans="1:4" ht="16.5">
      <c r="A38" s="353" t="s">
        <v>269</v>
      </c>
      <c r="B38" s="274" t="str">
        <f>IF($B$36="Yes",'21-Electricity Use'!$B$7,"")</f>
        <v/>
      </c>
      <c r="C38" s="209" t="s">
        <v>270</v>
      </c>
      <c r="D38" s="362"/>
    </row>
    <row r="39" spans="1:4" ht="16.5">
      <c r="A39" s="353" t="s">
        <v>271</v>
      </c>
      <c r="B39" s="274" t="str">
        <f>IF($B$36="Yes",'21-Electricity Use'!$B$8,"")</f>
        <v/>
      </c>
      <c r="C39" s="209" t="s">
        <v>272</v>
      </c>
      <c r="D39" s="362"/>
    </row>
    <row r="40" spans="1:4">
      <c r="A40" s="363" t="s">
        <v>273</v>
      </c>
      <c r="B40" s="230"/>
      <c r="C40" s="230"/>
      <c r="D40" s="364"/>
    </row>
    <row r="41" spans="1:4">
      <c r="A41" s="353" t="s">
        <v>274</v>
      </c>
      <c r="B41" s="285">
        <v>0</v>
      </c>
      <c r="C41" s="209" t="s">
        <v>268</v>
      </c>
      <c r="D41" s="362"/>
    </row>
    <row r="42" spans="1:4">
      <c r="A42" s="353" t="s">
        <v>275</v>
      </c>
      <c r="B42" s="275" t="s">
        <v>775</v>
      </c>
      <c r="C42" s="209" t="s">
        <v>240</v>
      </c>
      <c r="D42" s="362"/>
    </row>
    <row r="43" spans="1:4" ht="16.5">
      <c r="A43" s="353" t="s">
        <v>276</v>
      </c>
      <c r="B43" s="276">
        <f>IFERROR(VLOOKUP($B$34,'21-Electricity Use'!$A$22:$I$51,8,FALSE),"")</f>
        <v>0.43553432762226502</v>
      </c>
      <c r="C43" s="209" t="s">
        <v>277</v>
      </c>
      <c r="D43" s="362"/>
    </row>
    <row r="44" spans="1:4">
      <c r="A44" s="353" t="s">
        <v>278</v>
      </c>
      <c r="B44" s="365"/>
      <c r="C44" s="209"/>
      <c r="D44" s="362"/>
    </row>
    <row r="45" spans="1:4" ht="16" thickBot="1">
      <c r="A45" s="360" t="s">
        <v>279</v>
      </c>
      <c r="B45" s="429">
        <v>4.4999999999999998E-2</v>
      </c>
      <c r="C45" s="359" t="s">
        <v>252</v>
      </c>
      <c r="D45" s="366"/>
    </row>
    <row r="46" spans="1:4" ht="27" customHeight="1" thickBot="1"/>
    <row r="47" spans="1:4" ht="96.65" customHeight="1">
      <c r="A47" s="605" t="s">
        <v>280</v>
      </c>
      <c r="B47" s="606"/>
      <c r="C47" s="606"/>
      <c r="D47" s="607"/>
    </row>
    <row r="48" spans="1:4">
      <c r="A48" s="350" t="s">
        <v>281</v>
      </c>
      <c r="B48" s="351" t="s">
        <v>187</v>
      </c>
      <c r="C48" s="351" t="s">
        <v>151</v>
      </c>
      <c r="D48" s="352" t="s">
        <v>180</v>
      </c>
    </row>
    <row r="49" spans="1:4" ht="16" thickBot="1">
      <c r="A49" s="360" t="s">
        <v>282</v>
      </c>
      <c r="B49" s="368">
        <v>0.1</v>
      </c>
      <c r="C49" s="369" t="s">
        <v>252</v>
      </c>
      <c r="D49" s="517"/>
    </row>
    <row r="71" spans="1:2" hidden="1">
      <c r="A71" s="375" t="s">
        <v>283</v>
      </c>
    </row>
    <row r="72" spans="1:2" hidden="1">
      <c r="A72" s="209" t="s">
        <v>262</v>
      </c>
      <c r="B72" s="278">
        <f>IFERROR(IF(Use_Defaults_Flare="No","",VLOOKUP(FlareType,'22-Flaring &amp; Leakage'!$A$5:$B$7,2,FALSE)),0)</f>
        <v>0.96</v>
      </c>
    </row>
    <row r="73" spans="1:2" hidden="1">
      <c r="A73" s="209" t="s">
        <v>282</v>
      </c>
      <c r="B73" s="278">
        <v>0.1</v>
      </c>
    </row>
    <row r="74" spans="1:2" hidden="1">
      <c r="A74" s="209" t="s">
        <v>276</v>
      </c>
      <c r="B74" s="279">
        <f>IFERROR(VLOOKUP($B$34,'21-Electricity Use'!$A$22:$I$51,8,FALSE),"")</f>
        <v>0.43553432762226502</v>
      </c>
    </row>
    <row r="75" spans="1:2" hidden="1">
      <c r="A75" s="209" t="s">
        <v>279</v>
      </c>
      <c r="B75" s="561">
        <v>4.4999999999999998E-2</v>
      </c>
    </row>
    <row r="76" spans="1:2" ht="16.5" hidden="1">
      <c r="A76" s="209" t="s">
        <v>284</v>
      </c>
      <c r="B76" s="277" t="str">
        <f>IF($B$36="Yes",'21-Electricity Use'!$B$7,"")</f>
        <v/>
      </c>
    </row>
    <row r="77" spans="1:2" ht="16.5" hidden="1">
      <c r="A77" s="209" t="s">
        <v>285</v>
      </c>
      <c r="B77" s="277" t="str">
        <f>IF($B$36="Yes",'21-Electricity Use'!$B$8,"")</f>
        <v/>
      </c>
    </row>
    <row r="78" spans="1:2" hidden="1">
      <c r="A78" s="207" t="s">
        <v>286</v>
      </c>
      <c r="B78" s="207">
        <f>1-Methane_Utilization_Percentage</f>
        <v>9.9999999999999978E-2</v>
      </c>
    </row>
  </sheetData>
  <mergeCells count="9">
    <mergeCell ref="A10:D10"/>
    <mergeCell ref="A20:D20"/>
    <mergeCell ref="A32:D32"/>
    <mergeCell ref="A25:D25"/>
    <mergeCell ref="A47:D47"/>
    <mergeCell ref="D12:D14"/>
    <mergeCell ref="D16:D18"/>
    <mergeCell ref="D27:D30"/>
    <mergeCell ref="D22:D23"/>
  </mergeCells>
  <conditionalFormatting sqref="B37">
    <cfRule type="expression" dxfId="5" priority="7">
      <formula>$B$36="Yes"</formula>
    </cfRule>
  </conditionalFormatting>
  <conditionalFormatting sqref="B38:B39 B76:B77">
    <cfRule type="expression" dxfId="4" priority="6">
      <formula>$B$36="Yes"</formula>
    </cfRule>
  </conditionalFormatting>
  <conditionalFormatting sqref="B17">
    <cfRule type="expression" dxfId="3" priority="2">
      <formula>$B$16="Yes"</formula>
    </cfRule>
  </conditionalFormatting>
  <conditionalFormatting sqref="B18">
    <cfRule type="expression" dxfId="2" priority="1">
      <formula>$B$16="Yes"</formula>
    </cfRule>
  </conditionalFormatting>
  <conditionalFormatting sqref="B44">
    <cfRule type="expression" dxfId="1" priority="11">
      <formula>$B$42="No"</formula>
    </cfRule>
  </conditionalFormatting>
  <dataValidations count="4">
    <dataValidation type="list" allowBlank="1" showInputMessage="1" showErrorMessage="1" sqref="B29">
      <formula1>"Yes, No"</formula1>
    </dataValidation>
    <dataValidation type="list" allowBlank="1" showInputMessage="1" showErrorMessage="1" sqref="B42 B16 B36">
      <formula1>"Yes,No"</formula1>
    </dataValidation>
    <dataValidation allowBlank="1" showInputMessage="1" showErrorMessage="1" promptTitle="Note:" prompt="The default values for distance traveled and time spent idling are also based on EPA data for vehicles in the United States._x000a_" sqref="B78:B79"/>
    <dataValidation type="list" allowBlank="1" showInputMessage="1" showErrorMessage="1" sqref="C14">
      <formula1>"Celsius, Fahrenheit"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55" r:id="rId4" name="Button 11">
              <controlPr defaultSize="0" print="0" autoFill="0" autoPict="0" macro="[0]!ElectricityUseDefaultReset">
                <anchor moveWithCells="1" sizeWithCells="1">
                  <from>
                    <xdr:col>4</xdr:col>
                    <xdr:colOff>101600</xdr:colOff>
                    <xdr:row>41</xdr:row>
                    <xdr:rowOff>69850</xdr:rowOff>
                  </from>
                  <to>
                    <xdr:col>6</xdr:col>
                    <xdr:colOff>609600</xdr:colOff>
                    <xdr:row>45</xdr:row>
                    <xdr:rowOff>0</xdr:rowOff>
                  </to>
                </anchor>
              </controlPr>
            </control>
          </mc:Choice>
        </mc:AlternateContent>
        <mc:AlternateContent xmlns:mc="http://schemas.openxmlformats.org/markup-compatibility/2006">
          <mc:Choice Requires="x14">
            <control shapeId="6156" r:id="rId5" name="Button 12">
              <controlPr defaultSize="0" print="0" autoFill="0" autoPict="0" macro="[0]!FlaringDefaultReset" altText="Reset Flaring Defaults">
                <anchor moveWithCells="1" sizeWithCells="1">
                  <from>
                    <xdr:col>4</xdr:col>
                    <xdr:colOff>76200</xdr:colOff>
                    <xdr:row>26</xdr:row>
                    <xdr:rowOff>222250</xdr:rowOff>
                  </from>
                  <to>
                    <xdr:col>6</xdr:col>
                    <xdr:colOff>596900</xdr:colOff>
                    <xdr:row>29</xdr:row>
                    <xdr:rowOff>177800</xdr:rowOff>
                  </to>
                </anchor>
              </controlPr>
            </control>
          </mc:Choice>
        </mc:AlternateContent>
        <mc:AlternateContent xmlns:mc="http://schemas.openxmlformats.org/markup-compatibility/2006">
          <mc:Choice Requires="x14">
            <control shapeId="6157" r:id="rId6" name="Button 13">
              <controlPr defaultSize="0" print="0" autoFill="0" autoPict="0" macro="[0]!LeakageDefaultReset">
                <anchor moveWithCells="1" sizeWithCells="1">
                  <from>
                    <xdr:col>4</xdr:col>
                    <xdr:colOff>63500</xdr:colOff>
                    <xdr:row>46</xdr:row>
                    <xdr:rowOff>863600</xdr:rowOff>
                  </from>
                  <to>
                    <xdr:col>6</xdr:col>
                    <xdr:colOff>596900</xdr:colOff>
                    <xdr:row>48</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2" id="{2C157657-1718-47C2-803E-54D250AC6BE6}">
            <xm:f>$B$37*365&gt;'5-Annual Summary'!$B$17</xm:f>
            <x14:dxf>
              <fill>
                <patternFill>
                  <bgColor rgb="FFFF0000"/>
                </patternFill>
              </fill>
            </x14:dxf>
          </x14:cfRule>
          <xm:sqref>B37</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'20-Methane Gen. &amp; Utilization'!$A$6:$A$9</xm:f>
          </x14:formula1>
          <xm:sqref>B23</xm:sqref>
        </x14:dataValidation>
        <x14:dataValidation type="list" allowBlank="1" showInputMessage="1" showErrorMessage="1">
          <x14:formula1>
            <xm:f>'23-Look up values'!$A$30:$A$32</xm:f>
          </x14:formula1>
          <xm:sqref>B28</xm:sqref>
        </x14:dataValidation>
        <x14:dataValidation type="list" allowBlank="1" showInputMessage="1" showErrorMessage="1">
          <x14:formula1>
            <xm:f>'21-Electricity Use'!$A$22:$A$51</xm:f>
          </x14:formula1>
          <xm:sqref>B34</xm:sqref>
        </x14:dataValidation>
        <x14:dataValidation type="list" allowBlank="1" showInputMessage="1" showErrorMessage="1">
          <x14:formula1>
            <xm:f>'13-MCF'!$B$10:$B$32</xm:f>
          </x14:formula1>
          <xm:sqref>B12:B13</xm:sqref>
        </x14:dataValidation>
        <x14:dataValidation type="list" allowBlank="1" showInputMessage="1" showErrorMessage="1">
          <x14:formula1>
            <xm:f>'13-MCF'!$Y$12:$Y$18</xm:f>
          </x14:formula1>
          <xm:sqref>B17</xm:sqref>
        </x14:dataValidation>
        <x14:dataValidation type="decimal" errorStyle="warning" operator="lessThanOrEqual" allowBlank="1" showInputMessage="1" showErrorMessage="1" errorTitle="Electricity Consumption Error" error="Electricity consumption entered is greater than the amount that can be generated by the project">
          <x14:formula1>
            <xm:f>'5-Annual Summary'!B17/365</xm:f>
          </x14:formula1>
          <xm:sqref>B37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pageSetUpPr fitToPage="1"/>
  </sheetPr>
  <dimension ref="A1:AK65"/>
  <sheetViews>
    <sheetView workbookViewId="0">
      <selection activeCell="B18" sqref="B18:D18"/>
    </sheetView>
  </sheetViews>
  <sheetFormatPr defaultColWidth="8.58203125" defaultRowHeight="15.5"/>
  <cols>
    <col min="1" max="1" width="63.1640625" customWidth="1"/>
    <col min="2" max="2" width="15.6640625" customWidth="1"/>
    <col min="3" max="3" width="17.08203125" customWidth="1"/>
    <col min="4" max="4" width="14.08203125" customWidth="1"/>
    <col min="5" max="5" width="12.58203125" bestFit="1" customWidth="1"/>
    <col min="6" max="6" width="19.6640625" bestFit="1" customWidth="1"/>
    <col min="10" max="10" width="18.6640625" customWidth="1"/>
    <col min="12" max="12" width="12.6640625" customWidth="1"/>
    <col min="35" max="36" width="54.08203125" customWidth="1"/>
    <col min="37" max="37" width="41" customWidth="1"/>
  </cols>
  <sheetData>
    <row r="1" spans="1:37" ht="30" customHeight="1" thickBot="1">
      <c r="A1" s="287" t="s">
        <v>287</v>
      </c>
      <c r="B1" s="286"/>
      <c r="C1" s="286"/>
      <c r="D1" s="286"/>
      <c r="E1" s="286"/>
      <c r="F1" s="286"/>
      <c r="G1" s="286"/>
      <c r="H1" s="286"/>
      <c r="I1" s="286"/>
      <c r="J1" s="286"/>
    </row>
    <row r="2" spans="1:37">
      <c r="A2" s="614" t="s">
        <v>288</v>
      </c>
      <c r="B2" s="615"/>
      <c r="C2" s="615"/>
      <c r="D2" s="615"/>
      <c r="E2" s="615"/>
      <c r="F2" s="615"/>
      <c r="G2" s="615"/>
      <c r="H2" s="615"/>
      <c r="I2" s="615"/>
      <c r="J2" s="616"/>
    </row>
    <row r="3" spans="1:37" ht="10.5" customHeight="1">
      <c r="A3" s="617"/>
      <c r="B3" s="618"/>
      <c r="C3" s="618"/>
      <c r="D3" s="618"/>
      <c r="E3" s="618"/>
      <c r="F3" s="618"/>
      <c r="G3" s="618"/>
      <c r="H3" s="618"/>
      <c r="I3" s="618"/>
      <c r="J3" s="619"/>
    </row>
    <row r="4" spans="1:37" ht="16.399999999999999" customHeight="1">
      <c r="A4" s="617"/>
      <c r="B4" s="618"/>
      <c r="C4" s="618"/>
      <c r="D4" s="618"/>
      <c r="E4" s="618"/>
      <c r="F4" s="618"/>
      <c r="G4" s="618"/>
      <c r="H4" s="618"/>
      <c r="I4" s="618"/>
      <c r="J4" s="619"/>
    </row>
    <row r="5" spans="1:37" ht="12" customHeight="1">
      <c r="A5" s="617"/>
      <c r="B5" s="618"/>
      <c r="C5" s="618"/>
      <c r="D5" s="618"/>
      <c r="E5" s="618"/>
      <c r="F5" s="618"/>
      <c r="G5" s="618"/>
      <c r="H5" s="618"/>
      <c r="I5" s="618"/>
      <c r="J5" s="619"/>
    </row>
    <row r="6" spans="1:37" s="8" customFormat="1" ht="15.65" customHeight="1" thickBot="1">
      <c r="A6" s="620"/>
      <c r="B6" s="621"/>
      <c r="C6" s="621"/>
      <c r="D6" s="621"/>
      <c r="E6" s="621"/>
      <c r="F6" s="621"/>
      <c r="G6" s="621"/>
      <c r="H6" s="621"/>
      <c r="I6" s="621"/>
      <c r="J6" s="622"/>
    </row>
    <row r="7" spans="1:37" s="8" customFormat="1" ht="87.65" customHeight="1">
      <c r="A7" s="385" t="s">
        <v>289</v>
      </c>
      <c r="B7" s="33" t="s">
        <v>290</v>
      </c>
      <c r="C7" s="33" t="s">
        <v>291</v>
      </c>
      <c r="D7" s="33" t="s">
        <v>292</v>
      </c>
      <c r="E7" s="390" t="s">
        <v>188</v>
      </c>
      <c r="F7" s="612" t="s">
        <v>180</v>
      </c>
      <c r="G7" s="612"/>
      <c r="H7" s="612"/>
      <c r="I7" s="612"/>
      <c r="J7" s="613"/>
      <c r="AI7" s="484" t="s">
        <v>293</v>
      </c>
      <c r="AJ7" s="484" t="s">
        <v>294</v>
      </c>
      <c r="AK7" s="484" t="s">
        <v>295</v>
      </c>
    </row>
    <row r="8" spans="1:37" s="8" customFormat="1" ht="19.25" customHeight="1">
      <c r="A8" s="381" t="s">
        <v>296</v>
      </c>
      <c r="B8" s="382">
        <f>IFERROR(($D$8*VLOOKUP(ReactorType&amp;"_"&amp;ReactorTemp,'11-Calibration Factors'!$A$4:$C$9,2,FALSE))," ")</f>
        <v>83947.694298344461</v>
      </c>
      <c r="C8" s="382">
        <f>IFERROR(($D$8*VLOOKUP(ReactorType&amp;"_"&amp;ReactorTemp,'11-Calibration Factors'!$A$4:$C$9,3,FALSE))," ")</f>
        <v>152967.51247031451</v>
      </c>
      <c r="D8" s="382">
        <f>IFERROR((Estimated_Max_Daily_Biogas_Production*365)*VLOOKUP('5-Annual Summary'!E8,'23-Look up values'!$A$13:$B$14,2,FALSE)," ")</f>
        <v>209424.56900692603</v>
      </c>
      <c r="E8" s="508" t="s">
        <v>723</v>
      </c>
      <c r="F8" s="634"/>
      <c r="G8" s="634"/>
      <c r="H8" s="634"/>
      <c r="I8" s="634"/>
      <c r="J8" s="635"/>
      <c r="L8" s="519"/>
      <c r="AI8" s="485"/>
      <c r="AJ8" s="485"/>
    </row>
    <row r="9" spans="1:37" s="8" customFormat="1" ht="19.25" customHeight="1">
      <c r="A9" s="381" t="s">
        <v>298</v>
      </c>
      <c r="B9" s="382">
        <f>IFERROR($D$9*VLOOKUP(ReactorType&amp;"_"&amp;ReactorTemp,'11-Calibration Factors'!$A$4:$C$9,2,FALSE)," ")</f>
        <v>41889.899454873892</v>
      </c>
      <c r="C9" s="382">
        <f>IFERROR($D$9*VLOOKUP(ReactorType&amp;"_"&amp;ReactorTemp,'11-Calibration Factors'!$A$4:$C$9,3,FALSE)," ")</f>
        <v>76330.788722686935</v>
      </c>
      <c r="D9" s="382">
        <f>IFERROR((Estimated_Max_Daily_Methane_Production*365)*VLOOKUP(E9,'23-Look up values'!$A$13:$B$14,2,FALSE)," ")</f>
        <v>104502.85993445609</v>
      </c>
      <c r="E9" s="508" t="s">
        <v>723</v>
      </c>
      <c r="F9" s="634"/>
      <c r="G9" s="634"/>
      <c r="H9" s="634"/>
      <c r="I9" s="634"/>
      <c r="J9" s="635"/>
      <c r="L9" s="519"/>
    </row>
    <row r="10" spans="1:37" s="8" customFormat="1" ht="19.25" customHeight="1">
      <c r="A10" s="380" t="s">
        <v>10</v>
      </c>
      <c r="B10" s="612" t="s">
        <v>187</v>
      </c>
      <c r="C10" s="612"/>
      <c r="D10" s="612"/>
      <c r="E10" s="390" t="s">
        <v>188</v>
      </c>
      <c r="F10" s="612" t="s">
        <v>180</v>
      </c>
      <c r="G10" s="612"/>
      <c r="H10" s="612"/>
      <c r="I10" s="612"/>
      <c r="J10" s="613"/>
    </row>
    <row r="11" spans="1:37" s="8" customFormat="1" ht="19.25" customHeight="1">
      <c r="A11" s="381" t="s">
        <v>299</v>
      </c>
      <c r="B11" s="636">
        <f>'7-Digestate Production'!B87*365/VLOOKUP(E11,'23-Look up values'!$A$18:$B$21,2,FALSE)</f>
        <v>135158.48767944358</v>
      </c>
      <c r="C11" s="636"/>
      <c r="D11" s="636"/>
      <c r="E11" s="508" t="s">
        <v>300</v>
      </c>
      <c r="F11" s="634"/>
      <c r="G11" s="634"/>
      <c r="H11" s="634"/>
      <c r="I11" s="634"/>
      <c r="J11" s="635"/>
    </row>
    <row r="12" spans="1:37" s="8" customFormat="1" ht="19.25" customHeight="1">
      <c r="A12" s="381" t="s">
        <v>301</v>
      </c>
      <c r="B12" s="636">
        <f>'7-Digestate Production'!C87*365/VLOOKUP(E12,'23-Look up values'!$A$18:$B$21,2,FALSE)</f>
        <v>544413.15221683064</v>
      </c>
      <c r="C12" s="636"/>
      <c r="D12" s="636"/>
      <c r="E12" s="508" t="s">
        <v>300</v>
      </c>
      <c r="F12" s="634"/>
      <c r="G12" s="634"/>
      <c r="H12" s="634"/>
      <c r="I12" s="634"/>
      <c r="J12" s="635"/>
    </row>
    <row r="13" spans="1:37" s="8" customFormat="1" ht="19.25" customHeight="1">
      <c r="A13" s="381" t="s">
        <v>302</v>
      </c>
      <c r="B13" s="636">
        <f>'7-Digestate Production'!E87*365/VLOOKUP(E13,'23-Look up values'!$A$18:$B$21,2,FALSE)</f>
        <v>6766366.7997182747</v>
      </c>
      <c r="C13" s="636"/>
      <c r="D13" s="636"/>
      <c r="E13" s="508" t="s">
        <v>300</v>
      </c>
      <c r="F13" s="634"/>
      <c r="G13" s="634"/>
      <c r="H13" s="634"/>
      <c r="I13" s="634"/>
      <c r="J13" s="635"/>
    </row>
    <row r="14" spans="1:37" s="8" customFormat="1" ht="19.25" customHeight="1">
      <c r="A14" s="381" t="s">
        <v>303</v>
      </c>
      <c r="B14" s="636" t="str">
        <f>IFERROR(IFERROR(IF('3-Digester Inputs'!$C$11="Yes",'7-Digestate Production'!F87,"")*365,"N/A")/VLOOKUP(E14,'23-Look up values'!$A$18:$B$21,2,FALSE),"N/A")</f>
        <v>N/A</v>
      </c>
      <c r="C14" s="636"/>
      <c r="D14" s="636"/>
      <c r="E14" s="508" t="s">
        <v>300</v>
      </c>
      <c r="F14" s="634"/>
      <c r="G14" s="634"/>
      <c r="H14" s="634"/>
      <c r="I14" s="634"/>
      <c r="J14" s="635"/>
    </row>
    <row r="15" spans="1:37" s="8" customFormat="1" ht="19.25" customHeight="1">
      <c r="A15" s="381" t="s">
        <v>304</v>
      </c>
      <c r="B15" s="636">
        <f>IFERROR('7-Digestate Production'!G87*365*VLOOKUP(E15,'23-Look up values'!$A$18:$B$21,2,FALSE),"N/A")</f>
        <v>6766366.7997182747</v>
      </c>
      <c r="C15" s="636"/>
      <c r="D15" s="636"/>
      <c r="E15" s="508" t="s">
        <v>300</v>
      </c>
      <c r="F15" s="634"/>
      <c r="G15" s="634"/>
      <c r="H15" s="634"/>
      <c r="I15" s="634"/>
      <c r="J15" s="635"/>
    </row>
    <row r="16" spans="1:37" s="8" customFormat="1" ht="58.5" customHeight="1" thickBot="1">
      <c r="A16" s="385" t="s">
        <v>306</v>
      </c>
      <c r="B16" s="612" t="s">
        <v>187</v>
      </c>
      <c r="C16" s="612"/>
      <c r="D16" s="612"/>
      <c r="E16" s="390" t="s">
        <v>188</v>
      </c>
      <c r="F16" s="612" t="s">
        <v>180</v>
      </c>
      <c r="G16" s="612"/>
      <c r="H16" s="612"/>
      <c r="I16" s="612"/>
      <c r="J16" s="613"/>
    </row>
    <row r="17" spans="1:10" s="8" customFormat="1" ht="19.25" customHeight="1">
      <c r="A17" s="534" t="s">
        <v>307</v>
      </c>
      <c r="B17" s="637">
        <f>IFERROR(Annual_Avg_Biogas_Production*'3-Digester Inputs'!$C$58*'3-Digester Inputs'!C66/1000," ")</f>
        <v>568.11607828546232</v>
      </c>
      <c r="C17" s="637"/>
      <c r="D17" s="637"/>
      <c r="E17" s="536" t="s">
        <v>308</v>
      </c>
      <c r="F17" s="632"/>
      <c r="G17" s="632"/>
      <c r="H17" s="632"/>
      <c r="I17" s="632"/>
      <c r="J17" s="633"/>
    </row>
    <row r="18" spans="1:10" s="8" customFormat="1" ht="19.25" customHeight="1">
      <c r="A18" s="381" t="s">
        <v>309</v>
      </c>
      <c r="B18" s="638">
        <f>IFERROR(Annual_Avg_Biogas_Production*'3-Digester Inputs'!$C$58*'3-Digester Inputs'!C67/1000," ")</f>
        <v>384.21723657707264</v>
      </c>
      <c r="C18" s="638"/>
      <c r="D18" s="638"/>
      <c r="E18" s="508" t="s">
        <v>308</v>
      </c>
      <c r="F18" s="634"/>
      <c r="G18" s="634"/>
      <c r="H18" s="634"/>
      <c r="I18" s="634"/>
      <c r="J18" s="635"/>
    </row>
    <row r="19" spans="1:10" s="8" customFormat="1" ht="19.25" customHeight="1">
      <c r="A19" s="381" t="s">
        <v>310</v>
      </c>
      <c r="B19" s="638">
        <f>IFERROR(Annual_Avg_Biogas_Production*'3-Digester Inputs'!C58*VLOOKUP(E19,'23-Look up values'!$A$13:$B$14,2,FALSE)," ")</f>
        <v>59110.34408878041</v>
      </c>
      <c r="C19" s="638"/>
      <c r="D19" s="638"/>
      <c r="E19" s="508" t="s">
        <v>723</v>
      </c>
      <c r="F19" s="634"/>
      <c r="G19" s="634"/>
      <c r="H19" s="634"/>
      <c r="I19" s="634"/>
      <c r="J19" s="635"/>
    </row>
    <row r="20" spans="1:10" s="8" customFormat="1" ht="19.25" customHeight="1">
      <c r="A20" s="381" t="s">
        <v>311</v>
      </c>
      <c r="B20" s="638">
        <f>IFERROR(CONVERT(Annual_Avg_Biogas_Production,"m^3","l")/('3-Digester Inputs'!C68*365)," ")</f>
        <v>1081.8045971171641</v>
      </c>
      <c r="C20" s="638"/>
      <c r="D20" s="638"/>
      <c r="E20" s="508" t="s">
        <v>312</v>
      </c>
      <c r="F20" s="634"/>
      <c r="G20" s="634"/>
      <c r="H20" s="634"/>
      <c r="I20" s="634"/>
      <c r="J20" s="635"/>
    </row>
    <row r="21" spans="1:10" s="8" customFormat="1" ht="19.25" customHeight="1">
      <c r="A21" s="381" t="s">
        <v>313</v>
      </c>
      <c r="B21" s="638">
        <f>IFERROR(CONVERT(Annual_Avg_Biogas_Production,"m^3","l")/('3-Digester Inputs'!C69*365)," ")</f>
        <v>811.3534478378732</v>
      </c>
      <c r="C21" s="638"/>
      <c r="D21" s="638"/>
      <c r="E21" s="508" t="s">
        <v>312</v>
      </c>
      <c r="F21" s="634"/>
      <c r="G21" s="634"/>
      <c r="H21" s="634"/>
      <c r="I21" s="634"/>
      <c r="J21" s="635"/>
    </row>
    <row r="22" spans="1:10" s="8" customFormat="1" ht="19.25" customHeight="1" thickBot="1">
      <c r="A22" s="535" t="s">
        <v>314</v>
      </c>
      <c r="B22" s="641">
        <f>IFERROR(CONVERT(Annual_Avg_Biogas_Production,"m^3","l")/('3-Digester Inputs'!C70*365), " ")</f>
        <v>216.36091942343285</v>
      </c>
      <c r="C22" s="641"/>
      <c r="D22" s="641"/>
      <c r="E22" s="518" t="s">
        <v>315</v>
      </c>
      <c r="F22" s="639"/>
      <c r="G22" s="639"/>
      <c r="H22" s="639"/>
      <c r="I22" s="639"/>
      <c r="J22" s="640"/>
    </row>
    <row r="23" spans="1:10" s="8" customFormat="1" ht="19.25" customHeight="1" thickBot="1">
      <c r="A23" s="92"/>
      <c r="B23" s="383"/>
      <c r="C23" s="383"/>
      <c r="D23" s="383"/>
      <c r="E23" s="384"/>
      <c r="F23" s="384"/>
      <c r="G23" s="384"/>
      <c r="H23" s="384"/>
      <c r="I23" s="384"/>
      <c r="J23" s="384"/>
    </row>
    <row r="24" spans="1:10">
      <c r="A24" s="623" t="s">
        <v>316</v>
      </c>
      <c r="B24" s="624"/>
      <c r="C24" s="624"/>
      <c r="D24" s="624"/>
      <c r="E24" s="624"/>
      <c r="F24" s="624"/>
      <c r="G24" s="624"/>
      <c r="H24" s="624"/>
      <c r="I24" s="624"/>
      <c r="J24" s="625"/>
    </row>
    <row r="25" spans="1:10" ht="15.75" customHeight="1">
      <c r="A25" s="626"/>
      <c r="B25" s="627"/>
      <c r="C25" s="627"/>
      <c r="D25" s="627"/>
      <c r="E25" s="627"/>
      <c r="F25" s="627"/>
      <c r="G25" s="627"/>
      <c r="H25" s="627"/>
      <c r="I25" s="627"/>
      <c r="J25" s="628"/>
    </row>
    <row r="26" spans="1:10">
      <c r="A26" s="626"/>
      <c r="B26" s="627"/>
      <c r="C26" s="627"/>
      <c r="D26" s="627"/>
      <c r="E26" s="627"/>
      <c r="F26" s="627"/>
      <c r="G26" s="627"/>
      <c r="H26" s="627"/>
      <c r="I26" s="627"/>
      <c r="J26" s="628"/>
    </row>
    <row r="27" spans="1:10">
      <c r="A27" s="626"/>
      <c r="B27" s="627"/>
      <c r="C27" s="627"/>
      <c r="D27" s="627"/>
      <c r="E27" s="627"/>
      <c r="F27" s="627"/>
      <c r="G27" s="627"/>
      <c r="H27" s="627"/>
      <c r="I27" s="627"/>
      <c r="J27" s="628"/>
    </row>
    <row r="28" spans="1:10" ht="20.25" customHeight="1" thickBot="1">
      <c r="A28" s="629"/>
      <c r="B28" s="630"/>
      <c r="C28" s="630"/>
      <c r="D28" s="630"/>
      <c r="E28" s="630"/>
      <c r="F28" s="630"/>
      <c r="G28" s="630"/>
      <c r="H28" s="630"/>
      <c r="I28" s="630"/>
      <c r="J28" s="631"/>
    </row>
    <row r="29" spans="1:10">
      <c r="A29" s="376" t="s">
        <v>317</v>
      </c>
      <c r="B29" s="38" t="s">
        <v>318</v>
      </c>
      <c r="C29" s="38" t="s">
        <v>319</v>
      </c>
      <c r="D29" s="390" t="s">
        <v>320</v>
      </c>
      <c r="E29" s="390" t="s">
        <v>321</v>
      </c>
      <c r="F29" s="390" t="s">
        <v>322</v>
      </c>
      <c r="G29" s="612" t="s">
        <v>180</v>
      </c>
      <c r="H29" s="612"/>
      <c r="I29" s="612"/>
      <c r="J29" s="613"/>
    </row>
    <row r="30" spans="1:10">
      <c r="A30" s="377" t="str">
        <f>IF('3-Digester Inputs'!B17=0,"-",'3-Digester Inputs'!B17)</f>
        <v>Calf</v>
      </c>
      <c r="B30" s="36" t="str">
        <f>IF(COUNTIFS('10-Feedstock Toxicity Info'!$A$6:$A$113,'5-Annual Summary'!$A30,'10-Feedstock Toxicity Info'!B$6:B$113,"*")&gt;0,"Yes","")</f>
        <v>Yes</v>
      </c>
      <c r="C30" s="36" t="str">
        <f>IF(COUNTIFS('10-Feedstock Toxicity Info'!$A$6:$A$113,'5-Annual Summary'!$A30,'10-Feedstock Toxicity Info'!C$6:C$113,"*")&gt;0,"Yes","")</f>
        <v/>
      </c>
      <c r="D30" s="36" t="str">
        <f>IF(COUNTIFS('10-Feedstock Toxicity Info'!$A$6:$A$113,'5-Annual Summary'!$A30,'10-Feedstock Toxicity Info'!T$6:T$113,"*")&gt;0,"Yes","")</f>
        <v/>
      </c>
      <c r="E30" s="36" t="str">
        <f>IF(COUNTIFS('10-Feedstock Toxicity Info'!$A$6:$A$113,'5-Annual Summary'!$A30,'10-Feedstock Toxicity Info'!I$6:I$113,"*")&gt;0,"Yes","")</f>
        <v/>
      </c>
      <c r="F30" s="36" t="str">
        <f>IF(COUNTIFS('10-Feedstock Toxicity Info'!$A$6:$A$113,'5-Annual Summary'!$A30,'10-Feedstock Toxicity Info'!J$6:J$113,"*")&gt;0,"Yes","")</f>
        <v>Yes</v>
      </c>
      <c r="G30" s="36"/>
      <c r="H30" s="36"/>
      <c r="I30" s="36"/>
      <c r="J30" s="378"/>
    </row>
    <row r="31" spans="1:10">
      <c r="A31" s="377" t="str">
        <f>IF('3-Digester Inputs'!B18=0,"-",'3-Digester Inputs'!B18)</f>
        <v>Adolescents Pigs</v>
      </c>
      <c r="B31" s="36" t="str">
        <f>IF(COUNTIFS('10-Feedstock Toxicity Info'!$A$6:$A$113,'5-Annual Summary'!$A31,'10-Feedstock Toxicity Info'!B$6:B$113,"*")&gt;0,"Yes","")</f>
        <v>Yes</v>
      </c>
      <c r="C31" s="36" t="str">
        <f>IF(COUNTIFS('10-Feedstock Toxicity Info'!$A$6:$A$113,'5-Annual Summary'!$A31,'10-Feedstock Toxicity Info'!C$6:C$113,"*")&gt;0,"Yes","")</f>
        <v>Yes</v>
      </c>
      <c r="D31" s="36" t="str">
        <f>IF(COUNTIFS('10-Feedstock Toxicity Info'!$A$6:$A$113,'5-Annual Summary'!$A31,'10-Feedstock Toxicity Info'!T$6:T$113,"*")&gt;0,"Yes","")</f>
        <v/>
      </c>
      <c r="E31" s="36" t="str">
        <f>IF(COUNTIFS('10-Feedstock Toxicity Info'!$A$6:$A$113,'5-Annual Summary'!$A31,'10-Feedstock Toxicity Info'!I$6:I$113,"*")&gt;0,"Yes","")</f>
        <v/>
      </c>
      <c r="F31" s="36" t="str">
        <f>IF(COUNTIFS('10-Feedstock Toxicity Info'!$A$6:$A$113,'5-Annual Summary'!$A31,'10-Feedstock Toxicity Info'!J$6:J$113,"*")&gt;0,"Yes","")</f>
        <v>Yes</v>
      </c>
      <c r="G31" s="37"/>
      <c r="H31" s="37"/>
      <c r="I31" s="37"/>
      <c r="J31" s="379"/>
    </row>
    <row r="32" spans="1:10">
      <c r="A32" s="377" t="str">
        <f>IF('3-Digester Inputs'!B19=0,"-",'3-Digester Inputs'!B19)</f>
        <v>Poultry Chicken</v>
      </c>
      <c r="B32" s="36" t="str">
        <f>IF(COUNTIFS('10-Feedstock Toxicity Info'!$A$6:$A$113,'5-Annual Summary'!$A32,'10-Feedstock Toxicity Info'!B$6:B$113,"*")&gt;0,"Yes","")</f>
        <v>Yes</v>
      </c>
      <c r="C32" s="36" t="str">
        <f>IF(COUNTIFS('10-Feedstock Toxicity Info'!$A$6:$A$113,'5-Annual Summary'!$A32,'10-Feedstock Toxicity Info'!C$6:C$113,"*")&gt;0,"Yes","")</f>
        <v/>
      </c>
      <c r="D32" s="36" t="str">
        <f>IF(COUNTIFS('10-Feedstock Toxicity Info'!$A$6:$A$113,'5-Annual Summary'!$A32,'10-Feedstock Toxicity Info'!T$6:T$113,"*")&gt;0,"Yes","")</f>
        <v/>
      </c>
      <c r="E32" s="36" t="str">
        <f>IF(COUNTIFS('10-Feedstock Toxicity Info'!$A$6:$A$113,'5-Annual Summary'!$A32,'10-Feedstock Toxicity Info'!I$6:I$113,"*")&gt;0,"Yes","")</f>
        <v/>
      </c>
      <c r="F32" s="36" t="str">
        <f>IF(COUNTIFS('10-Feedstock Toxicity Info'!$A$6:$A$113,'5-Annual Summary'!$A32,'10-Feedstock Toxicity Info'!J$6:J$113,"*")&gt;0,"Yes","")</f>
        <v>Yes</v>
      </c>
      <c r="G32" s="37"/>
      <c r="H32" s="37"/>
      <c r="I32" s="37"/>
      <c r="J32" s="379"/>
    </row>
    <row r="33" spans="1:10">
      <c r="A33" s="377" t="str">
        <f>IF('3-Digester Inputs'!B20=0,"-",'3-Digester Inputs'!B20)</f>
        <v>-</v>
      </c>
      <c r="B33" s="36" t="str">
        <f>IF(COUNTIFS('10-Feedstock Toxicity Info'!$A$6:$A$113,'5-Annual Summary'!$A33,'10-Feedstock Toxicity Info'!B$6:B$113,"*")&gt;0,"Yes","")</f>
        <v/>
      </c>
      <c r="C33" s="36" t="str">
        <f>IF(COUNTIFS('10-Feedstock Toxicity Info'!$A$6:$A$113,'5-Annual Summary'!$A33,'10-Feedstock Toxicity Info'!C$6:C$113,"*")&gt;0,"Yes","")</f>
        <v/>
      </c>
      <c r="D33" s="36" t="str">
        <f>IF(COUNTIFS('10-Feedstock Toxicity Info'!$A$6:$A$113,'5-Annual Summary'!$A33,'10-Feedstock Toxicity Info'!T$6:T$113,"*")&gt;0,"Yes","")</f>
        <v/>
      </c>
      <c r="E33" s="36" t="str">
        <f>IF(COUNTIFS('10-Feedstock Toxicity Info'!$A$6:$A$113,'5-Annual Summary'!$A33,'10-Feedstock Toxicity Info'!I$6:I$113,"*")&gt;0,"Yes","")</f>
        <v/>
      </c>
      <c r="F33" s="36" t="str">
        <f>IF(COUNTIFS('10-Feedstock Toxicity Info'!$A$6:$A$113,'5-Annual Summary'!$A33,'10-Feedstock Toxicity Info'!J$6:J$113,"*")&gt;0,"Yes","")</f>
        <v/>
      </c>
      <c r="G33" s="37"/>
      <c r="H33" s="37"/>
      <c r="I33" s="37"/>
      <c r="J33" s="379"/>
    </row>
    <row r="34" spans="1:10">
      <c r="A34" s="377" t="str">
        <f>IF('3-Digester Inputs'!B21=0,"-",'3-Digester Inputs'!B21)</f>
        <v>-</v>
      </c>
      <c r="B34" s="36" t="str">
        <f>IF(COUNTIFS('10-Feedstock Toxicity Info'!$A$6:$A$113,'5-Annual Summary'!$A34,'10-Feedstock Toxicity Info'!B$6:B$113,"*")&gt;0,"Yes","")</f>
        <v/>
      </c>
      <c r="C34" s="36" t="str">
        <f>IF(COUNTIFS('10-Feedstock Toxicity Info'!$A$6:$A$113,'5-Annual Summary'!$A34,'10-Feedstock Toxicity Info'!C$6:C$113,"*")&gt;0,"Yes","")</f>
        <v/>
      </c>
      <c r="D34" s="36" t="str">
        <f>IF(COUNTIFS('10-Feedstock Toxicity Info'!$A$6:$A$113,'5-Annual Summary'!$A34,'10-Feedstock Toxicity Info'!T$6:T$113,"*")&gt;0,"Yes","")</f>
        <v/>
      </c>
      <c r="E34" s="36" t="str">
        <f>IF(COUNTIFS('10-Feedstock Toxicity Info'!$A$6:$A$113,'5-Annual Summary'!$A34,'10-Feedstock Toxicity Info'!I$6:I$113,"*")&gt;0,"Yes","")</f>
        <v/>
      </c>
      <c r="F34" s="36" t="str">
        <f>IF(COUNTIFS('10-Feedstock Toxicity Info'!$A$6:$A$113,'5-Annual Summary'!$A34,'10-Feedstock Toxicity Info'!J$6:J$113,"*")&gt;0,"Yes","")</f>
        <v/>
      </c>
      <c r="G34" s="37"/>
      <c r="H34" s="37"/>
      <c r="I34" s="37"/>
      <c r="J34" s="379"/>
    </row>
    <row r="35" spans="1:10">
      <c r="A35" s="377" t="str">
        <f>IF('3-Digester Inputs'!B22=0,"-",'3-Digester Inputs'!B22)</f>
        <v>-</v>
      </c>
      <c r="B35" s="36" t="str">
        <f>IF(COUNTIFS('10-Feedstock Toxicity Info'!$A$6:$A$113,'5-Annual Summary'!$A35,'10-Feedstock Toxicity Info'!B$6:B$113,"*")&gt;0,"Yes","")</f>
        <v/>
      </c>
      <c r="C35" s="36" t="str">
        <f>IF(COUNTIFS('10-Feedstock Toxicity Info'!$A$6:$A$113,'5-Annual Summary'!$A35,'10-Feedstock Toxicity Info'!C$6:C$113,"*")&gt;0,"Yes","")</f>
        <v/>
      </c>
      <c r="D35" s="36" t="str">
        <f>IF(COUNTIFS('10-Feedstock Toxicity Info'!$A$6:$A$113,'5-Annual Summary'!$A35,'10-Feedstock Toxicity Info'!T$6:T$113,"*")&gt;0,"Yes","")</f>
        <v/>
      </c>
      <c r="E35" s="36" t="str">
        <f>IF(COUNTIFS('10-Feedstock Toxicity Info'!$A$6:$A$113,'5-Annual Summary'!$A35,'10-Feedstock Toxicity Info'!I$6:I$113,"*")&gt;0,"Yes","")</f>
        <v/>
      </c>
      <c r="F35" s="36" t="str">
        <f>IF(COUNTIFS('10-Feedstock Toxicity Info'!$A$6:$A$113,'5-Annual Summary'!$A35,'10-Feedstock Toxicity Info'!J$6:J$113,"*")&gt;0,"Yes","")</f>
        <v/>
      </c>
      <c r="G35" s="37"/>
      <c r="H35" s="37"/>
      <c r="I35" s="37"/>
      <c r="J35" s="379"/>
    </row>
    <row r="36" spans="1:10">
      <c r="A36" s="377" t="str">
        <f>IF('3-Digester Inputs'!B23=0,"-",'3-Digester Inputs'!B23)</f>
        <v>-</v>
      </c>
      <c r="B36" s="36" t="str">
        <f>IF(COUNTIFS('10-Feedstock Toxicity Info'!$A$6:$A$113,'5-Annual Summary'!$A36,'10-Feedstock Toxicity Info'!B$6:B$113,"*")&gt;0,"Yes","")</f>
        <v/>
      </c>
      <c r="C36" s="36" t="str">
        <f>IF(COUNTIFS('10-Feedstock Toxicity Info'!$A$6:$A$113,'5-Annual Summary'!$A36,'10-Feedstock Toxicity Info'!C$6:C$113,"*")&gt;0,"Yes","")</f>
        <v/>
      </c>
      <c r="D36" s="36" t="str">
        <f>IF(COUNTIFS('10-Feedstock Toxicity Info'!$A$6:$A$113,'5-Annual Summary'!$A36,'10-Feedstock Toxicity Info'!T$6:T$113,"*")&gt;0,"Yes","")</f>
        <v/>
      </c>
      <c r="E36" s="36" t="str">
        <f>IF(COUNTIFS('10-Feedstock Toxicity Info'!$A$6:$A$113,'5-Annual Summary'!$A36,'10-Feedstock Toxicity Info'!I$6:I$113,"*")&gt;0,"Yes","")</f>
        <v/>
      </c>
      <c r="F36" s="36" t="str">
        <f>IF(COUNTIFS('10-Feedstock Toxicity Info'!$A$6:$A$113,'5-Annual Summary'!$A36,'10-Feedstock Toxicity Info'!J$6:J$113,"*")&gt;0,"Yes","")</f>
        <v/>
      </c>
      <c r="G36" s="37"/>
      <c r="H36" s="37"/>
      <c r="I36" s="37"/>
      <c r="J36" s="379"/>
    </row>
    <row r="37" spans="1:10">
      <c r="A37" s="377" t="str">
        <f>IF('3-Digester Inputs'!B24=0,"-",'3-Digester Inputs'!B24)</f>
        <v>-</v>
      </c>
      <c r="B37" s="36" t="str">
        <f>IF(COUNTIFS('10-Feedstock Toxicity Info'!$A$6:$A$113,'5-Annual Summary'!$A37,'10-Feedstock Toxicity Info'!B$6:B$113,"*")&gt;0,"Yes","")</f>
        <v/>
      </c>
      <c r="C37" s="36" t="str">
        <f>IF(COUNTIFS('10-Feedstock Toxicity Info'!$A$6:$A$113,'5-Annual Summary'!$A37,'10-Feedstock Toxicity Info'!C$6:C$113,"*")&gt;0,"Yes","")</f>
        <v/>
      </c>
      <c r="D37" s="36" t="str">
        <f>IF(COUNTIFS('10-Feedstock Toxicity Info'!$A$6:$A$113,'5-Annual Summary'!$A37,'10-Feedstock Toxicity Info'!T$6:T$113,"*")&gt;0,"Yes","")</f>
        <v/>
      </c>
      <c r="E37" s="36" t="str">
        <f>IF(COUNTIFS('10-Feedstock Toxicity Info'!$A$6:$A$113,'5-Annual Summary'!$A37,'10-Feedstock Toxicity Info'!I$6:I$113,"*")&gt;0,"Yes","")</f>
        <v/>
      </c>
      <c r="F37" s="36" t="str">
        <f>IF(COUNTIFS('10-Feedstock Toxicity Info'!$A$6:$A$113,'5-Annual Summary'!$A37,'10-Feedstock Toxicity Info'!J$6:J$113,"*")&gt;0,"Yes","")</f>
        <v/>
      </c>
      <c r="G37" s="37"/>
      <c r="H37" s="37"/>
      <c r="I37" s="37"/>
      <c r="J37" s="379"/>
    </row>
    <row r="38" spans="1:10">
      <c r="A38" s="377" t="str">
        <f>IF('3-Digester Inputs'!B25=0,"-",'3-Digester Inputs'!B25)</f>
        <v>-</v>
      </c>
      <c r="B38" s="36" t="str">
        <f>IF(COUNTIFS('10-Feedstock Toxicity Info'!$A$6:$A$113,'5-Annual Summary'!$A38,'10-Feedstock Toxicity Info'!B$6:B$113,"*")&gt;0,"Yes","")</f>
        <v/>
      </c>
      <c r="C38" s="36" t="str">
        <f>IF(COUNTIFS('10-Feedstock Toxicity Info'!$A$6:$A$113,'5-Annual Summary'!$A38,'10-Feedstock Toxicity Info'!C$6:C$113,"*")&gt;0,"Yes","")</f>
        <v/>
      </c>
      <c r="D38" s="36" t="str">
        <f>IF(COUNTIFS('10-Feedstock Toxicity Info'!$A$6:$A$113,'5-Annual Summary'!$A38,'10-Feedstock Toxicity Info'!T$6:T$113,"*")&gt;0,"Yes","")</f>
        <v/>
      </c>
      <c r="E38" s="36" t="str">
        <f>IF(COUNTIFS('10-Feedstock Toxicity Info'!$A$6:$A$113,'5-Annual Summary'!$A38,'10-Feedstock Toxicity Info'!I$6:I$113,"*")&gt;0,"Yes","")</f>
        <v/>
      </c>
      <c r="F38" s="36" t="str">
        <f>IF(COUNTIFS('10-Feedstock Toxicity Info'!$A$6:$A$113,'5-Annual Summary'!$A38,'10-Feedstock Toxicity Info'!J$6:J$113,"*")&gt;0,"Yes","")</f>
        <v/>
      </c>
      <c r="G38" s="37"/>
      <c r="H38" s="37"/>
      <c r="I38" s="37"/>
      <c r="J38" s="379"/>
    </row>
    <row r="39" spans="1:10">
      <c r="A39" s="377" t="str">
        <f>IF('3-Digester Inputs'!B26=0,"-",'3-Digester Inputs'!B26)</f>
        <v>-</v>
      </c>
      <c r="B39" s="36" t="str">
        <f>IF(COUNTIFS('10-Feedstock Toxicity Info'!$A$6:$A$113,'5-Annual Summary'!$A39,'10-Feedstock Toxicity Info'!B$6:B$113,"*")&gt;0,"Yes","")</f>
        <v/>
      </c>
      <c r="C39" s="36" t="str">
        <f>IF(COUNTIFS('10-Feedstock Toxicity Info'!$A$6:$A$113,'5-Annual Summary'!$A39,'10-Feedstock Toxicity Info'!C$6:C$113,"*")&gt;0,"Yes","")</f>
        <v/>
      </c>
      <c r="D39" s="36" t="str">
        <f>IF(COUNTIFS('10-Feedstock Toxicity Info'!$A$6:$A$113,'5-Annual Summary'!$A39,'10-Feedstock Toxicity Info'!T$6:T$113,"*")&gt;0,"Yes","")</f>
        <v/>
      </c>
      <c r="E39" s="36" t="str">
        <f>IF(COUNTIFS('10-Feedstock Toxicity Info'!$A$6:$A$113,'5-Annual Summary'!$A39,'10-Feedstock Toxicity Info'!I$6:I$113,"*")&gt;0,"Yes","")</f>
        <v/>
      </c>
      <c r="F39" s="36" t="str">
        <f>IF(COUNTIFS('10-Feedstock Toxicity Info'!$A$6:$A$113,'5-Annual Summary'!$A39,'10-Feedstock Toxicity Info'!J$6:J$113,"*")&gt;0,"Yes","")</f>
        <v/>
      </c>
      <c r="G39" s="37"/>
      <c r="H39" s="37"/>
      <c r="I39" s="37"/>
      <c r="J39" s="379"/>
    </row>
    <row r="40" spans="1:10">
      <c r="A40" s="377" t="str">
        <f>IF('3-Digester Inputs'!B27=0,"-",'3-Digester Inputs'!B27)</f>
        <v>-</v>
      </c>
      <c r="B40" s="36" t="str">
        <f>IF(COUNTIFS('10-Feedstock Toxicity Info'!$A$6:$A$113,'5-Annual Summary'!$A40,'10-Feedstock Toxicity Info'!B$6:B$113,"*")&gt;0,"Yes","")</f>
        <v/>
      </c>
      <c r="C40" s="36" t="str">
        <f>IF(COUNTIFS('10-Feedstock Toxicity Info'!$A$6:$A$113,'5-Annual Summary'!$A40,'10-Feedstock Toxicity Info'!C$6:C$113,"*")&gt;0,"Yes","")</f>
        <v/>
      </c>
      <c r="D40" s="36" t="str">
        <f>IF(COUNTIFS('10-Feedstock Toxicity Info'!$A$6:$A$113,'5-Annual Summary'!$A40,'10-Feedstock Toxicity Info'!T$6:T$113,"*")&gt;0,"Yes","")</f>
        <v/>
      </c>
      <c r="E40" s="36" t="str">
        <f>IF(COUNTIFS('10-Feedstock Toxicity Info'!$A$6:$A$113,'5-Annual Summary'!$A40,'10-Feedstock Toxicity Info'!I$6:I$113,"*")&gt;0,"Yes","")</f>
        <v/>
      </c>
      <c r="F40" s="36" t="str">
        <f>IF(COUNTIFS('10-Feedstock Toxicity Info'!$A$6:$A$113,'5-Annual Summary'!$A40,'10-Feedstock Toxicity Info'!J$6:J$113,"*")&gt;0,"Yes","")</f>
        <v/>
      </c>
      <c r="G40" s="37"/>
      <c r="H40" s="37"/>
      <c r="I40" s="37"/>
      <c r="J40" s="379"/>
    </row>
    <row r="41" spans="1:10">
      <c r="A41" s="377" t="str">
        <f>IF('3-Digester Inputs'!B28=0,"-",'3-Digester Inputs'!B28)</f>
        <v>-</v>
      </c>
      <c r="B41" s="36" t="str">
        <f>IF(COUNTIFS('10-Feedstock Toxicity Info'!$A$6:$A$113,'5-Annual Summary'!$A41,'10-Feedstock Toxicity Info'!B$6:B$113,"*")&gt;0,"Yes","")</f>
        <v/>
      </c>
      <c r="C41" s="36" t="str">
        <f>IF(COUNTIFS('10-Feedstock Toxicity Info'!$A$6:$A$113,'5-Annual Summary'!$A41,'10-Feedstock Toxicity Info'!C$6:C$113,"*")&gt;0,"Yes","")</f>
        <v/>
      </c>
      <c r="D41" s="36" t="str">
        <f>IF(COUNTIFS('10-Feedstock Toxicity Info'!$A$6:$A$113,'5-Annual Summary'!$A41,'10-Feedstock Toxicity Info'!T$6:T$113,"*")&gt;0,"Yes","")</f>
        <v/>
      </c>
      <c r="E41" s="36" t="str">
        <f>IF(COUNTIFS('10-Feedstock Toxicity Info'!$A$6:$A$113,'5-Annual Summary'!$A41,'10-Feedstock Toxicity Info'!I$6:I$113,"*")&gt;0,"Yes","")</f>
        <v/>
      </c>
      <c r="F41" s="36" t="str">
        <f>IF(COUNTIFS('10-Feedstock Toxicity Info'!$A$6:$A$113,'5-Annual Summary'!$A41,'10-Feedstock Toxicity Info'!J$6:J$113,"*")&gt;0,"Yes","")</f>
        <v/>
      </c>
      <c r="G41" s="37"/>
      <c r="H41" s="37"/>
      <c r="I41" s="37"/>
      <c r="J41" s="379"/>
    </row>
    <row r="42" spans="1:10">
      <c r="A42" s="377" t="str">
        <f>IF('3-Digester Inputs'!B29=0,"-",'3-Digester Inputs'!B29)</f>
        <v>-</v>
      </c>
      <c r="B42" s="36" t="str">
        <f>IF(COUNTIFS('10-Feedstock Toxicity Info'!$A$6:$A$113,'5-Annual Summary'!$A42,'10-Feedstock Toxicity Info'!B$6:B$113,"*")&gt;0,"Yes","")</f>
        <v/>
      </c>
      <c r="C42" s="36" t="str">
        <f>IF(COUNTIFS('10-Feedstock Toxicity Info'!$A$6:$A$113,'5-Annual Summary'!$A42,'10-Feedstock Toxicity Info'!C$6:C$113,"*")&gt;0,"Yes","")</f>
        <v/>
      </c>
      <c r="D42" s="36" t="str">
        <f>IF(COUNTIFS('10-Feedstock Toxicity Info'!$A$6:$A$113,'5-Annual Summary'!$A42,'10-Feedstock Toxicity Info'!T$6:T$113,"*")&gt;0,"Yes","")</f>
        <v/>
      </c>
      <c r="E42" s="36" t="str">
        <f>IF(COUNTIFS('10-Feedstock Toxicity Info'!$A$6:$A$113,'5-Annual Summary'!$A42,'10-Feedstock Toxicity Info'!I$6:I$113,"*")&gt;0,"Yes","")</f>
        <v/>
      </c>
      <c r="F42" s="36" t="str">
        <f>IF(COUNTIFS('10-Feedstock Toxicity Info'!$A$6:$A$113,'5-Annual Summary'!$A42,'10-Feedstock Toxicity Info'!J$6:J$113,"*")&gt;0,"Yes","")</f>
        <v/>
      </c>
      <c r="G42" s="37"/>
      <c r="H42" s="37"/>
      <c r="I42" s="37"/>
      <c r="J42" s="379"/>
    </row>
    <row r="43" spans="1:10">
      <c r="A43" s="377" t="str">
        <f>IF('3-Digester Inputs'!B30=0,"-",'3-Digester Inputs'!B30)</f>
        <v>-</v>
      </c>
      <c r="B43" s="36" t="str">
        <f>IF(COUNTIFS('10-Feedstock Toxicity Info'!$A$6:$A$113,'5-Annual Summary'!$A43,'10-Feedstock Toxicity Info'!B$6:B$113,"*")&gt;0,"Yes","")</f>
        <v/>
      </c>
      <c r="C43" s="36" t="str">
        <f>IF(COUNTIFS('10-Feedstock Toxicity Info'!$A$6:$A$113,'5-Annual Summary'!$A43,'10-Feedstock Toxicity Info'!C$6:C$113,"*")&gt;0,"Yes","")</f>
        <v/>
      </c>
      <c r="D43" s="36" t="str">
        <f>IF(COUNTIFS('10-Feedstock Toxicity Info'!$A$6:$A$113,'5-Annual Summary'!$A43,'10-Feedstock Toxicity Info'!T$6:T$113,"*")&gt;0,"Yes","")</f>
        <v/>
      </c>
      <c r="E43" s="36" t="str">
        <f>IF(COUNTIFS('10-Feedstock Toxicity Info'!$A$6:$A$113,'5-Annual Summary'!$A43,'10-Feedstock Toxicity Info'!I$6:I$113,"*")&gt;0,"Yes","")</f>
        <v/>
      </c>
      <c r="F43" s="36" t="str">
        <f>IF(COUNTIFS('10-Feedstock Toxicity Info'!$A$6:$A$113,'5-Annual Summary'!$A43,'10-Feedstock Toxicity Info'!J$6:J$113,"*")&gt;0,"Yes","")</f>
        <v/>
      </c>
      <c r="G43" s="37"/>
      <c r="H43" s="37"/>
      <c r="I43" s="37"/>
      <c r="J43" s="379"/>
    </row>
    <row r="44" spans="1:10">
      <c r="A44" s="377" t="str">
        <f>IF('3-Digester Inputs'!B31=0,"-",'3-Digester Inputs'!B31)</f>
        <v>-</v>
      </c>
      <c r="B44" s="36" t="str">
        <f>IF(COUNTIFS('10-Feedstock Toxicity Info'!$A$6:$A$113,'5-Annual Summary'!$A44,'10-Feedstock Toxicity Info'!B$6:B$113,"*")&gt;0,"Yes","")</f>
        <v/>
      </c>
      <c r="C44" s="36" t="str">
        <f>IF(COUNTIFS('10-Feedstock Toxicity Info'!$A$6:$A$113,'5-Annual Summary'!$A44,'10-Feedstock Toxicity Info'!C$6:C$113,"*")&gt;0,"Yes","")</f>
        <v/>
      </c>
      <c r="D44" s="36" t="str">
        <f>IF(COUNTIFS('10-Feedstock Toxicity Info'!$A$6:$A$113,'5-Annual Summary'!$A44,'10-Feedstock Toxicity Info'!T$6:T$113,"*")&gt;0,"Yes","")</f>
        <v/>
      </c>
      <c r="E44" s="36" t="str">
        <f>IF(COUNTIFS('10-Feedstock Toxicity Info'!$A$6:$A$113,'5-Annual Summary'!$A44,'10-Feedstock Toxicity Info'!I$6:I$113,"*")&gt;0,"Yes","")</f>
        <v/>
      </c>
      <c r="F44" s="36" t="str">
        <f>IF(COUNTIFS('10-Feedstock Toxicity Info'!$A$6:$A$113,'5-Annual Summary'!$A44,'10-Feedstock Toxicity Info'!J$6:J$113,"*")&gt;0,"Yes","")</f>
        <v/>
      </c>
      <c r="G44" s="37"/>
      <c r="H44" s="37"/>
      <c r="I44" s="37"/>
      <c r="J44" s="379"/>
    </row>
    <row r="45" spans="1:10">
      <c r="A45" s="376" t="s">
        <v>323</v>
      </c>
      <c r="B45" s="38"/>
      <c r="C45" s="38"/>
      <c r="D45" s="390"/>
      <c r="E45" s="390"/>
      <c r="F45" s="390"/>
      <c r="G45" s="612"/>
      <c r="H45" s="612"/>
      <c r="I45" s="612"/>
      <c r="J45" s="613"/>
    </row>
    <row r="65" spans="3:3">
      <c r="C65" s="513"/>
    </row>
  </sheetData>
  <sheetProtection selectLockedCells="1"/>
  <mergeCells count="33">
    <mergeCell ref="F19:J19"/>
    <mergeCell ref="F20:J20"/>
    <mergeCell ref="F21:J21"/>
    <mergeCell ref="F22:J22"/>
    <mergeCell ref="B19:D19"/>
    <mergeCell ref="B20:D20"/>
    <mergeCell ref="B21:D21"/>
    <mergeCell ref="B22:D22"/>
    <mergeCell ref="F13:J13"/>
    <mergeCell ref="F14:J14"/>
    <mergeCell ref="F15:J15"/>
    <mergeCell ref="F16:J16"/>
    <mergeCell ref="F7:J7"/>
    <mergeCell ref="F8:J8"/>
    <mergeCell ref="F9:J9"/>
    <mergeCell ref="F10:J10"/>
    <mergeCell ref="F11:J11"/>
    <mergeCell ref="G45:J45"/>
    <mergeCell ref="A2:J6"/>
    <mergeCell ref="A24:J28"/>
    <mergeCell ref="G29:J29"/>
    <mergeCell ref="F17:J17"/>
    <mergeCell ref="F18:J18"/>
    <mergeCell ref="B10:D10"/>
    <mergeCell ref="B11:D11"/>
    <mergeCell ref="B12:D12"/>
    <mergeCell ref="B13:D13"/>
    <mergeCell ref="B14:D14"/>
    <mergeCell ref="B15:D15"/>
    <mergeCell ref="B16:D16"/>
    <mergeCell ref="B17:D17"/>
    <mergeCell ref="B18:D18"/>
    <mergeCell ref="F12:J12"/>
  </mergeCells>
  <pageMargins left="0.7" right="0.7" top="0.75" bottom="0.75" header="0.3" footer="0.3"/>
  <pageSetup scale="50" orientation="portrait" r:id="rId1"/>
  <headerFooter>
    <oddHeader>&amp;C&amp;G</oddHeader>
  </headerFooter>
  <drawing r:id="rId2"/>
  <legacyDrawingHF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'23-Look up values'!$A$13:$A$14</xm:f>
          </x14:formula1>
          <xm:sqref>E8:E9 E19</xm:sqref>
        </x14:dataValidation>
        <x14:dataValidation type="list" allowBlank="1" showInputMessage="1" showErrorMessage="1">
          <x14:formula1>
            <xm:f>'23-Look up values'!$A$18:$A$21</xm:f>
          </x14:formula1>
          <xm:sqref>E11:E15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pageSetUpPr fitToPage="1"/>
  </sheetPr>
  <dimension ref="A1:AA81"/>
  <sheetViews>
    <sheetView topLeftCell="A3" workbookViewId="0">
      <selection activeCell="A81" sqref="A54:XFD81"/>
    </sheetView>
  </sheetViews>
  <sheetFormatPr defaultColWidth="9" defaultRowHeight="15.5"/>
  <cols>
    <col min="1" max="1" width="42.58203125" style="9" customWidth="1"/>
    <col min="2" max="2" width="22.08203125" style="9" bestFit="1" customWidth="1"/>
    <col min="3" max="4" width="26.6640625" style="9" bestFit="1" customWidth="1"/>
    <col min="5" max="5" width="19.6640625" style="9" bestFit="1" customWidth="1"/>
    <col min="6" max="6" width="36.5" style="9" customWidth="1"/>
    <col min="7" max="7" width="8" style="9" customWidth="1"/>
    <col min="8" max="8" width="39.1640625" style="9" customWidth="1"/>
    <col min="9" max="9" width="12.1640625" style="9" bestFit="1" customWidth="1"/>
    <col min="10" max="10" width="8.9140625" style="9" bestFit="1" customWidth="1"/>
    <col min="11" max="11" width="18.4140625" style="9" customWidth="1"/>
    <col min="12" max="12" width="11.5" style="9" bestFit="1" customWidth="1"/>
    <col min="13" max="13" width="11.08203125" style="9" bestFit="1" customWidth="1"/>
    <col min="14" max="14" width="9" style="9"/>
    <col min="15" max="15" width="21.5" style="9" customWidth="1"/>
    <col min="16" max="16" width="15.58203125" style="9" customWidth="1"/>
    <col min="17" max="18" width="14.1640625" style="9" customWidth="1"/>
    <col min="19" max="19" width="15.58203125" style="9" customWidth="1"/>
    <col min="20" max="20" width="19.08203125" style="9" customWidth="1"/>
    <col min="21" max="21" width="9" style="9"/>
    <col min="22" max="22" width="15.1640625" style="9" customWidth="1"/>
    <col min="23" max="23" width="13.6640625" style="9" customWidth="1"/>
    <col min="24" max="24" width="13.08203125" style="9" customWidth="1"/>
    <col min="25" max="25" width="12.6640625" style="9" customWidth="1"/>
    <col min="26" max="26" width="11.6640625" style="9" customWidth="1"/>
    <col min="27" max="27" width="12.4140625" style="9" customWidth="1"/>
    <col min="28" max="28" width="11.9140625" style="9" customWidth="1"/>
    <col min="29" max="16384" width="9" style="9"/>
  </cols>
  <sheetData>
    <row r="1" spans="1:6" s="1" customFormat="1" ht="30" customHeight="1">
      <c r="A1" s="287" t="s">
        <v>324</v>
      </c>
      <c r="B1" s="291"/>
      <c r="C1" s="291"/>
      <c r="D1" s="291"/>
      <c r="E1" s="291"/>
      <c r="F1" s="291"/>
    </row>
    <row r="2" spans="1:6" s="1" customFormat="1" ht="14">
      <c r="A2" s="2"/>
    </row>
    <row r="3" spans="1:6" s="1" customFormat="1" ht="14">
      <c r="A3" s="2"/>
    </row>
    <row r="4" spans="1:6" s="1" customFormat="1" ht="32.25" customHeight="1">
      <c r="A4" s="2"/>
    </row>
    <row r="5" spans="1:6" s="1" customFormat="1" ht="32.25" customHeight="1">
      <c r="A5" s="2"/>
    </row>
    <row r="6" spans="1:6" ht="86" customHeight="1">
      <c r="A6" s="642" t="s">
        <v>745</v>
      </c>
      <c r="B6" s="643"/>
      <c r="C6" s="644"/>
    </row>
    <row r="7" spans="1:6" ht="18">
      <c r="A7" s="281" t="s">
        <v>746</v>
      </c>
      <c r="B7" s="537">
        <f>F53</f>
        <v>324.54137913514933</v>
      </c>
      <c r="C7" s="646" t="s">
        <v>734</v>
      </c>
      <c r="D7" s="538"/>
    </row>
    <row r="8" spans="1:6" ht="17.25" customHeight="1">
      <c r="A8" s="281" t="s">
        <v>732</v>
      </c>
      <c r="B8" s="514">
        <f>D53</f>
        <v>161.94614818843951</v>
      </c>
      <c r="C8" s="647"/>
    </row>
    <row r="9" spans="1:6" ht="17.25" customHeight="1"/>
    <row r="10" spans="1:6" ht="27" customHeight="1">
      <c r="A10" s="612" t="str">
        <f>"Biogas Production per Retention Period by Organic Waste (" &amp; C7&amp;")"</f>
        <v>Biogas Production per Retention Period by Organic Waste (m3/day)</v>
      </c>
      <c r="B10" s="612"/>
      <c r="C10" s="612"/>
      <c r="D10" s="612"/>
      <c r="E10" s="612"/>
      <c r="F10" s="612"/>
    </row>
    <row r="34" spans="1:6" ht="16.25" customHeight="1"/>
    <row r="35" spans="1:6" ht="16.25" customHeight="1"/>
    <row r="36" spans="1:6" ht="29.4" customHeight="1">
      <c r="A36" s="645" t="str">
        <f>"Average Biogas Production per Retention Period by Organic Waste (" &amp; C7&amp;")"</f>
        <v>Average Biogas Production per Retention Period by Organic Waste (m3/day)</v>
      </c>
      <c r="B36" s="645"/>
      <c r="C36" s="645"/>
      <c r="D36" s="645"/>
      <c r="E36" s="645"/>
      <c r="F36" s="645"/>
    </row>
    <row r="37" spans="1:6" s="268" customFormat="1" ht="16">
      <c r="A37" s="525" t="s">
        <v>149</v>
      </c>
      <c r="B37" s="33" t="s">
        <v>325</v>
      </c>
      <c r="C37" s="33" t="s">
        <v>326</v>
      </c>
      <c r="D37" s="33" t="str">
        <f>"Methane Production ("&amp;C7&amp;")"</f>
        <v>Methane Production (m3/day)</v>
      </c>
      <c r="E37" s="33" t="str">
        <f>"Other Gases ("&amp;C7&amp;")"</f>
        <v>Other Gases (m3/day)</v>
      </c>
      <c r="F37" s="33" t="str">
        <f>"Total Biogas Production ("&amp;C7&amp;")"</f>
        <v>Total Biogas Production (m3/day)</v>
      </c>
    </row>
    <row r="38" spans="1:6" ht="16.25" customHeight="1">
      <c r="A38" s="29" t="str">
        <f>IF('3-Digester Inputs'!B17=0,"",'3-Digester Inputs'!B17)</f>
        <v>Calf</v>
      </c>
      <c r="B38" s="12">
        <f>'3-Digester Inputs'!P17</f>
        <v>1820.6007912771083</v>
      </c>
      <c r="C38" s="205">
        <f>IFERROR(VLOOKUP(A38,'9-Feedstock Characteristics'!$A$10:$R$117,17,FALSE)/1000,"")</f>
        <v>0.14799999999999999</v>
      </c>
      <c r="D38" s="342">
        <f>IFERROR(AVERAGE(D58,K58)*VLOOKUP($C$7,'23-Look up values'!$A$15:$B$16,2,FALSE),"")</f>
        <v>152.40940022744337</v>
      </c>
      <c r="E38" s="342">
        <f>IFERROR(F38-D38,"")</f>
        <v>153.02025954699224</v>
      </c>
      <c r="F38" s="342">
        <f>IFERROR(D38/Methane_CH4_Percent,"")</f>
        <v>305.42965977443561</v>
      </c>
    </row>
    <row r="39" spans="1:6" ht="16.25" customHeight="1">
      <c r="A39" s="29" t="str">
        <f>IF('3-Digester Inputs'!B18=0,"",'3-Digester Inputs'!B18)</f>
        <v>Adolescents Pigs</v>
      </c>
      <c r="B39" s="12">
        <f>'3-Digester Inputs'!P18</f>
        <v>24.795432221538455</v>
      </c>
      <c r="C39" s="205">
        <f>IFERROR(VLOOKUP(A39,'9-Feedstock Characteristics'!$A$10:$R$117,17,FALSE)/1000,"")</f>
        <v>0.35599999999999998</v>
      </c>
      <c r="D39" s="342">
        <f>IFERROR(AVERAGE(D59,K59)*VLOOKUP($C$7,'23-Look up values'!$A$15:$B$16,2,FALSE),"")</f>
        <v>4.9929474194843868</v>
      </c>
      <c r="E39" s="342">
        <f>IFERROR(F39-D39,"")</f>
        <v>5.0129592327889343</v>
      </c>
      <c r="F39" s="342">
        <f>IFERROR(D39/Methane_CH4_Percent,"")</f>
        <v>10.005906652273321</v>
      </c>
    </row>
    <row r="40" spans="1:6" ht="16.25" customHeight="1">
      <c r="A40" s="29" t="str">
        <f>IF('3-Digester Inputs'!B19=0,"",'3-Digester Inputs'!B19)</f>
        <v>Poultry Chicken</v>
      </c>
      <c r="B40" s="12">
        <f>'3-Digester Inputs'!P19</f>
        <v>29.105486666666661</v>
      </c>
      <c r="C40" s="205">
        <f>IFERROR(VLOOKUP(A40,'9-Feedstock Characteristics'!$A$10:$R$117,17,FALSE)/1000,"")</f>
        <v>0.27600000000000002</v>
      </c>
      <c r="D40" s="342">
        <f>IFERROR(AVERAGE(D60,K60)*VLOOKUP($C$7,'23-Look up values'!$A$15:$B$16,2,FALSE),"")</f>
        <v>4.5438005415117608</v>
      </c>
      <c r="E40" s="12">
        <f t="shared" ref="E40:E52" si="0">IFERROR(F40-D40,"")</f>
        <v>4.5620121669286409</v>
      </c>
      <c r="F40" s="12">
        <f t="shared" ref="F40:F52" si="1">IFERROR(D40/Methane_CH4_Percent,"")</f>
        <v>9.1058127084404017</v>
      </c>
    </row>
    <row r="41" spans="1:6" ht="16.25" customHeight="1">
      <c r="A41" s="29" t="str">
        <f>IF('3-Digester Inputs'!B20=0,"",'3-Digester Inputs'!B20)</f>
        <v/>
      </c>
      <c r="B41" s="12" t="str">
        <f>'3-Digester Inputs'!P20</f>
        <v/>
      </c>
      <c r="C41" s="205" t="str">
        <f>IFERROR(VLOOKUP(A41,'9-Feedstock Characteristics'!$A$10:$R$117,17,FALSE)/1000,"")</f>
        <v/>
      </c>
      <c r="D41" s="342" t="str">
        <f>IFERROR(AVERAGE(D61,K61)*VLOOKUP($C$7,'23-Look up values'!$A$15:$B$16,2,FALSE),"")</f>
        <v/>
      </c>
      <c r="E41" s="12" t="str">
        <f t="shared" si="0"/>
        <v/>
      </c>
      <c r="F41" s="12" t="str">
        <f t="shared" si="1"/>
        <v/>
      </c>
    </row>
    <row r="42" spans="1:6" ht="16.25" customHeight="1">
      <c r="A42" s="29" t="str">
        <f>IF('3-Digester Inputs'!B21=0,"",'3-Digester Inputs'!B21)</f>
        <v/>
      </c>
      <c r="B42" s="12" t="str">
        <f>'3-Digester Inputs'!P21</f>
        <v/>
      </c>
      <c r="C42" s="205" t="str">
        <f>IFERROR(VLOOKUP(A42,'9-Feedstock Characteristics'!$A$10:$R$117,17,FALSE)/1000,"")</f>
        <v/>
      </c>
      <c r="D42" s="342" t="str">
        <f>IFERROR(AVERAGE(D62,K62)*VLOOKUP($C$7,'23-Look up values'!$A$15:$B$16,2,FALSE),"")</f>
        <v/>
      </c>
      <c r="E42" s="12" t="str">
        <f t="shared" si="0"/>
        <v/>
      </c>
      <c r="F42" s="12" t="str">
        <f t="shared" si="1"/>
        <v/>
      </c>
    </row>
    <row r="43" spans="1:6" ht="16.25" customHeight="1">
      <c r="A43" s="29" t="str">
        <f>IF('3-Digester Inputs'!B22=0,"",'3-Digester Inputs'!B22)</f>
        <v/>
      </c>
      <c r="B43" s="12" t="str">
        <f>'3-Digester Inputs'!P22</f>
        <v/>
      </c>
      <c r="C43" s="205" t="str">
        <f>IFERROR(VLOOKUP(A43,'9-Feedstock Characteristics'!$A$10:$R$117,17,FALSE)/1000,"")</f>
        <v/>
      </c>
      <c r="D43" s="342" t="str">
        <f>IFERROR(AVERAGE(D63,K63)*VLOOKUP($C$7,'23-Look up values'!$A$15:$B$16,2,FALSE),"")</f>
        <v/>
      </c>
      <c r="E43" s="12" t="str">
        <f t="shared" si="0"/>
        <v/>
      </c>
      <c r="F43" s="12" t="str">
        <f t="shared" si="1"/>
        <v/>
      </c>
    </row>
    <row r="44" spans="1:6" ht="16.25" customHeight="1">
      <c r="A44" s="29" t="str">
        <f>IF('3-Digester Inputs'!B23=0,"",'3-Digester Inputs'!B23)</f>
        <v/>
      </c>
      <c r="B44" s="12" t="str">
        <f>'3-Digester Inputs'!P23</f>
        <v/>
      </c>
      <c r="C44" s="12" t="str">
        <f>IFERROR(VLOOKUP(A44,'9-Feedstock Characteristics'!$A$10:$R$117,17,FALSE)/1000,"")</f>
        <v/>
      </c>
      <c r="D44" s="342" t="str">
        <f>IFERROR(AVERAGE(D64,K64)*VLOOKUP($C$7,'23-Look up values'!$A$15:$B$16,2,FALSE),"")</f>
        <v/>
      </c>
      <c r="E44" s="12" t="str">
        <f t="shared" si="0"/>
        <v/>
      </c>
      <c r="F44" s="12" t="str">
        <f t="shared" si="1"/>
        <v/>
      </c>
    </row>
    <row r="45" spans="1:6" ht="16.25" customHeight="1">
      <c r="A45" s="29" t="str">
        <f>IF('3-Digester Inputs'!B24=0,"",'3-Digester Inputs'!B24)</f>
        <v/>
      </c>
      <c r="B45" s="12" t="str">
        <f>'3-Digester Inputs'!P24</f>
        <v/>
      </c>
      <c r="C45" s="12" t="str">
        <f>IFERROR(VLOOKUP(A45,'9-Feedstock Characteristics'!$A$10:$R$117,17,FALSE)/1000,"")</f>
        <v/>
      </c>
      <c r="D45" s="342" t="str">
        <f>IFERROR(AVERAGE(D65,K65)*VLOOKUP($C$7,'23-Look up values'!$A$15:$B$16,2,FALSE),"")</f>
        <v/>
      </c>
      <c r="E45" s="12" t="str">
        <f t="shared" si="0"/>
        <v/>
      </c>
      <c r="F45" s="12" t="str">
        <f t="shared" si="1"/>
        <v/>
      </c>
    </row>
    <row r="46" spans="1:6" ht="16.25" customHeight="1">
      <c r="A46" s="29" t="str">
        <f>IF('3-Digester Inputs'!B25=0,"",'3-Digester Inputs'!B25)</f>
        <v/>
      </c>
      <c r="B46" s="12" t="str">
        <f>'3-Digester Inputs'!P25</f>
        <v/>
      </c>
      <c r="C46" s="12" t="str">
        <f>IFERROR(VLOOKUP(A46,'9-Feedstock Characteristics'!$A$10:$R$117,17,FALSE)/1000,"")</f>
        <v/>
      </c>
      <c r="D46" s="342" t="str">
        <f>IFERROR(AVERAGE(D66,K66)*VLOOKUP($C$7,'23-Look up values'!$A$15:$B$16,2,FALSE),"")</f>
        <v/>
      </c>
      <c r="E46" s="12" t="str">
        <f t="shared" si="0"/>
        <v/>
      </c>
      <c r="F46" s="12" t="str">
        <f t="shared" si="1"/>
        <v/>
      </c>
    </row>
    <row r="47" spans="1:6" ht="16.25" customHeight="1">
      <c r="A47" s="29" t="str">
        <f>IF('3-Digester Inputs'!B26=0,"",'3-Digester Inputs'!B26)</f>
        <v/>
      </c>
      <c r="B47" s="12" t="str">
        <f>'3-Digester Inputs'!P26</f>
        <v/>
      </c>
      <c r="C47" s="12" t="str">
        <f>IFERROR(VLOOKUP(A47,'9-Feedstock Characteristics'!$A$10:$R$117,17,FALSE)/1000,"")</f>
        <v/>
      </c>
      <c r="D47" s="342" t="str">
        <f>IFERROR(AVERAGE(D67,K67)*VLOOKUP($C$7,'23-Look up values'!$A$15:$B$16,2,FALSE),"")</f>
        <v/>
      </c>
      <c r="E47" s="12" t="str">
        <f t="shared" si="0"/>
        <v/>
      </c>
      <c r="F47" s="12" t="str">
        <f t="shared" si="1"/>
        <v/>
      </c>
    </row>
    <row r="48" spans="1:6" ht="16.25" customHeight="1">
      <c r="A48" s="29" t="str">
        <f>IF('3-Digester Inputs'!B27=0,"",'3-Digester Inputs'!B27)</f>
        <v/>
      </c>
      <c r="B48" s="12" t="str">
        <f>'3-Digester Inputs'!P27</f>
        <v/>
      </c>
      <c r="C48" s="12" t="str">
        <f>IFERROR(VLOOKUP(A48,'9-Feedstock Characteristics'!$A$10:$R$117,17,FALSE)/1000,"")</f>
        <v/>
      </c>
      <c r="D48" s="342" t="str">
        <f>IFERROR(AVERAGE(D68,K68)*VLOOKUP($C$7,'23-Look up values'!$A$15:$B$16,2,FALSE),"")</f>
        <v/>
      </c>
      <c r="E48" s="12" t="str">
        <f t="shared" si="0"/>
        <v/>
      </c>
      <c r="F48" s="12" t="str">
        <f t="shared" si="1"/>
        <v/>
      </c>
    </row>
    <row r="49" spans="1:27" ht="16.25" customHeight="1">
      <c r="A49" s="29" t="str">
        <f>IF('3-Digester Inputs'!B28=0,"",'3-Digester Inputs'!B28)</f>
        <v/>
      </c>
      <c r="B49" s="12" t="str">
        <f>'3-Digester Inputs'!P28</f>
        <v/>
      </c>
      <c r="C49" s="12" t="str">
        <f>IFERROR(VLOOKUP(A49,'9-Feedstock Characteristics'!$A$10:$R$117,17,FALSE)/1000,"")</f>
        <v/>
      </c>
      <c r="D49" s="342" t="str">
        <f>IFERROR(AVERAGE(D69,K69)*VLOOKUP($C$7,'23-Look up values'!$A$15:$B$16,2,FALSE),"")</f>
        <v/>
      </c>
      <c r="E49" s="12" t="str">
        <f t="shared" si="0"/>
        <v/>
      </c>
      <c r="F49" s="12" t="str">
        <f t="shared" si="1"/>
        <v/>
      </c>
    </row>
    <row r="50" spans="1:27" ht="16.25" customHeight="1">
      <c r="A50" s="29" t="str">
        <f>IF('3-Digester Inputs'!B29=0,"",'3-Digester Inputs'!B29)</f>
        <v/>
      </c>
      <c r="B50" s="12" t="str">
        <f>'3-Digester Inputs'!P29</f>
        <v/>
      </c>
      <c r="C50" s="12" t="str">
        <f>IFERROR(VLOOKUP(A50,'9-Feedstock Characteristics'!$A$10:$R$117,17,FALSE)/1000,"")</f>
        <v/>
      </c>
      <c r="D50" s="342" t="str">
        <f>IFERROR(AVERAGE(D70,K70)*VLOOKUP($C$7,'23-Look up values'!$A$15:$B$16,2,FALSE),"")</f>
        <v/>
      </c>
      <c r="E50" s="12" t="str">
        <f t="shared" si="0"/>
        <v/>
      </c>
      <c r="F50" s="12" t="str">
        <f t="shared" si="1"/>
        <v/>
      </c>
    </row>
    <row r="51" spans="1:27" ht="16.25" customHeight="1">
      <c r="A51" s="29" t="str">
        <f>IF('3-Digester Inputs'!B30=0,"",'3-Digester Inputs'!B30)</f>
        <v/>
      </c>
      <c r="B51" s="12" t="str">
        <f>'3-Digester Inputs'!P30</f>
        <v/>
      </c>
      <c r="C51" s="12" t="str">
        <f>IFERROR(VLOOKUP(A51,'9-Feedstock Characteristics'!$A$10:$R$117,17,FALSE)/1000,"")</f>
        <v/>
      </c>
      <c r="D51" s="342" t="str">
        <f>IFERROR(AVERAGE(D71,K71)*VLOOKUP($C$7,'23-Look up values'!$A$15:$B$16,2,FALSE),"")</f>
        <v/>
      </c>
      <c r="E51" s="12" t="str">
        <f t="shared" si="0"/>
        <v/>
      </c>
      <c r="F51" s="12" t="str">
        <f t="shared" si="1"/>
        <v/>
      </c>
    </row>
    <row r="52" spans="1:27" ht="16.25" customHeight="1">
      <c r="A52" s="29" t="str">
        <f>IF('3-Digester Inputs'!B31=0,"",'3-Digester Inputs'!B31)</f>
        <v/>
      </c>
      <c r="B52" s="12" t="str">
        <f>'3-Digester Inputs'!P31</f>
        <v/>
      </c>
      <c r="C52" s="12" t="str">
        <f>IFERROR(VLOOKUP(A52,'9-Feedstock Characteristics'!$A$10:$R$117,17,FALSE)/1000,"")</f>
        <v/>
      </c>
      <c r="D52" s="342" t="str">
        <f>IFERROR(AVERAGE(D72,K72)*VLOOKUP($C$7,'23-Look up values'!$A$15:$B$16,2,FALSE),"")</f>
        <v/>
      </c>
      <c r="E52" s="12" t="str">
        <f t="shared" si="0"/>
        <v/>
      </c>
      <c r="F52" s="12" t="str">
        <f t="shared" si="1"/>
        <v/>
      </c>
    </row>
    <row r="53" spans="1:27" ht="16.25" customHeight="1">
      <c r="A53" s="32" t="s">
        <v>204</v>
      </c>
      <c r="B53" s="280">
        <f>SUM(B38:B52)</f>
        <v>1874.5017101653134</v>
      </c>
      <c r="C53" s="280">
        <f>SUMPRODUCT(B38:B52,C38:C52)/SUM(B38:B52)</f>
        <v>0.15273883387101841</v>
      </c>
      <c r="D53" s="280">
        <f>SUM(D38:D52)</f>
        <v>161.94614818843951</v>
      </c>
      <c r="E53" s="280">
        <f>IFERROR(F53-D53,"")</f>
        <v>162.59523094670982</v>
      </c>
      <c r="F53" s="280">
        <f>SUM(F38:F52)</f>
        <v>324.54137913514933</v>
      </c>
    </row>
    <row r="54" spans="1:27" ht="35.4" hidden="1" customHeight="1">
      <c r="J54" s="207"/>
    </row>
    <row r="55" spans="1:27" ht="16.25" hidden="1" customHeight="1"/>
    <row r="56" spans="1:27" ht="21" hidden="1" customHeight="1">
      <c r="A56" s="612" t="s">
        <v>748</v>
      </c>
      <c r="B56" s="612"/>
      <c r="C56" s="612"/>
      <c r="D56" s="612"/>
      <c r="E56" s="612"/>
      <c r="F56" s="612"/>
      <c r="H56" s="612" t="s">
        <v>747</v>
      </c>
      <c r="I56" s="612"/>
      <c r="J56" s="612"/>
      <c r="K56" s="612"/>
      <c r="L56" s="612"/>
      <c r="M56" s="612"/>
      <c r="O56" s="612" t="s">
        <v>749</v>
      </c>
      <c r="P56" s="612"/>
      <c r="Q56" s="612"/>
      <c r="R56" s="612"/>
      <c r="S56" s="612"/>
      <c r="T56" s="612"/>
      <c r="V56" s="612" t="s">
        <v>750</v>
      </c>
      <c r="W56" s="612"/>
      <c r="X56" s="612"/>
      <c r="Y56" s="612"/>
      <c r="Z56" s="612"/>
      <c r="AA56" s="612"/>
    </row>
    <row r="57" spans="1:27" s="268" customFormat="1" ht="58" hidden="1">
      <c r="A57" s="525" t="s">
        <v>149</v>
      </c>
      <c r="B57" s="33" t="s">
        <v>739</v>
      </c>
      <c r="C57" s="33" t="s">
        <v>326</v>
      </c>
      <c r="D57" s="33" t="s">
        <v>327</v>
      </c>
      <c r="E57" s="33" t="s">
        <v>328</v>
      </c>
      <c r="F57" s="33" t="s">
        <v>329</v>
      </c>
      <c r="H57" s="525" t="s">
        <v>149</v>
      </c>
      <c r="I57" s="33" t="s">
        <v>739</v>
      </c>
      <c r="J57" s="33" t="s">
        <v>326</v>
      </c>
      <c r="K57" s="33" t="s">
        <v>327</v>
      </c>
      <c r="L57" s="33" t="s">
        <v>328</v>
      </c>
      <c r="M57" s="33" t="s">
        <v>329</v>
      </c>
      <c r="O57" s="525" t="s">
        <v>149</v>
      </c>
      <c r="P57" s="33" t="s">
        <v>739</v>
      </c>
      <c r="Q57" s="33" t="s">
        <v>326</v>
      </c>
      <c r="R57" s="33" t="s">
        <v>327</v>
      </c>
      <c r="S57" s="33" t="s">
        <v>328</v>
      </c>
      <c r="T57" s="33" t="s">
        <v>329</v>
      </c>
      <c r="V57" s="525" t="s">
        <v>149</v>
      </c>
      <c r="W57" s="33" t="s">
        <v>739</v>
      </c>
      <c r="X57" s="33" t="s">
        <v>326</v>
      </c>
      <c r="Y57" s="33" t="s">
        <v>327</v>
      </c>
      <c r="Z57" s="33" t="s">
        <v>328</v>
      </c>
      <c r="AA57" s="33" t="s">
        <v>329</v>
      </c>
    </row>
    <row r="58" spans="1:27" ht="19.25" hidden="1" customHeight="1">
      <c r="A58" s="29" t="str">
        <f>IF('3-Digester Inputs'!B17=0,"",'3-Digester Inputs'!B17)</f>
        <v>Calf</v>
      </c>
      <c r="B58" s="528">
        <f>'3-Digester Inputs'!P17</f>
        <v>1820.6007912771083</v>
      </c>
      <c r="C58" s="528">
        <f>IFERROR(VLOOKUP(A58,'9-Feedstock Characteristics'!$A$10:$R$117,17,FALSE)/1000,"")</f>
        <v>0.14799999999999999</v>
      </c>
      <c r="D58" s="528">
        <f>IFERROR(C58*B58*VLOOKUP(ReactorType&amp;"_"&amp;ReactorTemp,'11-Calibration Factors'!$A$4:$C$9,2,FALSE),"")</f>
        <v>108.00841290851233</v>
      </c>
      <c r="E58" s="528">
        <f>IFERROR(F58-D58,"")</f>
        <v>108.44131235904746</v>
      </c>
      <c r="F58" s="528">
        <f>IFERROR(D58/Methane_CH4_Percent,"")</f>
        <v>216.44972526755978</v>
      </c>
      <c r="H58" s="529" t="str">
        <f>IF('3-Digester Inputs'!B17=0,"",'3-Digester Inputs'!B17)</f>
        <v>Calf</v>
      </c>
      <c r="I58" s="528">
        <f>'3-Digester Inputs'!P17</f>
        <v>1820.6007912771083</v>
      </c>
      <c r="J58" s="528">
        <f>IFERROR(VLOOKUP(H58,'9-Feedstock Characteristics'!$A$10:$R$117,17,FALSE)/1000,"")</f>
        <v>0.14799999999999999</v>
      </c>
      <c r="K58" s="528">
        <f>IFERROR(J58*I58*VLOOKUP(ReactorType&amp;"_"&amp;ReactorTemp,'11-Calibration Factors'!$A$4:$C$9,3,FALSE),"")</f>
        <v>196.81038754637439</v>
      </c>
      <c r="L58" s="528">
        <f>IFERROR(M58-K58,"")</f>
        <v>197.59920673493701</v>
      </c>
      <c r="M58" s="528">
        <f>IFERROR(K58/Methane_CH4_Percent,"")</f>
        <v>394.4095942813114</v>
      </c>
      <c r="N58" s="530"/>
      <c r="O58" s="529" t="str">
        <f>IF('3-Digester Inputs'!B17=0,"",'3-Digester Inputs'!B17)</f>
        <v>Calf</v>
      </c>
      <c r="P58" s="528">
        <f>'3-Digester Inputs'!P17</f>
        <v>1820.6007912771083</v>
      </c>
      <c r="Q58" s="528">
        <f>IFERROR(VLOOKUP(O58,'9-Feedstock Characteristics'!$A$10:$R$117,17,FALSE)/1000,"")</f>
        <v>0.14799999999999999</v>
      </c>
      <c r="R58" s="528">
        <f>IFERROR(Q58*P58,"")</f>
        <v>269.44891710901203</v>
      </c>
      <c r="S58" s="528">
        <f>IFERROR(T58-R58,"")</f>
        <v>270.52887268860724</v>
      </c>
      <c r="T58" s="528">
        <f>IFERROR(R58/Methane_CH4_Percent,"")</f>
        <v>539.97778979761927</v>
      </c>
      <c r="V58" s="529" t="str">
        <f>IF('3-Digester Inputs'!B17=0,"",'3-Digester Inputs'!B17)</f>
        <v>Calf</v>
      </c>
      <c r="W58" s="528">
        <f>'3-Digester Inputs'!P17</f>
        <v>1820.6007912771083</v>
      </c>
      <c r="X58" s="528">
        <f>IFERROR(VLOOKUP(V58,'9-Feedstock Characteristics'!$A$10:$R$117,17,FALSE)/1000,"")</f>
        <v>0.14799999999999999</v>
      </c>
      <c r="Y58" s="528">
        <f>IFERROR(AVERAGE(D58,K58)," ")</f>
        <v>152.40940022744337</v>
      </c>
      <c r="Z58" s="528">
        <f>IFERROR(AA58-Y58,"")</f>
        <v>153.02025954699224</v>
      </c>
      <c r="AA58" s="528">
        <f t="shared" ref="AA58:AA72" si="2">IFERROR(Y58/Methane_CH4_Percent,"")</f>
        <v>305.42965977443561</v>
      </c>
    </row>
    <row r="59" spans="1:27" ht="19.25" hidden="1" customHeight="1">
      <c r="A59" s="29" t="str">
        <f>IF('3-Digester Inputs'!B18=0,"",'3-Digester Inputs'!B18)</f>
        <v>Adolescents Pigs</v>
      </c>
      <c r="B59" s="12">
        <f>'3-Digester Inputs'!P18</f>
        <v>24.795432221538455</v>
      </c>
      <c r="C59" s="205">
        <f>IFERROR(VLOOKUP(A59,'9-Feedstock Characteristics'!$A$10:$R$117,17,FALSE)/1000,"")</f>
        <v>0.35599999999999998</v>
      </c>
      <c r="D59" s="528">
        <f>IFERROR(C59*B59*VLOOKUP(ReactorType&amp;"_"&amp;ReactorTemp,'11-Calibration Factors'!$A$4:$C$9,2,FALSE),"")</f>
        <v>3.538366568659038</v>
      </c>
      <c r="E59" s="342">
        <f>IFERROR(F59-D59,"")</f>
        <v>3.5525483985935429</v>
      </c>
      <c r="F59" s="342">
        <f>IFERROR(D59/Methane_CH4_Percent,"")</f>
        <v>7.0909149672525809</v>
      </c>
      <c r="H59" s="529" t="str">
        <f>IF('3-Digester Inputs'!B18=0,"",'3-Digester Inputs'!B18)</f>
        <v>Adolescents Pigs</v>
      </c>
      <c r="I59" s="528">
        <f>'3-Digester Inputs'!P18</f>
        <v>24.795432221538455</v>
      </c>
      <c r="J59" s="528">
        <f>IFERROR(VLOOKUP(H59,'9-Feedstock Characteristics'!$A$10:$R$117,17,FALSE)/1000,"")</f>
        <v>0.35599999999999998</v>
      </c>
      <c r="K59" s="528">
        <f>IFERROR(J59*I59*VLOOKUP(ReactorType&amp;"_"&amp;ReactorTemp,'11-Calibration Factors'!$A$4:$C$9,3,FALSE),"")</f>
        <v>6.4475282703097356</v>
      </c>
      <c r="L59" s="528">
        <f>IFERROR(M59-K59,"")</f>
        <v>6.473370066984323</v>
      </c>
      <c r="M59" s="528">
        <f>IFERROR(K59/Methane_CH4_Percent,"")</f>
        <v>12.920898337294059</v>
      </c>
      <c r="N59" s="530"/>
      <c r="O59" s="529" t="str">
        <f>IF('3-Digester Inputs'!B18=0,"",'3-Digester Inputs'!B18)</f>
        <v>Adolescents Pigs</v>
      </c>
      <c r="P59" s="528">
        <f>'3-Digester Inputs'!P18</f>
        <v>24.795432221538455</v>
      </c>
      <c r="Q59" s="528">
        <f>IFERROR(VLOOKUP(O59,'9-Feedstock Characteristics'!$A$10:$R$117,17,FALSE)/1000,"")</f>
        <v>0.35599999999999998</v>
      </c>
      <c r="R59" s="528">
        <f>IFERROR(Q59*P59,"")</f>
        <v>8.8271738708676892</v>
      </c>
      <c r="S59" s="528">
        <f>IFERROR(T59-R59,"")</f>
        <v>8.8625533252599453</v>
      </c>
      <c r="T59" s="528">
        <f>IFERROR(R59/Methane_CH4_Percent,"")</f>
        <v>17.689727196127635</v>
      </c>
      <c r="V59" s="529" t="str">
        <f>IF('3-Digester Inputs'!B18=0,"",'3-Digester Inputs'!B18)</f>
        <v>Adolescents Pigs</v>
      </c>
      <c r="W59" s="528">
        <f>'3-Digester Inputs'!P18</f>
        <v>24.795432221538455</v>
      </c>
      <c r="X59" s="528">
        <f>IFERROR(VLOOKUP(V59,'9-Feedstock Characteristics'!$A$10:$R$117,17,FALSE)/1000,"")</f>
        <v>0.35599999999999998</v>
      </c>
      <c r="Y59" s="528">
        <f>IFERROR(AVERAGE(D59,K59)," ")</f>
        <v>4.9929474194843868</v>
      </c>
      <c r="Z59" s="528">
        <f t="shared" ref="Z59:Z72" si="3">IFERROR(AA59-Y59,"")</f>
        <v>5.0129592327889343</v>
      </c>
      <c r="AA59" s="528">
        <f t="shared" si="2"/>
        <v>10.005906652273321</v>
      </c>
    </row>
    <row r="60" spans="1:27" ht="19.25" hidden="1" customHeight="1">
      <c r="A60" s="29" t="str">
        <f>IF('3-Digester Inputs'!B19=0,"",'3-Digester Inputs'!B19)</f>
        <v>Poultry Chicken</v>
      </c>
      <c r="B60" s="12">
        <f>'3-Digester Inputs'!P19</f>
        <v>29.105486666666661</v>
      </c>
      <c r="C60" s="205">
        <f>IFERROR(VLOOKUP(A60,'9-Feedstock Characteristics'!$A$10:$R$117,17,FALSE)/1000,"")</f>
        <v>0.27600000000000002</v>
      </c>
      <c r="D60" s="528">
        <f>IFERROR(C60*B60*VLOOKUP(ReactorType&amp;"_"&amp;ReactorTemp,'11-Calibration Factors'!$A$4:$C$9,2,FALSE),"")</f>
        <v>3.2200683444009424</v>
      </c>
      <c r="E60" s="12">
        <f t="shared" ref="E60:E72" si="4">IFERROR(F60-D60,"")</f>
        <v>3.2329744299496439</v>
      </c>
      <c r="F60" s="12">
        <f t="shared" ref="F60:F72" si="5">IFERROR(D60/Methane_CH4_Percent,"")</f>
        <v>6.4530427743505863</v>
      </c>
      <c r="H60" s="529" t="str">
        <f>IF('3-Digester Inputs'!B19=0,"",'3-Digester Inputs'!B19)</f>
        <v>Poultry Chicken</v>
      </c>
      <c r="I60" s="528">
        <f>'3-Digester Inputs'!P19</f>
        <v>29.105486666666661</v>
      </c>
      <c r="J60" s="528">
        <f>IFERROR(VLOOKUP(H60,'9-Feedstock Characteristics'!$A$10:$R$117,17,FALSE)/1000,"")</f>
        <v>0.27600000000000002</v>
      </c>
      <c r="K60" s="528">
        <f>IFERROR(J60*I60*VLOOKUP(ReactorType&amp;"_"&amp;ReactorTemp,'11-Calibration Factors'!$A$4:$C$9,3,FALSE),"")</f>
        <v>5.8675327386225788</v>
      </c>
      <c r="L60" s="528">
        <f t="shared" ref="L60:L72" si="6">IFERROR(M60-K60,"")</f>
        <v>5.8910499039076392</v>
      </c>
      <c r="M60" s="528">
        <f t="shared" ref="M60:M72" si="7">IFERROR(K60/Methane_CH4_Percent,"")</f>
        <v>11.758582642530218</v>
      </c>
      <c r="N60" s="530"/>
      <c r="O60" s="529" t="str">
        <f>IF('3-Digester Inputs'!B19=0,"",'3-Digester Inputs'!B19)</f>
        <v>Poultry Chicken</v>
      </c>
      <c r="P60" s="528">
        <f>'3-Digester Inputs'!P19</f>
        <v>29.105486666666661</v>
      </c>
      <c r="Q60" s="528">
        <f>IFERROR(VLOOKUP(O60,'9-Feedstock Characteristics'!$A$10:$R$117,17,FALSE)/1000,"")</f>
        <v>0.27600000000000002</v>
      </c>
      <c r="R60" s="528">
        <f t="shared" ref="R60:R72" si="8">IFERROR(Q60*P60,"")</f>
        <v>8.0331143199999993</v>
      </c>
      <c r="S60" s="528">
        <f t="shared" ref="S60:S72" si="9">IFERROR(T60-R60,"")</f>
        <v>8.065311170981964</v>
      </c>
      <c r="T60" s="528">
        <f t="shared" ref="T60:T72" si="10">IFERROR(R60/Methane_CH4_Percent,"")</f>
        <v>16.098425490981963</v>
      </c>
      <c r="V60" s="529" t="str">
        <f>IF('3-Digester Inputs'!B19=0,"",'3-Digester Inputs'!B19)</f>
        <v>Poultry Chicken</v>
      </c>
      <c r="W60" s="528">
        <f>'3-Digester Inputs'!P19</f>
        <v>29.105486666666661</v>
      </c>
      <c r="X60" s="528">
        <f>IFERROR(VLOOKUP(V60,'9-Feedstock Characteristics'!$A$10:$R$117,17,FALSE)/1000,"")</f>
        <v>0.27600000000000002</v>
      </c>
      <c r="Y60" s="528">
        <f t="shared" ref="Y60:Y72" si="11">IFERROR(AVERAGE(D60,K60)," ")</f>
        <v>4.5438005415117608</v>
      </c>
      <c r="Z60" s="528">
        <f t="shared" si="3"/>
        <v>4.5620121669286409</v>
      </c>
      <c r="AA60" s="528">
        <f t="shared" si="2"/>
        <v>9.1058127084404017</v>
      </c>
    </row>
    <row r="61" spans="1:27" ht="19.25" hidden="1" customHeight="1">
      <c r="A61" s="29" t="str">
        <f>IF('3-Digester Inputs'!B20=0,"",'3-Digester Inputs'!B20)</f>
        <v/>
      </c>
      <c r="B61" s="12" t="str">
        <f>'3-Digester Inputs'!P20</f>
        <v/>
      </c>
      <c r="C61" s="205" t="str">
        <f>IFERROR(VLOOKUP(A61,'9-Feedstock Characteristics'!$A$10:$R$117,17,FALSE)/1000,"")</f>
        <v/>
      </c>
      <c r="D61" s="528" t="str">
        <f>IFERROR(C61*B61*VLOOKUP(ReactorType&amp;"_"&amp;ReactorTemp,'11-Calibration Factors'!$A$4:$C$9,2,FALSE),"")</f>
        <v/>
      </c>
      <c r="E61" s="12" t="str">
        <f t="shared" si="4"/>
        <v/>
      </c>
      <c r="F61" s="12" t="str">
        <f t="shared" si="5"/>
        <v/>
      </c>
      <c r="H61" s="529" t="str">
        <f>IF('3-Digester Inputs'!B20=0,"",'3-Digester Inputs'!B20)</f>
        <v/>
      </c>
      <c r="I61" s="528" t="str">
        <f>'3-Digester Inputs'!P20</f>
        <v/>
      </c>
      <c r="J61" s="528" t="str">
        <f>IFERROR(VLOOKUP(H61,'9-Feedstock Characteristics'!$A$10:$R$117,17,FALSE)/1000,"")</f>
        <v/>
      </c>
      <c r="K61" s="528" t="str">
        <f>IFERROR(J61*I61*VLOOKUP(ReactorType&amp;"_"&amp;ReactorTemp,'11-Calibration Factors'!$A$4:$C$9,3,FALSE),"")</f>
        <v/>
      </c>
      <c r="L61" s="528" t="str">
        <f t="shared" si="6"/>
        <v/>
      </c>
      <c r="M61" s="528" t="str">
        <f t="shared" si="7"/>
        <v/>
      </c>
      <c r="N61" s="530"/>
      <c r="O61" s="529" t="str">
        <f>IF('3-Digester Inputs'!B20=0,"",'3-Digester Inputs'!B20)</f>
        <v/>
      </c>
      <c r="P61" s="528" t="str">
        <f>'3-Digester Inputs'!P20</f>
        <v/>
      </c>
      <c r="Q61" s="528" t="str">
        <f>IFERROR(VLOOKUP(O61,'9-Feedstock Characteristics'!$A$10:$R$117,17,FALSE)/1000,"")</f>
        <v/>
      </c>
      <c r="R61" s="528" t="str">
        <f t="shared" si="8"/>
        <v/>
      </c>
      <c r="S61" s="528" t="str">
        <f t="shared" si="9"/>
        <v/>
      </c>
      <c r="T61" s="528" t="str">
        <f t="shared" si="10"/>
        <v/>
      </c>
      <c r="V61" s="529" t="str">
        <f>IF('3-Digester Inputs'!B20=0,"",'3-Digester Inputs'!B20)</f>
        <v/>
      </c>
      <c r="W61" s="528" t="str">
        <f>'3-Digester Inputs'!P20</f>
        <v/>
      </c>
      <c r="X61" s="528" t="str">
        <f>IFERROR(VLOOKUP(V61,'9-Feedstock Characteristics'!$A$10:$R$117,17,FALSE)/1000,"")</f>
        <v/>
      </c>
      <c r="Y61" s="528" t="str">
        <f t="shared" si="11"/>
        <v xml:space="preserve"> </v>
      </c>
      <c r="Z61" s="528" t="str">
        <f t="shared" si="3"/>
        <v/>
      </c>
      <c r="AA61" s="528" t="str">
        <f t="shared" si="2"/>
        <v/>
      </c>
    </row>
    <row r="62" spans="1:27" ht="19.25" hidden="1" customHeight="1">
      <c r="A62" s="29" t="str">
        <f>IF('3-Digester Inputs'!B21=0,"",'3-Digester Inputs'!B21)</f>
        <v/>
      </c>
      <c r="B62" s="12" t="str">
        <f>'3-Digester Inputs'!P21</f>
        <v/>
      </c>
      <c r="C62" s="205" t="str">
        <f>IFERROR(VLOOKUP(A62,'9-Feedstock Characteristics'!$A$10:$R$117,17,FALSE)/1000,"")</f>
        <v/>
      </c>
      <c r="D62" s="528" t="str">
        <f>IFERROR(C62*B62*VLOOKUP(ReactorType&amp;"_"&amp;ReactorTemp,'11-Calibration Factors'!$A$4:$C$9,2,FALSE),"")</f>
        <v/>
      </c>
      <c r="E62" s="12" t="str">
        <f t="shared" si="4"/>
        <v/>
      </c>
      <c r="F62" s="12" t="str">
        <f t="shared" si="5"/>
        <v/>
      </c>
      <c r="H62" s="529" t="str">
        <f>IF('3-Digester Inputs'!B21=0,"",'3-Digester Inputs'!B21)</f>
        <v/>
      </c>
      <c r="I62" s="528" t="str">
        <f>'3-Digester Inputs'!P21</f>
        <v/>
      </c>
      <c r="J62" s="528" t="str">
        <f>IFERROR(VLOOKUP(H62,'9-Feedstock Characteristics'!$A$10:$R$117,17,FALSE)/1000,"")</f>
        <v/>
      </c>
      <c r="K62" s="528" t="str">
        <f>IFERROR(J62*I62*VLOOKUP(ReactorType&amp;"_"&amp;ReactorTemp,'11-Calibration Factors'!$A$4:$C$9,3,FALSE),"")</f>
        <v/>
      </c>
      <c r="L62" s="528" t="str">
        <f t="shared" si="6"/>
        <v/>
      </c>
      <c r="M62" s="528" t="str">
        <f t="shared" si="7"/>
        <v/>
      </c>
      <c r="N62" s="530"/>
      <c r="O62" s="529" t="str">
        <f>IF('3-Digester Inputs'!B21=0,"",'3-Digester Inputs'!B21)</f>
        <v/>
      </c>
      <c r="P62" s="528" t="str">
        <f>'3-Digester Inputs'!P21</f>
        <v/>
      </c>
      <c r="Q62" s="528" t="str">
        <f>IFERROR(VLOOKUP(O62,'9-Feedstock Characteristics'!$A$10:$R$117,17,FALSE)/1000,"")</f>
        <v/>
      </c>
      <c r="R62" s="528" t="str">
        <f t="shared" si="8"/>
        <v/>
      </c>
      <c r="S62" s="528" t="str">
        <f t="shared" si="9"/>
        <v/>
      </c>
      <c r="T62" s="528" t="str">
        <f t="shared" si="10"/>
        <v/>
      </c>
      <c r="V62" s="529" t="str">
        <f>IF('3-Digester Inputs'!B21=0,"",'3-Digester Inputs'!B21)</f>
        <v/>
      </c>
      <c r="W62" s="528" t="str">
        <f>'3-Digester Inputs'!P21</f>
        <v/>
      </c>
      <c r="X62" s="528" t="str">
        <f>IFERROR(VLOOKUP(V62,'9-Feedstock Characteristics'!$A$10:$R$117,17,FALSE)/1000,"")</f>
        <v/>
      </c>
      <c r="Y62" s="528" t="str">
        <f t="shared" si="11"/>
        <v xml:space="preserve"> </v>
      </c>
      <c r="Z62" s="528" t="str">
        <f t="shared" si="3"/>
        <v/>
      </c>
      <c r="AA62" s="528" t="str">
        <f t="shared" si="2"/>
        <v/>
      </c>
    </row>
    <row r="63" spans="1:27" ht="19.25" hidden="1" customHeight="1">
      <c r="A63" s="29" t="str">
        <f>IF('3-Digester Inputs'!B22=0,"",'3-Digester Inputs'!B22)</f>
        <v/>
      </c>
      <c r="B63" s="12" t="str">
        <f>'3-Digester Inputs'!P22</f>
        <v/>
      </c>
      <c r="C63" s="205" t="str">
        <f>IFERROR(VLOOKUP(A63,'9-Feedstock Characteristics'!$A$10:$R$117,17,FALSE)/1000,"")</f>
        <v/>
      </c>
      <c r="D63" s="528" t="str">
        <f>IFERROR(C63*B63*VLOOKUP(ReactorType&amp;"_"&amp;ReactorTemp,'11-Calibration Factors'!$A$4:$C$9,2,FALSE),"")</f>
        <v/>
      </c>
      <c r="E63" s="12" t="str">
        <f t="shared" si="4"/>
        <v/>
      </c>
      <c r="F63" s="12" t="str">
        <f t="shared" si="5"/>
        <v/>
      </c>
      <c r="H63" s="529" t="str">
        <f>IF('3-Digester Inputs'!B22=0,"",'3-Digester Inputs'!B22)</f>
        <v/>
      </c>
      <c r="I63" s="528" t="str">
        <f>'3-Digester Inputs'!P22</f>
        <v/>
      </c>
      <c r="J63" s="528" t="str">
        <f>IFERROR(VLOOKUP(H63,'9-Feedstock Characteristics'!$A$10:$R$117,17,FALSE)/1000,"")</f>
        <v/>
      </c>
      <c r="K63" s="528" t="str">
        <f>IFERROR(J63*I63*VLOOKUP(ReactorType&amp;"_"&amp;ReactorTemp,'11-Calibration Factors'!$A$4:$C$9,3,FALSE),"")</f>
        <v/>
      </c>
      <c r="L63" s="528" t="str">
        <f t="shared" si="6"/>
        <v/>
      </c>
      <c r="M63" s="528" t="str">
        <f t="shared" si="7"/>
        <v/>
      </c>
      <c r="N63" s="530"/>
      <c r="O63" s="529" t="str">
        <f>IF('3-Digester Inputs'!B22=0,"",'3-Digester Inputs'!B22)</f>
        <v/>
      </c>
      <c r="P63" s="528" t="str">
        <f>'3-Digester Inputs'!P22</f>
        <v/>
      </c>
      <c r="Q63" s="528" t="str">
        <f>IFERROR(VLOOKUP(O63,'9-Feedstock Characteristics'!$A$10:$R$117,17,FALSE)/1000,"")</f>
        <v/>
      </c>
      <c r="R63" s="528" t="str">
        <f t="shared" si="8"/>
        <v/>
      </c>
      <c r="S63" s="528" t="str">
        <f t="shared" si="9"/>
        <v/>
      </c>
      <c r="T63" s="528" t="str">
        <f t="shared" si="10"/>
        <v/>
      </c>
      <c r="V63" s="529" t="str">
        <f>IF('3-Digester Inputs'!B22=0,"",'3-Digester Inputs'!B22)</f>
        <v/>
      </c>
      <c r="W63" s="528" t="str">
        <f>'3-Digester Inputs'!P22</f>
        <v/>
      </c>
      <c r="X63" s="528" t="str">
        <f>IFERROR(VLOOKUP(V63,'9-Feedstock Characteristics'!$A$10:$R$117,17,FALSE)/1000,"")</f>
        <v/>
      </c>
      <c r="Y63" s="528" t="str">
        <f t="shared" si="11"/>
        <v xml:space="preserve"> </v>
      </c>
      <c r="Z63" s="528" t="str">
        <f t="shared" si="3"/>
        <v/>
      </c>
      <c r="AA63" s="528" t="str">
        <f t="shared" si="2"/>
        <v/>
      </c>
    </row>
    <row r="64" spans="1:27" ht="19.25" hidden="1" customHeight="1">
      <c r="A64" s="29" t="str">
        <f>IF('3-Digester Inputs'!B23=0,"",'3-Digester Inputs'!B23)</f>
        <v/>
      </c>
      <c r="B64" s="12" t="str">
        <f>'3-Digester Inputs'!P23</f>
        <v/>
      </c>
      <c r="C64" s="12" t="str">
        <f>IFERROR(VLOOKUP(A64,'9-Feedstock Characteristics'!$A$10:$R$117,17,FALSE)/1000,"")</f>
        <v/>
      </c>
      <c r="D64" s="528" t="str">
        <f>IFERROR(C64*B64*VLOOKUP(ReactorType&amp;"_"&amp;ReactorTemp,'11-Calibration Factors'!$A$4:$C$9,2,FALSE),"")</f>
        <v/>
      </c>
      <c r="E64" s="12" t="str">
        <f t="shared" si="4"/>
        <v/>
      </c>
      <c r="F64" s="12" t="str">
        <f t="shared" si="5"/>
        <v/>
      </c>
      <c r="H64" s="529" t="str">
        <f>IF('3-Digester Inputs'!B23=0,"",'3-Digester Inputs'!B23)</f>
        <v/>
      </c>
      <c r="I64" s="528" t="str">
        <f>'3-Digester Inputs'!P23</f>
        <v/>
      </c>
      <c r="J64" s="528" t="str">
        <f>IFERROR(VLOOKUP(H64,'9-Feedstock Characteristics'!$A$10:$R$117,17,FALSE)/1000,"")</f>
        <v/>
      </c>
      <c r="K64" s="528" t="str">
        <f>IFERROR(J64*I64*VLOOKUP(ReactorType&amp;"_"&amp;ReactorTemp,'11-Calibration Factors'!$A$4:$C$9,3,FALSE),"")</f>
        <v/>
      </c>
      <c r="L64" s="528" t="str">
        <f t="shared" si="6"/>
        <v/>
      </c>
      <c r="M64" s="528" t="str">
        <f t="shared" si="7"/>
        <v/>
      </c>
      <c r="N64" s="530"/>
      <c r="O64" s="529" t="str">
        <f>IF('3-Digester Inputs'!B23=0,"",'3-Digester Inputs'!B23)</f>
        <v/>
      </c>
      <c r="P64" s="528" t="str">
        <f>'3-Digester Inputs'!P23</f>
        <v/>
      </c>
      <c r="Q64" s="528" t="str">
        <f>IFERROR(VLOOKUP(O64,'9-Feedstock Characteristics'!$A$10:$R$117,17,FALSE)/1000,"")</f>
        <v/>
      </c>
      <c r="R64" s="528" t="str">
        <f t="shared" si="8"/>
        <v/>
      </c>
      <c r="S64" s="528" t="str">
        <f t="shared" si="9"/>
        <v/>
      </c>
      <c r="T64" s="528" t="str">
        <f t="shared" si="10"/>
        <v/>
      </c>
      <c r="V64" s="529" t="str">
        <f>IF('3-Digester Inputs'!B23=0,"",'3-Digester Inputs'!B23)</f>
        <v/>
      </c>
      <c r="W64" s="528" t="str">
        <f>'3-Digester Inputs'!P23</f>
        <v/>
      </c>
      <c r="X64" s="528" t="str">
        <f>IFERROR(VLOOKUP(V64,'9-Feedstock Characteristics'!$A$10:$R$117,17,FALSE)/1000,"")</f>
        <v/>
      </c>
      <c r="Y64" s="528" t="str">
        <f t="shared" si="11"/>
        <v xml:space="preserve"> </v>
      </c>
      <c r="Z64" s="528" t="str">
        <f t="shared" si="3"/>
        <v/>
      </c>
      <c r="AA64" s="528" t="str">
        <f t="shared" si="2"/>
        <v/>
      </c>
    </row>
    <row r="65" spans="1:27" ht="19.25" hidden="1" customHeight="1">
      <c r="A65" s="29" t="str">
        <f>IF('3-Digester Inputs'!B24=0,"",'3-Digester Inputs'!B24)</f>
        <v/>
      </c>
      <c r="B65" s="12" t="str">
        <f>'3-Digester Inputs'!P24</f>
        <v/>
      </c>
      <c r="C65" s="12" t="str">
        <f>IFERROR(VLOOKUP(A65,'9-Feedstock Characteristics'!$A$10:$R$117,17,FALSE)/1000,"")</f>
        <v/>
      </c>
      <c r="D65" s="528" t="str">
        <f>IFERROR(C65*B65*VLOOKUP(ReactorType&amp;"_"&amp;ReactorTemp,'11-Calibration Factors'!$A$4:$C$9,2,FALSE),"")</f>
        <v/>
      </c>
      <c r="E65" s="12" t="str">
        <f t="shared" si="4"/>
        <v/>
      </c>
      <c r="F65" s="12" t="str">
        <f t="shared" si="5"/>
        <v/>
      </c>
      <c r="H65" s="529" t="str">
        <f>IF('3-Digester Inputs'!B24=0,"",'3-Digester Inputs'!B24)</f>
        <v/>
      </c>
      <c r="I65" s="528" t="str">
        <f>'3-Digester Inputs'!P24</f>
        <v/>
      </c>
      <c r="J65" s="528" t="str">
        <f>IFERROR(VLOOKUP(H65,'9-Feedstock Characteristics'!$A$10:$R$117,17,FALSE)/1000,"")</f>
        <v/>
      </c>
      <c r="K65" s="528" t="str">
        <f>IFERROR(J65*I65*VLOOKUP(ReactorType&amp;"_"&amp;ReactorTemp,'11-Calibration Factors'!$A$4:$C$9,3,FALSE),"")</f>
        <v/>
      </c>
      <c r="L65" s="528" t="str">
        <f t="shared" si="6"/>
        <v/>
      </c>
      <c r="M65" s="528" t="str">
        <f t="shared" si="7"/>
        <v/>
      </c>
      <c r="N65" s="530"/>
      <c r="O65" s="529" t="str">
        <f>IF('3-Digester Inputs'!B24=0,"",'3-Digester Inputs'!B24)</f>
        <v/>
      </c>
      <c r="P65" s="528" t="str">
        <f>'3-Digester Inputs'!P24</f>
        <v/>
      </c>
      <c r="Q65" s="528" t="str">
        <f>IFERROR(VLOOKUP(O65,'9-Feedstock Characteristics'!$A$10:$R$117,17,FALSE)/1000,"")</f>
        <v/>
      </c>
      <c r="R65" s="528" t="str">
        <f t="shared" si="8"/>
        <v/>
      </c>
      <c r="S65" s="528" t="str">
        <f t="shared" si="9"/>
        <v/>
      </c>
      <c r="T65" s="528" t="str">
        <f t="shared" si="10"/>
        <v/>
      </c>
      <c r="V65" s="529" t="str">
        <f>IF('3-Digester Inputs'!B24=0,"",'3-Digester Inputs'!B24)</f>
        <v/>
      </c>
      <c r="W65" s="528" t="str">
        <f>'3-Digester Inputs'!P24</f>
        <v/>
      </c>
      <c r="X65" s="528" t="str">
        <f>IFERROR(VLOOKUP(V65,'9-Feedstock Characteristics'!$A$10:$R$117,17,FALSE)/1000,"")</f>
        <v/>
      </c>
      <c r="Y65" s="528" t="str">
        <f t="shared" si="11"/>
        <v xml:space="preserve"> </v>
      </c>
      <c r="Z65" s="528" t="str">
        <f t="shared" si="3"/>
        <v/>
      </c>
      <c r="AA65" s="528" t="str">
        <f t="shared" si="2"/>
        <v/>
      </c>
    </row>
    <row r="66" spans="1:27" ht="19.25" hidden="1" customHeight="1">
      <c r="A66" s="29" t="str">
        <f>IF('3-Digester Inputs'!B25=0,"",'3-Digester Inputs'!B25)</f>
        <v/>
      </c>
      <c r="B66" s="12" t="str">
        <f>'3-Digester Inputs'!P25</f>
        <v/>
      </c>
      <c r="C66" s="12" t="str">
        <f>IFERROR(VLOOKUP(A66,'9-Feedstock Characteristics'!$A$10:$R$117,17,FALSE)/1000,"")</f>
        <v/>
      </c>
      <c r="D66" s="528" t="str">
        <f>IFERROR(C66*B66*VLOOKUP(ReactorType&amp;"_"&amp;ReactorTemp,'11-Calibration Factors'!$A$4:$C$9,2,FALSE),"")</f>
        <v/>
      </c>
      <c r="E66" s="12" t="str">
        <f t="shared" si="4"/>
        <v/>
      </c>
      <c r="F66" s="12" t="str">
        <f t="shared" si="5"/>
        <v/>
      </c>
      <c r="H66" s="529" t="str">
        <f>IF('3-Digester Inputs'!B25=0,"",'3-Digester Inputs'!B25)</f>
        <v/>
      </c>
      <c r="I66" s="528" t="str">
        <f>'3-Digester Inputs'!P25</f>
        <v/>
      </c>
      <c r="J66" s="528" t="str">
        <f>IFERROR(VLOOKUP(H66,'9-Feedstock Characteristics'!$A$10:$R$117,17,FALSE)/1000,"")</f>
        <v/>
      </c>
      <c r="K66" s="528" t="str">
        <f>IFERROR(J66*I66*VLOOKUP(ReactorType&amp;"_"&amp;ReactorTemp,'11-Calibration Factors'!$A$4:$C$9,3,FALSE),"")</f>
        <v/>
      </c>
      <c r="L66" s="528" t="str">
        <f t="shared" si="6"/>
        <v/>
      </c>
      <c r="M66" s="528" t="str">
        <f t="shared" si="7"/>
        <v/>
      </c>
      <c r="N66" s="530"/>
      <c r="O66" s="529" t="str">
        <f>IF('3-Digester Inputs'!B25=0,"",'3-Digester Inputs'!B25)</f>
        <v/>
      </c>
      <c r="P66" s="528" t="str">
        <f>'3-Digester Inputs'!P25</f>
        <v/>
      </c>
      <c r="Q66" s="528" t="str">
        <f>IFERROR(VLOOKUP(O66,'9-Feedstock Characteristics'!$A$10:$R$117,17,FALSE)/1000,"")</f>
        <v/>
      </c>
      <c r="R66" s="528" t="str">
        <f t="shared" si="8"/>
        <v/>
      </c>
      <c r="S66" s="528" t="str">
        <f t="shared" si="9"/>
        <v/>
      </c>
      <c r="T66" s="528" t="str">
        <f t="shared" si="10"/>
        <v/>
      </c>
      <c r="V66" s="529" t="str">
        <f>IF('3-Digester Inputs'!B25=0,"",'3-Digester Inputs'!B25)</f>
        <v/>
      </c>
      <c r="W66" s="528" t="str">
        <f>'3-Digester Inputs'!P25</f>
        <v/>
      </c>
      <c r="X66" s="528" t="str">
        <f>IFERROR(VLOOKUP(V66,'9-Feedstock Characteristics'!$A$10:$R$117,17,FALSE)/1000,"")</f>
        <v/>
      </c>
      <c r="Y66" s="528" t="str">
        <f t="shared" si="11"/>
        <v xml:space="preserve"> </v>
      </c>
      <c r="Z66" s="528" t="str">
        <f t="shared" si="3"/>
        <v/>
      </c>
      <c r="AA66" s="528" t="str">
        <f t="shared" si="2"/>
        <v/>
      </c>
    </row>
    <row r="67" spans="1:27" ht="19.25" hidden="1" customHeight="1">
      <c r="A67" s="29" t="str">
        <f>IF('3-Digester Inputs'!B26=0,"",'3-Digester Inputs'!B26)</f>
        <v/>
      </c>
      <c r="B67" s="12" t="str">
        <f>'3-Digester Inputs'!P26</f>
        <v/>
      </c>
      <c r="C67" s="12" t="str">
        <f>IFERROR(VLOOKUP(A67,'9-Feedstock Characteristics'!$A$10:$R$117,17,FALSE)/1000,"")</f>
        <v/>
      </c>
      <c r="D67" s="528" t="str">
        <f>IFERROR(C67*B67*VLOOKUP(ReactorType&amp;"_"&amp;ReactorTemp,'11-Calibration Factors'!$A$4:$C$9,2,FALSE),"")</f>
        <v/>
      </c>
      <c r="E67" s="12" t="str">
        <f t="shared" si="4"/>
        <v/>
      </c>
      <c r="F67" s="12" t="str">
        <f t="shared" si="5"/>
        <v/>
      </c>
      <c r="H67" s="529" t="str">
        <f>IF('3-Digester Inputs'!B26=0,"",'3-Digester Inputs'!B26)</f>
        <v/>
      </c>
      <c r="I67" s="528" t="str">
        <f>'3-Digester Inputs'!P26</f>
        <v/>
      </c>
      <c r="J67" s="528" t="str">
        <f>IFERROR(VLOOKUP(H67,'9-Feedstock Characteristics'!$A$10:$R$117,17,FALSE)/1000,"")</f>
        <v/>
      </c>
      <c r="K67" s="528" t="str">
        <f>IFERROR(J67*I67*VLOOKUP(ReactorType&amp;"_"&amp;ReactorTemp,'11-Calibration Factors'!$A$4:$C$9,3,FALSE),"")</f>
        <v/>
      </c>
      <c r="L67" s="528" t="str">
        <f t="shared" si="6"/>
        <v/>
      </c>
      <c r="M67" s="528" t="str">
        <f t="shared" si="7"/>
        <v/>
      </c>
      <c r="N67" s="530"/>
      <c r="O67" s="529" t="str">
        <f>IF('3-Digester Inputs'!B26=0,"",'3-Digester Inputs'!B26)</f>
        <v/>
      </c>
      <c r="P67" s="528" t="str">
        <f>'3-Digester Inputs'!P26</f>
        <v/>
      </c>
      <c r="Q67" s="528" t="str">
        <f>IFERROR(VLOOKUP(O67,'9-Feedstock Characteristics'!$A$10:$R$117,17,FALSE)/1000,"")</f>
        <v/>
      </c>
      <c r="R67" s="528" t="str">
        <f t="shared" si="8"/>
        <v/>
      </c>
      <c r="S67" s="528" t="str">
        <f t="shared" si="9"/>
        <v/>
      </c>
      <c r="T67" s="528" t="str">
        <f t="shared" si="10"/>
        <v/>
      </c>
      <c r="V67" s="529" t="str">
        <f>IF('3-Digester Inputs'!B26=0,"",'3-Digester Inputs'!B26)</f>
        <v/>
      </c>
      <c r="W67" s="528" t="str">
        <f>'3-Digester Inputs'!P26</f>
        <v/>
      </c>
      <c r="X67" s="528" t="str">
        <f>IFERROR(VLOOKUP(V67,'9-Feedstock Characteristics'!$A$10:$R$117,17,FALSE)/1000,"")</f>
        <v/>
      </c>
      <c r="Y67" s="528" t="str">
        <f t="shared" si="11"/>
        <v xml:space="preserve"> </v>
      </c>
      <c r="Z67" s="528" t="str">
        <f t="shared" si="3"/>
        <v/>
      </c>
      <c r="AA67" s="528" t="str">
        <f t="shared" si="2"/>
        <v/>
      </c>
    </row>
    <row r="68" spans="1:27" ht="19.25" hidden="1" customHeight="1">
      <c r="A68" s="29" t="str">
        <f>IF('3-Digester Inputs'!B27=0,"",'3-Digester Inputs'!B27)</f>
        <v/>
      </c>
      <c r="B68" s="12" t="str">
        <f>'3-Digester Inputs'!P27</f>
        <v/>
      </c>
      <c r="C68" s="12" t="str">
        <f>IFERROR(VLOOKUP(A68,'9-Feedstock Characteristics'!$A$10:$R$117,17,FALSE)/1000,"")</f>
        <v/>
      </c>
      <c r="D68" s="528" t="str">
        <f>IFERROR(C68*B68*VLOOKUP(ReactorType&amp;"_"&amp;ReactorTemp,'11-Calibration Factors'!$A$4:$C$9,2,FALSE),"")</f>
        <v/>
      </c>
      <c r="E68" s="12" t="str">
        <f t="shared" si="4"/>
        <v/>
      </c>
      <c r="F68" s="12" t="str">
        <f t="shared" si="5"/>
        <v/>
      </c>
      <c r="H68" s="529" t="str">
        <f>IF('3-Digester Inputs'!B27=0,"",'3-Digester Inputs'!B27)</f>
        <v/>
      </c>
      <c r="I68" s="528" t="str">
        <f>'3-Digester Inputs'!P27</f>
        <v/>
      </c>
      <c r="J68" s="528" t="str">
        <f>IFERROR(VLOOKUP(H68,'9-Feedstock Characteristics'!$A$10:$R$117,17,FALSE)/1000,"")</f>
        <v/>
      </c>
      <c r="K68" s="528" t="str">
        <f>IFERROR(J68*I68*VLOOKUP(ReactorType&amp;"_"&amp;ReactorTemp,'11-Calibration Factors'!$A$4:$C$9,3,FALSE),"")</f>
        <v/>
      </c>
      <c r="L68" s="528" t="str">
        <f t="shared" si="6"/>
        <v/>
      </c>
      <c r="M68" s="528" t="str">
        <f t="shared" si="7"/>
        <v/>
      </c>
      <c r="N68" s="530"/>
      <c r="O68" s="529" t="str">
        <f>IF('3-Digester Inputs'!B27=0,"",'3-Digester Inputs'!B27)</f>
        <v/>
      </c>
      <c r="P68" s="528" t="str">
        <f>'3-Digester Inputs'!P27</f>
        <v/>
      </c>
      <c r="Q68" s="528" t="str">
        <f>IFERROR(VLOOKUP(O68,'9-Feedstock Characteristics'!$A$10:$R$117,17,FALSE)/1000,"")</f>
        <v/>
      </c>
      <c r="R68" s="528" t="str">
        <f t="shared" si="8"/>
        <v/>
      </c>
      <c r="S68" s="528" t="str">
        <f t="shared" si="9"/>
        <v/>
      </c>
      <c r="T68" s="528" t="str">
        <f t="shared" si="10"/>
        <v/>
      </c>
      <c r="V68" s="529" t="str">
        <f>IF('3-Digester Inputs'!B27=0,"",'3-Digester Inputs'!B27)</f>
        <v/>
      </c>
      <c r="W68" s="528" t="str">
        <f>'3-Digester Inputs'!P27</f>
        <v/>
      </c>
      <c r="X68" s="528" t="str">
        <f>IFERROR(VLOOKUP(V68,'9-Feedstock Characteristics'!$A$10:$R$117,17,FALSE)/1000,"")</f>
        <v/>
      </c>
      <c r="Y68" s="528" t="str">
        <f t="shared" si="11"/>
        <v xml:space="preserve"> </v>
      </c>
      <c r="Z68" s="528" t="str">
        <f t="shared" si="3"/>
        <v/>
      </c>
      <c r="AA68" s="528" t="str">
        <f t="shared" si="2"/>
        <v/>
      </c>
    </row>
    <row r="69" spans="1:27" ht="19.25" hidden="1" customHeight="1">
      <c r="A69" s="29" t="str">
        <f>IF('3-Digester Inputs'!B28=0,"",'3-Digester Inputs'!B28)</f>
        <v/>
      </c>
      <c r="B69" s="12" t="str">
        <f>'3-Digester Inputs'!P28</f>
        <v/>
      </c>
      <c r="C69" s="12" t="str">
        <f>IFERROR(VLOOKUP(A69,'9-Feedstock Characteristics'!$A$10:$R$117,17,FALSE)/1000,"")</f>
        <v/>
      </c>
      <c r="D69" s="528" t="str">
        <f>IFERROR(C69*B69*VLOOKUP(ReactorType&amp;"_"&amp;ReactorTemp,'11-Calibration Factors'!$A$4:$C$9,2,FALSE),"")</f>
        <v/>
      </c>
      <c r="E69" s="12" t="str">
        <f t="shared" si="4"/>
        <v/>
      </c>
      <c r="F69" s="12" t="str">
        <f t="shared" si="5"/>
        <v/>
      </c>
      <c r="H69" s="529" t="str">
        <f>IF('3-Digester Inputs'!B28=0,"",'3-Digester Inputs'!B28)</f>
        <v/>
      </c>
      <c r="I69" s="528" t="str">
        <f>'3-Digester Inputs'!P28</f>
        <v/>
      </c>
      <c r="J69" s="528" t="str">
        <f>IFERROR(VLOOKUP(H69,'9-Feedstock Characteristics'!$A$10:$R$117,17,FALSE)/1000,"")</f>
        <v/>
      </c>
      <c r="K69" s="528" t="str">
        <f>IFERROR(J69*I69*VLOOKUP(ReactorType&amp;"_"&amp;ReactorTemp,'11-Calibration Factors'!$A$4:$C$9,3,FALSE),"")</f>
        <v/>
      </c>
      <c r="L69" s="528" t="str">
        <f t="shared" si="6"/>
        <v/>
      </c>
      <c r="M69" s="528" t="str">
        <f t="shared" si="7"/>
        <v/>
      </c>
      <c r="N69" s="530"/>
      <c r="O69" s="529" t="str">
        <f>IF('3-Digester Inputs'!B28=0,"",'3-Digester Inputs'!B28)</f>
        <v/>
      </c>
      <c r="P69" s="528" t="str">
        <f>'3-Digester Inputs'!P28</f>
        <v/>
      </c>
      <c r="Q69" s="528" t="str">
        <f>IFERROR(VLOOKUP(O69,'9-Feedstock Characteristics'!$A$10:$R$117,17,FALSE)/1000,"")</f>
        <v/>
      </c>
      <c r="R69" s="528" t="str">
        <f t="shared" si="8"/>
        <v/>
      </c>
      <c r="S69" s="528" t="str">
        <f t="shared" si="9"/>
        <v/>
      </c>
      <c r="T69" s="528" t="str">
        <f t="shared" si="10"/>
        <v/>
      </c>
      <c r="V69" s="529" t="str">
        <f>IF('3-Digester Inputs'!B28=0,"",'3-Digester Inputs'!B28)</f>
        <v/>
      </c>
      <c r="W69" s="528" t="str">
        <f>'3-Digester Inputs'!P28</f>
        <v/>
      </c>
      <c r="X69" s="528" t="str">
        <f>IFERROR(VLOOKUP(V69,'9-Feedstock Characteristics'!$A$10:$R$117,17,FALSE)/1000,"")</f>
        <v/>
      </c>
      <c r="Y69" s="528" t="str">
        <f t="shared" si="11"/>
        <v xml:space="preserve"> </v>
      </c>
      <c r="Z69" s="528" t="str">
        <f t="shared" si="3"/>
        <v/>
      </c>
      <c r="AA69" s="528" t="str">
        <f t="shared" si="2"/>
        <v/>
      </c>
    </row>
    <row r="70" spans="1:27" ht="19.25" hidden="1" customHeight="1">
      <c r="A70" s="29" t="str">
        <f>IF('3-Digester Inputs'!B29=0,"",'3-Digester Inputs'!B29)</f>
        <v/>
      </c>
      <c r="B70" s="12" t="str">
        <f>'3-Digester Inputs'!P29</f>
        <v/>
      </c>
      <c r="C70" s="12" t="str">
        <f>IFERROR(VLOOKUP(A70,'9-Feedstock Characteristics'!$A$10:$R$117,17,FALSE)/1000,"")</f>
        <v/>
      </c>
      <c r="D70" s="528" t="str">
        <f>IFERROR(C70*B70*VLOOKUP(ReactorType&amp;"_"&amp;ReactorTemp,'11-Calibration Factors'!$A$4:$C$9,2,FALSE),"")</f>
        <v/>
      </c>
      <c r="E70" s="12" t="str">
        <f t="shared" si="4"/>
        <v/>
      </c>
      <c r="F70" s="12" t="str">
        <f t="shared" si="5"/>
        <v/>
      </c>
      <c r="H70" s="529" t="str">
        <f>IF('3-Digester Inputs'!B29=0,"",'3-Digester Inputs'!B29)</f>
        <v/>
      </c>
      <c r="I70" s="528" t="str">
        <f>'3-Digester Inputs'!P29</f>
        <v/>
      </c>
      <c r="J70" s="528" t="str">
        <f>IFERROR(VLOOKUP(H70,'9-Feedstock Characteristics'!$A$10:$R$117,17,FALSE)/1000,"")</f>
        <v/>
      </c>
      <c r="K70" s="528" t="str">
        <f>IFERROR(J70*I70*VLOOKUP(ReactorType&amp;"_"&amp;ReactorTemp,'11-Calibration Factors'!$A$4:$C$9,3,FALSE),"")</f>
        <v/>
      </c>
      <c r="L70" s="528" t="str">
        <f t="shared" si="6"/>
        <v/>
      </c>
      <c r="M70" s="528" t="str">
        <f t="shared" si="7"/>
        <v/>
      </c>
      <c r="N70" s="530"/>
      <c r="O70" s="529" t="str">
        <f>IF('3-Digester Inputs'!B29=0,"",'3-Digester Inputs'!B29)</f>
        <v/>
      </c>
      <c r="P70" s="528" t="str">
        <f>'3-Digester Inputs'!P29</f>
        <v/>
      </c>
      <c r="Q70" s="528" t="str">
        <f>IFERROR(VLOOKUP(O70,'9-Feedstock Characteristics'!$A$10:$R$117,17,FALSE)/1000,"")</f>
        <v/>
      </c>
      <c r="R70" s="528" t="str">
        <f t="shared" si="8"/>
        <v/>
      </c>
      <c r="S70" s="528" t="str">
        <f t="shared" si="9"/>
        <v/>
      </c>
      <c r="T70" s="528" t="str">
        <f t="shared" si="10"/>
        <v/>
      </c>
      <c r="V70" s="529" t="str">
        <f>IF('3-Digester Inputs'!B29=0,"",'3-Digester Inputs'!B29)</f>
        <v/>
      </c>
      <c r="W70" s="528" t="str">
        <f>'3-Digester Inputs'!P29</f>
        <v/>
      </c>
      <c r="X70" s="528" t="str">
        <f>IFERROR(VLOOKUP(V70,'9-Feedstock Characteristics'!$A$10:$R$117,17,FALSE)/1000,"")</f>
        <v/>
      </c>
      <c r="Y70" s="528" t="str">
        <f t="shared" si="11"/>
        <v xml:space="preserve"> </v>
      </c>
      <c r="Z70" s="528" t="str">
        <f t="shared" si="3"/>
        <v/>
      </c>
      <c r="AA70" s="528" t="str">
        <f t="shared" si="2"/>
        <v/>
      </c>
    </row>
    <row r="71" spans="1:27" ht="19.25" hidden="1" customHeight="1">
      <c r="A71" s="29" t="str">
        <f>IF('3-Digester Inputs'!B30=0,"",'3-Digester Inputs'!B30)</f>
        <v/>
      </c>
      <c r="B71" s="12" t="str">
        <f>'3-Digester Inputs'!P30</f>
        <v/>
      </c>
      <c r="C71" s="12" t="str">
        <f>IFERROR(VLOOKUP(A71,'9-Feedstock Characteristics'!$A$10:$R$117,17,FALSE)/1000,"")</f>
        <v/>
      </c>
      <c r="D71" s="528" t="str">
        <f>IFERROR(C71*B71*VLOOKUP(ReactorType&amp;"_"&amp;ReactorTemp,'11-Calibration Factors'!$A$4:$C$9,2,FALSE),"")</f>
        <v/>
      </c>
      <c r="E71" s="12" t="str">
        <f t="shared" si="4"/>
        <v/>
      </c>
      <c r="F71" s="12" t="str">
        <f t="shared" si="5"/>
        <v/>
      </c>
      <c r="H71" s="529" t="str">
        <f>IF('3-Digester Inputs'!B30=0,"",'3-Digester Inputs'!B30)</f>
        <v/>
      </c>
      <c r="I71" s="528" t="str">
        <f>'3-Digester Inputs'!P30</f>
        <v/>
      </c>
      <c r="J71" s="528" t="str">
        <f>IFERROR(VLOOKUP(H71,'9-Feedstock Characteristics'!$A$10:$R$117,17,FALSE)/1000,"")</f>
        <v/>
      </c>
      <c r="K71" s="528" t="str">
        <f>IFERROR(J71*I71*VLOOKUP(ReactorType&amp;"_"&amp;ReactorTemp,'11-Calibration Factors'!$A$4:$C$9,3,FALSE),"")</f>
        <v/>
      </c>
      <c r="L71" s="528" t="str">
        <f t="shared" si="6"/>
        <v/>
      </c>
      <c r="M71" s="528" t="str">
        <f t="shared" si="7"/>
        <v/>
      </c>
      <c r="N71" s="530"/>
      <c r="O71" s="529" t="str">
        <f>IF('3-Digester Inputs'!B30=0,"",'3-Digester Inputs'!B30)</f>
        <v/>
      </c>
      <c r="P71" s="528" t="str">
        <f>'3-Digester Inputs'!P30</f>
        <v/>
      </c>
      <c r="Q71" s="528" t="str">
        <f>IFERROR(VLOOKUP(O71,'9-Feedstock Characteristics'!$A$10:$R$117,17,FALSE)/1000,"")</f>
        <v/>
      </c>
      <c r="R71" s="528" t="str">
        <f t="shared" si="8"/>
        <v/>
      </c>
      <c r="S71" s="528" t="str">
        <f t="shared" si="9"/>
        <v/>
      </c>
      <c r="T71" s="528" t="str">
        <f t="shared" si="10"/>
        <v/>
      </c>
      <c r="V71" s="529" t="str">
        <f>IF('3-Digester Inputs'!B30=0,"",'3-Digester Inputs'!B30)</f>
        <v/>
      </c>
      <c r="W71" s="528" t="str">
        <f>'3-Digester Inputs'!P30</f>
        <v/>
      </c>
      <c r="X71" s="528" t="str">
        <f>IFERROR(VLOOKUP(V71,'9-Feedstock Characteristics'!$A$10:$R$117,17,FALSE)/1000,"")</f>
        <v/>
      </c>
      <c r="Y71" s="528" t="str">
        <f t="shared" si="11"/>
        <v xml:space="preserve"> </v>
      </c>
      <c r="Z71" s="528" t="str">
        <f t="shared" si="3"/>
        <v/>
      </c>
      <c r="AA71" s="528" t="str">
        <f t="shared" si="2"/>
        <v/>
      </c>
    </row>
    <row r="72" spans="1:27" ht="19.25" hidden="1" customHeight="1">
      <c r="A72" s="29" t="str">
        <f>IF('3-Digester Inputs'!B31=0,"",'3-Digester Inputs'!B31)</f>
        <v/>
      </c>
      <c r="B72" s="12" t="str">
        <f>'3-Digester Inputs'!P31</f>
        <v/>
      </c>
      <c r="C72" s="12" t="str">
        <f>IFERROR(VLOOKUP(A72,'9-Feedstock Characteristics'!$A$10:$R$117,17,FALSE)/1000,"")</f>
        <v/>
      </c>
      <c r="D72" s="528" t="str">
        <f>IFERROR(C72*B72*VLOOKUP(ReactorType&amp;"_"&amp;ReactorTemp,'11-Calibration Factors'!$A$4:$C$9,2,FALSE),"")</f>
        <v/>
      </c>
      <c r="E72" s="12" t="str">
        <f t="shared" si="4"/>
        <v/>
      </c>
      <c r="F72" s="12" t="str">
        <f t="shared" si="5"/>
        <v/>
      </c>
      <c r="H72" s="529" t="str">
        <f>IF('3-Digester Inputs'!B31=0,"",'3-Digester Inputs'!B31)</f>
        <v/>
      </c>
      <c r="I72" s="528" t="str">
        <f>'3-Digester Inputs'!P31</f>
        <v/>
      </c>
      <c r="J72" s="528" t="str">
        <f>IFERROR(VLOOKUP(H72,'9-Feedstock Characteristics'!$A$10:$R$117,17,FALSE)/1000,"")</f>
        <v/>
      </c>
      <c r="K72" s="528" t="str">
        <f>IFERROR(J72*I72*VLOOKUP(ReactorType&amp;"_"&amp;ReactorTemp,'11-Calibration Factors'!$A$4:$C$9,3,FALSE),"")</f>
        <v/>
      </c>
      <c r="L72" s="528" t="str">
        <f t="shared" si="6"/>
        <v/>
      </c>
      <c r="M72" s="528" t="str">
        <f t="shared" si="7"/>
        <v/>
      </c>
      <c r="N72" s="530"/>
      <c r="O72" s="529" t="str">
        <f>IF('3-Digester Inputs'!B31=0,"",'3-Digester Inputs'!B31)</f>
        <v/>
      </c>
      <c r="P72" s="528" t="str">
        <f>'3-Digester Inputs'!P31</f>
        <v/>
      </c>
      <c r="Q72" s="528" t="str">
        <f>IFERROR(VLOOKUP(O72,'9-Feedstock Characteristics'!$A$10:$R$117,17,FALSE)/1000,"")</f>
        <v/>
      </c>
      <c r="R72" s="528" t="str">
        <f t="shared" si="8"/>
        <v/>
      </c>
      <c r="S72" s="528" t="str">
        <f t="shared" si="9"/>
        <v/>
      </c>
      <c r="T72" s="528" t="str">
        <f t="shared" si="10"/>
        <v/>
      </c>
      <c r="V72" s="529" t="str">
        <f>IF('3-Digester Inputs'!B31=0,"",'3-Digester Inputs'!B31)</f>
        <v/>
      </c>
      <c r="W72" s="528" t="str">
        <f>'3-Digester Inputs'!P31</f>
        <v/>
      </c>
      <c r="X72" s="528" t="str">
        <f>IFERROR(VLOOKUP(V72,'9-Feedstock Characteristics'!$A$10:$R$117,17,FALSE)/1000,"")</f>
        <v/>
      </c>
      <c r="Y72" s="528" t="str">
        <f t="shared" si="11"/>
        <v xml:space="preserve"> </v>
      </c>
      <c r="Z72" s="528" t="str">
        <f t="shared" si="3"/>
        <v/>
      </c>
      <c r="AA72" s="528" t="str">
        <f t="shared" si="2"/>
        <v/>
      </c>
    </row>
    <row r="73" spans="1:27" ht="19.25" hidden="1" customHeight="1">
      <c r="A73" s="32" t="s">
        <v>204</v>
      </c>
      <c r="B73" s="280">
        <f>SUM(B58:B72)</f>
        <v>1874.5017101653134</v>
      </c>
      <c r="C73" s="280">
        <f>SUMPRODUCT(B58:B72,C58:C72)/SUM(B58:B72)</f>
        <v>0.15273883387101841</v>
      </c>
      <c r="D73" s="280">
        <f>SUM(D58:D72)</f>
        <v>114.76684782157231</v>
      </c>
      <c r="E73" s="280">
        <f>IFERROR(F73-D73,"")</f>
        <v>115.22683518759065</v>
      </c>
      <c r="F73" s="280">
        <f>SUM(F58:F72)</f>
        <v>229.99368300916296</v>
      </c>
      <c r="H73" s="531" t="s">
        <v>204</v>
      </c>
      <c r="I73" s="532">
        <f>SUM(I58:I72)</f>
        <v>1874.5017101653134</v>
      </c>
      <c r="J73" s="532">
        <f>SUMPRODUCT(I58:I72,J58:J72)/SUM(I58:I72)</f>
        <v>0.15273883387101841</v>
      </c>
      <c r="K73" s="532">
        <f>SUM(K58:K72)</f>
        <v>209.12544855530669</v>
      </c>
      <c r="L73" s="532">
        <f>IFERROR(M73-K73,"")</f>
        <v>209.96362670582894</v>
      </c>
      <c r="M73" s="532">
        <f>SUM(M58:M72)</f>
        <v>419.08907526113563</v>
      </c>
      <c r="N73" s="530"/>
      <c r="O73" s="531" t="s">
        <v>204</v>
      </c>
      <c r="P73" s="532">
        <f>SUM(P58:P72)</f>
        <v>1874.5017101653134</v>
      </c>
      <c r="Q73" s="532">
        <f>SUMPRODUCT(P58:P72,Q58:Q72)/SUM(P58:P72)</f>
        <v>0.15273883387101841</v>
      </c>
      <c r="R73" s="532">
        <f>SUM(R58:R72)</f>
        <v>286.30920529987969</v>
      </c>
      <c r="S73" s="532">
        <f>IFERROR(T73-R73,"")</f>
        <v>287.45673718484915</v>
      </c>
      <c r="T73" s="532">
        <f>SUM(T58:T72)</f>
        <v>573.76594248472884</v>
      </c>
      <c r="V73" s="531" t="s">
        <v>204</v>
      </c>
      <c r="W73" s="532">
        <f>SUM(W58:W72)</f>
        <v>1874.5017101653134</v>
      </c>
      <c r="X73" s="532">
        <f>SUMPRODUCT(W58:W72,X58:X72)/SUM(W58:W72)</f>
        <v>0.15273883387101841</v>
      </c>
      <c r="Y73" s="532">
        <f>SUM(Y58:Y72)</f>
        <v>161.94614818843951</v>
      </c>
      <c r="Z73" s="532">
        <f>IFERROR(AA73-Y73,"")</f>
        <v>162.59523094670982</v>
      </c>
      <c r="AA73" s="532">
        <f>SUM(AA58:AA72)</f>
        <v>324.54137913514933</v>
      </c>
    </row>
    <row r="74" spans="1:27" hidden="1">
      <c r="H74" s="146"/>
    </row>
    <row r="75" spans="1:27" ht="101.5" hidden="1">
      <c r="A75" s="385" t="s">
        <v>289</v>
      </c>
      <c r="B75" s="33" t="s">
        <v>290</v>
      </c>
      <c r="C75" s="33" t="s">
        <v>291</v>
      </c>
      <c r="D75" s="33" t="s">
        <v>292</v>
      </c>
      <c r="E75" s="390" t="s">
        <v>188</v>
      </c>
      <c r="F75" s="390" t="s">
        <v>740</v>
      </c>
      <c r="H75" s="527"/>
      <c r="I75" s="526"/>
    </row>
    <row r="76" spans="1:27" hidden="1">
      <c r="A76" s="381" t="s">
        <v>296</v>
      </c>
      <c r="B76" s="382">
        <f>IFERROR((D76*VLOOKUP(ReactorType&amp;"_"&amp;ReactorTemp,'11-Calibration Factors'!$A$4:$C$9,2,FALSE))*VLOOKUP(E76,'23-Look up values'!$A$13:$B$14,2,FALSE)," ")</f>
        <v>83947.694298344461</v>
      </c>
      <c r="C76" s="382">
        <f>IFERROR((D76*VLOOKUP(ReactorType&amp;"_"&amp;ReactorTemp,'11-Calibration Factors'!$A$4:$C$9,3,FALSE))*VLOOKUP(E76,'23-Look up values'!$A$13:$B$14,2,FALSE)," ")</f>
        <v>152967.51247031451</v>
      </c>
      <c r="D76" s="382">
        <f>IFERROR(T73*365*VLOOKUP(E76,'23-Look up values'!$A$13:$B$14,2,FALSE)," ")</f>
        <v>209424.56900692603</v>
      </c>
      <c r="E76" s="508" t="s">
        <v>723</v>
      </c>
      <c r="F76" s="382">
        <f>AVERAGE(B76:C76)</f>
        <v>118457.60338432949</v>
      </c>
      <c r="H76" s="146"/>
    </row>
    <row r="77" spans="1:27" hidden="1">
      <c r="A77" s="381" t="s">
        <v>296</v>
      </c>
      <c r="B77" s="382">
        <f>B76/365</f>
        <v>229.99368300916291</v>
      </c>
      <c r="C77" s="382">
        <f t="shared" ref="C77:D77" si="12">C76/365</f>
        <v>419.08907526113563</v>
      </c>
      <c r="D77" s="382">
        <f t="shared" si="12"/>
        <v>573.76594248472884</v>
      </c>
      <c r="E77" s="508" t="s">
        <v>734</v>
      </c>
      <c r="F77" s="382">
        <f>AVERAGE(B77:C77)</f>
        <v>324.54137913514927</v>
      </c>
      <c r="G77" s="9" t="b">
        <f>F77=F53</f>
        <v>1</v>
      </c>
    </row>
    <row r="78" spans="1:27" hidden="1">
      <c r="A78" s="381" t="s">
        <v>298</v>
      </c>
      <c r="B78" s="382">
        <f>IFERROR($D$78*VLOOKUP(ReactorType&amp;"_"&amp;ReactorTemp,'11-Calibration Factors'!$A$4:$C$9,2,FALSE)," ")</f>
        <v>41889.899454873892</v>
      </c>
      <c r="C78" s="382">
        <f>IFERROR($D$78*VLOOKUP(ReactorType&amp;"_"&amp;ReactorTemp,'11-Calibration Factors'!$A$4:$C$9,3,FALSE)," ")</f>
        <v>76330.788722686935</v>
      </c>
      <c r="D78" s="382">
        <f>IFERROR(R73*365*VLOOKUP(E78,'23-Look up values'!$A$13:$B$14,2,FALSE)," ")</f>
        <v>104502.85993445609</v>
      </c>
      <c r="E78" s="508" t="s">
        <v>723</v>
      </c>
      <c r="F78" s="382">
        <f>AVERAGE(B78:C78)</f>
        <v>59110.344088780417</v>
      </c>
    </row>
    <row r="79" spans="1:27" hidden="1">
      <c r="A79" s="381" t="s">
        <v>298</v>
      </c>
      <c r="B79" s="382">
        <f>B78/365</f>
        <v>114.76684782157231</v>
      </c>
      <c r="C79" s="382">
        <f t="shared" ref="C79" si="13">C78/365</f>
        <v>209.12544855530666</v>
      </c>
      <c r="D79" s="382">
        <f>D78/365</f>
        <v>286.30920529987969</v>
      </c>
      <c r="E79" s="508" t="s">
        <v>734</v>
      </c>
      <c r="F79" s="382">
        <f>AVERAGE(B79:C79)</f>
        <v>161.94614818843948</v>
      </c>
      <c r="G79" s="9" t="b">
        <f>Estimated_Avg_Daily_Methane_Production=D53</f>
        <v>0</v>
      </c>
    </row>
    <row r="80" spans="1:27" hidden="1"/>
    <row r="81" hidden="1"/>
  </sheetData>
  <sheetProtection selectLockedCells="1"/>
  <mergeCells count="8">
    <mergeCell ref="A6:C6"/>
    <mergeCell ref="A36:F36"/>
    <mergeCell ref="V56:AA56"/>
    <mergeCell ref="A10:F10"/>
    <mergeCell ref="O56:T56"/>
    <mergeCell ref="C7:C8"/>
    <mergeCell ref="A56:F56"/>
    <mergeCell ref="H56:M56"/>
  </mergeCells>
  <printOptions horizontalCentered="1" verticalCentered="1"/>
  <pageMargins left="0.7" right="0.7" top="0.75" bottom="0.75" header="0.3" footer="0.3"/>
  <pageSetup scale="51" orientation="portrait" r:id="rId1"/>
  <headerFooter>
    <oddHeader>&amp;L&amp;"Arial,Regular"&amp;14&amp;D&amp;C&amp;G</oddHead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'23-Look up values'!$A$15:$A$16</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pageSetUpPr fitToPage="1"/>
  </sheetPr>
  <dimension ref="A1:G88"/>
  <sheetViews>
    <sheetView topLeftCell="A9" zoomScale="106" zoomScaleNormal="106" workbookViewId="0"/>
  </sheetViews>
  <sheetFormatPr defaultColWidth="9" defaultRowHeight="15.5"/>
  <cols>
    <col min="1" max="1" width="52.1640625" style="9" bestFit="1" customWidth="1"/>
    <col min="2" max="6" width="27.6640625" style="9" customWidth="1"/>
    <col min="7" max="7" width="18.08203125" style="9" customWidth="1"/>
    <col min="8" max="16384" width="9" style="9"/>
  </cols>
  <sheetData>
    <row r="1" spans="1:6" s="1" customFormat="1" ht="30" customHeight="1">
      <c r="A1" s="287" t="s">
        <v>330</v>
      </c>
      <c r="B1" s="291"/>
      <c r="C1" s="291"/>
      <c r="D1" s="291"/>
      <c r="E1" s="291"/>
      <c r="F1" s="291"/>
    </row>
    <row r="2" spans="1:6" s="1" customFormat="1" ht="14">
      <c r="A2" s="2"/>
    </row>
    <row r="3" spans="1:6" s="1" customFormat="1" ht="14">
      <c r="A3" s="2"/>
    </row>
    <row r="6" spans="1:6" ht="18">
      <c r="A6" s="281" t="s">
        <v>733</v>
      </c>
      <c r="B6" s="516">
        <f>SUM(F50:G50)</f>
        <v>18537.991232104861</v>
      </c>
      <c r="C6" s="515" t="s">
        <v>176</v>
      </c>
    </row>
    <row r="8" spans="1:6" ht="24" customHeight="1">
      <c r="A8" s="612" t="str">
        <f>"Total Digestate Production  ("&amp;C6&amp;")"</f>
        <v>Total Digestate Production  (kg/day)</v>
      </c>
      <c r="B8" s="612"/>
      <c r="C8" s="612"/>
      <c r="D8" s="612"/>
      <c r="E8" s="612"/>
      <c r="F8" s="612"/>
    </row>
    <row r="33" spans="1:7">
      <c r="A33" s="612" t="str">
        <f>"Total Digestate Production  ("&amp;C6&amp;")"</f>
        <v>Total Digestate Production  (kg/day)</v>
      </c>
      <c r="B33" s="612"/>
      <c r="C33" s="612"/>
      <c r="D33" s="612"/>
      <c r="E33" s="612"/>
      <c r="F33" s="612"/>
      <c r="G33" s="612"/>
    </row>
    <row r="34" spans="1:7">
      <c r="A34" s="390" t="s">
        <v>332</v>
      </c>
      <c r="B34" s="390" t="s">
        <v>333</v>
      </c>
      <c r="C34" s="390" t="s">
        <v>301</v>
      </c>
      <c r="D34" s="390" t="s">
        <v>145</v>
      </c>
      <c r="E34" s="35" t="s">
        <v>302</v>
      </c>
      <c r="F34" s="33" t="s">
        <v>303</v>
      </c>
      <c r="G34" s="33" t="s">
        <v>304</v>
      </c>
    </row>
    <row r="35" spans="1:7">
      <c r="A35" s="3" t="str">
        <f>IF('3-Digester Inputs'!B17=0,"",'3-Digester Inputs'!B17)</f>
        <v>Calf</v>
      </c>
      <c r="B35" s="12">
        <f>IFERROR('3-Digester Inputs'!BE17*'3-Digester Inputs'!I17/VLOOKUP($C$6,'23-Look up values'!$A$4:$B$5,2,FALSE),"")</f>
        <v>354.66249180722866</v>
      </c>
      <c r="C35" s="12">
        <f>IFERROR(C72/VLOOKUP($C$6,'23-Look up values'!$A$4:$B$5,2,FALSE),"")</f>
        <v>1460.1937927432743</v>
      </c>
      <c r="D35" s="12">
        <f>IFERROR('3-Digester Inputs'!F17*'3-Digester Inputs'!C17/VLOOKUP($C$6,'23-Look up values'!$A$4:$B$5,2,FALSE),"")</f>
        <v>16288.466040399999</v>
      </c>
      <c r="E35" s="89">
        <f>IFERROR(C35+B35+D35,"")</f>
        <v>18103.322324950503</v>
      </c>
      <c r="F35" s="12">
        <f>IFERROR(IF('3-Digester Inputs'!$C$11="Yes",E35*solid_capture_efficenicy_of_dewatering_equipment,0),"")</f>
        <v>0</v>
      </c>
      <c r="G35" s="12">
        <f>IFERROR(E35-F35,"")</f>
        <v>18103.322324950503</v>
      </c>
    </row>
    <row r="36" spans="1:7">
      <c r="A36" s="3" t="str">
        <f>IF('3-Digester Inputs'!B18=0,"",'3-Digester Inputs'!B18)</f>
        <v>Adolescents Pigs</v>
      </c>
      <c r="B36" s="12">
        <f>IFERROR('3-Digester Inputs'!BE18*'3-Digester Inputs'!I18/VLOOKUP($C$6,'23-Look up values'!$A$4:$B$5,2,FALSE),"")</f>
        <v>5.0509213784615357</v>
      </c>
      <c r="C36" s="12">
        <f>IFERROR(C73/VLOOKUP($C$6,'23-Look up values'!$A$4:$B$5,2,FALSE),"")</f>
        <v>12.988462371855936</v>
      </c>
      <c r="D36" s="12">
        <f>IFERROR('3-Digester Inputs'!F18*'3-Digester Inputs'!C18,"")</f>
        <v>268.61718239999999</v>
      </c>
      <c r="E36" s="89">
        <f t="shared" ref="E36:E49" si="0">IFERROR(C36+B36+D36,"")</f>
        <v>286.65656615031747</v>
      </c>
      <c r="F36" s="12">
        <f>IFERROR(IF('3-Digester Inputs'!$C$11="Yes",E36*solid_capture_efficenicy_of_dewatering_equipment,0),"")</f>
        <v>0</v>
      </c>
      <c r="G36" s="12">
        <f t="shared" ref="G36:G49" si="1">IFERROR(E36-F36,"")</f>
        <v>286.65656615031747</v>
      </c>
    </row>
    <row r="37" spans="1:7">
      <c r="A37" s="3" t="str">
        <f>IF('3-Digester Inputs'!B19=0,"",'3-Digester Inputs'!B19)</f>
        <v>Poultry Chicken</v>
      </c>
      <c r="B37" s="12">
        <f>IFERROR('3-Digester Inputs'!BE19*'3-Digester Inputs'!I19/VLOOKUP($C$6,'23-Look up values'!$A$4:$B$5,2,FALSE),"")</f>
        <v>10.583813333333334</v>
      </c>
      <c r="C37" s="12">
        <f>IFERROR(C74/VLOOKUP($C$6,'23-Look up values'!$A$4:$B$5,2,FALSE),"")</f>
        <v>18.36062767070699</v>
      </c>
      <c r="D37" s="12">
        <f>IFERROR('3-Digester Inputs'!F19*'3-Digester Inputs'!C19,"")</f>
        <v>119.06789999999998</v>
      </c>
      <c r="E37" s="89">
        <f t="shared" si="0"/>
        <v>148.01234100404031</v>
      </c>
      <c r="F37" s="12">
        <f>IFERROR(IF('3-Digester Inputs'!$C$11="Yes",E37*solid_capture_efficenicy_of_dewatering_equipment,0),"")</f>
        <v>0</v>
      </c>
      <c r="G37" s="12">
        <f t="shared" si="1"/>
        <v>148.01234100404031</v>
      </c>
    </row>
    <row r="38" spans="1:7">
      <c r="A38" s="3" t="str">
        <f>IF('3-Digester Inputs'!B20=0,"",'3-Digester Inputs'!B20)</f>
        <v/>
      </c>
      <c r="B38" s="12" t="str">
        <f>IFERROR('3-Digester Inputs'!BE20*'3-Digester Inputs'!I20/VLOOKUP($C$6,'23-Look up values'!$A$4:$B$5,2,FALSE),"")</f>
        <v/>
      </c>
      <c r="C38" s="12" t="str">
        <f>IFERROR(C75/VLOOKUP($C$6,'23-Look up values'!$A$4:$B$5,2,FALSE),"")</f>
        <v/>
      </c>
      <c r="D38" s="12" t="str">
        <f>IFERROR('3-Digester Inputs'!F20*'3-Digester Inputs'!C20,"")</f>
        <v/>
      </c>
      <c r="E38" s="89" t="str">
        <f t="shared" si="0"/>
        <v/>
      </c>
      <c r="F38" s="12">
        <f>IFERROR(IF('3-Digester Inputs'!$C$11="Yes",E38*solid_capture_efficenicy_of_dewatering_equipment,0),"")</f>
        <v>0</v>
      </c>
      <c r="G38" s="12" t="str">
        <f t="shared" si="1"/>
        <v/>
      </c>
    </row>
    <row r="39" spans="1:7">
      <c r="A39" s="3" t="str">
        <f>IF('3-Digester Inputs'!B21=0,"",'3-Digester Inputs'!B21)</f>
        <v/>
      </c>
      <c r="B39" s="12" t="str">
        <f>IFERROR('3-Digester Inputs'!BE21*'3-Digester Inputs'!I21/VLOOKUP($C$6,'23-Look up values'!$A$4:$B$5,2,FALSE),"")</f>
        <v/>
      </c>
      <c r="C39" s="12" t="str">
        <f>IFERROR(C76/VLOOKUP($C$6,'23-Look up values'!$A$4:$B$5,2,FALSE),"")</f>
        <v/>
      </c>
      <c r="D39" s="12" t="str">
        <f>IFERROR('3-Digester Inputs'!F21*'3-Digester Inputs'!C21,"")</f>
        <v/>
      </c>
      <c r="E39" s="89" t="str">
        <f t="shared" si="0"/>
        <v/>
      </c>
      <c r="F39" s="12">
        <f>IFERROR(IF('3-Digester Inputs'!$C$11="Yes",E39*solid_capture_efficenicy_of_dewatering_equipment,0),"")</f>
        <v>0</v>
      </c>
      <c r="G39" s="12" t="str">
        <f t="shared" si="1"/>
        <v/>
      </c>
    </row>
    <row r="40" spans="1:7">
      <c r="A40" s="3" t="str">
        <f>IF('3-Digester Inputs'!B22=0,"",'3-Digester Inputs'!B22)</f>
        <v/>
      </c>
      <c r="B40" s="12" t="str">
        <f>IFERROR('3-Digester Inputs'!BE22*'3-Digester Inputs'!I22/VLOOKUP($C$6,'23-Look up values'!$A$4:$B$5,2,FALSE),"")</f>
        <v/>
      </c>
      <c r="C40" s="12" t="str">
        <f>IFERROR(C77/VLOOKUP($C$6,'23-Look up values'!$A$4:$B$5,2,FALSE),"")</f>
        <v/>
      </c>
      <c r="D40" s="12" t="str">
        <f>IFERROR('3-Digester Inputs'!F22*'3-Digester Inputs'!C22,"")</f>
        <v/>
      </c>
      <c r="E40" s="89" t="str">
        <f t="shared" si="0"/>
        <v/>
      </c>
      <c r="F40" s="12">
        <f>IFERROR(IF('3-Digester Inputs'!$C$11="Yes",E40*solid_capture_efficenicy_of_dewatering_equipment,0),"")</f>
        <v>0</v>
      </c>
      <c r="G40" s="12" t="str">
        <f t="shared" si="1"/>
        <v/>
      </c>
    </row>
    <row r="41" spans="1:7">
      <c r="A41" s="3" t="str">
        <f>IF('3-Digester Inputs'!B23=0,"",'3-Digester Inputs'!B23)</f>
        <v/>
      </c>
      <c r="B41" s="12" t="str">
        <f>IFERROR('3-Digester Inputs'!BE23*'3-Digester Inputs'!I23/VLOOKUP($C$6,'23-Look up values'!$A$4:$B$5,2,FALSE),"")</f>
        <v/>
      </c>
      <c r="C41" s="12" t="str">
        <f>IFERROR(C78/VLOOKUP($C$6,'23-Look up values'!$A$4:$B$5,2,FALSE),"")</f>
        <v/>
      </c>
      <c r="D41" s="12" t="str">
        <f>IFERROR('3-Digester Inputs'!F23*'3-Digester Inputs'!C23,"")</f>
        <v/>
      </c>
      <c r="E41" s="89" t="str">
        <f t="shared" si="0"/>
        <v/>
      </c>
      <c r="F41" s="12">
        <f>IFERROR(IF('3-Digester Inputs'!$C$11="Yes",E41*solid_capture_efficenicy_of_dewatering_equipment,0),"")</f>
        <v>0</v>
      </c>
      <c r="G41" s="12" t="str">
        <f t="shared" si="1"/>
        <v/>
      </c>
    </row>
    <row r="42" spans="1:7">
      <c r="A42" s="3" t="str">
        <f>IF('3-Digester Inputs'!B24=0,"",'3-Digester Inputs'!B24)</f>
        <v/>
      </c>
      <c r="B42" s="12" t="str">
        <f>IFERROR('3-Digester Inputs'!BE24*'3-Digester Inputs'!I24/VLOOKUP($C$6,'23-Look up values'!$A$4:$B$5,2,FALSE),"")</f>
        <v/>
      </c>
      <c r="C42" s="12" t="str">
        <f>IFERROR(C79/VLOOKUP($C$6,'23-Look up values'!$A$4:$B$5,2,FALSE),"")</f>
        <v/>
      </c>
      <c r="D42" s="12" t="str">
        <f>IFERROR('3-Digester Inputs'!F24*'3-Digester Inputs'!C24,"")</f>
        <v/>
      </c>
      <c r="E42" s="89" t="str">
        <f t="shared" si="0"/>
        <v/>
      </c>
      <c r="F42" s="12">
        <f>IFERROR(IF('3-Digester Inputs'!$C$11="Yes",E42*solid_capture_efficenicy_of_dewatering_equipment,0),"")</f>
        <v>0</v>
      </c>
      <c r="G42" s="12" t="str">
        <f t="shared" si="1"/>
        <v/>
      </c>
    </row>
    <row r="43" spans="1:7">
      <c r="A43" s="3" t="str">
        <f>IF('3-Digester Inputs'!B25=0,"",'3-Digester Inputs'!B25)</f>
        <v/>
      </c>
      <c r="B43" s="12" t="str">
        <f>IFERROR('3-Digester Inputs'!BE25*'3-Digester Inputs'!I25/VLOOKUP($C$6,'23-Look up values'!$A$4:$B$5,2,FALSE),"")</f>
        <v/>
      </c>
      <c r="C43" s="12" t="str">
        <f>IFERROR(C80/VLOOKUP($C$6,'23-Look up values'!$A$4:$B$5,2,FALSE),"")</f>
        <v/>
      </c>
      <c r="D43" s="12" t="str">
        <f>IFERROR('3-Digester Inputs'!F25*'3-Digester Inputs'!C25,"")</f>
        <v/>
      </c>
      <c r="E43" s="89" t="str">
        <f t="shared" si="0"/>
        <v/>
      </c>
      <c r="F43" s="12">
        <f>IFERROR(IF('3-Digester Inputs'!$C$11="Yes",E43*solid_capture_efficenicy_of_dewatering_equipment,0),"")</f>
        <v>0</v>
      </c>
      <c r="G43" s="12" t="str">
        <f t="shared" si="1"/>
        <v/>
      </c>
    </row>
    <row r="44" spans="1:7">
      <c r="A44" s="3" t="str">
        <f>IF('3-Digester Inputs'!B26=0,"",'3-Digester Inputs'!B26)</f>
        <v/>
      </c>
      <c r="B44" s="12" t="str">
        <f>IFERROR('3-Digester Inputs'!BE26*'3-Digester Inputs'!I26/VLOOKUP($C$6,'23-Look up values'!$A$4:$B$5,2,FALSE),"")</f>
        <v/>
      </c>
      <c r="C44" s="12" t="str">
        <f>IFERROR(C81/VLOOKUP($C$6,'23-Look up values'!$A$4:$B$5,2,FALSE),"")</f>
        <v/>
      </c>
      <c r="D44" s="12" t="str">
        <f>IFERROR('3-Digester Inputs'!F26*'3-Digester Inputs'!C26,"")</f>
        <v/>
      </c>
      <c r="E44" s="89" t="str">
        <f t="shared" si="0"/>
        <v/>
      </c>
      <c r="F44" s="12">
        <f>IFERROR(IF('3-Digester Inputs'!$C$11="Yes",E44*solid_capture_efficenicy_of_dewatering_equipment,0),"")</f>
        <v>0</v>
      </c>
      <c r="G44" s="12" t="str">
        <f t="shared" si="1"/>
        <v/>
      </c>
    </row>
    <row r="45" spans="1:7">
      <c r="A45" s="3" t="str">
        <f>IF('3-Digester Inputs'!B27=0,"",'3-Digester Inputs'!B27)</f>
        <v/>
      </c>
      <c r="B45" s="12" t="str">
        <f>IFERROR('3-Digester Inputs'!BE27*'3-Digester Inputs'!I27/VLOOKUP($C$6,'23-Look up values'!$A$4:$B$5,2,FALSE),"")</f>
        <v/>
      </c>
      <c r="C45" s="12" t="str">
        <f>IFERROR(C82/VLOOKUP($C$6,'23-Look up values'!$A$4:$B$5,2,FALSE),"")</f>
        <v/>
      </c>
      <c r="D45" s="12" t="str">
        <f>IFERROR('3-Digester Inputs'!F27*'3-Digester Inputs'!C27,"")</f>
        <v/>
      </c>
      <c r="E45" s="89" t="str">
        <f t="shared" si="0"/>
        <v/>
      </c>
      <c r="F45" s="12">
        <f>IFERROR(IF('3-Digester Inputs'!$C$11="Yes",E45*solid_capture_efficenicy_of_dewatering_equipment,0),"")</f>
        <v>0</v>
      </c>
      <c r="G45" s="12" t="str">
        <f t="shared" si="1"/>
        <v/>
      </c>
    </row>
    <row r="46" spans="1:7">
      <c r="A46" s="3" t="str">
        <f>IF('3-Digester Inputs'!B28=0,"",'3-Digester Inputs'!B28)</f>
        <v/>
      </c>
      <c r="B46" s="12" t="str">
        <f>IFERROR('3-Digester Inputs'!BE28*'3-Digester Inputs'!I28/VLOOKUP($C$6,'23-Look up values'!$A$4:$B$5,2,FALSE),"")</f>
        <v/>
      </c>
      <c r="C46" s="12" t="str">
        <f>IFERROR(C83/VLOOKUP($C$6,'23-Look up values'!$A$4:$B$5,2,FALSE),"")</f>
        <v/>
      </c>
      <c r="D46" s="12" t="str">
        <f>IFERROR('3-Digester Inputs'!F28*'3-Digester Inputs'!C28,"")</f>
        <v/>
      </c>
      <c r="E46" s="89" t="str">
        <f t="shared" si="0"/>
        <v/>
      </c>
      <c r="F46" s="12">
        <f>IFERROR(IF('3-Digester Inputs'!$C$11="Yes",E46*solid_capture_efficenicy_of_dewatering_equipment,0),"")</f>
        <v>0</v>
      </c>
      <c r="G46" s="12" t="str">
        <f t="shared" si="1"/>
        <v/>
      </c>
    </row>
    <row r="47" spans="1:7">
      <c r="A47" s="3" t="str">
        <f>IF('3-Digester Inputs'!B29=0,"",'3-Digester Inputs'!B29)</f>
        <v/>
      </c>
      <c r="B47" s="12" t="str">
        <f>IFERROR('3-Digester Inputs'!BE29*'3-Digester Inputs'!I29/VLOOKUP($C$6,'23-Look up values'!$A$4:$B$5,2,FALSE),"")</f>
        <v/>
      </c>
      <c r="C47" s="12" t="str">
        <f>IFERROR(C84/VLOOKUP($C$6,'23-Look up values'!$A$4:$B$5,2,FALSE),"")</f>
        <v/>
      </c>
      <c r="D47" s="12" t="str">
        <f>IFERROR('3-Digester Inputs'!F29*'3-Digester Inputs'!C29,"")</f>
        <v/>
      </c>
      <c r="E47" s="89" t="str">
        <f t="shared" si="0"/>
        <v/>
      </c>
      <c r="F47" s="12">
        <f>IFERROR(IF('3-Digester Inputs'!$C$11="Yes",E47*solid_capture_efficenicy_of_dewatering_equipment,0),"")</f>
        <v>0</v>
      </c>
      <c r="G47" s="12" t="str">
        <f t="shared" si="1"/>
        <v/>
      </c>
    </row>
    <row r="48" spans="1:7">
      <c r="A48" s="3" t="str">
        <f>IF('3-Digester Inputs'!B30=0,"",'3-Digester Inputs'!B30)</f>
        <v/>
      </c>
      <c r="B48" s="12" t="str">
        <f>IFERROR('3-Digester Inputs'!BE30*'3-Digester Inputs'!I30/VLOOKUP($C$6,'23-Look up values'!$A$4:$B$5,2,FALSE),"")</f>
        <v/>
      </c>
      <c r="C48" s="12" t="str">
        <f>IFERROR(C85/VLOOKUP($C$6,'23-Look up values'!$A$4:$B$5,2,FALSE),"")</f>
        <v/>
      </c>
      <c r="D48" s="12" t="str">
        <f>IFERROR('3-Digester Inputs'!F30*'3-Digester Inputs'!C30,"")</f>
        <v/>
      </c>
      <c r="E48" s="89" t="str">
        <f t="shared" si="0"/>
        <v/>
      </c>
      <c r="F48" s="12">
        <f>IFERROR(IF('3-Digester Inputs'!$C$11="Yes",E48*solid_capture_efficenicy_of_dewatering_equipment,0),"")</f>
        <v>0</v>
      </c>
      <c r="G48" s="12" t="str">
        <f t="shared" si="1"/>
        <v/>
      </c>
    </row>
    <row r="49" spans="1:7">
      <c r="A49" s="3" t="str">
        <f>IF('3-Digester Inputs'!B31=0,"",'3-Digester Inputs'!B31)</f>
        <v/>
      </c>
      <c r="B49" s="12" t="str">
        <f>IFERROR('3-Digester Inputs'!BE31*'3-Digester Inputs'!I31/VLOOKUP($C$6,'23-Look up values'!$A$4:$B$5,2,FALSE),"")</f>
        <v/>
      </c>
      <c r="C49" s="12" t="str">
        <f>IFERROR(C86/VLOOKUP($C$6,'23-Look up values'!$A$4:$B$5,2,FALSE),"")</f>
        <v/>
      </c>
      <c r="D49" s="12" t="str">
        <f>IFERROR('3-Digester Inputs'!F31*'3-Digester Inputs'!C31,"")</f>
        <v/>
      </c>
      <c r="E49" s="89" t="str">
        <f t="shared" si="0"/>
        <v/>
      </c>
      <c r="F49" s="12">
        <f>IFERROR(IF('3-Digester Inputs'!$C$11="Yes",E49*solid_capture_efficenicy_of_dewatering_equipment,0),"")</f>
        <v>0</v>
      </c>
      <c r="G49" s="12" t="str">
        <f t="shared" si="1"/>
        <v/>
      </c>
    </row>
    <row r="50" spans="1:7">
      <c r="A50" s="23" t="s">
        <v>204</v>
      </c>
      <c r="B50" s="88">
        <f t="shared" ref="B50:C50" si="2">SUM(B35:B49)</f>
        <v>370.29722651902352</v>
      </c>
      <c r="C50" s="88">
        <f t="shared" si="2"/>
        <v>1491.5428827858373</v>
      </c>
      <c r="D50" s="88">
        <f>SUM(D35:D49)</f>
        <v>16676.151122799998</v>
      </c>
      <c r="E50" s="90">
        <f>SUM(E35:E49)</f>
        <v>18537.991232104861</v>
      </c>
      <c r="F50" s="88">
        <f>SUM(F35:F48)</f>
        <v>0</v>
      </c>
      <c r="G50" s="88">
        <f>SUM(G35:G48)</f>
        <v>18537.991232104861</v>
      </c>
    </row>
    <row r="70" spans="1:7" s="34" customFormat="1" ht="22.5" hidden="1" customHeight="1">
      <c r="A70" s="612" t="s">
        <v>331</v>
      </c>
      <c r="B70" s="612"/>
      <c r="C70" s="612"/>
      <c r="D70" s="612"/>
      <c r="E70" s="612"/>
      <c r="F70" s="612"/>
      <c r="G70" s="612"/>
    </row>
    <row r="71" spans="1:7" s="34" customFormat="1" ht="22.5" hidden="1" customHeight="1">
      <c r="A71" s="390" t="s">
        <v>332</v>
      </c>
      <c r="B71" s="390" t="s">
        <v>333</v>
      </c>
      <c r="C71" s="390" t="s">
        <v>301</v>
      </c>
      <c r="D71" s="390" t="s">
        <v>145</v>
      </c>
      <c r="E71" s="35" t="s">
        <v>302</v>
      </c>
      <c r="F71" s="33" t="s">
        <v>303</v>
      </c>
      <c r="G71" s="33" t="s">
        <v>304</v>
      </c>
    </row>
    <row r="72" spans="1:7" ht="19.25" hidden="1" customHeight="1">
      <c r="A72" s="3" t="str">
        <f>IF('3-Digester Inputs'!B17=0,"",'3-Digester Inputs'!B17)</f>
        <v>Calf</v>
      </c>
      <c r="B72" s="12">
        <f>IFERROR('3-Digester Inputs'!BE17*'3-Digester Inputs'!I17,"")</f>
        <v>354.66249180722866</v>
      </c>
      <c r="C72" s="12">
        <f>IFERROR('6-Biogas Production'!W58-'6-Biogas Production'!AA58*Assumed_Biogas_Density,"")</f>
        <v>1460.1937927432743</v>
      </c>
      <c r="D72" s="12">
        <f>IFERROR('3-Digester Inputs'!F17*'3-Digester Inputs'!C17,"")</f>
        <v>16288.466040399999</v>
      </c>
      <c r="E72" s="89">
        <f>IFERROR(C72+B72+D72,"")</f>
        <v>18103.322324950503</v>
      </c>
      <c r="F72" s="12">
        <f>IFERROR(IF('3-Digester Inputs'!$C$11="Yes",E72*solid_capture_efficenicy_of_dewatering_equipment,0),"")</f>
        <v>0</v>
      </c>
      <c r="G72" s="12">
        <f>IFERROR(E72-F72,"")</f>
        <v>18103.322324950503</v>
      </c>
    </row>
    <row r="73" spans="1:7" ht="19.25" hidden="1" customHeight="1">
      <c r="A73" s="3" t="str">
        <f>IF('3-Digester Inputs'!B18=0,"",'3-Digester Inputs'!B18)</f>
        <v>Adolescents Pigs</v>
      </c>
      <c r="B73" s="12">
        <f>IFERROR('3-Digester Inputs'!BE18*'3-Digester Inputs'!I18,"")</f>
        <v>5.0509213784615357</v>
      </c>
      <c r="C73" s="12">
        <f>IFERROR('6-Biogas Production'!W59-'6-Biogas Production'!AA59*Assumed_Biogas_Density,"")</f>
        <v>12.988462371855936</v>
      </c>
      <c r="D73" s="12">
        <f>IFERROR('3-Digester Inputs'!F18*'3-Digester Inputs'!C18,"")</f>
        <v>268.61718239999999</v>
      </c>
      <c r="E73" s="89">
        <f t="shared" ref="E73:E86" si="3">IFERROR(C73+B73+D73,"")</f>
        <v>286.65656615031747</v>
      </c>
      <c r="F73" s="12">
        <f>IFERROR(IF('3-Digester Inputs'!$C$11="Yes",E73*solid_capture_efficenicy_of_dewatering_equipment,0),"")</f>
        <v>0</v>
      </c>
      <c r="G73" s="12">
        <f t="shared" ref="G73:G86" si="4">IFERROR(E73-F73,"")</f>
        <v>286.65656615031747</v>
      </c>
    </row>
    <row r="74" spans="1:7" ht="19.25" hidden="1" customHeight="1">
      <c r="A74" s="3" t="str">
        <f>IF('3-Digester Inputs'!B19=0,"",'3-Digester Inputs'!B19)</f>
        <v>Poultry Chicken</v>
      </c>
      <c r="B74" s="12">
        <f>IFERROR('3-Digester Inputs'!BE19*'3-Digester Inputs'!I19,"")</f>
        <v>10.583813333333334</v>
      </c>
      <c r="C74" s="12">
        <f>IFERROR('6-Biogas Production'!W60-'6-Biogas Production'!AA60*Assumed_Biogas_Density,"")</f>
        <v>18.36062767070699</v>
      </c>
      <c r="D74" s="12">
        <f>IFERROR('3-Digester Inputs'!F19*'3-Digester Inputs'!C19,"")</f>
        <v>119.06789999999998</v>
      </c>
      <c r="E74" s="89">
        <f t="shared" si="3"/>
        <v>148.01234100404031</v>
      </c>
      <c r="F74" s="12">
        <f>IFERROR(IF('3-Digester Inputs'!$C$11="Yes",E74*solid_capture_efficenicy_of_dewatering_equipment,0),"")</f>
        <v>0</v>
      </c>
      <c r="G74" s="12">
        <f t="shared" si="4"/>
        <v>148.01234100404031</v>
      </c>
    </row>
    <row r="75" spans="1:7" ht="19.25" hidden="1" customHeight="1">
      <c r="A75" s="3" t="str">
        <f>IF('3-Digester Inputs'!B20=0,"",'3-Digester Inputs'!B20)</f>
        <v/>
      </c>
      <c r="B75" s="12" t="str">
        <f>IFERROR('3-Digester Inputs'!BE20*'3-Digester Inputs'!I20,"")</f>
        <v/>
      </c>
      <c r="C75" s="12" t="str">
        <f>IFERROR('6-Biogas Production'!W61-'6-Biogas Production'!AA61*Assumed_Biogas_Density,"")</f>
        <v/>
      </c>
      <c r="D75" s="12" t="str">
        <f>IFERROR('3-Digester Inputs'!F20*'3-Digester Inputs'!C20,"")</f>
        <v/>
      </c>
      <c r="E75" s="89" t="str">
        <f t="shared" si="3"/>
        <v/>
      </c>
      <c r="F75" s="12">
        <f>IFERROR(IF('3-Digester Inputs'!$C$11="Yes",E75*solid_capture_efficenicy_of_dewatering_equipment,0),"")</f>
        <v>0</v>
      </c>
      <c r="G75" s="12" t="str">
        <f t="shared" si="4"/>
        <v/>
      </c>
    </row>
    <row r="76" spans="1:7" ht="19.25" hidden="1" customHeight="1">
      <c r="A76" s="3" t="str">
        <f>IF('3-Digester Inputs'!B21=0,"",'3-Digester Inputs'!B21)</f>
        <v/>
      </c>
      <c r="B76" s="12" t="str">
        <f>IFERROR('3-Digester Inputs'!BE21*'3-Digester Inputs'!I21,"")</f>
        <v/>
      </c>
      <c r="C76" s="12" t="str">
        <f>IFERROR('6-Biogas Production'!W62-'6-Biogas Production'!AA62*Assumed_Biogas_Density,"")</f>
        <v/>
      </c>
      <c r="D76" s="12" t="str">
        <f>IFERROR('3-Digester Inputs'!F21*'3-Digester Inputs'!C21,"")</f>
        <v/>
      </c>
      <c r="E76" s="89" t="str">
        <f t="shared" si="3"/>
        <v/>
      </c>
      <c r="F76" s="12">
        <f>IFERROR(IF('3-Digester Inputs'!$C$11="Yes",E76*solid_capture_efficenicy_of_dewatering_equipment,0),"")</f>
        <v>0</v>
      </c>
      <c r="G76" s="12" t="str">
        <f t="shared" si="4"/>
        <v/>
      </c>
    </row>
    <row r="77" spans="1:7" ht="19.25" hidden="1" customHeight="1">
      <c r="A77" s="3" t="str">
        <f>IF('3-Digester Inputs'!B22=0,"",'3-Digester Inputs'!B22)</f>
        <v/>
      </c>
      <c r="B77" s="12" t="str">
        <f>IFERROR('3-Digester Inputs'!BE22*'3-Digester Inputs'!I22,"")</f>
        <v/>
      </c>
      <c r="C77" s="12" t="str">
        <f>IFERROR('6-Biogas Production'!W63-'6-Biogas Production'!AA63*Assumed_Biogas_Density,"")</f>
        <v/>
      </c>
      <c r="D77" s="12" t="str">
        <f>IFERROR('3-Digester Inputs'!F22*'3-Digester Inputs'!C22,"")</f>
        <v/>
      </c>
      <c r="E77" s="89" t="str">
        <f t="shared" si="3"/>
        <v/>
      </c>
      <c r="F77" s="12">
        <f>IFERROR(IF('3-Digester Inputs'!$C$11="Yes",E77*solid_capture_efficenicy_of_dewatering_equipment,0),"")</f>
        <v>0</v>
      </c>
      <c r="G77" s="12" t="str">
        <f t="shared" si="4"/>
        <v/>
      </c>
    </row>
    <row r="78" spans="1:7" ht="19.25" hidden="1" customHeight="1">
      <c r="A78" s="3" t="str">
        <f>IF('3-Digester Inputs'!B23=0,"",'3-Digester Inputs'!B23)</f>
        <v/>
      </c>
      <c r="B78" s="12" t="str">
        <f>IFERROR('3-Digester Inputs'!BE23*'3-Digester Inputs'!I23,"")</f>
        <v/>
      </c>
      <c r="C78" s="12" t="str">
        <f>IFERROR('6-Biogas Production'!W64-'6-Biogas Production'!AA64*Assumed_Biogas_Density,"")</f>
        <v/>
      </c>
      <c r="D78" s="12" t="str">
        <f>IFERROR('3-Digester Inputs'!F23*'3-Digester Inputs'!C23,"")</f>
        <v/>
      </c>
      <c r="E78" s="89" t="str">
        <f t="shared" si="3"/>
        <v/>
      </c>
      <c r="F78" s="12">
        <f>IFERROR(IF('3-Digester Inputs'!$C$11="Yes",E78*solid_capture_efficenicy_of_dewatering_equipment,0),"")</f>
        <v>0</v>
      </c>
      <c r="G78" s="12" t="str">
        <f t="shared" si="4"/>
        <v/>
      </c>
    </row>
    <row r="79" spans="1:7" ht="19.25" hidden="1" customHeight="1">
      <c r="A79" s="3" t="str">
        <f>IF('3-Digester Inputs'!B24=0,"",'3-Digester Inputs'!B24)</f>
        <v/>
      </c>
      <c r="B79" s="12" t="str">
        <f>IFERROR('3-Digester Inputs'!BE24*'3-Digester Inputs'!I24,"")</f>
        <v/>
      </c>
      <c r="C79" s="12" t="str">
        <f>IFERROR('6-Biogas Production'!W65-'6-Biogas Production'!AA65*Assumed_Biogas_Density,"")</f>
        <v/>
      </c>
      <c r="D79" s="12" t="str">
        <f>IFERROR('3-Digester Inputs'!F24*'3-Digester Inputs'!C24,"")</f>
        <v/>
      </c>
      <c r="E79" s="89" t="str">
        <f t="shared" si="3"/>
        <v/>
      </c>
      <c r="F79" s="12">
        <f>IFERROR(IF('3-Digester Inputs'!$C$11="Yes",E79*solid_capture_efficenicy_of_dewatering_equipment,0),"")</f>
        <v>0</v>
      </c>
      <c r="G79" s="12" t="str">
        <f t="shared" si="4"/>
        <v/>
      </c>
    </row>
    <row r="80" spans="1:7" ht="19.25" hidden="1" customHeight="1">
      <c r="A80" s="3" t="str">
        <f>IF('3-Digester Inputs'!B25=0,"",'3-Digester Inputs'!B25)</f>
        <v/>
      </c>
      <c r="B80" s="12" t="str">
        <f>IFERROR('3-Digester Inputs'!BE25*'3-Digester Inputs'!I25,"")</f>
        <v/>
      </c>
      <c r="C80" s="12" t="str">
        <f>IFERROR('6-Biogas Production'!W66-'6-Biogas Production'!AA66*Assumed_Biogas_Density,"")</f>
        <v/>
      </c>
      <c r="D80" s="12" t="str">
        <f>IFERROR('3-Digester Inputs'!F25*'3-Digester Inputs'!C25,"")</f>
        <v/>
      </c>
      <c r="E80" s="89" t="str">
        <f t="shared" si="3"/>
        <v/>
      </c>
      <c r="F80" s="12">
        <f>IFERROR(IF('3-Digester Inputs'!$C$11="Yes",E80*solid_capture_efficenicy_of_dewatering_equipment,0),"")</f>
        <v>0</v>
      </c>
      <c r="G80" s="12" t="str">
        <f t="shared" si="4"/>
        <v/>
      </c>
    </row>
    <row r="81" spans="1:7" ht="19.25" hidden="1" customHeight="1">
      <c r="A81" s="3" t="str">
        <f>IF('3-Digester Inputs'!B26=0,"",'3-Digester Inputs'!B26)</f>
        <v/>
      </c>
      <c r="B81" s="12" t="str">
        <f>IFERROR('3-Digester Inputs'!BE26*'3-Digester Inputs'!I26,"")</f>
        <v/>
      </c>
      <c r="C81" s="12" t="str">
        <f>IFERROR('6-Biogas Production'!W67-'6-Biogas Production'!AA67*Assumed_Biogas_Density,"")</f>
        <v/>
      </c>
      <c r="D81" s="12" t="str">
        <f>IFERROR('3-Digester Inputs'!F26*'3-Digester Inputs'!C26,"")</f>
        <v/>
      </c>
      <c r="E81" s="89" t="str">
        <f t="shared" si="3"/>
        <v/>
      </c>
      <c r="F81" s="12">
        <f>IFERROR(IF('3-Digester Inputs'!$C$11="Yes",E81*solid_capture_efficenicy_of_dewatering_equipment,0),"")</f>
        <v>0</v>
      </c>
      <c r="G81" s="12" t="str">
        <f t="shared" si="4"/>
        <v/>
      </c>
    </row>
    <row r="82" spans="1:7" ht="19.25" hidden="1" customHeight="1">
      <c r="A82" s="3" t="str">
        <f>IF('3-Digester Inputs'!B27=0,"",'3-Digester Inputs'!B27)</f>
        <v/>
      </c>
      <c r="B82" s="12" t="str">
        <f>IFERROR('3-Digester Inputs'!BE27*'3-Digester Inputs'!I27,"")</f>
        <v/>
      </c>
      <c r="C82" s="12" t="str">
        <f>IFERROR('6-Biogas Production'!W68-'6-Biogas Production'!AA68*Assumed_Biogas_Density,"")</f>
        <v/>
      </c>
      <c r="D82" s="12" t="str">
        <f>IFERROR('3-Digester Inputs'!F27*'3-Digester Inputs'!C27,"")</f>
        <v/>
      </c>
      <c r="E82" s="89" t="str">
        <f t="shared" si="3"/>
        <v/>
      </c>
      <c r="F82" s="12">
        <f>IFERROR(IF('3-Digester Inputs'!$C$11="Yes",E82*solid_capture_efficenicy_of_dewatering_equipment,0),"")</f>
        <v>0</v>
      </c>
      <c r="G82" s="12" t="str">
        <f t="shared" si="4"/>
        <v/>
      </c>
    </row>
    <row r="83" spans="1:7" ht="19.25" hidden="1" customHeight="1">
      <c r="A83" s="3" t="str">
        <f>IF('3-Digester Inputs'!B28=0,"",'3-Digester Inputs'!B28)</f>
        <v/>
      </c>
      <c r="B83" s="12" t="str">
        <f>IFERROR('3-Digester Inputs'!BE28*'3-Digester Inputs'!I28,"")</f>
        <v/>
      </c>
      <c r="C83" s="12" t="str">
        <f>IFERROR('6-Biogas Production'!W69-'6-Biogas Production'!AA69*Assumed_Biogas_Density,"")</f>
        <v/>
      </c>
      <c r="D83" s="12" t="str">
        <f>IFERROR('3-Digester Inputs'!F28*'3-Digester Inputs'!C28,"")</f>
        <v/>
      </c>
      <c r="E83" s="89" t="str">
        <f t="shared" si="3"/>
        <v/>
      </c>
      <c r="F83" s="12">
        <f>IFERROR(IF('3-Digester Inputs'!$C$11="Yes",E83*solid_capture_efficenicy_of_dewatering_equipment,0),"")</f>
        <v>0</v>
      </c>
      <c r="G83" s="12" t="str">
        <f t="shared" si="4"/>
        <v/>
      </c>
    </row>
    <row r="84" spans="1:7" ht="19.25" hidden="1" customHeight="1">
      <c r="A84" s="3" t="str">
        <f>IF('3-Digester Inputs'!B29=0,"",'3-Digester Inputs'!B29)</f>
        <v/>
      </c>
      <c r="B84" s="12" t="str">
        <f>IFERROR('3-Digester Inputs'!BE29*'3-Digester Inputs'!I29,"")</f>
        <v/>
      </c>
      <c r="C84" s="12" t="str">
        <f>IFERROR('6-Biogas Production'!W70-'6-Biogas Production'!AA70*Assumed_Biogas_Density,"")</f>
        <v/>
      </c>
      <c r="D84" s="12" t="str">
        <f>IFERROR('3-Digester Inputs'!F29*'3-Digester Inputs'!C29,"")</f>
        <v/>
      </c>
      <c r="E84" s="89" t="str">
        <f t="shared" si="3"/>
        <v/>
      </c>
      <c r="F84" s="12">
        <f>IFERROR(IF('3-Digester Inputs'!$C$11="Yes",E84*solid_capture_efficenicy_of_dewatering_equipment,0),"")</f>
        <v>0</v>
      </c>
      <c r="G84" s="12" t="str">
        <f t="shared" si="4"/>
        <v/>
      </c>
    </row>
    <row r="85" spans="1:7" ht="19.25" hidden="1" customHeight="1">
      <c r="A85" s="3" t="str">
        <f>IF('3-Digester Inputs'!B30=0,"",'3-Digester Inputs'!B30)</f>
        <v/>
      </c>
      <c r="B85" s="12" t="str">
        <f>IFERROR('3-Digester Inputs'!BE30*'3-Digester Inputs'!I30,"")</f>
        <v/>
      </c>
      <c r="C85" s="12" t="str">
        <f>IFERROR('6-Biogas Production'!W71-'6-Biogas Production'!AA71*Assumed_Biogas_Density,"")</f>
        <v/>
      </c>
      <c r="D85" s="12" t="str">
        <f>IFERROR('3-Digester Inputs'!F30*'3-Digester Inputs'!C30,"")</f>
        <v/>
      </c>
      <c r="E85" s="89" t="str">
        <f t="shared" si="3"/>
        <v/>
      </c>
      <c r="F85" s="12">
        <f>IFERROR(IF('3-Digester Inputs'!$C$11="Yes",E85*solid_capture_efficenicy_of_dewatering_equipment,0),"")</f>
        <v>0</v>
      </c>
      <c r="G85" s="12" t="str">
        <f t="shared" si="4"/>
        <v/>
      </c>
    </row>
    <row r="86" spans="1:7" ht="19.25" hidden="1" customHeight="1">
      <c r="A86" s="3" t="str">
        <f>IF('3-Digester Inputs'!B31=0,"",'3-Digester Inputs'!B31)</f>
        <v/>
      </c>
      <c r="B86" s="12" t="str">
        <f>IFERROR('3-Digester Inputs'!BE31*'3-Digester Inputs'!I31,"")</f>
        <v/>
      </c>
      <c r="C86" s="12" t="str">
        <f>IFERROR('6-Biogas Production'!W72-'6-Biogas Production'!AA72*Assumed_Biogas_Density,"")</f>
        <v/>
      </c>
      <c r="D86" s="12" t="str">
        <f>IFERROR('3-Digester Inputs'!F31*'3-Digester Inputs'!C31,"")</f>
        <v/>
      </c>
      <c r="E86" s="89" t="str">
        <f t="shared" si="3"/>
        <v/>
      </c>
      <c r="F86" s="12">
        <f>IFERROR(IF('3-Digester Inputs'!$C$11="Yes",E86*solid_capture_efficenicy_of_dewatering_equipment,0),"")</f>
        <v>0</v>
      </c>
      <c r="G86" s="12" t="str">
        <f t="shared" si="4"/>
        <v/>
      </c>
    </row>
    <row r="87" spans="1:7" ht="19.25" hidden="1" customHeight="1">
      <c r="A87" s="23" t="s">
        <v>204</v>
      </c>
      <c r="B87" s="88">
        <f>SUM(B72:B86)</f>
        <v>370.29722651902352</v>
      </c>
      <c r="C87" s="88">
        <f t="shared" ref="C87" si="5">SUM(C72:C86)</f>
        <v>1491.5428827858373</v>
      </c>
      <c r="D87" s="88">
        <f>SUM(D72:D86)</f>
        <v>16676.151122799998</v>
      </c>
      <c r="E87" s="90">
        <f>SUM(E72:E86)</f>
        <v>18537.991232104861</v>
      </c>
      <c r="F87" s="88">
        <f>SUM(F72:F85)</f>
        <v>0</v>
      </c>
      <c r="G87" s="88">
        <f>SUM(G72:G85)</f>
        <v>18537.991232104861</v>
      </c>
    </row>
    <row r="88" spans="1:7" ht="30" hidden="1" customHeight="1"/>
  </sheetData>
  <sheetProtection selectLockedCells="1"/>
  <mergeCells count="3">
    <mergeCell ref="A8:F8"/>
    <mergeCell ref="A70:G70"/>
    <mergeCell ref="A33:G33"/>
  </mergeCells>
  <pageMargins left="0.7" right="0.7" top="0.75" bottom="0.75" header="0.3" footer="0.3"/>
  <pageSetup scale="47" orientation="portrait" verticalDpi="0" r:id="rId1"/>
  <headerFooter>
    <oddHeader>&amp;C&amp;G</oddHeader>
  </headerFooter>
  <drawing r:id="rId2"/>
  <legacyDrawingHF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'23-Look up values'!$A$4:$A$5</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AH67"/>
  <sheetViews>
    <sheetView topLeftCell="A9" workbookViewId="0">
      <selection activeCell="C41" sqref="C41"/>
    </sheetView>
  </sheetViews>
  <sheetFormatPr defaultColWidth="8.58203125" defaultRowHeight="14"/>
  <cols>
    <col min="1" max="1" width="64.1640625" style="198" bestFit="1" customWidth="1"/>
    <col min="2" max="2" width="19.58203125" style="198" customWidth="1"/>
    <col min="3" max="3" width="21.6640625" style="198" customWidth="1"/>
    <col min="4" max="4" width="18" style="198" customWidth="1"/>
    <col min="5" max="5" width="19.5" style="198" bestFit="1" customWidth="1"/>
    <col min="6" max="6" width="40" style="198" bestFit="1" customWidth="1"/>
    <col min="7" max="16384" width="8.58203125" style="198"/>
  </cols>
  <sheetData>
    <row r="1" spans="1:34" ht="18">
      <c r="A1" s="287" t="s">
        <v>334</v>
      </c>
      <c r="B1" s="287"/>
      <c r="C1" s="287"/>
      <c r="D1" s="287"/>
      <c r="E1" s="287"/>
      <c r="F1" s="287"/>
      <c r="G1" s="287"/>
      <c r="H1" s="18"/>
      <c r="I1" s="18"/>
      <c r="J1" s="18"/>
      <c r="K1" s="18"/>
      <c r="L1" s="18"/>
      <c r="M1" s="18"/>
      <c r="N1" s="18"/>
      <c r="O1" s="18"/>
      <c r="P1" s="18"/>
      <c r="Q1" s="18"/>
      <c r="R1" s="18"/>
      <c r="S1" s="18"/>
      <c r="T1" s="18"/>
      <c r="U1" s="18"/>
      <c r="V1" s="18"/>
      <c r="W1" s="18"/>
      <c r="X1" s="18"/>
      <c r="Y1" s="18"/>
      <c r="Z1" s="18"/>
      <c r="AA1" s="18"/>
      <c r="AB1" s="18"/>
      <c r="AC1" s="18"/>
      <c r="AD1" s="18"/>
      <c r="AE1" s="18"/>
      <c r="AF1" s="18"/>
      <c r="AG1" s="18"/>
      <c r="AH1" s="18"/>
    </row>
    <row r="7" spans="1:34" ht="14.5" thickBot="1"/>
    <row r="8" spans="1:34" ht="20">
      <c r="A8" s="308" t="s">
        <v>335</v>
      </c>
      <c r="B8" s="387">
        <f>IFERROR(SUM(E28:E29),"-")</f>
        <v>1989.7344531520444</v>
      </c>
    </row>
    <row r="9" spans="1:34" ht="20">
      <c r="A9" s="309" t="s">
        <v>336</v>
      </c>
      <c r="B9" s="388">
        <f>IFERROR(SUM(E31:E34),"-")</f>
        <v>137.30623607694628</v>
      </c>
    </row>
    <row r="10" spans="1:34" ht="20.5" thickBot="1">
      <c r="A10" s="310" t="s">
        <v>337</v>
      </c>
      <c r="B10" s="389">
        <f>IFERROR(B8-B9,"-")</f>
        <v>1852.428217075098</v>
      </c>
    </row>
    <row r="11" spans="1:34" ht="14.5" thickBot="1"/>
    <row r="12" spans="1:34">
      <c r="A12" s="430" t="s">
        <v>338</v>
      </c>
      <c r="B12" s="431" t="s">
        <v>215</v>
      </c>
      <c r="C12" s="432" t="s">
        <v>215</v>
      </c>
    </row>
    <row r="13" spans="1:34" ht="16">
      <c r="A13" s="433" t="s">
        <v>339</v>
      </c>
      <c r="B13" s="434" t="s">
        <v>340</v>
      </c>
      <c r="C13" s="435" t="s">
        <v>341</v>
      </c>
    </row>
    <row r="14" spans="1:34" ht="14.5">
      <c r="A14" s="436" t="s">
        <v>342</v>
      </c>
      <c r="B14" s="437"/>
      <c r="C14" s="438"/>
    </row>
    <row r="15" spans="1:34">
      <c r="A15" s="439" t="s">
        <v>343</v>
      </c>
      <c r="B15" s="440">
        <f>ManureMethane</f>
        <v>71061.944755430159</v>
      </c>
      <c r="C15" s="441">
        <f>B15/1000</f>
        <v>71.061944755430162</v>
      </c>
    </row>
    <row r="16" spans="1:34">
      <c r="A16" s="439" t="s">
        <v>344</v>
      </c>
      <c r="B16" s="440">
        <f>OtherWasteMethane</f>
        <v>0</v>
      </c>
      <c r="C16" s="441">
        <f t="shared" ref="C16:C22" si="0">B16/1000</f>
        <v>0</v>
      </c>
    </row>
    <row r="17" spans="1:5" ht="14.5">
      <c r="A17" s="442" t="s">
        <v>345</v>
      </c>
      <c r="B17" s="443"/>
      <c r="C17" s="444"/>
    </row>
    <row r="18" spans="1:5">
      <c r="A18" s="439" t="s">
        <v>346</v>
      </c>
      <c r="B18" s="440">
        <f>ProjectMethaneLeakage</f>
        <v>4019.5033980370686</v>
      </c>
      <c r="C18" s="441">
        <f t="shared" si="0"/>
        <v>4.0195033980370685</v>
      </c>
    </row>
    <row r="19" spans="1:5">
      <c r="A19" s="439" t="s">
        <v>347</v>
      </c>
      <c r="B19" s="497">
        <f>IFERROR(FlareRelatedEmissions,"-")</f>
        <v>160.78013592148287</v>
      </c>
      <c r="C19" s="498">
        <f>IFERROR(B19/1000,"-")</f>
        <v>0.16078013592148285</v>
      </c>
    </row>
    <row r="20" spans="1:5">
      <c r="A20" s="439" t="s">
        <v>348</v>
      </c>
      <c r="B20" s="497">
        <f>Methane_Utilization_Related_Emissions</f>
        <v>723.51061164667294</v>
      </c>
      <c r="C20" s="498">
        <f>IFERROR(B20/1000,"-")</f>
        <v>0.72351061164667296</v>
      </c>
    </row>
    <row r="21" spans="1:5">
      <c r="A21" s="439" t="s">
        <v>349</v>
      </c>
      <c r="B21" s="445">
        <f>CH4_Emissions_from_Consumption/1000</f>
        <v>0</v>
      </c>
      <c r="C21" s="441">
        <f t="shared" si="0"/>
        <v>0</v>
      </c>
    </row>
    <row r="22" spans="1:5">
      <c r="A22" s="439" t="s">
        <v>350</v>
      </c>
      <c r="B22" s="440">
        <f>TempStorage</f>
        <v>0</v>
      </c>
      <c r="C22" s="441">
        <f t="shared" si="0"/>
        <v>0</v>
      </c>
    </row>
    <row r="23" spans="1:5" ht="14.5" thickBot="1">
      <c r="A23" s="446" t="s">
        <v>351</v>
      </c>
      <c r="B23" s="495">
        <f>IFERROR(SUM(B15:B16)-(B18+B19+B20+B21+B22),"-")</f>
        <v>66158.150609824937</v>
      </c>
      <c r="C23" s="496">
        <f>IFERROR(SUM(C15:C16)-(C18+C19+C20+C21+C22),"-")</f>
        <v>66.158150609824943</v>
      </c>
    </row>
    <row r="24" spans="1:5" ht="14.5" thickBot="1">
      <c r="B24" s="312"/>
      <c r="C24" s="312"/>
    </row>
    <row r="25" spans="1:5" ht="16">
      <c r="A25" s="430" t="s">
        <v>352</v>
      </c>
      <c r="B25" s="449"/>
      <c r="C25" s="449"/>
      <c r="D25" s="450"/>
      <c r="E25" s="451"/>
    </row>
    <row r="26" spans="1:5">
      <c r="A26" s="433" t="s">
        <v>339</v>
      </c>
      <c r="B26" s="452" t="s">
        <v>215</v>
      </c>
      <c r="C26" s="452" t="s">
        <v>216</v>
      </c>
      <c r="D26" s="452" t="s">
        <v>353</v>
      </c>
      <c r="E26" s="453" t="s">
        <v>354</v>
      </c>
    </row>
    <row r="27" spans="1:5" ht="14.5">
      <c r="A27" s="436" t="s">
        <v>342</v>
      </c>
      <c r="B27" s="454"/>
      <c r="C27" s="454"/>
      <c r="D27" s="454"/>
      <c r="E27" s="455"/>
    </row>
    <row r="28" spans="1:5">
      <c r="A28" s="439" t="s">
        <v>343</v>
      </c>
      <c r="B28" s="456">
        <f>B15*Methane_fossil_GWP/1000</f>
        <v>1989.7344531520444</v>
      </c>
      <c r="C28" s="457"/>
      <c r="D28" s="440"/>
      <c r="E28" s="441">
        <f>SUM(B28:D28)</f>
        <v>1989.7344531520444</v>
      </c>
    </row>
    <row r="29" spans="1:5">
      <c r="A29" s="439" t="s">
        <v>344</v>
      </c>
      <c r="B29" s="456">
        <f>B16*Methane_fossil_GWP/1000</f>
        <v>0</v>
      </c>
      <c r="C29" s="440"/>
      <c r="D29" s="440"/>
      <c r="E29" s="441">
        <f t="shared" ref="E29:E34" si="1">SUM(B29:D29)</f>
        <v>0</v>
      </c>
    </row>
    <row r="30" spans="1:5" ht="14.5">
      <c r="A30" s="442" t="s">
        <v>345</v>
      </c>
      <c r="B30" s="458"/>
      <c r="C30" s="443"/>
      <c r="D30" s="443"/>
      <c r="E30" s="444"/>
    </row>
    <row r="31" spans="1:5">
      <c r="A31" s="439" t="s">
        <v>346</v>
      </c>
      <c r="B31" s="456">
        <f>IFERROR(B18*Methane_fossil_GWP/1000,"-")</f>
        <v>112.54609514503792</v>
      </c>
      <c r="C31" s="440"/>
      <c r="D31" s="440"/>
      <c r="E31" s="441">
        <f t="shared" si="1"/>
        <v>112.54609514503792</v>
      </c>
    </row>
    <row r="32" spans="1:5">
      <c r="A32" s="439" t="s">
        <v>347</v>
      </c>
      <c r="B32" s="494">
        <f>IFERROR(B19*Methane_fossil_GWP/1000, "-")</f>
        <v>4.5018438058015198</v>
      </c>
      <c r="C32" s="440"/>
      <c r="D32" s="440"/>
      <c r="E32" s="441">
        <f>SUM(B32:D32)</f>
        <v>4.5018438058015198</v>
      </c>
    </row>
    <row r="33" spans="1:5">
      <c r="A33" s="439" t="s">
        <v>348</v>
      </c>
      <c r="B33" s="494">
        <f>IFERROR(B20*Methane_fossil_GWP/1000,"-")</f>
        <v>20.258297126106843</v>
      </c>
      <c r="C33" s="440"/>
      <c r="D33" s="440"/>
      <c r="E33" s="441">
        <f>SUM(B33:D33)</f>
        <v>20.258297126106843</v>
      </c>
    </row>
    <row r="34" spans="1:5">
      <c r="A34" s="439" t="s">
        <v>355</v>
      </c>
      <c r="B34" s="456">
        <f>IFERROR(B21*Methane_fossil_GWP/1000,"-")</f>
        <v>0</v>
      </c>
      <c r="C34" s="499">
        <f>IFERROR(SUM('21-Electricity Use'!$B$15:$B$16)/1000,"-")</f>
        <v>0</v>
      </c>
      <c r="D34" s="440"/>
      <c r="E34" s="441">
        <f t="shared" si="1"/>
        <v>0</v>
      </c>
    </row>
    <row r="35" spans="1:5">
      <c r="A35" s="439" t="s">
        <v>350</v>
      </c>
      <c r="B35" s="456">
        <f>IFERROR(B22*Methane_fossil_GWP/1000,"-")</f>
        <v>0</v>
      </c>
      <c r="C35" s="497"/>
      <c r="D35" s="440"/>
      <c r="E35" s="441">
        <f>SUM(B35:D35)</f>
        <v>0</v>
      </c>
    </row>
    <row r="36" spans="1:5" ht="14.5" thickBot="1">
      <c r="A36" s="446" t="s">
        <v>356</v>
      </c>
      <c r="B36" s="495">
        <f>IFERROR(SUM(B28:B29)-(B31+B32+B33+B34+B35),"-")</f>
        <v>1852.428217075098</v>
      </c>
      <c r="C36" s="495">
        <f>IFERROR(SUM(C28:C29)-(C31+C32+C33+C34+C35),"-")</f>
        <v>0</v>
      </c>
      <c r="D36" s="447">
        <f t="shared" ref="D36" si="2">SUM(D28:D29)-(D31+D32+D33+D34+D35)</f>
        <v>0</v>
      </c>
      <c r="E36" s="448">
        <f>SUM(E28:E29)-(E31+E32+E33+E34+E35)</f>
        <v>1852.428217075098</v>
      </c>
    </row>
    <row r="38" spans="1:5" ht="14.5" thickBot="1">
      <c r="A38" s="203" t="s">
        <v>357</v>
      </c>
      <c r="B38" s="203"/>
      <c r="C38" s="204"/>
      <c r="D38" s="203"/>
    </row>
    <row r="39" spans="1:5">
      <c r="A39" s="459" t="s">
        <v>358</v>
      </c>
      <c r="B39" s="460"/>
      <c r="C39" s="461" t="s">
        <v>180</v>
      </c>
      <c r="D39" s="462" t="s">
        <v>359</v>
      </c>
    </row>
    <row r="40" spans="1:5" ht="30">
      <c r="A40" s="463" t="s">
        <v>353</v>
      </c>
      <c r="B40" s="282">
        <v>900</v>
      </c>
      <c r="C40" s="232" t="s">
        <v>360</v>
      </c>
      <c r="D40" s="464" t="s">
        <v>361</v>
      </c>
    </row>
    <row r="41" spans="1:5" ht="40">
      <c r="A41" s="465" t="s">
        <v>362</v>
      </c>
      <c r="B41" s="283">
        <v>28</v>
      </c>
      <c r="C41" s="233" t="s">
        <v>766</v>
      </c>
      <c r="D41" s="466" t="s">
        <v>363</v>
      </c>
    </row>
    <row r="42" spans="1:5" ht="40.5" thickBot="1">
      <c r="A42" s="467" t="s">
        <v>364</v>
      </c>
      <c r="B42" s="468">
        <v>28</v>
      </c>
      <c r="C42" s="469" t="s">
        <v>766</v>
      </c>
      <c r="D42" s="470" t="s">
        <v>363</v>
      </c>
    </row>
    <row r="46" spans="1:5" hidden="1">
      <c r="B46" s="198">
        <v>900</v>
      </c>
    </row>
    <row r="47" spans="1:5" hidden="1">
      <c r="B47" s="198">
        <v>28</v>
      </c>
    </row>
    <row r="48" spans="1:5" hidden="1">
      <c r="B48" s="198">
        <v>28</v>
      </c>
    </row>
    <row r="57" spans="3:3" hidden="1"/>
    <row r="58" spans="3:3" hidden="1">
      <c r="C58" s="198">
        <f>N58</f>
        <v>0</v>
      </c>
    </row>
    <row r="59" spans="3:3" hidden="1"/>
    <row r="60" spans="3:3" hidden="1">
      <c r="C60" s="198">
        <f>N60</f>
        <v>0</v>
      </c>
    </row>
    <row r="61" spans="3:3" hidden="1">
      <c r="C61" s="198">
        <f>N61</f>
        <v>0</v>
      </c>
    </row>
    <row r="62" spans="3:3" hidden="1">
      <c r="C62" s="198">
        <f>N62</f>
        <v>0</v>
      </c>
    </row>
    <row r="63" spans="3:3" hidden="1">
      <c r="C63" s="198">
        <f>N63</f>
        <v>0</v>
      </c>
    </row>
    <row r="64" spans="3:3" hidden="1"/>
    <row r="65" spans="3:3" hidden="1">
      <c r="C65" s="198">
        <f>1.18</f>
        <v>1.18</v>
      </c>
    </row>
    <row r="66" spans="3:3" hidden="1"/>
    <row r="67" spans="3:3" hidden="1"/>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4" r:id="rId4" name="Button 10">
              <controlPr defaultSize="0" print="0" autoFill="0" autoPict="0" macro="[0]!GWPvalues">
                <anchor moveWithCells="1" sizeWithCells="1">
                  <from>
                    <xdr:col>4</xdr:col>
                    <xdr:colOff>298450</xdr:colOff>
                    <xdr:row>40</xdr:row>
                    <xdr:rowOff>63500</xdr:rowOff>
                  </from>
                  <to>
                    <xdr:col>5</xdr:col>
                    <xdr:colOff>793750</xdr:colOff>
                    <xdr:row>40</xdr:row>
                    <xdr:rowOff>520700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E8D548"/>
  </sheetPr>
  <dimension ref="A1:W128"/>
  <sheetViews>
    <sheetView workbookViewId="0"/>
  </sheetViews>
  <sheetFormatPr defaultColWidth="9" defaultRowHeight="14"/>
  <cols>
    <col min="1" max="1" width="39.5" style="4" customWidth="1"/>
    <col min="2" max="3" width="16" style="4" customWidth="1"/>
    <col min="4" max="4" width="23.58203125" style="4" hidden="1" customWidth="1"/>
    <col min="5" max="5" width="21.5" style="4" hidden="1" customWidth="1"/>
    <col min="6" max="7" width="16.5" style="4" customWidth="1"/>
    <col min="8" max="8" width="17.58203125" style="4" customWidth="1"/>
    <col min="9" max="9" width="19.08203125" style="4" hidden="1" customWidth="1"/>
    <col min="10" max="11" width="15.08203125" style="4" hidden="1" customWidth="1"/>
    <col min="12" max="12" width="17.58203125" style="4" customWidth="1"/>
    <col min="13" max="13" width="16.58203125" style="4" customWidth="1"/>
    <col min="14" max="15" width="16.08203125" style="4" customWidth="1"/>
    <col min="16" max="16" width="1.58203125" style="4" customWidth="1"/>
    <col min="17" max="20" width="16.08203125" style="4" customWidth="1"/>
    <col min="21" max="21" width="20" style="4" bestFit="1" customWidth="1"/>
    <col min="22" max="22" width="117.08203125" style="4" customWidth="1"/>
    <col min="23" max="23" width="90.08203125" style="4" customWidth="1"/>
    <col min="24" max="16384" width="9" style="4"/>
  </cols>
  <sheetData>
    <row r="1" spans="1:23" s="10" customFormat="1" ht="30" customHeight="1">
      <c r="A1" s="287" t="s">
        <v>365</v>
      </c>
      <c r="B1" s="292"/>
      <c r="C1" s="292"/>
      <c r="D1" s="292"/>
      <c r="E1" s="292"/>
      <c r="F1" s="292"/>
      <c r="G1" s="292"/>
      <c r="H1" s="292"/>
      <c r="I1" s="292"/>
      <c r="J1" s="292"/>
      <c r="K1" s="292"/>
      <c r="L1" s="292"/>
      <c r="M1" s="292"/>
      <c r="N1" s="292"/>
      <c r="O1" s="292"/>
      <c r="P1" s="292"/>
      <c r="Q1" s="292"/>
      <c r="R1" s="292"/>
      <c r="S1" s="292"/>
      <c r="T1" s="292"/>
      <c r="U1" s="292"/>
      <c r="V1" s="292"/>
      <c r="W1" s="292"/>
    </row>
    <row r="2" spans="1:23" s="16" customFormat="1" hidden="1">
      <c r="A2" s="19">
        <f>1</f>
        <v>1</v>
      </c>
      <c r="B2" s="20">
        <f>A2+1</f>
        <v>2</v>
      </c>
      <c r="C2" s="20">
        <f t="shared" ref="C2:E2" si="0">B2+1</f>
        <v>3</v>
      </c>
      <c r="D2" s="20">
        <f t="shared" si="0"/>
        <v>4</v>
      </c>
      <c r="E2" s="20">
        <f t="shared" si="0"/>
        <v>5</v>
      </c>
      <c r="F2" s="20">
        <f t="shared" ref="F2" si="1">E2+1</f>
        <v>6</v>
      </c>
      <c r="G2" s="20">
        <f t="shared" ref="G2" si="2">F2+1</f>
        <v>7</v>
      </c>
      <c r="H2" s="20">
        <f t="shared" ref="H2" si="3">G2+1</f>
        <v>8</v>
      </c>
      <c r="I2" s="20">
        <f t="shared" ref="I2" si="4">H2+1</f>
        <v>9</v>
      </c>
      <c r="J2" s="20">
        <f t="shared" ref="J2" si="5">I2+1</f>
        <v>10</v>
      </c>
      <c r="K2" s="20">
        <f t="shared" ref="K2" si="6">J2+1</f>
        <v>11</v>
      </c>
      <c r="L2" s="20">
        <f t="shared" ref="L2" si="7">K2+1</f>
        <v>12</v>
      </c>
      <c r="M2" s="20">
        <f t="shared" ref="M2" si="8">L2+1</f>
        <v>13</v>
      </c>
      <c r="N2" s="20">
        <f t="shared" ref="N2" si="9">M2+1</f>
        <v>14</v>
      </c>
      <c r="O2" s="20">
        <f t="shared" ref="O2" si="10">N2+1</f>
        <v>15</v>
      </c>
      <c r="P2" s="20">
        <f t="shared" ref="P2" si="11">O2+1</f>
        <v>16</v>
      </c>
      <c r="Q2" s="20">
        <f t="shared" ref="Q2" si="12">P2+1</f>
        <v>17</v>
      </c>
      <c r="R2" s="20">
        <f t="shared" ref="R2" si="13">Q2+1</f>
        <v>18</v>
      </c>
      <c r="S2" s="20"/>
      <c r="T2" s="20"/>
      <c r="U2" s="20"/>
      <c r="V2" s="17">
        <f t="shared" ref="V2" si="14">R2+1</f>
        <v>19</v>
      </c>
      <c r="W2" s="17">
        <f t="shared" ref="W2" si="15">V2+1</f>
        <v>20</v>
      </c>
    </row>
    <row r="3" spans="1:23" s="1" customFormat="1"/>
    <row r="4" spans="1:23" s="1" customFormat="1"/>
    <row r="5" spans="1:23">
      <c r="A5" s="1"/>
      <c r="B5" s="1"/>
      <c r="C5" s="1"/>
      <c r="D5" s="1"/>
      <c r="E5" s="1"/>
    </row>
    <row r="7" spans="1:23" ht="39.65" customHeight="1">
      <c r="A7" s="5"/>
      <c r="B7" s="5"/>
      <c r="C7" s="5"/>
      <c r="D7" s="5"/>
      <c r="E7" s="5"/>
      <c r="F7" s="5"/>
      <c r="G7" s="5"/>
      <c r="H7" s="5"/>
      <c r="I7" s="5"/>
      <c r="J7" s="5"/>
      <c r="K7" s="5"/>
      <c r="L7" s="5"/>
      <c r="M7" s="5"/>
      <c r="N7" s="5"/>
      <c r="O7" s="5"/>
      <c r="P7" s="5"/>
      <c r="Q7" s="5"/>
      <c r="R7" s="5"/>
      <c r="S7" s="5"/>
      <c r="T7" s="5"/>
      <c r="U7" s="5"/>
    </row>
    <row r="8" spans="1:23" s="486" customFormat="1" ht="19.25" customHeight="1">
      <c r="A8" s="38" t="s">
        <v>188</v>
      </c>
      <c r="B8" s="38" t="s">
        <v>182</v>
      </c>
      <c r="C8" s="38" t="s">
        <v>182</v>
      </c>
      <c r="D8" s="39" t="s">
        <v>366</v>
      </c>
      <c r="E8" s="39" t="s">
        <v>366</v>
      </c>
      <c r="F8" s="38" t="s">
        <v>367</v>
      </c>
      <c r="G8" s="38" t="s">
        <v>182</v>
      </c>
      <c r="H8" s="38" t="s">
        <v>182</v>
      </c>
      <c r="I8" s="39" t="s">
        <v>366</v>
      </c>
      <c r="J8" s="39" t="s">
        <v>366</v>
      </c>
      <c r="K8" s="39" t="s">
        <v>366</v>
      </c>
      <c r="L8" s="38" t="s">
        <v>182</v>
      </c>
      <c r="M8" s="38" t="s">
        <v>367</v>
      </c>
      <c r="N8" s="38" t="s">
        <v>367</v>
      </c>
      <c r="O8" s="38" t="s">
        <v>367</v>
      </c>
      <c r="P8" s="38"/>
      <c r="Q8" s="38" t="s">
        <v>368</v>
      </c>
      <c r="R8" s="38" t="s">
        <v>369</v>
      </c>
      <c r="S8" s="82"/>
      <c r="T8" s="652" t="s">
        <v>165</v>
      </c>
      <c r="U8" s="652"/>
      <c r="V8" s="38"/>
      <c r="W8" s="40"/>
    </row>
    <row r="9" spans="1:23" s="486" customFormat="1" ht="19.25" customHeight="1">
      <c r="A9" s="38" t="s">
        <v>370</v>
      </c>
      <c r="B9" s="38" t="s">
        <v>145</v>
      </c>
      <c r="C9" s="38" t="s">
        <v>371</v>
      </c>
      <c r="D9" s="39" t="s">
        <v>183</v>
      </c>
      <c r="E9" s="39" t="s">
        <v>372</v>
      </c>
      <c r="F9" s="43" t="s">
        <v>372</v>
      </c>
      <c r="G9" s="38" t="s">
        <v>372</v>
      </c>
      <c r="H9" s="38" t="s">
        <v>373</v>
      </c>
      <c r="I9" s="39" t="s">
        <v>374</v>
      </c>
      <c r="J9" s="39" t="s">
        <v>375</v>
      </c>
      <c r="K9" s="39" t="s">
        <v>376</v>
      </c>
      <c r="L9" s="38" t="s">
        <v>376</v>
      </c>
      <c r="M9" s="38" t="s">
        <v>377</v>
      </c>
      <c r="N9" s="38" t="s">
        <v>378</v>
      </c>
      <c r="O9" s="38" t="s">
        <v>379</v>
      </c>
      <c r="P9" s="38"/>
      <c r="Q9" s="38" t="s">
        <v>147</v>
      </c>
      <c r="R9" s="38" t="s">
        <v>380</v>
      </c>
      <c r="S9" s="82" t="s">
        <v>381</v>
      </c>
      <c r="T9" s="82" t="s">
        <v>382</v>
      </c>
      <c r="U9" s="82" t="s">
        <v>383</v>
      </c>
      <c r="V9" s="38" t="s">
        <v>180</v>
      </c>
      <c r="W9" s="38" t="s">
        <v>384</v>
      </c>
    </row>
    <row r="10" spans="1:23" s="41" customFormat="1" ht="19.25" customHeight="1">
      <c r="A10" s="40"/>
      <c r="B10" s="653" t="s">
        <v>23</v>
      </c>
      <c r="C10" s="653"/>
      <c r="D10" s="653"/>
      <c r="E10" s="653"/>
      <c r="F10" s="653"/>
      <c r="G10" s="653"/>
      <c r="H10" s="653"/>
      <c r="I10" s="653"/>
      <c r="J10" s="653"/>
      <c r="K10" s="653"/>
      <c r="L10" s="653"/>
      <c r="M10" s="653"/>
      <c r="N10" s="653"/>
      <c r="O10" s="653"/>
      <c r="P10" s="653"/>
      <c r="Q10" s="653"/>
      <c r="R10" s="653"/>
      <c r="S10" s="83"/>
      <c r="T10" s="83"/>
      <c r="U10" s="83"/>
      <c r="V10" s="45"/>
      <c r="W10" s="45"/>
    </row>
    <row r="11" spans="1:23" s="41" customFormat="1" ht="19.25" customHeight="1">
      <c r="A11" s="331" t="s">
        <v>98</v>
      </c>
      <c r="B11" s="150">
        <v>0.87</v>
      </c>
      <c r="C11" s="151">
        <f>15/119</f>
        <v>0.12605042016806722</v>
      </c>
      <c r="D11" s="152">
        <v>15</v>
      </c>
      <c r="E11" s="152">
        <v>12</v>
      </c>
      <c r="F11" s="320">
        <f>G11/C11</f>
        <v>0.8</v>
      </c>
      <c r="G11" s="151">
        <f>12/119</f>
        <v>0.10084033613445378</v>
      </c>
      <c r="H11" s="154">
        <f>C11-G11</f>
        <v>2.5210084033613439E-2</v>
      </c>
      <c r="I11" s="152">
        <f>D11-E11</f>
        <v>3</v>
      </c>
      <c r="J11" s="152">
        <v>2.1</v>
      </c>
      <c r="K11" s="152">
        <v>0.76</v>
      </c>
      <c r="L11" s="151">
        <f>(K11/D11)*((1-B11)/1)</f>
        <v>6.5866666666666669E-3</v>
      </c>
      <c r="M11" s="151">
        <f>1-SUM(N11:O11)-H11</f>
        <v>0.87008991596638652</v>
      </c>
      <c r="N11" s="151">
        <v>1.9400000000000001E-2</v>
      </c>
      <c r="O11" s="151">
        <v>8.5300000000000001E-2</v>
      </c>
      <c r="P11" s="152"/>
      <c r="Q11" s="155">
        <f>0.148*1000</f>
        <v>148</v>
      </c>
      <c r="R11" s="156">
        <f>CONVERT(119,"lbm","kg")/CONVERT(2.1,"ft^3","m^3")</f>
        <v>907.71292452440787</v>
      </c>
      <c r="S11" s="157">
        <f t="shared" ref="S11:S31" si="16">R11/DensityofWater</f>
        <v>0.90771292452440788</v>
      </c>
      <c r="T11" s="157" t="s">
        <v>385</v>
      </c>
      <c r="U11" s="157" t="s">
        <v>168</v>
      </c>
      <c r="V11" s="650" t="s">
        <v>386</v>
      </c>
      <c r="W11" s="325" t="s">
        <v>387</v>
      </c>
    </row>
    <row r="12" spans="1:23" s="41" customFormat="1" ht="19.25" customHeight="1">
      <c r="A12" s="331" t="s">
        <v>57</v>
      </c>
      <c r="B12" s="158">
        <v>0.83</v>
      </c>
      <c r="C12" s="159">
        <f>9.2/83</f>
        <v>0.1108433734939759</v>
      </c>
      <c r="D12" s="160">
        <v>9.1999999999999993</v>
      </c>
      <c r="E12" s="160">
        <v>7.7</v>
      </c>
      <c r="F12" s="321">
        <f t="shared" ref="F12:F14" si="17">G12/C12</f>
        <v>0.83695652173913049</v>
      </c>
      <c r="G12" s="159">
        <f>7.7/83</f>
        <v>9.2771084337349402E-2</v>
      </c>
      <c r="H12" s="161">
        <f t="shared" ref="H12:H31" si="18">C12-G12</f>
        <v>1.8072289156626495E-2</v>
      </c>
      <c r="I12" s="160">
        <f t="shared" ref="I12:I31" si="19">D12-E12</f>
        <v>1.4999999999999991</v>
      </c>
      <c r="J12" s="160"/>
      <c r="K12" s="160">
        <v>0.42</v>
      </c>
      <c r="L12" s="151">
        <f t="shared" ref="L12:L31" si="20">(K12/D12)*((1-B12)/1)</f>
        <v>7.760869565217393E-3</v>
      </c>
      <c r="M12" s="159">
        <f t="shared" ref="M12:M25" si="21">1-SUM(N12:O12)-H12</f>
        <v>0.87722771084337348</v>
      </c>
      <c r="N12" s="159">
        <v>1.9400000000000001E-2</v>
      </c>
      <c r="O12" s="159">
        <v>8.5300000000000001E-2</v>
      </c>
      <c r="P12" s="160"/>
      <c r="Q12" s="162">
        <f t="shared" ref="Q12:Q14" si="22">0.148*1000</f>
        <v>148</v>
      </c>
      <c r="R12" s="163">
        <f>CONVERT(83,"lbm","kg")/CONVERT(21.3,"ft^3","m^3")</f>
        <v>62.419364321065338</v>
      </c>
      <c r="S12" s="157">
        <f t="shared" si="16"/>
        <v>6.2419364321065339E-2</v>
      </c>
      <c r="T12" s="157" t="s">
        <v>385</v>
      </c>
      <c r="U12" s="157" t="s">
        <v>168</v>
      </c>
      <c r="V12" s="648"/>
      <c r="W12" s="326" t="s">
        <v>387</v>
      </c>
    </row>
    <row r="13" spans="1:23" s="41" customFormat="1" ht="19.25" customHeight="1">
      <c r="A13" s="331" t="s">
        <v>91</v>
      </c>
      <c r="B13" s="158">
        <v>0.83</v>
      </c>
      <c r="C13" s="159">
        <f>8.5/56</f>
        <v>0.15178571428571427</v>
      </c>
      <c r="D13" s="160">
        <v>8.5</v>
      </c>
      <c r="E13" s="160">
        <v>7.3</v>
      </c>
      <c r="F13" s="321">
        <f t="shared" si="17"/>
        <v>0.85882352941176487</v>
      </c>
      <c r="G13" s="159">
        <f>7.3/56</f>
        <v>0.13035714285714287</v>
      </c>
      <c r="H13" s="161">
        <f t="shared" si="18"/>
        <v>2.1428571428571408E-2</v>
      </c>
      <c r="I13" s="160">
        <f t="shared" si="19"/>
        <v>1.2000000000000002</v>
      </c>
      <c r="J13" s="160">
        <v>1.2</v>
      </c>
      <c r="K13" s="160">
        <v>0.27</v>
      </c>
      <c r="L13" s="151">
        <f t="shared" si="20"/>
        <v>5.400000000000002E-3</v>
      </c>
      <c r="M13" s="159">
        <f t="shared" si="21"/>
        <v>0.87387142857142863</v>
      </c>
      <c r="N13" s="159">
        <v>1.9400000000000001E-2</v>
      </c>
      <c r="O13" s="159">
        <v>8.5300000000000001E-2</v>
      </c>
      <c r="P13" s="160"/>
      <c r="Q13" s="162">
        <f t="shared" si="22"/>
        <v>148</v>
      </c>
      <c r="R13" s="163">
        <f>CONVERT(56,"lbm","kg")/CONVERT(0.9,"ft^3","m^3")</f>
        <v>996.70438771307545</v>
      </c>
      <c r="S13" s="157">
        <f t="shared" si="16"/>
        <v>0.99670438771307546</v>
      </c>
      <c r="T13" s="157" t="s">
        <v>385</v>
      </c>
      <c r="U13" s="157" t="s">
        <v>168</v>
      </c>
      <c r="V13" s="648"/>
      <c r="W13" s="326" t="s">
        <v>387</v>
      </c>
    </row>
    <row r="14" spans="1:23" s="41" customFormat="1" ht="18.75" customHeight="1">
      <c r="A14" s="331" t="s">
        <v>83</v>
      </c>
      <c r="B14" s="158">
        <v>0.87</v>
      </c>
      <c r="C14" s="159">
        <f>6.6/51</f>
        <v>0.12941176470588234</v>
      </c>
      <c r="D14" s="160">
        <v>6.6</v>
      </c>
      <c r="E14" s="160">
        <v>5.6</v>
      </c>
      <c r="F14" s="321">
        <f t="shared" si="17"/>
        <v>0.84848484848484862</v>
      </c>
      <c r="G14" s="159">
        <f>5.6/51</f>
        <v>0.10980392156862745</v>
      </c>
      <c r="H14" s="161">
        <f t="shared" si="18"/>
        <v>1.9607843137254888E-2</v>
      </c>
      <c r="I14" s="160">
        <f t="shared" si="19"/>
        <v>1</v>
      </c>
      <c r="J14" s="160">
        <v>0.84</v>
      </c>
      <c r="K14" s="160">
        <v>0.3</v>
      </c>
      <c r="L14" s="151">
        <f t="shared" si="20"/>
        <v>5.9090909090909098E-3</v>
      </c>
      <c r="M14" s="159">
        <f t="shared" si="21"/>
        <v>0.87569215686274515</v>
      </c>
      <c r="N14" s="159">
        <v>1.9400000000000001E-2</v>
      </c>
      <c r="O14" s="159">
        <v>8.5300000000000001E-2</v>
      </c>
      <c r="P14" s="160"/>
      <c r="Q14" s="162">
        <f t="shared" si="22"/>
        <v>148</v>
      </c>
      <c r="R14" s="163">
        <f>CONVERT(51,"lbm","kg")/CONVERT(0.84,"ft^3","m^3")</f>
        <v>972.54956199043704</v>
      </c>
      <c r="S14" s="157">
        <f t="shared" si="16"/>
        <v>0.97254956199043707</v>
      </c>
      <c r="T14" s="157" t="s">
        <v>385</v>
      </c>
      <c r="U14" s="157" t="s">
        <v>168</v>
      </c>
      <c r="V14" s="648"/>
      <c r="W14" s="326" t="s">
        <v>387</v>
      </c>
    </row>
    <row r="15" spans="1:23" s="41" customFormat="1" ht="19.25" customHeight="1">
      <c r="A15" s="331" t="s">
        <v>79</v>
      </c>
      <c r="B15" s="158">
        <v>0.88</v>
      </c>
      <c r="C15" s="158">
        <f t="shared" ref="C15:C31" si="23">1-B15</f>
        <v>0.12</v>
      </c>
      <c r="D15" s="160">
        <v>13</v>
      </c>
      <c r="E15" s="160">
        <v>11</v>
      </c>
      <c r="F15" s="321">
        <f t="shared" ref="F15:F31" si="24">E15/D15</f>
        <v>0.84615384615384615</v>
      </c>
      <c r="G15" s="158">
        <f t="shared" ref="G15:G30" si="25">F15*C15</f>
        <v>0.10153846153846154</v>
      </c>
      <c r="H15" s="158">
        <f t="shared" si="18"/>
        <v>1.846153846153846E-2</v>
      </c>
      <c r="I15" s="164">
        <f t="shared" si="19"/>
        <v>2</v>
      </c>
      <c r="J15" s="160">
        <v>2.5</v>
      </c>
      <c r="K15" s="160">
        <v>0.35</v>
      </c>
      <c r="L15" s="151">
        <f t="shared" si="20"/>
        <v>3.2307692307692302E-3</v>
      </c>
      <c r="M15" s="159">
        <f t="shared" si="21"/>
        <v>0.87683846153846157</v>
      </c>
      <c r="N15" s="159">
        <v>1.9400000000000001E-2</v>
      </c>
      <c r="O15" s="159">
        <v>8.5300000000000001E-2</v>
      </c>
      <c r="P15" s="160"/>
      <c r="Q15" s="162">
        <f>0.328*1000</f>
        <v>328</v>
      </c>
      <c r="R15" s="163">
        <f>CONVERT(104,"lbm","kg")/CONVERT(1.7,"ft^3","m^3")</f>
        <v>979.95305346579687</v>
      </c>
      <c r="S15" s="157">
        <f t="shared" si="16"/>
        <v>0.97995305346579686</v>
      </c>
      <c r="T15" s="157" t="s">
        <v>385</v>
      </c>
      <c r="U15" s="157" t="s">
        <v>168</v>
      </c>
      <c r="V15" s="648"/>
      <c r="W15" s="326" t="s">
        <v>387</v>
      </c>
    </row>
    <row r="16" spans="1:23" s="41" customFormat="1" ht="19.25" customHeight="1">
      <c r="A16" s="331" t="s">
        <v>63</v>
      </c>
      <c r="B16" s="158">
        <v>0.88</v>
      </c>
      <c r="C16" s="158">
        <f t="shared" si="23"/>
        <v>0.12</v>
      </c>
      <c r="D16" s="160">
        <v>9.1999999999999993</v>
      </c>
      <c r="E16" s="160">
        <v>7.7</v>
      </c>
      <c r="F16" s="321">
        <f t="shared" si="24"/>
        <v>0.83695652173913049</v>
      </c>
      <c r="G16" s="158">
        <f t="shared" si="25"/>
        <v>0.10043478260869565</v>
      </c>
      <c r="H16" s="158">
        <f>C16-G16</f>
        <v>1.9565217391304346E-2</v>
      </c>
      <c r="I16" s="164">
        <f t="shared" si="19"/>
        <v>1.4999999999999991</v>
      </c>
      <c r="J16" s="160">
        <v>1.7</v>
      </c>
      <c r="K16" s="160">
        <v>0.45</v>
      </c>
      <c r="L16" s="151">
        <f t="shared" si="20"/>
        <v>5.8695652173913048E-3</v>
      </c>
      <c r="M16" s="159">
        <f t="shared" si="21"/>
        <v>0.87573478260869564</v>
      </c>
      <c r="N16" s="159">
        <v>1.9400000000000001E-2</v>
      </c>
      <c r="O16" s="159">
        <v>8.5300000000000001E-2</v>
      </c>
      <c r="P16" s="160"/>
      <c r="Q16" s="162">
        <f t="shared" ref="Q16:Q17" si="26">0.328*1000</f>
        <v>328</v>
      </c>
      <c r="R16" s="163">
        <f>CONVERT(77,"lbm","kg")/CONVERT(1.2,"ft^3","m^3")</f>
        <v>1027.8513998291091</v>
      </c>
      <c r="S16" s="157">
        <f t="shared" si="16"/>
        <v>1.0278513998291092</v>
      </c>
      <c r="T16" s="157" t="s">
        <v>385</v>
      </c>
      <c r="U16" s="157" t="s">
        <v>168</v>
      </c>
      <c r="V16" s="648"/>
      <c r="W16" s="326" t="s">
        <v>387</v>
      </c>
    </row>
    <row r="17" spans="1:23" s="41" customFormat="1" ht="19.25" customHeight="1">
      <c r="A17" s="331" t="s">
        <v>69</v>
      </c>
      <c r="B17" s="158">
        <v>0.92</v>
      </c>
      <c r="C17" s="158">
        <f t="shared" si="23"/>
        <v>7.999999999999996E-2</v>
      </c>
      <c r="D17" s="160">
        <v>5.2</v>
      </c>
      <c r="E17" s="160">
        <v>4.3</v>
      </c>
      <c r="F17" s="321">
        <f t="shared" si="24"/>
        <v>0.82692307692307687</v>
      </c>
      <c r="G17" s="158">
        <f t="shared" si="25"/>
        <v>6.6153846153846119E-2</v>
      </c>
      <c r="H17" s="158">
        <f t="shared" si="18"/>
        <v>1.3846153846153841E-2</v>
      </c>
      <c r="I17" s="164">
        <f t="shared" si="19"/>
        <v>0.90000000000000036</v>
      </c>
      <c r="J17" s="160">
        <v>1</v>
      </c>
      <c r="K17" s="160">
        <v>0.36</v>
      </c>
      <c r="L17" s="151">
        <f t="shared" si="20"/>
        <v>5.5384615384615346E-3</v>
      </c>
      <c r="M17" s="159">
        <f t="shared" si="21"/>
        <v>0.88145384615384614</v>
      </c>
      <c r="N17" s="159">
        <v>1.9400000000000001E-2</v>
      </c>
      <c r="O17" s="159">
        <v>8.5300000000000001E-2</v>
      </c>
      <c r="P17" s="160"/>
      <c r="Q17" s="162">
        <f t="shared" si="26"/>
        <v>328</v>
      </c>
      <c r="R17" s="163">
        <f>CONVERT(9800,"lbm","kg")/CONVERT(160,"ft^3","m^3")</f>
        <v>981.1308816550586</v>
      </c>
      <c r="S17" s="157">
        <f t="shared" si="16"/>
        <v>0.98113088165505857</v>
      </c>
      <c r="T17" s="157" t="s">
        <v>385</v>
      </c>
      <c r="U17" s="157" t="s">
        <v>168</v>
      </c>
      <c r="V17" s="648"/>
      <c r="W17" s="326" t="s">
        <v>387</v>
      </c>
    </row>
    <row r="18" spans="1:23" s="41" customFormat="1" ht="19.25" customHeight="1">
      <c r="A18" s="331" t="s">
        <v>74</v>
      </c>
      <c r="B18" s="158">
        <v>0.92</v>
      </c>
      <c r="C18" s="158">
        <f t="shared" si="23"/>
        <v>7.999999999999996E-2</v>
      </c>
      <c r="D18" s="160">
        <v>5.2</v>
      </c>
      <c r="E18" s="160">
        <v>4.3</v>
      </c>
      <c r="F18" s="321">
        <f t="shared" si="24"/>
        <v>0.82692307692307687</v>
      </c>
      <c r="G18" s="158">
        <f t="shared" si="25"/>
        <v>6.6153846153846119E-2</v>
      </c>
      <c r="H18" s="158">
        <f t="shared" si="18"/>
        <v>1.3846153846153841E-2</v>
      </c>
      <c r="I18" s="164">
        <f t="shared" si="19"/>
        <v>0.90000000000000036</v>
      </c>
      <c r="J18" s="160">
        <v>1</v>
      </c>
      <c r="K18" s="160">
        <v>0.36</v>
      </c>
      <c r="L18" s="151">
        <f t="shared" si="20"/>
        <v>5.5384615384615346E-3</v>
      </c>
      <c r="M18" s="159">
        <f t="shared" si="21"/>
        <v>0.88145384615384614</v>
      </c>
      <c r="N18" s="159">
        <v>1.9400000000000001E-2</v>
      </c>
      <c r="O18" s="159">
        <v>8.5300000000000001E-2</v>
      </c>
      <c r="P18" s="160"/>
      <c r="Q18" s="162">
        <f>0.275*1000</f>
        <v>275</v>
      </c>
      <c r="R18" s="163">
        <f>CONVERT(9800,"lbm","kg")/CONVERT(160,"ft^3","m^3")</f>
        <v>981.1308816550586</v>
      </c>
      <c r="S18" s="157">
        <f t="shared" si="16"/>
        <v>0.98113088165505857</v>
      </c>
      <c r="T18" s="157" t="s">
        <v>385</v>
      </c>
      <c r="U18" s="157" t="s">
        <v>168</v>
      </c>
      <c r="V18" s="648"/>
      <c r="W18" s="326" t="s">
        <v>387</v>
      </c>
    </row>
    <row r="19" spans="1:23" s="41" customFormat="1" ht="19.25" customHeight="1">
      <c r="A19" s="331" t="s">
        <v>110</v>
      </c>
      <c r="B19" s="158">
        <v>0.9</v>
      </c>
      <c r="C19" s="158">
        <f t="shared" si="23"/>
        <v>9.9999999999999978E-2</v>
      </c>
      <c r="D19" s="160">
        <v>2.5</v>
      </c>
      <c r="E19" s="160">
        <v>2.2999999999999998</v>
      </c>
      <c r="F19" s="321">
        <f t="shared" si="24"/>
        <v>0.91999999999999993</v>
      </c>
      <c r="G19" s="158">
        <f t="shared" si="25"/>
        <v>9.1999999999999971E-2</v>
      </c>
      <c r="H19" s="158">
        <f t="shared" si="18"/>
        <v>8.0000000000000071E-3</v>
      </c>
      <c r="I19" s="164">
        <f t="shared" si="19"/>
        <v>0.20000000000000018</v>
      </c>
      <c r="J19" s="160">
        <v>0.84</v>
      </c>
      <c r="K19" s="160">
        <v>0.16</v>
      </c>
      <c r="L19" s="151">
        <f t="shared" si="20"/>
        <v>6.3999999999999986E-3</v>
      </c>
      <c r="M19" s="159">
        <f t="shared" si="21"/>
        <v>0.876</v>
      </c>
      <c r="N19" s="159">
        <v>2.2100000000000002E-2</v>
      </c>
      <c r="O19" s="159">
        <v>9.3899999999999997E-2</v>
      </c>
      <c r="P19" s="160"/>
      <c r="Q19" s="162">
        <f>0.275*1000</f>
        <v>275</v>
      </c>
      <c r="R19" s="163">
        <f>CONVERT(11,"lbm","kg")/CONVERT(0.18,"ft^3","m^3")</f>
        <v>978.90609507534202</v>
      </c>
      <c r="S19" s="157">
        <f t="shared" si="16"/>
        <v>0.97890609507534199</v>
      </c>
      <c r="T19" s="157" t="s">
        <v>385</v>
      </c>
      <c r="U19" s="157" t="s">
        <v>168</v>
      </c>
      <c r="V19" s="648"/>
      <c r="W19" s="326" t="s">
        <v>387</v>
      </c>
    </row>
    <row r="20" spans="1:23" s="41" customFormat="1" ht="19.25" customHeight="1">
      <c r="A20" s="331" t="s">
        <v>112</v>
      </c>
      <c r="B20" s="158">
        <v>0.9</v>
      </c>
      <c r="C20" s="158">
        <f t="shared" si="23"/>
        <v>9.9999999999999978E-2</v>
      </c>
      <c r="D20" s="160">
        <v>5.9</v>
      </c>
      <c r="E20" s="160">
        <v>5.4</v>
      </c>
      <c r="F20" s="321">
        <f t="shared" si="24"/>
        <v>0.9152542372881356</v>
      </c>
      <c r="G20" s="158">
        <f t="shared" si="25"/>
        <v>9.1525423728813546E-2</v>
      </c>
      <c r="H20" s="158">
        <f t="shared" si="18"/>
        <v>8.474576271186432E-3</v>
      </c>
      <c r="I20" s="164">
        <f t="shared" si="19"/>
        <v>0.5</v>
      </c>
      <c r="J20" s="160">
        <v>2</v>
      </c>
      <c r="K20" s="160">
        <v>0.45</v>
      </c>
      <c r="L20" s="151">
        <f>(K20/D20)*((1-B20)/1)</f>
        <v>7.6271186440677943E-3</v>
      </c>
      <c r="M20" s="159">
        <f t="shared" si="21"/>
        <v>0.87552542372881359</v>
      </c>
      <c r="N20" s="159">
        <v>2.2100000000000002E-2</v>
      </c>
      <c r="O20" s="159">
        <v>9.3899999999999997E-2</v>
      </c>
      <c r="P20" s="160"/>
      <c r="Q20" s="162">
        <f t="shared" ref="Q20:Q22" si="27">0.356*1000</f>
        <v>356</v>
      </c>
      <c r="R20" s="163">
        <f>CONVERT(25,"lbm","kg")/CONVERT(0.41,"ft^3","m^3")</f>
        <v>976.73557158293534</v>
      </c>
      <c r="S20" s="157">
        <f t="shared" si="16"/>
        <v>0.97673557158293534</v>
      </c>
      <c r="T20" s="157" t="s">
        <v>385</v>
      </c>
      <c r="U20" s="157" t="s">
        <v>168</v>
      </c>
      <c r="V20" s="648"/>
      <c r="W20" s="326" t="s">
        <v>387</v>
      </c>
    </row>
    <row r="21" spans="1:23" s="41" customFormat="1" ht="19.25" customHeight="1">
      <c r="A21" s="331" t="s">
        <v>41</v>
      </c>
      <c r="B21" s="158">
        <v>0.9</v>
      </c>
      <c r="C21" s="158">
        <f t="shared" si="23"/>
        <v>9.9999999999999978E-2</v>
      </c>
      <c r="D21" s="160">
        <v>1.9</v>
      </c>
      <c r="E21" s="160">
        <v>1.7</v>
      </c>
      <c r="F21" s="321">
        <f t="shared" si="24"/>
        <v>0.89473684210526316</v>
      </c>
      <c r="G21" s="158">
        <f t="shared" si="25"/>
        <v>8.9473684210526302E-2</v>
      </c>
      <c r="H21" s="158">
        <f t="shared" si="18"/>
        <v>1.0526315789473675E-2</v>
      </c>
      <c r="I21" s="164">
        <f t="shared" si="19"/>
        <v>0.19999999999999996</v>
      </c>
      <c r="J21" s="160">
        <v>0.66</v>
      </c>
      <c r="K21" s="160">
        <v>0.14000000000000001</v>
      </c>
      <c r="L21" s="151">
        <f t="shared" si="20"/>
        <v>7.3684210526315779E-3</v>
      </c>
      <c r="M21" s="159">
        <f t="shared" si="21"/>
        <v>0.87347368421052629</v>
      </c>
      <c r="N21" s="159">
        <v>2.2100000000000002E-2</v>
      </c>
      <c r="O21" s="159">
        <v>9.3899999999999997E-2</v>
      </c>
      <c r="P21" s="160"/>
      <c r="Q21" s="162">
        <f t="shared" si="27"/>
        <v>356</v>
      </c>
      <c r="R21" s="163">
        <f>CONVERT(8.4,"lbm","kg")/CONVERT(0.13,"ft^3","m^3")</f>
        <v>1035.039171855886</v>
      </c>
      <c r="S21" s="157">
        <f t="shared" si="16"/>
        <v>1.035039171855886</v>
      </c>
      <c r="T21" s="157" t="s">
        <v>385</v>
      </c>
      <c r="U21" s="157" t="s">
        <v>168</v>
      </c>
      <c r="V21" s="648"/>
      <c r="W21" s="326" t="s">
        <v>387</v>
      </c>
    </row>
    <row r="22" spans="1:23" s="41" customFormat="1" ht="19.25" customHeight="1">
      <c r="A22" s="331" t="s">
        <v>104</v>
      </c>
      <c r="B22" s="158">
        <v>0.9</v>
      </c>
      <c r="C22" s="158">
        <f t="shared" si="23"/>
        <v>9.9999999999999978E-2</v>
      </c>
      <c r="D22" s="160">
        <v>10</v>
      </c>
      <c r="E22" s="160">
        <v>8.8000000000000007</v>
      </c>
      <c r="F22" s="321">
        <f>E22/D22</f>
        <v>0.88000000000000012</v>
      </c>
      <c r="G22" s="158">
        <f t="shared" si="25"/>
        <v>8.7999999999999995E-2</v>
      </c>
      <c r="H22" s="158">
        <f t="shared" si="18"/>
        <v>1.1999999999999983E-2</v>
      </c>
      <c r="I22" s="164">
        <f t="shared" si="19"/>
        <v>1.1999999999999993</v>
      </c>
      <c r="J22" s="160">
        <v>3.4</v>
      </c>
      <c r="K22" s="160">
        <v>0.92</v>
      </c>
      <c r="L22" s="151">
        <f t="shared" si="20"/>
        <v>9.1999999999999981E-3</v>
      </c>
      <c r="M22" s="159">
        <f t="shared" si="21"/>
        <v>0.872</v>
      </c>
      <c r="N22" s="159">
        <v>2.2100000000000002E-2</v>
      </c>
      <c r="O22" s="159">
        <v>9.3899999999999997E-2</v>
      </c>
      <c r="P22" s="160"/>
      <c r="Q22" s="162">
        <f t="shared" si="27"/>
        <v>356</v>
      </c>
      <c r="R22" s="163">
        <f>CONVERT(87,"lbm","kg")/CONVERT(1.4,"ft^3","m^3")</f>
        <v>995.43308109609438</v>
      </c>
      <c r="S22" s="157">
        <f t="shared" si="16"/>
        <v>0.99543308109609441</v>
      </c>
      <c r="T22" s="157" t="s">
        <v>385</v>
      </c>
      <c r="U22" s="157" t="s">
        <v>168</v>
      </c>
      <c r="V22" s="648"/>
      <c r="W22" s="326" t="s">
        <v>387</v>
      </c>
    </row>
    <row r="23" spans="1:23" s="41" customFormat="1" ht="19.25" customHeight="1">
      <c r="A23" s="331" t="s">
        <v>32</v>
      </c>
      <c r="B23" s="158">
        <v>0.9</v>
      </c>
      <c r="C23" s="158">
        <f t="shared" si="23"/>
        <v>9.9999999999999978E-2</v>
      </c>
      <c r="D23" s="160">
        <v>6.5</v>
      </c>
      <c r="E23" s="160">
        <v>5.4</v>
      </c>
      <c r="F23" s="321">
        <f t="shared" si="24"/>
        <v>0.83076923076923082</v>
      </c>
      <c r="G23" s="158">
        <f t="shared" si="25"/>
        <v>8.3076923076923062E-2</v>
      </c>
      <c r="H23" s="158">
        <f t="shared" si="18"/>
        <v>1.6923076923076916E-2</v>
      </c>
      <c r="I23" s="164">
        <f t="shared" si="19"/>
        <v>1.0999999999999996</v>
      </c>
      <c r="J23" s="160">
        <v>2.1</v>
      </c>
      <c r="K23" s="160">
        <v>0.54</v>
      </c>
      <c r="L23" s="151">
        <f t="shared" si="20"/>
        <v>8.3076923076923059E-3</v>
      </c>
      <c r="M23" s="159">
        <f t="shared" si="21"/>
        <v>0.86707692307692308</v>
      </c>
      <c r="N23" s="159">
        <v>2.2100000000000002E-2</v>
      </c>
      <c r="O23" s="159">
        <v>9.3899999999999997E-2</v>
      </c>
      <c r="P23" s="160"/>
      <c r="Q23" s="162">
        <f>0.356*1000</f>
        <v>356</v>
      </c>
      <c r="R23" s="163">
        <f t="shared" ref="R23:R31" si="28">CONVERT(119,"lbm","kg")/CONVERT(2.1,"ft^3","m^3")</f>
        <v>907.71292452440787</v>
      </c>
      <c r="S23" s="157">
        <f t="shared" si="16"/>
        <v>0.90771292452440788</v>
      </c>
      <c r="T23" s="157" t="s">
        <v>385</v>
      </c>
      <c r="U23" s="157" t="s">
        <v>168</v>
      </c>
      <c r="V23" s="648"/>
      <c r="W23" s="326" t="s">
        <v>387</v>
      </c>
    </row>
    <row r="24" spans="1:23" s="41" customFormat="1" ht="19.25" customHeight="1">
      <c r="A24" s="331" t="s">
        <v>107</v>
      </c>
      <c r="B24" s="158">
        <v>0.75</v>
      </c>
      <c r="C24" s="158">
        <f t="shared" si="23"/>
        <v>0.25</v>
      </c>
      <c r="D24" s="160">
        <v>15</v>
      </c>
      <c r="E24" s="160">
        <v>11</v>
      </c>
      <c r="F24" s="321">
        <f t="shared" si="24"/>
        <v>0.73333333333333328</v>
      </c>
      <c r="G24" s="158">
        <f t="shared" si="25"/>
        <v>0.18333333333333332</v>
      </c>
      <c r="H24" s="158">
        <f t="shared" si="18"/>
        <v>6.666666666666668E-2</v>
      </c>
      <c r="I24" s="164">
        <f t="shared" si="19"/>
        <v>4</v>
      </c>
      <c r="J24" s="160">
        <v>3.3</v>
      </c>
      <c r="K24" s="160">
        <v>1.1000000000000001</v>
      </c>
      <c r="L24" s="151">
        <f t="shared" si="20"/>
        <v>1.8333333333333333E-2</v>
      </c>
      <c r="M24" s="159">
        <f t="shared" si="21"/>
        <v>0.77443333333333331</v>
      </c>
      <c r="N24" s="159">
        <v>2.7900000000000001E-2</v>
      </c>
      <c r="O24" s="159">
        <v>0.13100000000000001</v>
      </c>
      <c r="P24" s="160"/>
      <c r="Q24" s="162">
        <f>460*0.6</f>
        <v>276</v>
      </c>
      <c r="R24" s="163">
        <f t="shared" si="28"/>
        <v>907.71292452440787</v>
      </c>
      <c r="S24" s="157">
        <f t="shared" si="16"/>
        <v>0.90771292452440788</v>
      </c>
      <c r="T24" s="157" t="s">
        <v>385</v>
      </c>
      <c r="U24" s="157" t="s">
        <v>168</v>
      </c>
      <c r="V24" s="648" t="s">
        <v>388</v>
      </c>
      <c r="W24" s="326" t="s">
        <v>389</v>
      </c>
    </row>
    <row r="25" spans="1:23" s="41" customFormat="1" ht="19.25" customHeight="1">
      <c r="A25" s="331" t="s">
        <v>49</v>
      </c>
      <c r="B25" s="158">
        <v>0.74</v>
      </c>
      <c r="C25" s="158">
        <f t="shared" si="23"/>
        <v>0.26</v>
      </c>
      <c r="D25" s="160">
        <v>22</v>
      </c>
      <c r="E25" s="160">
        <v>17</v>
      </c>
      <c r="F25" s="321">
        <f t="shared" si="24"/>
        <v>0.77272727272727271</v>
      </c>
      <c r="G25" s="158">
        <f>F25*C25</f>
        <v>0.2009090909090909</v>
      </c>
      <c r="H25" s="158">
        <f t="shared" si="18"/>
        <v>5.9090909090909111E-2</v>
      </c>
      <c r="I25" s="164">
        <f t="shared" si="19"/>
        <v>5</v>
      </c>
      <c r="J25" s="160">
        <v>5.3</v>
      </c>
      <c r="K25" s="160">
        <v>0.96</v>
      </c>
      <c r="L25" s="151">
        <f t="shared" si="20"/>
        <v>1.1345454545454546E-2</v>
      </c>
      <c r="M25" s="159">
        <f t="shared" si="21"/>
        <v>0.78200909090909088</v>
      </c>
      <c r="N25" s="159">
        <v>2.7900000000000001E-2</v>
      </c>
      <c r="O25" s="159">
        <v>0.13100000000000001</v>
      </c>
      <c r="P25" s="160"/>
      <c r="Q25" s="162">
        <f>460*0.6</f>
        <v>276</v>
      </c>
      <c r="R25" s="163">
        <f t="shared" si="28"/>
        <v>907.71292452440787</v>
      </c>
      <c r="S25" s="157">
        <f t="shared" si="16"/>
        <v>0.90771292452440788</v>
      </c>
      <c r="T25" s="157" t="s">
        <v>385</v>
      </c>
      <c r="U25" s="157" t="s">
        <v>168</v>
      </c>
      <c r="V25" s="648"/>
      <c r="W25" s="326" t="s">
        <v>389</v>
      </c>
    </row>
    <row r="26" spans="1:23" s="41" customFormat="1" ht="19.25" customHeight="1">
      <c r="A26" s="331" t="s">
        <v>116</v>
      </c>
      <c r="B26" s="158">
        <v>0.74</v>
      </c>
      <c r="C26" s="158">
        <f t="shared" si="23"/>
        <v>0.26</v>
      </c>
      <c r="D26" s="160">
        <v>8.8000000000000007</v>
      </c>
      <c r="E26" s="160">
        <v>7.1</v>
      </c>
      <c r="F26" s="321">
        <f t="shared" si="24"/>
        <v>0.80681818181818177</v>
      </c>
      <c r="G26" s="158">
        <f t="shared" si="25"/>
        <v>0.20977272727272728</v>
      </c>
      <c r="H26" s="158">
        <f t="shared" si="18"/>
        <v>5.0227272727272732E-2</v>
      </c>
      <c r="I26" s="164">
        <f t="shared" si="19"/>
        <v>1.7000000000000011</v>
      </c>
      <c r="J26" s="160">
        <v>2.2999999999999998</v>
      </c>
      <c r="K26" s="160">
        <v>0.53</v>
      </c>
      <c r="L26" s="151">
        <f t="shared" si="20"/>
        <v>1.5659090909090911E-2</v>
      </c>
      <c r="M26" s="159">
        <f>1-SUM(N26:O26)-H26</f>
        <v>0.79087272727272717</v>
      </c>
      <c r="N26" s="159">
        <v>2.7900000000000001E-2</v>
      </c>
      <c r="O26" s="159">
        <v>0.13100000000000001</v>
      </c>
      <c r="P26" s="160"/>
      <c r="Q26" s="162">
        <f>460*0.6</f>
        <v>276</v>
      </c>
      <c r="R26" s="163">
        <f t="shared" si="28"/>
        <v>907.71292452440787</v>
      </c>
      <c r="S26" s="157">
        <f t="shared" si="16"/>
        <v>0.90771292452440788</v>
      </c>
      <c r="T26" s="157" t="s">
        <v>385</v>
      </c>
      <c r="U26" s="157" t="s">
        <v>168</v>
      </c>
      <c r="V26" s="648"/>
      <c r="W26" s="326" t="s">
        <v>389</v>
      </c>
    </row>
    <row r="27" spans="1:23" s="41" customFormat="1" ht="19.25" customHeight="1">
      <c r="A27" s="331" t="s">
        <v>114</v>
      </c>
      <c r="B27" s="158">
        <v>0.74</v>
      </c>
      <c r="C27" s="158">
        <f t="shared" si="23"/>
        <v>0.26</v>
      </c>
      <c r="D27" s="160">
        <v>12</v>
      </c>
      <c r="E27" s="160">
        <v>9.8000000000000007</v>
      </c>
      <c r="F27" s="321">
        <f t="shared" si="24"/>
        <v>0.81666666666666676</v>
      </c>
      <c r="G27" s="158">
        <f t="shared" si="25"/>
        <v>0.21233333333333337</v>
      </c>
      <c r="H27" s="158">
        <f t="shared" si="18"/>
        <v>4.7666666666666635E-2</v>
      </c>
      <c r="I27" s="164">
        <f t="shared" si="19"/>
        <v>2.1999999999999993</v>
      </c>
      <c r="J27" s="160">
        <v>3</v>
      </c>
      <c r="K27" s="160">
        <v>0.72</v>
      </c>
      <c r="L27" s="151">
        <f t="shared" si="20"/>
        <v>1.5599999999999999E-2</v>
      </c>
      <c r="M27" s="159">
        <f t="shared" ref="M27:M28" si="29">1-SUM(N27:O27)-H27</f>
        <v>0.79343333333333332</v>
      </c>
      <c r="N27" s="159">
        <v>2.7900000000000001E-2</v>
      </c>
      <c r="O27" s="159">
        <v>0.13100000000000001</v>
      </c>
      <c r="P27" s="160"/>
      <c r="Q27" s="162">
        <f>460*0.6</f>
        <v>276</v>
      </c>
      <c r="R27" s="163">
        <f t="shared" si="28"/>
        <v>907.71292452440787</v>
      </c>
      <c r="S27" s="157">
        <f t="shared" si="16"/>
        <v>0.90771292452440788</v>
      </c>
      <c r="T27" s="157" t="s">
        <v>385</v>
      </c>
      <c r="U27" s="157" t="s">
        <v>168</v>
      </c>
      <c r="V27" s="648"/>
      <c r="W27" s="326" t="s">
        <v>389</v>
      </c>
    </row>
    <row r="28" spans="1:23" s="41" customFormat="1" ht="19.25" customHeight="1">
      <c r="A28" s="331" t="s">
        <v>87</v>
      </c>
      <c r="B28" s="158">
        <v>0.74</v>
      </c>
      <c r="C28" s="158">
        <f t="shared" si="23"/>
        <v>0.26</v>
      </c>
      <c r="D28" s="160">
        <v>27</v>
      </c>
      <c r="E28" s="160">
        <v>16</v>
      </c>
      <c r="F28" s="321">
        <f t="shared" si="24"/>
        <v>0.59259259259259256</v>
      </c>
      <c r="G28" s="158">
        <f t="shared" si="25"/>
        <v>0.15407407407407406</v>
      </c>
      <c r="H28" s="158">
        <f t="shared" si="18"/>
        <v>0.10592592592592595</v>
      </c>
      <c r="I28" s="164">
        <f t="shared" si="19"/>
        <v>11</v>
      </c>
      <c r="J28" s="160">
        <v>4.5</v>
      </c>
      <c r="K28" s="160">
        <v>1</v>
      </c>
      <c r="L28" s="151">
        <f t="shared" si="20"/>
        <v>9.6296296296296286E-3</v>
      </c>
      <c r="M28" s="159">
        <f t="shared" si="29"/>
        <v>0.73517407407407398</v>
      </c>
      <c r="N28" s="159">
        <v>2.7900000000000001E-2</v>
      </c>
      <c r="O28" s="159">
        <v>0.13100000000000001</v>
      </c>
      <c r="P28" s="160"/>
      <c r="Q28" s="162">
        <f>460*0.6</f>
        <v>276</v>
      </c>
      <c r="R28" s="163">
        <f t="shared" si="28"/>
        <v>907.71292452440787</v>
      </c>
      <c r="S28" s="157">
        <f t="shared" si="16"/>
        <v>0.90771292452440788</v>
      </c>
      <c r="T28" s="157" t="s">
        <v>385</v>
      </c>
      <c r="U28" s="157" t="s">
        <v>168</v>
      </c>
      <c r="V28" s="648"/>
      <c r="W28" s="326" t="s">
        <v>389</v>
      </c>
    </row>
    <row r="29" spans="1:23" s="41" customFormat="1" ht="19.25" customHeight="1">
      <c r="A29" s="331" t="s">
        <v>101</v>
      </c>
      <c r="B29" s="158">
        <v>0.75</v>
      </c>
      <c r="C29" s="158">
        <f t="shared" si="23"/>
        <v>0.25</v>
      </c>
      <c r="D29" s="160">
        <v>25</v>
      </c>
      <c r="E29" s="160">
        <v>8.3000000000000007</v>
      </c>
      <c r="F29" s="321">
        <f t="shared" si="24"/>
        <v>0.33200000000000002</v>
      </c>
      <c r="G29" s="158">
        <f t="shared" si="25"/>
        <v>8.3000000000000004E-2</v>
      </c>
      <c r="H29" s="158">
        <f t="shared" si="18"/>
        <v>0.16699999999999998</v>
      </c>
      <c r="I29" s="164">
        <f t="shared" si="19"/>
        <v>16.7</v>
      </c>
      <c r="J29" s="160">
        <v>1</v>
      </c>
      <c r="K29" s="160">
        <v>0.45</v>
      </c>
      <c r="L29" s="151">
        <f>(K29/D29)*((1-B29)/1)</f>
        <v>4.5000000000000005E-3</v>
      </c>
      <c r="M29" s="159">
        <f>1-N29-O29-H29</f>
        <v>0.65270000000000006</v>
      </c>
      <c r="N29" s="159">
        <v>3.3300000000000003E-2</v>
      </c>
      <c r="O29" s="159">
        <v>0.14699999999999999</v>
      </c>
      <c r="P29" s="160"/>
      <c r="Q29" s="162">
        <f>200*0.6</f>
        <v>120</v>
      </c>
      <c r="R29" s="163">
        <f t="shared" si="28"/>
        <v>907.71292452440787</v>
      </c>
      <c r="S29" s="157">
        <f t="shared" si="16"/>
        <v>0.90771292452440788</v>
      </c>
      <c r="T29" s="157" t="s">
        <v>385</v>
      </c>
      <c r="U29" s="157" t="s">
        <v>168</v>
      </c>
      <c r="V29" s="648"/>
      <c r="W29" s="326" t="s">
        <v>389</v>
      </c>
    </row>
    <row r="30" spans="1:23" s="41" customFormat="1" ht="19.25" customHeight="1">
      <c r="A30" s="331" t="s">
        <v>118</v>
      </c>
      <c r="B30" s="158">
        <v>0.98</v>
      </c>
      <c r="C30" s="158">
        <f t="shared" si="23"/>
        <v>2.0000000000000018E-2</v>
      </c>
      <c r="D30" s="160">
        <v>1.5</v>
      </c>
      <c r="E30" s="160">
        <v>0.85</v>
      </c>
      <c r="F30" s="321">
        <f t="shared" si="24"/>
        <v>0.56666666666666665</v>
      </c>
      <c r="G30" s="158">
        <f t="shared" si="25"/>
        <v>1.1333333333333343E-2</v>
      </c>
      <c r="H30" s="158">
        <f t="shared" si="18"/>
        <v>8.6666666666666749E-3</v>
      </c>
      <c r="I30" s="164">
        <f t="shared" si="19"/>
        <v>0.65</v>
      </c>
      <c r="J30" s="160">
        <v>0.37</v>
      </c>
      <c r="K30" s="160">
        <v>0.2</v>
      </c>
      <c r="L30" s="151">
        <f t="shared" si="20"/>
        <v>2.6666666666666692E-3</v>
      </c>
      <c r="M30" s="159">
        <f t="shared" ref="M30" si="30">1-SUM(N30:O30)-H30</f>
        <v>0.88663333333333327</v>
      </c>
      <c r="N30" s="159">
        <v>1.9400000000000001E-2</v>
      </c>
      <c r="O30" s="159">
        <v>8.5300000000000001E-2</v>
      </c>
      <c r="P30" s="160"/>
      <c r="Q30" s="162">
        <f>Q12</f>
        <v>148</v>
      </c>
      <c r="R30" s="163">
        <f t="shared" si="28"/>
        <v>907.71292452440787</v>
      </c>
      <c r="S30" s="157">
        <f t="shared" si="16"/>
        <v>0.90771292452440788</v>
      </c>
      <c r="T30" s="157" t="s">
        <v>385</v>
      </c>
      <c r="U30" s="157" t="s">
        <v>168</v>
      </c>
      <c r="V30" s="648"/>
      <c r="W30" s="326" t="s">
        <v>390</v>
      </c>
    </row>
    <row r="31" spans="1:23" s="41" customFormat="1" ht="19.25" customHeight="1">
      <c r="A31" s="331" t="s">
        <v>95</v>
      </c>
      <c r="B31" s="313">
        <v>0.85</v>
      </c>
      <c r="C31" s="313">
        <f t="shared" si="23"/>
        <v>0.15000000000000002</v>
      </c>
      <c r="D31" s="314">
        <v>7.8</v>
      </c>
      <c r="E31" s="314">
        <v>6.2</v>
      </c>
      <c r="F31" s="322">
        <f t="shared" si="24"/>
        <v>0.79487179487179493</v>
      </c>
      <c r="G31" s="313">
        <f>F31*C31</f>
        <v>0.11923076923076925</v>
      </c>
      <c r="H31" s="313">
        <f t="shared" si="18"/>
        <v>3.0769230769230771E-2</v>
      </c>
      <c r="I31" s="315">
        <f t="shared" si="19"/>
        <v>1.5999999999999996</v>
      </c>
      <c r="J31" s="314">
        <v>1</v>
      </c>
      <c r="K31" s="314">
        <v>0.31</v>
      </c>
      <c r="L31" s="316">
        <f t="shared" si="20"/>
        <v>5.9615384615384617E-3</v>
      </c>
      <c r="M31" s="316">
        <f>1-H31-N31-O31</f>
        <v>0.85823076923076924</v>
      </c>
      <c r="N31" s="316">
        <v>8.2400000000000001E-2</v>
      </c>
      <c r="O31" s="316">
        <v>2.86E-2</v>
      </c>
      <c r="P31" s="314"/>
      <c r="Q31" s="317">
        <f>250*0.6</f>
        <v>150</v>
      </c>
      <c r="R31" s="318">
        <f t="shared" si="28"/>
        <v>907.71292452440787</v>
      </c>
      <c r="S31" s="319">
        <f t="shared" si="16"/>
        <v>0.90771292452440788</v>
      </c>
      <c r="T31" s="319" t="s">
        <v>385</v>
      </c>
      <c r="U31" s="319" t="s">
        <v>168</v>
      </c>
      <c r="V31" s="649"/>
      <c r="W31" s="327" t="s">
        <v>391</v>
      </c>
    </row>
    <row r="32" spans="1:23" s="47" customFormat="1" ht="19.25" customHeight="1">
      <c r="A32" s="46"/>
      <c r="B32" s="653" t="s">
        <v>392</v>
      </c>
      <c r="C32" s="653"/>
      <c r="D32" s="653"/>
      <c r="E32" s="653"/>
      <c r="F32" s="653"/>
      <c r="G32" s="653"/>
      <c r="H32" s="653"/>
      <c r="I32" s="653"/>
      <c r="J32" s="653"/>
      <c r="K32" s="653"/>
      <c r="L32" s="653"/>
      <c r="M32" s="653"/>
      <c r="N32" s="653"/>
      <c r="O32" s="653"/>
      <c r="P32" s="653"/>
      <c r="Q32" s="653"/>
      <c r="R32" s="653"/>
      <c r="S32" s="83"/>
      <c r="T32" s="83"/>
      <c r="U32" s="83"/>
      <c r="V32" s="45"/>
      <c r="W32" s="45"/>
    </row>
    <row r="33" spans="1:23" s="41" customFormat="1" ht="19.25" customHeight="1">
      <c r="A33" s="331" t="s">
        <v>31</v>
      </c>
      <c r="B33" s="150">
        <v>0.57999999999999996</v>
      </c>
      <c r="C33" s="150">
        <f>1-B33</f>
        <v>0.42000000000000004</v>
      </c>
      <c r="D33" s="171"/>
      <c r="E33" s="152"/>
      <c r="F33" s="320">
        <f t="shared" ref="F33:F36" si="31">G33/C33</f>
        <v>0.91</v>
      </c>
      <c r="G33" s="150">
        <f>91%*C33</f>
        <v>0.38220000000000004</v>
      </c>
      <c r="H33" s="150">
        <f>9%*C33</f>
        <v>3.78E-2</v>
      </c>
      <c r="I33" s="172"/>
      <c r="J33" s="152"/>
      <c r="K33" s="152"/>
      <c r="L33" s="173">
        <v>2.2499999999999999E-2</v>
      </c>
      <c r="M33" s="151">
        <f>1-N33-O33-H33</f>
        <v>0.91539999999999999</v>
      </c>
      <c r="N33" s="151">
        <v>6.8999999999999999E-3</v>
      </c>
      <c r="O33" s="151">
        <v>3.9899999999999998E-2</v>
      </c>
      <c r="P33" s="152"/>
      <c r="Q33" s="155">
        <v>300</v>
      </c>
      <c r="R33" s="156">
        <v>230</v>
      </c>
      <c r="S33" s="157">
        <f t="shared" ref="S33:S60" si="32">R33/DensityofWater</f>
        <v>0.23</v>
      </c>
      <c r="T33" s="157" t="s">
        <v>376</v>
      </c>
      <c r="U33" s="157" t="s">
        <v>167</v>
      </c>
      <c r="V33" s="325"/>
      <c r="W33" s="325" t="s">
        <v>393</v>
      </c>
    </row>
    <row r="34" spans="1:23" s="41" customFormat="1" ht="19.25" customHeight="1">
      <c r="A34" s="331" t="s">
        <v>40</v>
      </c>
      <c r="B34" s="158">
        <v>0.84</v>
      </c>
      <c r="C34" s="158">
        <v>0.16</v>
      </c>
      <c r="D34" s="174"/>
      <c r="E34" s="160"/>
      <c r="F34" s="321">
        <f t="shared" si="31"/>
        <v>0.87500000000000011</v>
      </c>
      <c r="G34" s="158">
        <v>0.14000000000000001</v>
      </c>
      <c r="H34" s="158">
        <v>0.02</v>
      </c>
      <c r="I34" s="175"/>
      <c r="J34" s="160"/>
      <c r="K34" s="160"/>
      <c r="L34" s="176">
        <v>5.3E-3</v>
      </c>
      <c r="M34" s="159">
        <f t="shared" ref="M34:M51" si="33">1-N34-O34-H34</f>
        <v>0.96579999999999999</v>
      </c>
      <c r="N34" s="159">
        <v>3.3E-3</v>
      </c>
      <c r="O34" s="159">
        <v>1.09E-2</v>
      </c>
      <c r="P34" s="160"/>
      <c r="Q34" s="162">
        <f>0.277*1000</f>
        <v>277</v>
      </c>
      <c r="R34" s="163">
        <f>(225)*(1/1000)*(4226.75)</f>
        <v>951.01875000000007</v>
      </c>
      <c r="S34" s="157">
        <f t="shared" si="32"/>
        <v>0.95101875000000002</v>
      </c>
      <c r="T34" s="157" t="s">
        <v>376</v>
      </c>
      <c r="U34" s="157" t="s">
        <v>167</v>
      </c>
      <c r="V34" s="326" t="s">
        <v>394</v>
      </c>
      <c r="W34" s="326" t="s">
        <v>395</v>
      </c>
    </row>
    <row r="35" spans="1:23" s="41" customFormat="1" ht="19.25" customHeight="1">
      <c r="A35" s="331" t="s">
        <v>48</v>
      </c>
      <c r="B35" s="158">
        <f>1-C35</f>
        <v>0.91039999999999999</v>
      </c>
      <c r="C35" s="158">
        <v>8.9599999999999999E-2</v>
      </c>
      <c r="D35" s="174"/>
      <c r="E35" s="160"/>
      <c r="F35" s="321">
        <f t="shared" si="31"/>
        <v>0.90401785714285721</v>
      </c>
      <c r="G35" s="158">
        <v>8.1000000000000003E-2</v>
      </c>
      <c r="H35" s="158">
        <f>C35-G35</f>
        <v>8.5999999999999965E-3</v>
      </c>
      <c r="I35" s="175"/>
      <c r="J35" s="177"/>
      <c r="K35" s="160"/>
      <c r="L35" s="176">
        <v>6.2307692307692316E-3</v>
      </c>
      <c r="M35" s="159">
        <f t="shared" si="33"/>
        <v>0.95950000000000002</v>
      </c>
      <c r="N35" s="159">
        <v>3.7000000000000002E-3</v>
      </c>
      <c r="O35" s="159">
        <v>2.8199999999999999E-2</v>
      </c>
      <c r="P35" s="160"/>
      <c r="Q35" s="163">
        <v>246.87</v>
      </c>
      <c r="R35" s="163">
        <v>513</v>
      </c>
      <c r="S35" s="157">
        <f t="shared" si="32"/>
        <v>0.51300000000000001</v>
      </c>
      <c r="T35" s="157" t="s">
        <v>376</v>
      </c>
      <c r="U35" s="157" t="s">
        <v>167</v>
      </c>
      <c r="V35" s="326"/>
      <c r="W35" s="326" t="s">
        <v>396</v>
      </c>
    </row>
    <row r="36" spans="1:23" s="41" customFormat="1" ht="19.25" customHeight="1">
      <c r="A36" s="331" t="s">
        <v>56</v>
      </c>
      <c r="B36" s="158">
        <v>0.9</v>
      </c>
      <c r="C36" s="158">
        <v>9.6000000000000002E-2</v>
      </c>
      <c r="D36" s="174"/>
      <c r="E36" s="160"/>
      <c r="F36" s="321">
        <f t="shared" si="31"/>
        <v>0.89583333333333326</v>
      </c>
      <c r="G36" s="158">
        <v>8.5999999999999993E-2</v>
      </c>
      <c r="H36" s="158">
        <v>0.01</v>
      </c>
      <c r="I36" s="175"/>
      <c r="J36" s="160"/>
      <c r="K36" s="160"/>
      <c r="L36" s="176">
        <v>1.4000000000000002E-3</v>
      </c>
      <c r="M36" s="159">
        <f t="shared" si="33"/>
        <v>0.97619999999999996</v>
      </c>
      <c r="N36" s="159">
        <v>1E-3</v>
      </c>
      <c r="O36" s="159">
        <v>1.2800000000000001E-2</v>
      </c>
      <c r="P36" s="160"/>
      <c r="Q36" s="162">
        <f>0.277*1000</f>
        <v>277</v>
      </c>
      <c r="R36" s="163">
        <f>70*(1/1000)*(4226.75)</f>
        <v>295.8725</v>
      </c>
      <c r="S36" s="157">
        <f t="shared" si="32"/>
        <v>0.29587249999999998</v>
      </c>
      <c r="T36" s="157" t="s">
        <v>376</v>
      </c>
      <c r="U36" s="157" t="s">
        <v>167</v>
      </c>
      <c r="V36" s="326" t="s">
        <v>397</v>
      </c>
      <c r="W36" s="326" t="s">
        <v>396</v>
      </c>
    </row>
    <row r="37" spans="1:23" s="41" customFormat="1" ht="19.25" customHeight="1">
      <c r="A37" s="331" t="s">
        <v>73</v>
      </c>
      <c r="B37" s="158">
        <f>1-C37</f>
        <v>0.96579999999999999</v>
      </c>
      <c r="C37" s="158">
        <v>3.4200000000000001E-2</v>
      </c>
      <c r="D37" s="174"/>
      <c r="E37" s="160"/>
      <c r="F37" s="321">
        <f>G37/C37</f>
        <v>0.83625730994152048</v>
      </c>
      <c r="G37" s="158">
        <v>2.86E-2</v>
      </c>
      <c r="H37" s="158">
        <f>C37-G37</f>
        <v>5.6000000000000008E-3</v>
      </c>
      <c r="I37" s="175"/>
      <c r="J37" s="160"/>
      <c r="K37" s="160"/>
      <c r="L37" s="178">
        <v>2.3654135338345866E-3</v>
      </c>
      <c r="M37" s="159">
        <f t="shared" si="33"/>
        <v>0.97739999999999994</v>
      </c>
      <c r="N37" s="159">
        <v>2E-3</v>
      </c>
      <c r="O37" s="159">
        <v>1.4999999999999999E-2</v>
      </c>
      <c r="P37" s="160"/>
      <c r="Q37" s="163">
        <v>204</v>
      </c>
      <c r="R37" s="163">
        <v>43</v>
      </c>
      <c r="S37" s="157">
        <f t="shared" si="32"/>
        <v>4.2999999999999997E-2</v>
      </c>
      <c r="T37" s="157" t="s">
        <v>376</v>
      </c>
      <c r="U37" s="157" t="s">
        <v>167</v>
      </c>
      <c r="V37" s="326"/>
      <c r="W37" s="326" t="s">
        <v>396</v>
      </c>
    </row>
    <row r="38" spans="1:23" s="41" customFormat="1" ht="19.25" customHeight="1">
      <c r="A38" s="331" t="s">
        <v>62</v>
      </c>
      <c r="B38" s="158">
        <v>0.87</v>
      </c>
      <c r="C38" s="158">
        <v>0.13</v>
      </c>
      <c r="D38" s="174"/>
      <c r="E38" s="160"/>
      <c r="F38" s="321">
        <f>G38/C38</f>
        <v>0.84615384615384615</v>
      </c>
      <c r="G38" s="158">
        <v>0.11</v>
      </c>
      <c r="H38" s="158">
        <v>0.02</v>
      </c>
      <c r="I38" s="175"/>
      <c r="J38" s="160"/>
      <c r="K38" s="160"/>
      <c r="L38" s="176">
        <v>2.5000000000000001E-3</v>
      </c>
      <c r="M38" s="159">
        <f t="shared" si="33"/>
        <v>0.96830000000000005</v>
      </c>
      <c r="N38" s="159">
        <v>2.3999999999999998E-3</v>
      </c>
      <c r="O38" s="159">
        <v>9.2999999999999992E-3</v>
      </c>
      <c r="P38" s="160"/>
      <c r="Q38" s="162">
        <f>0.309*1000</f>
        <v>309</v>
      </c>
      <c r="R38" s="163">
        <v>540</v>
      </c>
      <c r="S38" s="157">
        <f t="shared" si="32"/>
        <v>0.54</v>
      </c>
      <c r="T38" s="157" t="s">
        <v>376</v>
      </c>
      <c r="U38" s="157" t="s">
        <v>167</v>
      </c>
      <c r="V38" s="326"/>
      <c r="W38" s="326" t="s">
        <v>398</v>
      </c>
    </row>
    <row r="39" spans="1:23" s="41" customFormat="1" ht="19.25" customHeight="1">
      <c r="A39" s="331" t="s">
        <v>68</v>
      </c>
      <c r="B39" s="158">
        <f>1-C39</f>
        <v>0.94310000000000005</v>
      </c>
      <c r="C39" s="158">
        <v>5.6899999999999999E-2</v>
      </c>
      <c r="D39" s="174"/>
      <c r="E39" s="160"/>
      <c r="F39" s="321">
        <f t="shared" ref="F39:F46" si="34">G39/C39</f>
        <v>0.90158172231985934</v>
      </c>
      <c r="G39" s="158">
        <v>5.1299999999999998E-2</v>
      </c>
      <c r="H39" s="158">
        <f>C39-G39</f>
        <v>5.6000000000000008E-3</v>
      </c>
      <c r="I39" s="175"/>
      <c r="J39" s="160"/>
      <c r="K39" s="160"/>
      <c r="L39" s="176">
        <v>4.1431718061674012E-3</v>
      </c>
      <c r="M39" s="159">
        <f t="shared" si="33"/>
        <v>0.97299999999999998</v>
      </c>
      <c r="N39" s="159">
        <v>2.2000000000000001E-3</v>
      </c>
      <c r="O39" s="159">
        <v>1.9199999999999998E-2</v>
      </c>
      <c r="P39" s="160"/>
      <c r="Q39" s="162">
        <v>250</v>
      </c>
      <c r="R39" s="163">
        <f>107*(1/1000)*(4226.75)</f>
        <v>452.26224999999999</v>
      </c>
      <c r="S39" s="157">
        <f t="shared" si="32"/>
        <v>0.45226224999999998</v>
      </c>
      <c r="T39" s="157" t="s">
        <v>376</v>
      </c>
      <c r="U39" s="157" t="s">
        <v>167</v>
      </c>
      <c r="V39" s="326" t="s">
        <v>399</v>
      </c>
      <c r="W39" s="326" t="s">
        <v>400</v>
      </c>
    </row>
    <row r="40" spans="1:23" s="41" customFormat="1" ht="19.25" customHeight="1">
      <c r="A40" s="331" t="s">
        <v>121</v>
      </c>
      <c r="B40" s="158">
        <v>0.8</v>
      </c>
      <c r="C40" s="158">
        <v>0.2</v>
      </c>
      <c r="D40" s="174"/>
      <c r="E40" s="160"/>
      <c r="F40" s="321">
        <f t="shared" si="34"/>
        <v>0.95</v>
      </c>
      <c r="G40" s="158">
        <v>0.19</v>
      </c>
      <c r="H40" s="158">
        <v>0.01</v>
      </c>
      <c r="I40" s="175"/>
      <c r="J40" s="160"/>
      <c r="K40" s="160"/>
      <c r="L40" s="176">
        <v>6.9999999999999993E-3</v>
      </c>
      <c r="M40" s="159">
        <f t="shared" si="33"/>
        <v>0.94380000000000008</v>
      </c>
      <c r="N40" s="159">
        <v>1.35E-2</v>
      </c>
      <c r="O40" s="159">
        <v>3.27E-2</v>
      </c>
      <c r="P40" s="160"/>
      <c r="Q40" s="162">
        <v>375</v>
      </c>
      <c r="R40" s="163">
        <v>610</v>
      </c>
      <c r="S40" s="157">
        <f t="shared" si="32"/>
        <v>0.61</v>
      </c>
      <c r="T40" s="157" t="s">
        <v>376</v>
      </c>
      <c r="U40" s="157" t="s">
        <v>167</v>
      </c>
      <c r="V40" s="326"/>
      <c r="W40" s="326" t="s">
        <v>401</v>
      </c>
    </row>
    <row r="41" spans="1:23" s="41" customFormat="1" ht="19.25" customHeight="1">
      <c r="A41" s="331" t="s">
        <v>82</v>
      </c>
      <c r="B41" s="158">
        <v>0.88</v>
      </c>
      <c r="C41" s="158">
        <v>0.12</v>
      </c>
      <c r="D41" s="174"/>
      <c r="E41" s="160"/>
      <c r="F41" s="321">
        <f t="shared" si="34"/>
        <v>0.83333333333333337</v>
      </c>
      <c r="G41" s="158">
        <v>0.1</v>
      </c>
      <c r="H41" s="158">
        <v>0.02</v>
      </c>
      <c r="I41" s="175"/>
      <c r="J41" s="160"/>
      <c r="K41" s="160"/>
      <c r="L41" s="176">
        <v>2.2000000000000001E-3</v>
      </c>
      <c r="M41" s="159">
        <f t="shared" si="33"/>
        <v>0.92790000000000006</v>
      </c>
      <c r="N41" s="159">
        <v>9.2999999999999992E-3</v>
      </c>
      <c r="O41" s="159">
        <v>4.2799999999999998E-2</v>
      </c>
      <c r="P41" s="160"/>
      <c r="Q41" s="163">
        <f>(240+334)/2</f>
        <v>287</v>
      </c>
      <c r="R41" s="163">
        <f>130*(1/1000)*(4226.75)</f>
        <v>549.47749999999996</v>
      </c>
      <c r="S41" s="157">
        <f t="shared" si="32"/>
        <v>0.54947749999999995</v>
      </c>
      <c r="T41" s="157" t="s">
        <v>376</v>
      </c>
      <c r="U41" s="157" t="s">
        <v>167</v>
      </c>
      <c r="V41" s="326" t="s">
        <v>402</v>
      </c>
      <c r="W41" s="326" t="s">
        <v>403</v>
      </c>
    </row>
    <row r="42" spans="1:23" s="41" customFormat="1" ht="19.25" customHeight="1">
      <c r="A42" s="331" t="s">
        <v>86</v>
      </c>
      <c r="B42" s="158">
        <v>0.95</v>
      </c>
      <c r="C42" s="158">
        <v>5.3999999999999999E-2</v>
      </c>
      <c r="D42" s="174"/>
      <c r="E42" s="160"/>
      <c r="F42" s="321">
        <f t="shared" si="34"/>
        <v>0.83333333333333326</v>
      </c>
      <c r="G42" s="158">
        <v>4.4999999999999998E-2</v>
      </c>
      <c r="H42" s="158">
        <v>9.0000000000000011E-3</v>
      </c>
      <c r="I42" s="175"/>
      <c r="J42" s="160"/>
      <c r="K42" s="160"/>
      <c r="L42" s="176">
        <v>5.0000000000000001E-4</v>
      </c>
      <c r="M42" s="159">
        <f t="shared" si="33"/>
        <v>0.9759000000000001</v>
      </c>
      <c r="N42" s="159">
        <v>1.5E-3</v>
      </c>
      <c r="O42" s="159">
        <v>1.3599999999999999E-2</v>
      </c>
      <c r="P42" s="160"/>
      <c r="Q42" s="163">
        <f>(199.07+244.41)/2</f>
        <v>221.74</v>
      </c>
      <c r="R42" s="163">
        <f>36*(1/1000)*(4226.75)</f>
        <v>152.16300000000001</v>
      </c>
      <c r="S42" s="157">
        <f t="shared" si="32"/>
        <v>0.15216300000000002</v>
      </c>
      <c r="T42" s="157" t="s">
        <v>376</v>
      </c>
      <c r="U42" s="157" t="s">
        <v>167</v>
      </c>
      <c r="V42" s="326" t="s">
        <v>404</v>
      </c>
      <c r="W42" s="326" t="s">
        <v>396</v>
      </c>
    </row>
    <row r="43" spans="1:23" s="41" customFormat="1" ht="19.25" customHeight="1">
      <c r="A43" s="331" t="s">
        <v>100</v>
      </c>
      <c r="B43" s="158">
        <v>8.5999999999999993E-2</v>
      </c>
      <c r="C43" s="158">
        <v>0.91</v>
      </c>
      <c r="D43" s="174"/>
      <c r="E43" s="160"/>
      <c r="F43" s="321">
        <f t="shared" si="34"/>
        <v>0.93406593406593397</v>
      </c>
      <c r="G43" s="158">
        <v>0.85</v>
      </c>
      <c r="H43" s="158">
        <v>0.06</v>
      </c>
      <c r="I43" s="175"/>
      <c r="J43" s="160"/>
      <c r="K43" s="160"/>
      <c r="L43" s="176">
        <v>1.3999999999999999E-2</v>
      </c>
      <c r="M43" s="159">
        <f t="shared" si="33"/>
        <v>0.92799999999999994</v>
      </c>
      <c r="N43" s="159">
        <v>1E-3</v>
      </c>
      <c r="O43" s="159">
        <v>1.0999999999999999E-2</v>
      </c>
      <c r="P43" s="160"/>
      <c r="Q43" s="162">
        <f>0.4*1000</f>
        <v>400</v>
      </c>
      <c r="R43" s="163">
        <v>220</v>
      </c>
      <c r="S43" s="157">
        <f t="shared" si="32"/>
        <v>0.22</v>
      </c>
      <c r="T43" s="157" t="s">
        <v>376</v>
      </c>
      <c r="U43" s="157" t="s">
        <v>167</v>
      </c>
      <c r="V43" s="326"/>
      <c r="W43" s="326" t="s">
        <v>395</v>
      </c>
    </row>
    <row r="44" spans="1:23" s="41" customFormat="1" ht="19.25" customHeight="1">
      <c r="A44" s="331" t="s">
        <v>405</v>
      </c>
      <c r="B44" s="158">
        <v>0.87</v>
      </c>
      <c r="C44" s="158">
        <v>0.13</v>
      </c>
      <c r="D44" s="174"/>
      <c r="E44" s="160"/>
      <c r="F44" s="321">
        <f t="shared" si="34"/>
        <v>0.92307692307692302</v>
      </c>
      <c r="G44" s="158">
        <v>0.12</v>
      </c>
      <c r="H44" s="158">
        <v>0.01</v>
      </c>
      <c r="I44" s="175"/>
      <c r="J44" s="160"/>
      <c r="K44" s="160"/>
      <c r="L44" s="176">
        <v>2.5999999999999999E-3</v>
      </c>
      <c r="M44" s="159">
        <f t="shared" si="33"/>
        <v>0.97940000000000005</v>
      </c>
      <c r="N44" s="159">
        <v>1.1999999999999999E-3</v>
      </c>
      <c r="O44" s="159">
        <v>9.4000000000000004E-3</v>
      </c>
      <c r="P44" s="160"/>
      <c r="Q44" s="162">
        <v>73.500000000000014</v>
      </c>
      <c r="R44" s="163">
        <f>6*(1/1000)*67628</f>
        <v>405.76800000000003</v>
      </c>
      <c r="S44" s="157">
        <f t="shared" si="32"/>
        <v>0.40576800000000002</v>
      </c>
      <c r="T44" s="157" t="s">
        <v>376</v>
      </c>
      <c r="U44" s="157" t="s">
        <v>167</v>
      </c>
      <c r="V44" s="326" t="s">
        <v>406</v>
      </c>
      <c r="W44" s="326" t="s">
        <v>407</v>
      </c>
    </row>
    <row r="45" spans="1:23" s="41" customFormat="1" ht="19.25" customHeight="1">
      <c r="A45" s="331" t="s">
        <v>103</v>
      </c>
      <c r="B45" s="158">
        <v>0.84</v>
      </c>
      <c r="C45" s="158">
        <v>0.16</v>
      </c>
      <c r="D45" s="174"/>
      <c r="E45" s="160"/>
      <c r="F45" s="321">
        <f t="shared" si="34"/>
        <v>0.9375</v>
      </c>
      <c r="G45" s="158">
        <v>0.15</v>
      </c>
      <c r="H45" s="158">
        <v>0.01</v>
      </c>
      <c r="I45" s="175"/>
      <c r="J45" s="160"/>
      <c r="K45" s="160"/>
      <c r="L45" s="176">
        <v>2.3999999999999998E-3</v>
      </c>
      <c r="M45" s="159">
        <f t="shared" si="33"/>
        <v>0.97940000000000005</v>
      </c>
      <c r="N45" s="159">
        <v>1.1999999999999999E-3</v>
      </c>
      <c r="O45" s="159">
        <v>9.4000000000000004E-3</v>
      </c>
      <c r="P45" s="160"/>
      <c r="Q45" s="162">
        <v>73.500000000000014</v>
      </c>
      <c r="R45" s="163">
        <f>185*(1/1000)*(4226.75)</f>
        <v>781.94875000000002</v>
      </c>
      <c r="S45" s="157">
        <f t="shared" si="32"/>
        <v>0.78194874999999997</v>
      </c>
      <c r="T45" s="157" t="s">
        <v>376</v>
      </c>
      <c r="U45" s="157" t="s">
        <v>167</v>
      </c>
      <c r="V45" s="326" t="s">
        <v>408</v>
      </c>
      <c r="W45" s="326" t="s">
        <v>407</v>
      </c>
    </row>
    <row r="46" spans="1:23" s="41" customFormat="1" ht="19.25" customHeight="1">
      <c r="A46" s="331" t="s">
        <v>111</v>
      </c>
      <c r="B46" s="158">
        <v>0.13</v>
      </c>
      <c r="C46" s="158">
        <v>0.87</v>
      </c>
      <c r="D46" s="174"/>
      <c r="E46" s="160"/>
      <c r="F46" s="321">
        <f t="shared" si="34"/>
        <v>0.82758620689655171</v>
      </c>
      <c r="G46" s="158">
        <v>0.72</v>
      </c>
      <c r="H46" s="158">
        <v>0.15</v>
      </c>
      <c r="I46" s="175"/>
      <c r="J46" s="160"/>
      <c r="K46" s="160"/>
      <c r="L46" s="176">
        <v>1.2E-2</v>
      </c>
      <c r="M46" s="159">
        <f t="shared" si="33"/>
        <v>0.8286</v>
      </c>
      <c r="N46" s="159">
        <v>8.9999999999999998E-4</v>
      </c>
      <c r="O46" s="159">
        <v>2.0500000000000001E-2</v>
      </c>
      <c r="P46" s="160"/>
      <c r="Q46" s="162">
        <v>267</v>
      </c>
      <c r="R46" s="179">
        <v>590</v>
      </c>
      <c r="S46" s="157">
        <f t="shared" si="32"/>
        <v>0.59</v>
      </c>
      <c r="T46" s="157" t="s">
        <v>376</v>
      </c>
      <c r="U46" s="157" t="s">
        <v>167</v>
      </c>
      <c r="V46" s="326"/>
      <c r="W46" s="326" t="s">
        <v>395</v>
      </c>
    </row>
    <row r="47" spans="1:23" s="41" customFormat="1" ht="19.25" customHeight="1">
      <c r="A47" s="331" t="s">
        <v>109</v>
      </c>
      <c r="B47" s="158">
        <f>1-C47</f>
        <v>0.90900000000000003</v>
      </c>
      <c r="C47" s="158">
        <v>9.0999999999999998E-2</v>
      </c>
      <c r="D47" s="174"/>
      <c r="E47" s="160"/>
      <c r="F47" s="321">
        <f>G47/C47</f>
        <v>0.95999999999999963</v>
      </c>
      <c r="G47" s="158">
        <f>((1-B47)/1)*0.96</f>
        <v>8.7359999999999965E-2</v>
      </c>
      <c r="H47" s="158">
        <f>C47-G47</f>
        <v>3.6400000000000321E-3</v>
      </c>
      <c r="I47" s="175"/>
      <c r="J47" s="160"/>
      <c r="K47" s="160"/>
      <c r="L47" s="176">
        <v>1.6E-2</v>
      </c>
      <c r="M47" s="159">
        <f t="shared" si="33"/>
        <v>0.97496000000000005</v>
      </c>
      <c r="N47" s="159">
        <v>8.9999999999999998E-4</v>
      </c>
      <c r="O47" s="159">
        <v>2.0500000000000001E-2</v>
      </c>
      <c r="P47" s="160"/>
      <c r="Q47" s="162">
        <v>270</v>
      </c>
      <c r="R47" s="163">
        <v>360</v>
      </c>
      <c r="S47" s="157">
        <f t="shared" si="32"/>
        <v>0.36</v>
      </c>
      <c r="T47" s="157" t="s">
        <v>376</v>
      </c>
      <c r="U47" s="157" t="s">
        <v>167</v>
      </c>
      <c r="V47" s="326"/>
      <c r="W47" s="326" t="s">
        <v>409</v>
      </c>
    </row>
    <row r="48" spans="1:23" s="41" customFormat="1" ht="19.25" customHeight="1">
      <c r="A48" s="331" t="s">
        <v>113</v>
      </c>
      <c r="B48" s="158">
        <v>0.91</v>
      </c>
      <c r="C48" s="158">
        <v>8.6999999999999994E-2</v>
      </c>
      <c r="D48" s="174"/>
      <c r="E48" s="160"/>
      <c r="F48" s="321">
        <f t="shared" ref="F48:F58" si="35">G48/C48</f>
        <v>0.90804597701149437</v>
      </c>
      <c r="G48" s="158">
        <v>7.9000000000000001E-2</v>
      </c>
      <c r="H48" s="158">
        <v>8.0000000000000002E-3</v>
      </c>
      <c r="I48" s="175"/>
      <c r="J48" s="160"/>
      <c r="K48" s="160"/>
      <c r="L48" s="176">
        <v>1.1999999999999999E-3</v>
      </c>
      <c r="M48" s="159">
        <f t="shared" si="33"/>
        <v>0.98099999999999998</v>
      </c>
      <c r="N48" s="159">
        <v>1E-3</v>
      </c>
      <c r="O48" s="159">
        <v>0.01</v>
      </c>
      <c r="P48" s="160"/>
      <c r="Q48" s="162">
        <v>422</v>
      </c>
      <c r="R48" s="163">
        <f>116*(1/1000)*(4226.75)</f>
        <v>490.303</v>
      </c>
      <c r="S48" s="157">
        <f t="shared" si="32"/>
        <v>0.49030299999999999</v>
      </c>
      <c r="T48" s="157" t="s">
        <v>376</v>
      </c>
      <c r="U48" s="157" t="s">
        <v>167</v>
      </c>
      <c r="V48" s="326" t="s">
        <v>410</v>
      </c>
      <c r="W48" s="326" t="s">
        <v>411</v>
      </c>
    </row>
    <row r="49" spans="1:23" s="41" customFormat="1" ht="19.25" customHeight="1">
      <c r="A49" s="331" t="s">
        <v>120</v>
      </c>
      <c r="B49" s="158">
        <v>0.93</v>
      </c>
      <c r="C49" s="158">
        <v>7.0000000000000007E-2</v>
      </c>
      <c r="D49" s="174"/>
      <c r="E49" s="160"/>
      <c r="F49" s="321">
        <f t="shared" si="35"/>
        <v>0.75142857142857133</v>
      </c>
      <c r="G49" s="158">
        <v>5.2600000000000001E-2</v>
      </c>
      <c r="H49" s="158">
        <f>C49-G49</f>
        <v>1.7400000000000006E-2</v>
      </c>
      <c r="I49" s="175"/>
      <c r="J49" s="160"/>
      <c r="K49" s="160"/>
      <c r="L49" s="176">
        <v>7.000000000000001E-4</v>
      </c>
      <c r="M49" s="159">
        <f t="shared" si="33"/>
        <v>0.95010000000000006</v>
      </c>
      <c r="N49" s="159">
        <v>3.8999999999999998E-3</v>
      </c>
      <c r="O49" s="159">
        <v>2.86E-2</v>
      </c>
      <c r="P49" s="160"/>
      <c r="Q49" s="163">
        <v>157.9</v>
      </c>
      <c r="R49" s="163">
        <v>80</v>
      </c>
      <c r="S49" s="157">
        <f t="shared" si="32"/>
        <v>0.08</v>
      </c>
      <c r="T49" s="157" t="s">
        <v>376</v>
      </c>
      <c r="U49" s="157" t="s">
        <v>167</v>
      </c>
      <c r="V49" s="326" t="s">
        <v>412</v>
      </c>
      <c r="W49" s="326" t="s">
        <v>413</v>
      </c>
    </row>
    <row r="50" spans="1:23" s="41" customFormat="1" ht="19.25" customHeight="1">
      <c r="A50" s="331" t="s">
        <v>123</v>
      </c>
      <c r="B50" s="158">
        <v>0.94</v>
      </c>
      <c r="C50" s="158">
        <v>5.7999999999999996E-2</v>
      </c>
      <c r="D50" s="174"/>
      <c r="E50" s="160"/>
      <c r="F50" s="321">
        <f t="shared" si="35"/>
        <v>0.89655172413793116</v>
      </c>
      <c r="G50" s="158">
        <v>5.2000000000000005E-2</v>
      </c>
      <c r="H50" s="158">
        <v>6.0000000000000001E-3</v>
      </c>
      <c r="I50" s="175"/>
      <c r="J50" s="160"/>
      <c r="K50" s="160"/>
      <c r="L50" s="176">
        <v>1.5E-3</v>
      </c>
      <c r="M50" s="159">
        <f t="shared" si="33"/>
        <v>0.98319999999999996</v>
      </c>
      <c r="N50" s="159">
        <v>2E-3</v>
      </c>
      <c r="O50" s="159">
        <v>8.8000000000000005E-3</v>
      </c>
      <c r="P50" s="160"/>
      <c r="Q50" s="162">
        <f>0.298*1000</f>
        <v>298</v>
      </c>
      <c r="R50" s="163">
        <f>180*(1/1000)*(4226.75)</f>
        <v>760.81499999999994</v>
      </c>
      <c r="S50" s="157">
        <f t="shared" si="32"/>
        <v>0.76081499999999991</v>
      </c>
      <c r="T50" s="157" t="s">
        <v>376</v>
      </c>
      <c r="U50" s="157" t="s">
        <v>167</v>
      </c>
      <c r="V50" s="326" t="s">
        <v>414</v>
      </c>
      <c r="W50" s="326" t="s">
        <v>395</v>
      </c>
    </row>
    <row r="51" spans="1:23" s="41" customFormat="1" ht="19.25" customHeight="1">
      <c r="A51" s="331" t="s">
        <v>124</v>
      </c>
      <c r="B51" s="158">
        <v>0.89</v>
      </c>
      <c r="C51" s="158">
        <v>0.11</v>
      </c>
      <c r="D51" s="174"/>
      <c r="E51" s="160"/>
      <c r="F51" s="321">
        <f t="shared" si="35"/>
        <v>0.90909090909090917</v>
      </c>
      <c r="G51" s="158">
        <v>0.1</v>
      </c>
      <c r="H51" s="158">
        <v>0.01</v>
      </c>
      <c r="I51" s="175"/>
      <c r="J51" s="160"/>
      <c r="K51" s="160"/>
      <c r="L51" s="176">
        <v>2.2000000000000001E-3</v>
      </c>
      <c r="M51" s="159">
        <f t="shared" si="33"/>
        <v>0.9708</v>
      </c>
      <c r="N51" s="159">
        <v>2.8E-3</v>
      </c>
      <c r="O51" s="159">
        <v>1.6400000000000001E-2</v>
      </c>
      <c r="P51" s="160"/>
      <c r="Q51" s="162">
        <v>298</v>
      </c>
      <c r="R51" s="163">
        <v>761</v>
      </c>
      <c r="S51" s="157">
        <f t="shared" si="32"/>
        <v>0.76100000000000001</v>
      </c>
      <c r="T51" s="157" t="s">
        <v>376</v>
      </c>
      <c r="U51" s="157" t="s">
        <v>167</v>
      </c>
      <c r="V51" s="326"/>
      <c r="W51" s="326" t="s">
        <v>395</v>
      </c>
    </row>
    <row r="52" spans="1:23" s="41" customFormat="1" ht="19.25" customHeight="1">
      <c r="A52" s="331" t="s">
        <v>90</v>
      </c>
      <c r="B52" s="158">
        <f>1-C52</f>
        <v>0.63139999999999996</v>
      </c>
      <c r="C52" s="158">
        <f>3686%/100</f>
        <v>0.36859999999999998</v>
      </c>
      <c r="D52" s="174"/>
      <c r="E52" s="160"/>
      <c r="F52" s="321">
        <f t="shared" si="35"/>
        <v>0.85458491589799246</v>
      </c>
      <c r="G52" s="158">
        <f>C52-H52</f>
        <v>0.315</v>
      </c>
      <c r="H52" s="158">
        <v>5.3600000000000002E-2</v>
      </c>
      <c r="I52" s="175"/>
      <c r="J52" s="160"/>
      <c r="K52" s="160"/>
      <c r="L52" s="176">
        <v>6.9999999999999993E-3</v>
      </c>
      <c r="M52" s="159">
        <f>1-N52-O52-H52</f>
        <v>0.79530000000000001</v>
      </c>
      <c r="N52" s="159">
        <v>4.7E-2</v>
      </c>
      <c r="O52" s="159">
        <v>0.1041</v>
      </c>
      <c r="P52" s="160"/>
      <c r="Q52" s="163">
        <f>CONVERT(250.26,"mL","m^3")*10^6</f>
        <v>250.26</v>
      </c>
      <c r="R52" s="163">
        <v>610</v>
      </c>
      <c r="S52" s="157">
        <f t="shared" si="32"/>
        <v>0.61</v>
      </c>
      <c r="T52" s="157" t="s">
        <v>376</v>
      </c>
      <c r="U52" s="157" t="s">
        <v>167</v>
      </c>
      <c r="V52" s="651" t="s">
        <v>415</v>
      </c>
      <c r="W52" s="326" t="s">
        <v>416</v>
      </c>
    </row>
    <row r="53" spans="1:23" s="41" customFormat="1" ht="19.25" customHeight="1">
      <c r="A53" s="331" t="s">
        <v>417</v>
      </c>
      <c r="B53" s="158">
        <f>1-C53</f>
        <v>0.36419999999999997</v>
      </c>
      <c r="C53" s="158">
        <f>6358%/100</f>
        <v>0.63580000000000003</v>
      </c>
      <c r="D53" s="174"/>
      <c r="E53" s="160"/>
      <c r="F53" s="321">
        <f t="shared" si="35"/>
        <v>0.91569675998741751</v>
      </c>
      <c r="G53" s="158">
        <f>C53-H53</f>
        <v>0.58220000000000005</v>
      </c>
      <c r="H53" s="158">
        <v>5.3600000000000002E-2</v>
      </c>
      <c r="I53" s="175"/>
      <c r="J53" s="160"/>
      <c r="K53" s="160"/>
      <c r="L53" s="176">
        <v>6.9999999999999993E-3</v>
      </c>
      <c r="M53" s="159">
        <f>1-N53-O53-H53</f>
        <v>0.79530000000000001</v>
      </c>
      <c r="N53" s="159">
        <v>4.7E-2</v>
      </c>
      <c r="O53" s="159">
        <v>0.1041</v>
      </c>
      <c r="P53" s="160"/>
      <c r="Q53" s="163">
        <v>303.32</v>
      </c>
      <c r="R53" s="163">
        <v>610</v>
      </c>
      <c r="S53" s="157">
        <f t="shared" si="32"/>
        <v>0.61</v>
      </c>
      <c r="T53" s="157" t="s">
        <v>376</v>
      </c>
      <c r="U53" s="157" t="s">
        <v>167</v>
      </c>
      <c r="V53" s="651"/>
      <c r="W53" s="326" t="s">
        <v>416</v>
      </c>
    </row>
    <row r="54" spans="1:23" s="41" customFormat="1" ht="19.25" customHeight="1">
      <c r="A54" s="331" t="s">
        <v>119</v>
      </c>
      <c r="B54" s="158">
        <f>1-C54</f>
        <v>0.122</v>
      </c>
      <c r="C54" s="158">
        <v>0.878</v>
      </c>
      <c r="D54" s="174"/>
      <c r="E54" s="160"/>
      <c r="F54" s="321">
        <f t="shared" si="35"/>
        <v>0.79599999999999993</v>
      </c>
      <c r="G54" s="158">
        <f>C54*79.6%</f>
        <v>0.69888799999999995</v>
      </c>
      <c r="H54" s="158">
        <f>C54-G54</f>
        <v>0.17911200000000005</v>
      </c>
      <c r="I54" s="175"/>
      <c r="J54" s="160"/>
      <c r="K54" s="160"/>
      <c r="L54" s="176">
        <f>C54*0.0088</f>
        <v>7.7264000000000005E-3</v>
      </c>
      <c r="M54" s="159">
        <v>0.437</v>
      </c>
      <c r="N54" s="159">
        <v>0</v>
      </c>
      <c r="O54" s="159">
        <v>0</v>
      </c>
      <c r="P54" s="160"/>
      <c r="Q54" s="163">
        <v>483</v>
      </c>
      <c r="R54" s="163">
        <f>(50+120)/2</f>
        <v>85</v>
      </c>
      <c r="S54" s="157">
        <f t="shared" si="32"/>
        <v>8.5000000000000006E-2</v>
      </c>
      <c r="T54" s="157" t="s">
        <v>376</v>
      </c>
      <c r="U54" s="157" t="s">
        <v>167</v>
      </c>
      <c r="V54" s="648" t="s">
        <v>418</v>
      </c>
      <c r="W54" s="648" t="s">
        <v>419</v>
      </c>
    </row>
    <row r="55" spans="1:23" s="41" customFormat="1" ht="19.25" customHeight="1">
      <c r="A55" s="331" t="s">
        <v>115</v>
      </c>
      <c r="B55" s="158">
        <f t="shared" ref="B55:B57" si="36">1-C55</f>
        <v>0.10799999999999998</v>
      </c>
      <c r="C55" s="158">
        <v>0.89200000000000002</v>
      </c>
      <c r="D55" s="174"/>
      <c r="E55" s="160"/>
      <c r="F55" s="321">
        <f t="shared" si="35"/>
        <v>0.76578923766816143</v>
      </c>
      <c r="G55" s="158">
        <f>C54*77.8%</f>
        <v>0.68308400000000002</v>
      </c>
      <c r="H55" s="158">
        <f t="shared" ref="H55:H56" si="37">C55-G55</f>
        <v>0.20891599999999999</v>
      </c>
      <c r="I55" s="175"/>
      <c r="J55" s="160"/>
      <c r="K55" s="160"/>
      <c r="L55" s="176">
        <f>C55*0.0038</f>
        <v>3.3896E-3</v>
      </c>
      <c r="M55" s="159">
        <v>0.66800000000000004</v>
      </c>
      <c r="N55" s="159">
        <v>0</v>
      </c>
      <c r="O55" s="159">
        <v>0</v>
      </c>
      <c r="P55" s="160"/>
      <c r="Q55" s="163">
        <v>58</v>
      </c>
      <c r="R55" s="163">
        <f t="shared" ref="R55:R56" si="38">(50+120)/2</f>
        <v>85</v>
      </c>
      <c r="S55" s="157">
        <f t="shared" si="32"/>
        <v>8.5000000000000006E-2</v>
      </c>
      <c r="T55" s="157" t="s">
        <v>376</v>
      </c>
      <c r="U55" s="157" t="s">
        <v>167</v>
      </c>
      <c r="V55" s="648"/>
      <c r="W55" s="648"/>
    </row>
    <row r="56" spans="1:23" s="41" customFormat="1" ht="19.25" customHeight="1">
      <c r="A56" s="331" t="s">
        <v>117</v>
      </c>
      <c r="B56" s="158">
        <f t="shared" si="36"/>
        <v>0.10699999999999998</v>
      </c>
      <c r="C56" s="158">
        <v>0.89300000000000002</v>
      </c>
      <c r="D56" s="174"/>
      <c r="E56" s="160"/>
      <c r="F56" s="321">
        <f t="shared" si="35"/>
        <v>0.77500000000000002</v>
      </c>
      <c r="G56" s="158">
        <f>77.5%*C56</f>
        <v>0.692075</v>
      </c>
      <c r="H56" s="158">
        <f t="shared" si="37"/>
        <v>0.20092500000000002</v>
      </c>
      <c r="I56" s="175"/>
      <c r="J56" s="160"/>
      <c r="K56" s="160"/>
      <c r="L56" s="176">
        <f>C55*0.0112</f>
        <v>9.9904E-3</v>
      </c>
      <c r="M56" s="159">
        <v>0.44700000000000001</v>
      </c>
      <c r="N56" s="159">
        <v>0</v>
      </c>
      <c r="O56" s="159">
        <v>0</v>
      </c>
      <c r="P56" s="160"/>
      <c r="Q56" s="163">
        <v>326</v>
      </c>
      <c r="R56" s="163">
        <f t="shared" si="38"/>
        <v>85</v>
      </c>
      <c r="S56" s="157">
        <f t="shared" si="32"/>
        <v>8.5000000000000006E-2</v>
      </c>
      <c r="T56" s="157" t="s">
        <v>376</v>
      </c>
      <c r="U56" s="157" t="s">
        <v>167</v>
      </c>
      <c r="V56" s="648"/>
      <c r="W56" s="648"/>
    </row>
    <row r="57" spans="1:23" s="41" customFormat="1" ht="19.25" customHeight="1">
      <c r="A57" s="331" t="s">
        <v>125</v>
      </c>
      <c r="B57" s="158">
        <f t="shared" si="36"/>
        <v>9.9999999999999978E-2</v>
      </c>
      <c r="C57" s="158">
        <v>0.9</v>
      </c>
      <c r="D57" s="174"/>
      <c r="E57" s="160"/>
      <c r="F57" s="321">
        <f t="shared" si="35"/>
        <v>0.99177777777777765</v>
      </c>
      <c r="G57" s="158">
        <v>0.89259999999999995</v>
      </c>
      <c r="H57" s="158">
        <f>C57-G57</f>
        <v>7.4000000000000732E-3</v>
      </c>
      <c r="I57" s="175"/>
      <c r="J57" s="160"/>
      <c r="K57" s="160"/>
      <c r="L57" s="176">
        <v>2E-3</v>
      </c>
      <c r="M57" s="159">
        <v>0.80820000000000003</v>
      </c>
      <c r="N57" s="159">
        <v>0</v>
      </c>
      <c r="O57" s="159">
        <v>3.4099999999999998E-2</v>
      </c>
      <c r="P57" s="160"/>
      <c r="Q57" s="163">
        <v>208</v>
      </c>
      <c r="R57" s="163">
        <v>770</v>
      </c>
      <c r="S57" s="157">
        <f t="shared" si="32"/>
        <v>0.77</v>
      </c>
      <c r="T57" s="157" t="s">
        <v>376</v>
      </c>
      <c r="U57" s="157" t="s">
        <v>167</v>
      </c>
      <c r="V57" s="326" t="s">
        <v>420</v>
      </c>
      <c r="W57" s="326" t="s">
        <v>421</v>
      </c>
    </row>
    <row r="58" spans="1:23" s="41" customFormat="1" ht="19.25" customHeight="1">
      <c r="A58" s="331" t="s">
        <v>97</v>
      </c>
      <c r="B58" s="158">
        <f>1-C58</f>
        <v>0.15620000000000001</v>
      </c>
      <c r="C58" s="158">
        <v>0.84379999999999999</v>
      </c>
      <c r="D58" s="174"/>
      <c r="E58" s="160"/>
      <c r="F58" s="321">
        <f t="shared" si="35"/>
        <v>0.91253851623607496</v>
      </c>
      <c r="G58" s="158">
        <v>0.77</v>
      </c>
      <c r="H58" s="158">
        <f>C58-G58</f>
        <v>7.3799999999999977E-2</v>
      </c>
      <c r="I58" s="175"/>
      <c r="J58" s="160"/>
      <c r="K58" s="160"/>
      <c r="L58" s="176">
        <v>7.0000000000000001E-3</v>
      </c>
      <c r="M58" s="159">
        <f>1-N58-O58-H58</f>
        <v>0.84619999999999995</v>
      </c>
      <c r="N58" s="159">
        <v>3.2000000000000001E-2</v>
      </c>
      <c r="O58" s="159">
        <v>4.8000000000000001E-2</v>
      </c>
      <c r="P58" s="160"/>
      <c r="Q58" s="163">
        <f>22.32*0.6</f>
        <v>13.391999999999999</v>
      </c>
      <c r="R58" s="163">
        <v>282.38</v>
      </c>
      <c r="S58" s="157">
        <f t="shared" si="32"/>
        <v>0.28238000000000002</v>
      </c>
      <c r="T58" s="157" t="s">
        <v>376</v>
      </c>
      <c r="U58" s="157" t="s">
        <v>167</v>
      </c>
      <c r="V58" s="326" t="s">
        <v>422</v>
      </c>
      <c r="W58" s="326" t="s">
        <v>423</v>
      </c>
    </row>
    <row r="59" spans="1:23" s="41" customFormat="1" ht="19.25" customHeight="1">
      <c r="A59" s="331" t="s">
        <v>78</v>
      </c>
      <c r="B59" s="158">
        <f>1-C59</f>
        <v>0.67769999999999997</v>
      </c>
      <c r="C59" s="158">
        <v>0.32229999999999998</v>
      </c>
      <c r="D59" s="174"/>
      <c r="E59" s="160"/>
      <c r="F59" s="321">
        <f>G59/C59</f>
        <v>0.98976109215017072</v>
      </c>
      <c r="G59" s="158">
        <v>0.31900000000000001</v>
      </c>
      <c r="H59" s="180">
        <f>C59-G59</f>
        <v>3.2999999999999696E-3</v>
      </c>
      <c r="I59" s="175"/>
      <c r="J59" s="160"/>
      <c r="K59" s="160"/>
      <c r="L59" s="176">
        <v>1.9199999999999998E-2</v>
      </c>
      <c r="M59" s="159">
        <f>C59-H59-N59-O59</f>
        <v>5.2300000000000013E-2</v>
      </c>
      <c r="N59" s="159">
        <v>0.13769999999999999</v>
      </c>
      <c r="O59" s="159">
        <v>0.129</v>
      </c>
      <c r="P59" s="160"/>
      <c r="Q59" s="163">
        <v>298</v>
      </c>
      <c r="R59" s="163">
        <v>320</v>
      </c>
      <c r="S59" s="157">
        <f t="shared" si="32"/>
        <v>0.32</v>
      </c>
      <c r="T59" s="157" t="s">
        <v>376</v>
      </c>
      <c r="U59" s="157" t="s">
        <v>167</v>
      </c>
      <c r="V59" s="326"/>
      <c r="W59" s="326" t="s">
        <v>424</v>
      </c>
    </row>
    <row r="60" spans="1:23" s="41" customFormat="1" ht="19.25" customHeight="1">
      <c r="A60" s="331" t="s">
        <v>122</v>
      </c>
      <c r="B60" s="165">
        <f>1-C60</f>
        <v>5.7499999999999996E-2</v>
      </c>
      <c r="C60" s="165">
        <v>0.9425</v>
      </c>
      <c r="D60" s="181"/>
      <c r="E60" s="166"/>
      <c r="F60" s="323">
        <v>0.96499999999999997</v>
      </c>
      <c r="G60" s="165">
        <f>F60*C60</f>
        <v>0.90951249999999995</v>
      </c>
      <c r="H60" s="165">
        <f>C60-G60</f>
        <v>3.2987500000000058E-2</v>
      </c>
      <c r="I60" s="182"/>
      <c r="J60" s="166"/>
      <c r="K60" s="166"/>
      <c r="L60" s="183">
        <v>1.4E-2</v>
      </c>
      <c r="M60" s="167">
        <f>1-N60-O60-H60</f>
        <v>0.69001249999999992</v>
      </c>
      <c r="N60" s="167">
        <v>3.7999999999999999E-2</v>
      </c>
      <c r="O60" s="167">
        <v>0.23899999999999999</v>
      </c>
      <c r="P60" s="166"/>
      <c r="Q60" s="169">
        <v>180.1</v>
      </c>
      <c r="R60" s="169">
        <v>480</v>
      </c>
      <c r="S60" s="170">
        <f t="shared" si="32"/>
        <v>0.48</v>
      </c>
      <c r="T60" s="170" t="s">
        <v>376</v>
      </c>
      <c r="U60" s="157" t="s">
        <v>167</v>
      </c>
      <c r="V60" s="327"/>
      <c r="W60" s="327" t="s">
        <v>425</v>
      </c>
    </row>
    <row r="61" spans="1:23" s="47" customFormat="1" ht="19.25" customHeight="1">
      <c r="A61" s="46"/>
      <c r="B61" s="653" t="s">
        <v>28</v>
      </c>
      <c r="C61" s="653"/>
      <c r="D61" s="653"/>
      <c r="E61" s="653"/>
      <c r="F61" s="653"/>
      <c r="G61" s="653"/>
      <c r="H61" s="653"/>
      <c r="I61" s="653"/>
      <c r="J61" s="653"/>
      <c r="K61" s="653"/>
      <c r="L61" s="653"/>
      <c r="M61" s="653"/>
      <c r="N61" s="653"/>
      <c r="O61" s="653"/>
      <c r="P61" s="653"/>
      <c r="Q61" s="653"/>
      <c r="R61" s="653"/>
      <c r="S61" s="83"/>
      <c r="T61" s="83"/>
      <c r="U61" s="83"/>
      <c r="V61" s="45"/>
      <c r="W61" s="45"/>
    </row>
    <row r="62" spans="1:23" s="41" customFormat="1" ht="19.25" customHeight="1">
      <c r="A62" s="331" t="s">
        <v>37</v>
      </c>
      <c r="B62" s="150">
        <v>0.98</v>
      </c>
      <c r="C62" s="150">
        <v>2.4E-2</v>
      </c>
      <c r="D62" s="184"/>
      <c r="E62" s="184"/>
      <c r="F62" s="324">
        <f>G62/C62</f>
        <v>0.625</v>
      </c>
      <c r="G62" s="150">
        <v>1.4999999999999999E-2</v>
      </c>
      <c r="H62" s="150">
        <v>9.1000000000000004E-3</v>
      </c>
      <c r="I62" s="172"/>
      <c r="J62" s="152"/>
      <c r="K62" s="185"/>
      <c r="L62" s="173">
        <v>7.6999999999999996E-4</v>
      </c>
      <c r="M62" s="151">
        <f>1-N62-O62-H62</f>
        <v>0.15320000000000011</v>
      </c>
      <c r="N62" s="151">
        <v>0.1477</v>
      </c>
      <c r="O62" s="151">
        <v>0.69</v>
      </c>
      <c r="P62" s="152"/>
      <c r="Q62" s="155">
        <v>550</v>
      </c>
      <c r="R62" s="155">
        <v>560</v>
      </c>
      <c r="S62" s="157">
        <f>R62/DensityofWater</f>
        <v>0.56000000000000005</v>
      </c>
      <c r="T62" s="157" t="s">
        <v>376</v>
      </c>
      <c r="U62" s="157" t="s">
        <v>167</v>
      </c>
      <c r="V62" s="650" t="s">
        <v>426</v>
      </c>
      <c r="W62" s="325" t="s">
        <v>427</v>
      </c>
    </row>
    <row r="63" spans="1:23" s="41" customFormat="1" ht="19.25" customHeight="1">
      <c r="A63" s="331" t="s">
        <v>54</v>
      </c>
      <c r="B63" s="158">
        <v>0.93</v>
      </c>
      <c r="C63" s="158">
        <v>6.9000000000000006E-2</v>
      </c>
      <c r="D63" s="184"/>
      <c r="E63" s="184"/>
      <c r="F63" s="324">
        <f>G63/C63</f>
        <v>0.92753623188405787</v>
      </c>
      <c r="G63" s="158">
        <v>6.4000000000000001E-2</v>
      </c>
      <c r="H63" s="158">
        <v>5.4999999999999997E-3</v>
      </c>
      <c r="I63" s="175"/>
      <c r="J63" s="160"/>
      <c r="K63" s="186"/>
      <c r="L63" s="176">
        <v>7.4999999999999997E-2</v>
      </c>
      <c r="M63" s="159">
        <f>1-N63-O63-H63</f>
        <v>0.15680000000000011</v>
      </c>
      <c r="N63" s="159">
        <v>0.1477</v>
      </c>
      <c r="O63" s="159">
        <v>0.69</v>
      </c>
      <c r="P63" s="160"/>
      <c r="Q63" s="162">
        <v>550</v>
      </c>
      <c r="R63" s="162">
        <v>560</v>
      </c>
      <c r="S63" s="157">
        <f>R63/DensityofWater</f>
        <v>0.56000000000000005</v>
      </c>
      <c r="T63" s="157" t="s">
        <v>376</v>
      </c>
      <c r="U63" s="157" t="s">
        <v>167</v>
      </c>
      <c r="V63" s="648"/>
      <c r="W63" s="326" t="s">
        <v>428</v>
      </c>
    </row>
    <row r="64" spans="1:23" s="41" customFormat="1" ht="19.25" customHeight="1">
      <c r="A64" s="331" t="s">
        <v>46</v>
      </c>
      <c r="B64" s="165">
        <v>0.93</v>
      </c>
      <c r="C64" s="165">
        <v>6.6000000000000003E-2</v>
      </c>
      <c r="D64" s="184"/>
      <c r="E64" s="184"/>
      <c r="F64" s="324">
        <f>G64/C64</f>
        <v>0.90909090909090906</v>
      </c>
      <c r="G64" s="165">
        <v>0.06</v>
      </c>
      <c r="H64" s="165">
        <v>6.0000000000000001E-3</v>
      </c>
      <c r="I64" s="182"/>
      <c r="J64" s="166"/>
      <c r="K64" s="187"/>
      <c r="L64" s="183">
        <v>7.4999999999999997E-2</v>
      </c>
      <c r="M64" s="167">
        <f>1-N64-O64-H64</f>
        <v>0.15630000000000011</v>
      </c>
      <c r="N64" s="167">
        <v>0.1477</v>
      </c>
      <c r="O64" s="167">
        <v>0.69</v>
      </c>
      <c r="P64" s="166"/>
      <c r="Q64" s="168">
        <v>550</v>
      </c>
      <c r="R64" s="168">
        <v>560</v>
      </c>
      <c r="S64" s="170">
        <f>R64/DensityofWater</f>
        <v>0.56000000000000005</v>
      </c>
      <c r="T64" s="170" t="s">
        <v>376</v>
      </c>
      <c r="U64" s="157" t="s">
        <v>167</v>
      </c>
      <c r="V64" s="648"/>
      <c r="W64" s="326" t="s">
        <v>428</v>
      </c>
    </row>
    <row r="65" spans="1:23" s="41" customFormat="1" ht="19.25" customHeight="1">
      <c r="A65" s="40"/>
      <c r="B65" s="653" t="s">
        <v>429</v>
      </c>
      <c r="C65" s="653"/>
      <c r="D65" s="653"/>
      <c r="E65" s="653"/>
      <c r="F65" s="653"/>
      <c r="G65" s="653"/>
      <c r="H65" s="653"/>
      <c r="I65" s="653"/>
      <c r="J65" s="653"/>
      <c r="K65" s="653"/>
      <c r="L65" s="653"/>
      <c r="M65" s="653"/>
      <c r="N65" s="653"/>
      <c r="O65" s="653"/>
      <c r="P65" s="653"/>
      <c r="Q65" s="653"/>
      <c r="R65" s="653"/>
      <c r="S65" s="83"/>
      <c r="T65" s="83"/>
      <c r="U65" s="83"/>
      <c r="V65" s="42"/>
      <c r="W65" s="42"/>
    </row>
    <row r="66" spans="1:23" s="41" customFormat="1" ht="19.25" customHeight="1">
      <c r="A66" s="332" t="s">
        <v>36</v>
      </c>
      <c r="B66" s="150">
        <v>0.86599999999999999</v>
      </c>
      <c r="C66" s="150">
        <f>1-B66</f>
        <v>0.13400000000000001</v>
      </c>
      <c r="D66" s="188"/>
      <c r="E66" s="188"/>
      <c r="F66" s="320">
        <v>0.90200000000000002</v>
      </c>
      <c r="G66" s="150">
        <f>F66*C66</f>
        <v>0.12086800000000002</v>
      </c>
      <c r="H66" s="150">
        <f>C66-G66</f>
        <v>1.3131999999999991E-2</v>
      </c>
      <c r="I66" s="188"/>
      <c r="J66" s="188"/>
      <c r="K66" s="188"/>
      <c r="L66" s="189">
        <v>1.9699999999999999E-2</v>
      </c>
      <c r="M66" s="151">
        <v>0.78</v>
      </c>
      <c r="N66" s="151">
        <v>4.0000000000000001E-3</v>
      </c>
      <c r="O66" s="151"/>
      <c r="P66" s="188"/>
      <c r="Q66" s="155">
        <v>576</v>
      </c>
      <c r="R66" s="156">
        <v>85</v>
      </c>
      <c r="S66" s="157">
        <f>R66/DensityofWater</f>
        <v>8.5000000000000006E-2</v>
      </c>
      <c r="T66" s="157" t="s">
        <v>376</v>
      </c>
      <c r="U66" s="157" t="s">
        <v>166</v>
      </c>
      <c r="V66" s="328"/>
      <c r="W66" s="325" t="s">
        <v>430</v>
      </c>
    </row>
    <row r="67" spans="1:23" s="41" customFormat="1" ht="19.25" customHeight="1">
      <c r="A67" s="331" t="s">
        <v>61</v>
      </c>
      <c r="B67" s="158">
        <v>0.38200000000000001</v>
      </c>
      <c r="C67" s="158">
        <f>1-B67</f>
        <v>0.61799999999999999</v>
      </c>
      <c r="D67" s="160"/>
      <c r="E67" s="160"/>
      <c r="F67" s="321">
        <v>0.90200000000000002</v>
      </c>
      <c r="G67" s="158">
        <f>F67*C67</f>
        <v>0.55743600000000004</v>
      </c>
      <c r="H67" s="158">
        <f>C67-G67</f>
        <v>6.0563999999999951E-2</v>
      </c>
      <c r="I67" s="175"/>
      <c r="J67" s="160"/>
      <c r="K67" s="160"/>
      <c r="L67" s="190">
        <v>8.9999999999999993E-3</v>
      </c>
      <c r="M67" s="159">
        <f>1-N67-O67-H67</f>
        <v>0.80443600000000004</v>
      </c>
      <c r="N67" s="159">
        <v>4.8500000000000001E-2</v>
      </c>
      <c r="O67" s="159">
        <v>8.6500000000000007E-2</v>
      </c>
      <c r="P67" s="160"/>
      <c r="Q67" s="162">
        <v>30.6</v>
      </c>
      <c r="R67" s="163">
        <f>((200+260)/2)*0.593276421</f>
        <v>136.45357683</v>
      </c>
      <c r="S67" s="157">
        <f>R67/DensityofWater</f>
        <v>0.13645357683000001</v>
      </c>
      <c r="T67" s="157" t="s">
        <v>376</v>
      </c>
      <c r="U67" s="157" t="s">
        <v>166</v>
      </c>
      <c r="V67" s="648" t="s">
        <v>431</v>
      </c>
      <c r="W67" s="326" t="s">
        <v>432</v>
      </c>
    </row>
    <row r="68" spans="1:23" s="41" customFormat="1" ht="19.25" customHeight="1">
      <c r="A68" s="331" t="s">
        <v>53</v>
      </c>
      <c r="B68" s="158">
        <v>0.82</v>
      </c>
      <c r="C68" s="158">
        <f>1-B68</f>
        <v>0.18000000000000005</v>
      </c>
      <c r="D68" s="160"/>
      <c r="E68" s="160"/>
      <c r="F68" s="321">
        <v>0.86399999999999999</v>
      </c>
      <c r="G68" s="158">
        <f>F68*C68</f>
        <v>0.15552000000000005</v>
      </c>
      <c r="H68" s="158">
        <f>C68-G68</f>
        <v>2.4480000000000002E-2</v>
      </c>
      <c r="I68" s="175"/>
      <c r="J68" s="160"/>
      <c r="K68" s="160"/>
      <c r="L68" s="190">
        <v>8.9999999999999993E-3</v>
      </c>
      <c r="M68" s="159">
        <f>1-N68-O68-H68</f>
        <v>0.87952000000000008</v>
      </c>
      <c r="N68" s="159">
        <v>2.0499999999999997E-2</v>
      </c>
      <c r="O68" s="159">
        <v>7.5499999999999998E-2</v>
      </c>
      <c r="P68" s="160"/>
      <c r="Q68" s="162">
        <v>136</v>
      </c>
      <c r="R68" s="163">
        <f>((350+500)/2)*0.593276421</f>
        <v>252.14247892500001</v>
      </c>
      <c r="S68" s="157">
        <f>R68/DensityofWater</f>
        <v>0.25214247892500002</v>
      </c>
      <c r="T68" s="157" t="s">
        <v>376</v>
      </c>
      <c r="U68" s="157" t="s">
        <v>166</v>
      </c>
      <c r="V68" s="648"/>
      <c r="W68" s="326" t="s">
        <v>432</v>
      </c>
    </row>
    <row r="69" spans="1:23" s="41" customFormat="1" ht="19.25" customHeight="1">
      <c r="A69" s="331" t="s">
        <v>45</v>
      </c>
      <c r="B69" s="158">
        <v>0.159</v>
      </c>
      <c r="C69" s="158">
        <f>1-B69</f>
        <v>0.84099999999999997</v>
      </c>
      <c r="D69" s="160"/>
      <c r="E69" s="160"/>
      <c r="F69" s="321">
        <v>0.96599999999999997</v>
      </c>
      <c r="G69" s="158">
        <f>F69*C69</f>
        <v>0.81240599999999996</v>
      </c>
      <c r="H69" s="158">
        <f>C69-G69</f>
        <v>2.8594000000000008E-2</v>
      </c>
      <c r="I69" s="175"/>
      <c r="J69" s="160"/>
      <c r="K69" s="160"/>
      <c r="L69" s="190">
        <v>8.0000000000000002E-3</v>
      </c>
      <c r="M69" s="159">
        <f t="shared" ref="M69:M70" si="39">1-N69-O69-H69</f>
        <v>0.92907266666666666</v>
      </c>
      <c r="N69" s="159">
        <v>2.2000000000000002E-2</v>
      </c>
      <c r="O69" s="159">
        <v>2.0333333333333335E-2</v>
      </c>
      <c r="P69" s="160"/>
      <c r="Q69" s="162">
        <v>62.6</v>
      </c>
      <c r="R69" s="163">
        <v>750</v>
      </c>
      <c r="S69" s="157">
        <f>R69/DensityofWater</f>
        <v>0.75</v>
      </c>
      <c r="T69" s="157" t="s">
        <v>376</v>
      </c>
      <c r="U69" s="157" t="s">
        <v>166</v>
      </c>
      <c r="V69" s="648"/>
      <c r="W69" s="326" t="s">
        <v>432</v>
      </c>
    </row>
    <row r="70" spans="1:23" s="41" customFormat="1" ht="19.25" customHeight="1">
      <c r="A70" s="331" t="s">
        <v>67</v>
      </c>
      <c r="B70" s="165">
        <v>0.16</v>
      </c>
      <c r="C70" s="165">
        <f>1-B70</f>
        <v>0.84</v>
      </c>
      <c r="D70" s="166"/>
      <c r="E70" s="166"/>
      <c r="F70" s="323">
        <v>0.96399999999999997</v>
      </c>
      <c r="G70" s="165">
        <f>F70*C70</f>
        <v>0.80975999999999992</v>
      </c>
      <c r="H70" s="165">
        <f>C70-G70</f>
        <v>3.0240000000000045E-2</v>
      </c>
      <c r="I70" s="182"/>
      <c r="J70" s="166"/>
      <c r="K70" s="166"/>
      <c r="L70" s="191">
        <v>8.0000000000000002E-3</v>
      </c>
      <c r="M70" s="167">
        <f t="shared" si="39"/>
        <v>0.92742666666666662</v>
      </c>
      <c r="N70" s="167">
        <v>2.2000000000000002E-2</v>
      </c>
      <c r="O70" s="167">
        <v>2.0333333333333335E-2</v>
      </c>
      <c r="P70" s="166"/>
      <c r="Q70" s="168">
        <v>11.6</v>
      </c>
      <c r="R70" s="169">
        <v>750</v>
      </c>
      <c r="S70" s="170">
        <f>R70/DensityofWater</f>
        <v>0.75</v>
      </c>
      <c r="T70" s="157" t="s">
        <v>376</v>
      </c>
      <c r="U70" s="157" t="s">
        <v>166</v>
      </c>
      <c r="V70" s="649"/>
      <c r="W70" s="327" t="s">
        <v>432</v>
      </c>
    </row>
    <row r="71" spans="1:23" s="41" customFormat="1" ht="19.25" customHeight="1">
      <c r="A71" s="40"/>
      <c r="B71" s="653" t="s">
        <v>24</v>
      </c>
      <c r="C71" s="653"/>
      <c r="D71" s="653"/>
      <c r="E71" s="653"/>
      <c r="F71" s="653"/>
      <c r="G71" s="653"/>
      <c r="H71" s="653"/>
      <c r="I71" s="653"/>
      <c r="J71" s="653"/>
      <c r="K71" s="653"/>
      <c r="L71" s="653"/>
      <c r="M71" s="653"/>
      <c r="N71" s="653"/>
      <c r="O71" s="653"/>
      <c r="P71" s="653"/>
      <c r="Q71" s="653"/>
      <c r="R71" s="653"/>
      <c r="S71" s="83"/>
      <c r="T71" s="83"/>
      <c r="U71" s="83"/>
      <c r="V71" s="45"/>
      <c r="W71" s="45"/>
    </row>
    <row r="72" spans="1:23" s="41" customFormat="1" ht="19.25" customHeight="1">
      <c r="A72" s="331" t="s">
        <v>108</v>
      </c>
      <c r="B72" s="150">
        <v>0.06</v>
      </c>
      <c r="C72" s="150">
        <f t="shared" ref="C72:C84" si="40">1-B72</f>
        <v>0.94</v>
      </c>
      <c r="D72" s="152"/>
      <c r="E72" s="152"/>
      <c r="F72" s="320">
        <v>0.96599999999999997</v>
      </c>
      <c r="G72" s="150">
        <f t="shared" ref="G72:G80" si="41">F72*C72</f>
        <v>0.90803999999999996</v>
      </c>
      <c r="H72" s="150">
        <f t="shared" ref="H72:H81" si="42">C72-G72</f>
        <v>3.1959999999999988E-2</v>
      </c>
      <c r="I72" s="172"/>
      <c r="J72" s="152"/>
      <c r="K72" s="152"/>
      <c r="L72" s="189">
        <v>9.4999999999999998E-3</v>
      </c>
      <c r="M72" s="151">
        <f>1-H72</f>
        <v>0.96804000000000001</v>
      </c>
      <c r="N72" s="151">
        <v>4.0000000000000001E-3</v>
      </c>
      <c r="O72" s="151">
        <v>6.0000000000000001E-3</v>
      </c>
      <c r="P72" s="152"/>
      <c r="Q72" s="155">
        <v>46.4</v>
      </c>
      <c r="R72" s="155">
        <v>1314</v>
      </c>
      <c r="S72" s="157">
        <f t="shared" ref="S72:S87" si="43">R72/DensityofWater</f>
        <v>1.3140000000000001</v>
      </c>
      <c r="T72" s="157" t="s">
        <v>376</v>
      </c>
      <c r="U72" s="157" t="s">
        <v>166</v>
      </c>
      <c r="V72" s="329" t="s">
        <v>433</v>
      </c>
      <c r="W72" s="325" t="s">
        <v>434</v>
      </c>
    </row>
    <row r="73" spans="1:23" s="41" customFormat="1" ht="19.25" customHeight="1">
      <c r="A73" s="331" t="s">
        <v>88</v>
      </c>
      <c r="B73" s="158">
        <v>0.13</v>
      </c>
      <c r="C73" s="158">
        <f t="shared" si="40"/>
        <v>0.87</v>
      </c>
      <c r="D73" s="160"/>
      <c r="E73" s="160"/>
      <c r="F73" s="321">
        <v>0.92700000000000005</v>
      </c>
      <c r="G73" s="158">
        <f t="shared" si="41"/>
        <v>0.80649000000000004</v>
      </c>
      <c r="H73" s="158">
        <f t="shared" si="42"/>
        <v>6.3509999999999955E-2</v>
      </c>
      <c r="I73" s="175"/>
      <c r="J73" s="160"/>
      <c r="K73" s="160"/>
      <c r="L73" s="190">
        <v>9.4999999999999998E-3</v>
      </c>
      <c r="M73" s="159">
        <f>1-H73</f>
        <v>0.93649000000000004</v>
      </c>
      <c r="N73" s="159">
        <v>8.0000000000000002E-3</v>
      </c>
      <c r="O73" s="159">
        <v>7.0000000000000001E-3</v>
      </c>
      <c r="P73" s="160"/>
      <c r="Q73" s="163">
        <v>74.3</v>
      </c>
      <c r="R73" s="162">
        <v>305</v>
      </c>
      <c r="S73" s="157">
        <f t="shared" si="43"/>
        <v>0.30499999999999999</v>
      </c>
      <c r="T73" s="157" t="s">
        <v>376</v>
      </c>
      <c r="U73" s="157" t="s">
        <v>170</v>
      </c>
      <c r="V73" s="326"/>
      <c r="W73" s="326" t="s">
        <v>435</v>
      </c>
    </row>
    <row r="74" spans="1:23" s="41" customFormat="1" ht="19.25" customHeight="1">
      <c r="A74" s="331" t="s">
        <v>42</v>
      </c>
      <c r="B74" s="158">
        <v>0.17</v>
      </c>
      <c r="C74" s="158">
        <f t="shared" si="40"/>
        <v>0.83</v>
      </c>
      <c r="D74" s="160"/>
      <c r="E74" s="160"/>
      <c r="F74" s="321">
        <v>0.89</v>
      </c>
      <c r="G74" s="158">
        <f t="shared" si="41"/>
        <v>0.73870000000000002</v>
      </c>
      <c r="H74" s="158">
        <f t="shared" si="42"/>
        <v>9.1299999999999937E-2</v>
      </c>
      <c r="I74" s="175"/>
      <c r="J74" s="160"/>
      <c r="K74" s="160"/>
      <c r="L74" s="190">
        <v>9.4999999999999998E-3</v>
      </c>
      <c r="M74" s="159">
        <f>1-H74</f>
        <v>0.90870000000000006</v>
      </c>
      <c r="N74" s="159">
        <v>4.0000000000000001E-3</v>
      </c>
      <c r="O74" s="159">
        <v>6.0000000000000001E-3</v>
      </c>
      <c r="P74" s="160"/>
      <c r="Q74" s="163">
        <v>152.30000000000001</v>
      </c>
      <c r="R74" s="162">
        <v>431</v>
      </c>
      <c r="S74" s="157">
        <f t="shared" si="43"/>
        <v>0.43099999999999999</v>
      </c>
      <c r="T74" s="157" t="s">
        <v>376</v>
      </c>
      <c r="U74" s="157" t="s">
        <v>42</v>
      </c>
      <c r="V74" s="326"/>
      <c r="W74" s="326" t="s">
        <v>435</v>
      </c>
    </row>
    <row r="75" spans="1:23" s="41" customFormat="1" ht="19.25" customHeight="1">
      <c r="A75" s="331" t="s">
        <v>92</v>
      </c>
      <c r="B75" s="158">
        <v>0.09</v>
      </c>
      <c r="C75" s="158">
        <f t="shared" si="40"/>
        <v>0.91</v>
      </c>
      <c r="D75" s="160"/>
      <c r="E75" s="160"/>
      <c r="F75" s="321">
        <v>0.878</v>
      </c>
      <c r="G75" s="158">
        <f t="shared" si="41"/>
        <v>0.79898000000000002</v>
      </c>
      <c r="H75" s="158">
        <f t="shared" si="42"/>
        <v>0.11102000000000001</v>
      </c>
      <c r="I75" s="175"/>
      <c r="J75" s="160"/>
      <c r="K75" s="160"/>
      <c r="L75" s="190">
        <v>9.4999999999999998E-3</v>
      </c>
      <c r="M75" s="159">
        <f t="shared" ref="M75:M80" si="44">1-H75</f>
        <v>0.88897999999999999</v>
      </c>
      <c r="N75" s="159">
        <v>4.0000000000000001E-3</v>
      </c>
      <c r="O75" s="159">
        <v>6.0000000000000001E-3</v>
      </c>
      <c r="P75" s="160"/>
      <c r="Q75" s="163">
        <v>217.3</v>
      </c>
      <c r="R75" s="162">
        <v>431</v>
      </c>
      <c r="S75" s="157">
        <f t="shared" si="43"/>
        <v>0.43099999999999999</v>
      </c>
      <c r="T75" s="157" t="s">
        <v>376</v>
      </c>
      <c r="U75" s="157" t="s">
        <v>170</v>
      </c>
      <c r="V75" s="326"/>
      <c r="W75" s="326" t="s">
        <v>435</v>
      </c>
    </row>
    <row r="76" spans="1:23" s="41" customFormat="1" ht="19.25" customHeight="1">
      <c r="A76" s="331" t="s">
        <v>84</v>
      </c>
      <c r="B76" s="158">
        <v>0.06</v>
      </c>
      <c r="C76" s="158">
        <f t="shared" si="40"/>
        <v>0.94</v>
      </c>
      <c r="D76" s="160"/>
      <c r="E76" s="160"/>
      <c r="F76" s="321">
        <v>0.76700000000000002</v>
      </c>
      <c r="G76" s="158">
        <f t="shared" si="41"/>
        <v>0.72097999999999995</v>
      </c>
      <c r="H76" s="158">
        <f t="shared" si="42"/>
        <v>0.21901999999999999</v>
      </c>
      <c r="I76" s="175"/>
      <c r="J76" s="160"/>
      <c r="K76" s="160"/>
      <c r="L76" s="190">
        <v>9.4999999999999998E-3</v>
      </c>
      <c r="M76" s="159">
        <f t="shared" si="44"/>
        <v>0.78098000000000001</v>
      </c>
      <c r="N76" s="159">
        <v>4.0000000000000001E-3</v>
      </c>
      <c r="O76" s="159">
        <v>6.0000000000000001E-3</v>
      </c>
      <c r="P76" s="160"/>
      <c r="Q76" s="163">
        <v>84.4</v>
      </c>
      <c r="R76" s="162">
        <v>305</v>
      </c>
      <c r="S76" s="157">
        <f t="shared" si="43"/>
        <v>0.30499999999999999</v>
      </c>
      <c r="T76" s="157" t="s">
        <v>376</v>
      </c>
      <c r="U76" s="157" t="s">
        <v>170</v>
      </c>
      <c r="V76" s="326"/>
      <c r="W76" s="326" t="s">
        <v>435</v>
      </c>
    </row>
    <row r="77" spans="1:23" s="41" customFormat="1" ht="19.25" customHeight="1">
      <c r="A77" s="331" t="s">
        <v>80</v>
      </c>
      <c r="B77" s="158">
        <v>0.09</v>
      </c>
      <c r="C77" s="158">
        <f t="shared" si="40"/>
        <v>0.91</v>
      </c>
      <c r="D77" s="160"/>
      <c r="E77" s="160"/>
      <c r="F77" s="321">
        <v>0.751</v>
      </c>
      <c r="G77" s="158">
        <f t="shared" si="41"/>
        <v>0.68341000000000007</v>
      </c>
      <c r="H77" s="158">
        <f t="shared" si="42"/>
        <v>0.22658999999999996</v>
      </c>
      <c r="I77" s="175"/>
      <c r="J77" s="160"/>
      <c r="K77" s="160"/>
      <c r="L77" s="190">
        <v>9.4999999999999998E-3</v>
      </c>
      <c r="M77" s="159">
        <f t="shared" si="44"/>
        <v>0.77341000000000004</v>
      </c>
      <c r="N77" s="159">
        <v>4.0000000000000001E-3</v>
      </c>
      <c r="O77" s="159">
        <v>6.0000000000000001E-3</v>
      </c>
      <c r="P77" s="160"/>
      <c r="Q77" s="163">
        <v>84.4</v>
      </c>
      <c r="R77" s="162">
        <v>431</v>
      </c>
      <c r="S77" s="157">
        <f t="shared" si="43"/>
        <v>0.43099999999999999</v>
      </c>
      <c r="T77" s="157" t="s">
        <v>376</v>
      </c>
      <c r="U77" s="157" t="s">
        <v>170</v>
      </c>
      <c r="V77" s="326"/>
      <c r="W77" s="326" t="s">
        <v>435</v>
      </c>
    </row>
    <row r="78" spans="1:23" s="41" customFormat="1" ht="19.25" customHeight="1">
      <c r="A78" s="331" t="s">
        <v>64</v>
      </c>
      <c r="B78" s="158">
        <v>0.22</v>
      </c>
      <c r="C78" s="158">
        <f t="shared" si="40"/>
        <v>0.78</v>
      </c>
      <c r="D78" s="160"/>
      <c r="E78" s="160"/>
      <c r="F78" s="321">
        <v>0.88800000000000001</v>
      </c>
      <c r="G78" s="158">
        <f t="shared" si="41"/>
        <v>0.69264000000000003</v>
      </c>
      <c r="H78" s="158">
        <f t="shared" si="42"/>
        <v>8.7359999999999993E-2</v>
      </c>
      <c r="I78" s="175"/>
      <c r="J78" s="160"/>
      <c r="K78" s="160"/>
      <c r="L78" s="190">
        <v>9.4999999999999998E-3</v>
      </c>
      <c r="M78" s="159">
        <f t="shared" si="44"/>
        <v>0.91264000000000001</v>
      </c>
      <c r="N78" s="159">
        <v>4.0000000000000001E-3</v>
      </c>
      <c r="O78" s="159">
        <v>6.0000000000000001E-3</v>
      </c>
      <c r="P78" s="160"/>
      <c r="Q78" s="163">
        <v>152.30000000000001</v>
      </c>
      <c r="R78" s="162">
        <v>366</v>
      </c>
      <c r="S78" s="157">
        <f t="shared" si="43"/>
        <v>0.36599999999999999</v>
      </c>
      <c r="T78" s="157" t="s">
        <v>376</v>
      </c>
      <c r="U78" s="157" t="s">
        <v>170</v>
      </c>
      <c r="V78" s="326"/>
      <c r="W78" s="326" t="s">
        <v>435</v>
      </c>
    </row>
    <row r="79" spans="1:23" s="41" customFormat="1" ht="19.25" customHeight="1">
      <c r="A79" s="331" t="s">
        <v>96</v>
      </c>
      <c r="B79" s="158">
        <v>0.22</v>
      </c>
      <c r="C79" s="158">
        <f t="shared" si="40"/>
        <v>0.78</v>
      </c>
      <c r="D79" s="160"/>
      <c r="E79" s="160"/>
      <c r="F79" s="321">
        <v>0.88800000000000001</v>
      </c>
      <c r="G79" s="158">
        <f t="shared" si="41"/>
        <v>0.69264000000000003</v>
      </c>
      <c r="H79" s="158">
        <f t="shared" si="42"/>
        <v>8.7359999999999993E-2</v>
      </c>
      <c r="I79" s="175"/>
      <c r="J79" s="160"/>
      <c r="K79" s="160"/>
      <c r="L79" s="190">
        <v>9.4999999999999998E-3</v>
      </c>
      <c r="M79" s="159">
        <f t="shared" si="44"/>
        <v>0.91264000000000001</v>
      </c>
      <c r="N79" s="159">
        <v>4.0000000000000001E-3</v>
      </c>
      <c r="O79" s="159">
        <v>6.0000000000000001E-3</v>
      </c>
      <c r="P79" s="160"/>
      <c r="Q79" s="163">
        <v>152.30000000000001</v>
      </c>
      <c r="R79" s="162">
        <v>900</v>
      </c>
      <c r="S79" s="157">
        <f t="shared" si="43"/>
        <v>0.9</v>
      </c>
      <c r="T79" s="157" t="s">
        <v>376</v>
      </c>
      <c r="U79" s="157" t="s">
        <v>170</v>
      </c>
      <c r="V79" s="326"/>
      <c r="W79" s="326" t="s">
        <v>435</v>
      </c>
    </row>
    <row r="80" spans="1:23" s="41" customFormat="1" ht="19.25" customHeight="1">
      <c r="A80" s="331" t="s">
        <v>99</v>
      </c>
      <c r="B80" s="158">
        <v>0.25</v>
      </c>
      <c r="C80" s="158">
        <f t="shared" si="40"/>
        <v>0.75</v>
      </c>
      <c r="D80" s="160"/>
      <c r="E80" s="160"/>
      <c r="F80" s="321">
        <v>0.91500000000000004</v>
      </c>
      <c r="G80" s="158">
        <f t="shared" si="41"/>
        <v>0.68625000000000003</v>
      </c>
      <c r="H80" s="158">
        <f t="shared" si="42"/>
        <v>6.3749999999999973E-2</v>
      </c>
      <c r="I80" s="175"/>
      <c r="J80" s="160"/>
      <c r="K80" s="160"/>
      <c r="L80" s="190">
        <v>9.4999999999999998E-3</v>
      </c>
      <c r="M80" s="159">
        <f t="shared" si="44"/>
        <v>0.93625000000000003</v>
      </c>
      <c r="N80" s="159">
        <v>4.0000000000000001E-3</v>
      </c>
      <c r="O80" s="159">
        <v>6.0000000000000001E-3</v>
      </c>
      <c r="P80" s="160"/>
      <c r="Q80" s="163">
        <v>132.1</v>
      </c>
      <c r="R80" s="162">
        <v>900</v>
      </c>
      <c r="S80" s="157">
        <f t="shared" si="43"/>
        <v>0.9</v>
      </c>
      <c r="T80" s="157" t="s">
        <v>376</v>
      </c>
      <c r="U80" s="157" t="s">
        <v>170</v>
      </c>
      <c r="V80" s="326"/>
      <c r="W80" s="326" t="s">
        <v>435</v>
      </c>
    </row>
    <row r="81" spans="1:23" s="41" customFormat="1" ht="19.25" customHeight="1">
      <c r="A81" s="331" t="s">
        <v>75</v>
      </c>
      <c r="B81" s="158">
        <v>0.89</v>
      </c>
      <c r="C81" s="158">
        <f t="shared" si="40"/>
        <v>0.10999999999999999</v>
      </c>
      <c r="D81" s="160"/>
      <c r="E81" s="160"/>
      <c r="F81" s="321">
        <f>0.019/0.033</f>
        <v>0.57575757575757569</v>
      </c>
      <c r="G81" s="159">
        <f>F81*C81</f>
        <v>6.3333333333333325E-2</v>
      </c>
      <c r="H81" s="158">
        <f t="shared" si="42"/>
        <v>4.6666666666666662E-2</v>
      </c>
      <c r="I81" s="175"/>
      <c r="J81" s="160"/>
      <c r="K81" s="160"/>
      <c r="L81" s="176">
        <v>2E-3</v>
      </c>
      <c r="M81" s="159">
        <v>0.25</v>
      </c>
      <c r="N81" s="159">
        <v>0.25</v>
      </c>
      <c r="O81" s="159">
        <v>0.15</v>
      </c>
      <c r="P81" s="160"/>
      <c r="Q81" s="163">
        <v>195</v>
      </c>
      <c r="R81" s="163">
        <f>CONVERT(30/0.55,"lbm","kg")*(1/0.0283168)</f>
        <v>873.73580348061921</v>
      </c>
      <c r="S81" s="157">
        <f t="shared" si="43"/>
        <v>0.87373580348061919</v>
      </c>
      <c r="T81" s="157" t="s">
        <v>376</v>
      </c>
      <c r="U81" s="157" t="s">
        <v>169</v>
      </c>
      <c r="V81" s="648" t="s">
        <v>436</v>
      </c>
      <c r="W81" s="326" t="s">
        <v>437</v>
      </c>
    </row>
    <row r="82" spans="1:23" s="41" customFormat="1" ht="19.25" customHeight="1">
      <c r="A82" s="331" t="s">
        <v>70</v>
      </c>
      <c r="B82" s="158">
        <v>0.99919999999999998</v>
      </c>
      <c r="C82" s="180">
        <f t="shared" si="40"/>
        <v>8.0000000000002292E-4</v>
      </c>
      <c r="D82" s="160"/>
      <c r="E82" s="160"/>
      <c r="F82" s="321">
        <f t="shared" ref="F82" si="45">G82/C82</f>
        <v>0.29999999999999144</v>
      </c>
      <c r="G82" s="180">
        <v>2.4000000000000001E-4</v>
      </c>
      <c r="H82" s="180">
        <f>C82-G82</f>
        <v>5.6000000000002294E-4</v>
      </c>
      <c r="I82" s="175"/>
      <c r="J82" s="160"/>
      <c r="K82" s="160"/>
      <c r="L82" s="190">
        <v>1.0000000000000001E-5</v>
      </c>
      <c r="M82" s="159">
        <v>0.25</v>
      </c>
      <c r="N82" s="159">
        <v>0.02</v>
      </c>
      <c r="O82" s="159">
        <v>0.02</v>
      </c>
      <c r="P82" s="160"/>
      <c r="Q82" s="163">
        <v>89.375</v>
      </c>
      <c r="R82" s="163">
        <f>CONVERT(1625/27,"lbm","kg")*(1/0.0283168)</f>
        <v>964.07577081580689</v>
      </c>
      <c r="S82" s="157">
        <f t="shared" si="43"/>
        <v>0.96407577081580687</v>
      </c>
      <c r="T82" s="157" t="s">
        <v>376</v>
      </c>
      <c r="U82" s="157" t="s">
        <v>169</v>
      </c>
      <c r="V82" s="648"/>
      <c r="W82" s="326" t="s">
        <v>438</v>
      </c>
    </row>
    <row r="83" spans="1:23" s="41" customFormat="1" ht="19.25" customHeight="1">
      <c r="A83" s="331" t="s">
        <v>105</v>
      </c>
      <c r="B83" s="158">
        <v>0.99750000000000005</v>
      </c>
      <c r="C83" s="180">
        <f t="shared" si="40"/>
        <v>2.4999999999999467E-3</v>
      </c>
      <c r="D83" s="160"/>
      <c r="E83" s="160"/>
      <c r="F83" s="321">
        <f>G83/C83</f>
        <v>0.56000000000001193</v>
      </c>
      <c r="G83" s="180">
        <v>1.4E-3</v>
      </c>
      <c r="H83" s="180">
        <f>C83-G83</f>
        <v>1.0999999999999467E-3</v>
      </c>
      <c r="I83" s="175"/>
      <c r="J83" s="160"/>
      <c r="K83" s="160"/>
      <c r="L83" s="190">
        <v>1.0000000000000001E-5</v>
      </c>
      <c r="M83" s="159">
        <v>0.25</v>
      </c>
      <c r="N83" s="159">
        <v>0.02</v>
      </c>
      <c r="O83" s="159">
        <v>0.02</v>
      </c>
      <c r="P83" s="160"/>
      <c r="Q83" s="163">
        <v>200.20000000000002</v>
      </c>
      <c r="R83" s="163">
        <f>CONVERT(2200/35,"lbm","kg")*(1/0.0283168)</f>
        <v>1006.8764973443327</v>
      </c>
      <c r="S83" s="157">
        <f t="shared" si="43"/>
        <v>1.0068764973443327</v>
      </c>
      <c r="T83" s="157" t="s">
        <v>376</v>
      </c>
      <c r="U83" s="157" t="s">
        <v>169</v>
      </c>
      <c r="V83" s="648"/>
      <c r="W83" s="326" t="s">
        <v>437</v>
      </c>
    </row>
    <row r="84" spans="1:23" s="41" customFormat="1" ht="19.25" customHeight="1">
      <c r="A84" s="331" t="s">
        <v>33</v>
      </c>
      <c r="B84" s="158">
        <v>0.99650000000000005</v>
      </c>
      <c r="C84" s="180">
        <f t="shared" si="40"/>
        <v>3.4999999999999476E-3</v>
      </c>
      <c r="D84" s="160"/>
      <c r="E84" s="160"/>
      <c r="F84" s="321">
        <f>G84/C84</f>
        <v>0.57142857142857995</v>
      </c>
      <c r="G84" s="180">
        <v>2E-3</v>
      </c>
      <c r="H84" s="180">
        <f>C84-G84</f>
        <v>1.4999999999999476E-3</v>
      </c>
      <c r="I84" s="175"/>
      <c r="J84" s="160"/>
      <c r="K84" s="160"/>
      <c r="L84" s="190">
        <v>1.0000000000000001E-5</v>
      </c>
      <c r="M84" s="159">
        <v>0.25</v>
      </c>
      <c r="N84" s="159">
        <v>0.02</v>
      </c>
      <c r="O84" s="159">
        <v>0.02</v>
      </c>
      <c r="P84" s="160"/>
      <c r="Q84" s="163">
        <v>204.28571428571428</v>
      </c>
      <c r="R84" s="163">
        <f>CONVERT(2200/38,"lbm","kg")*(1/0.0283168)</f>
        <v>927.38624755399064</v>
      </c>
      <c r="S84" s="157">
        <f t="shared" si="43"/>
        <v>0.92738624755399068</v>
      </c>
      <c r="T84" s="157" t="s">
        <v>376</v>
      </c>
      <c r="U84" s="157" t="s">
        <v>169</v>
      </c>
      <c r="V84" s="648"/>
      <c r="W84" s="326" t="s">
        <v>438</v>
      </c>
    </row>
    <row r="85" spans="1:23" s="41" customFormat="1" ht="19.25" customHeight="1">
      <c r="A85" s="331" t="s">
        <v>102</v>
      </c>
      <c r="B85" s="158">
        <f>1-C85</f>
        <v>0.96</v>
      </c>
      <c r="C85" s="180">
        <v>0.04</v>
      </c>
      <c r="D85" s="160"/>
      <c r="E85" s="160"/>
      <c r="F85" s="321">
        <f>G85/C85</f>
        <v>0.75</v>
      </c>
      <c r="G85" s="180">
        <v>0.03</v>
      </c>
      <c r="H85" s="180">
        <v>0.01</v>
      </c>
      <c r="I85" s="175"/>
      <c r="J85" s="160"/>
      <c r="K85" s="160"/>
      <c r="L85" s="190">
        <v>3.2000000000000002E-3</v>
      </c>
      <c r="M85" s="159">
        <v>0.25</v>
      </c>
      <c r="N85" s="159">
        <v>0.02</v>
      </c>
      <c r="O85" s="159">
        <v>0.02</v>
      </c>
      <c r="P85" s="160"/>
      <c r="Q85" s="163">
        <v>315</v>
      </c>
      <c r="R85" s="163">
        <f>CONVERT(2200/35,"lbm","kg")*(1/0.0283168)</f>
        <v>1006.8764973443327</v>
      </c>
      <c r="S85" s="157">
        <f t="shared" si="43"/>
        <v>1.0068764973443327</v>
      </c>
      <c r="T85" s="157" t="s">
        <v>376</v>
      </c>
      <c r="U85" s="157" t="s">
        <v>169</v>
      </c>
      <c r="V85" s="509"/>
      <c r="W85" s="326" t="s">
        <v>438</v>
      </c>
    </row>
    <row r="86" spans="1:23" s="41" customFormat="1" ht="19.25" customHeight="1">
      <c r="A86" s="331" t="s">
        <v>58</v>
      </c>
      <c r="B86" s="158">
        <f>1-C86</f>
        <v>0.76259999999999994</v>
      </c>
      <c r="C86" s="180">
        <v>0.2374</v>
      </c>
      <c r="D86" s="160"/>
      <c r="E86" s="160"/>
      <c r="F86" s="321">
        <f t="shared" ref="F86:F87" si="46">G86/C86</f>
        <v>0.91449031171019368</v>
      </c>
      <c r="G86" s="158">
        <v>0.21709999999999999</v>
      </c>
      <c r="H86" s="180">
        <f>C86-G86</f>
        <v>2.0300000000000012E-2</v>
      </c>
      <c r="I86" s="175"/>
      <c r="J86" s="160"/>
      <c r="K86" s="160"/>
      <c r="L86" s="190">
        <f>0.0344*C86</f>
        <v>8.1665599999999998E-3</v>
      </c>
      <c r="M86" s="159">
        <f>453/1000*G86</f>
        <v>9.8346299999999998E-2</v>
      </c>
      <c r="N86" s="159">
        <f>151/1000*G86</f>
        <v>3.2782099999999995E-2</v>
      </c>
      <c r="O86" s="159">
        <f>235/1000*G86</f>
        <v>5.1018499999999994E-2</v>
      </c>
      <c r="P86" s="160"/>
      <c r="Q86" s="163">
        <v>445</v>
      </c>
      <c r="R86" s="163">
        <v>500</v>
      </c>
      <c r="S86" s="157">
        <f t="shared" si="43"/>
        <v>0.5</v>
      </c>
      <c r="T86" s="157" t="s">
        <v>376</v>
      </c>
      <c r="U86" s="157" t="s">
        <v>167</v>
      </c>
      <c r="V86" s="648" t="s">
        <v>439</v>
      </c>
      <c r="W86" s="326" t="s">
        <v>440</v>
      </c>
    </row>
    <row r="87" spans="1:23" s="41" customFormat="1" ht="19.25" customHeight="1">
      <c r="A87" s="331" t="s">
        <v>50</v>
      </c>
      <c r="B87" s="165">
        <f>1-C87</f>
        <v>0.47170000000000001</v>
      </c>
      <c r="C87" s="192">
        <v>0.52829999999999999</v>
      </c>
      <c r="D87" s="166"/>
      <c r="E87" s="166"/>
      <c r="F87" s="323">
        <f t="shared" si="46"/>
        <v>0.6350558394851411</v>
      </c>
      <c r="G87" s="165">
        <v>0.33550000000000002</v>
      </c>
      <c r="H87" s="192">
        <f>C87-G87</f>
        <v>0.19279999999999997</v>
      </c>
      <c r="I87" s="182"/>
      <c r="J87" s="166"/>
      <c r="K87" s="166"/>
      <c r="L87" s="191">
        <f>0.0132*C87</f>
        <v>6.9735600000000002E-3</v>
      </c>
      <c r="M87" s="167">
        <f>340/1000*G87</f>
        <v>0.11407000000000002</v>
      </c>
      <c r="N87" s="167">
        <f>68.6/1000*G87</f>
        <v>2.3015299999999999E-2</v>
      </c>
      <c r="O87" s="167">
        <f>130/1000*G87</f>
        <v>4.3615000000000001E-2</v>
      </c>
      <c r="P87" s="166"/>
      <c r="Q87" s="169">
        <v>344</v>
      </c>
      <c r="R87" s="169">
        <v>500</v>
      </c>
      <c r="S87" s="170">
        <f t="shared" si="43"/>
        <v>0.5</v>
      </c>
      <c r="T87" s="157" t="s">
        <v>376</v>
      </c>
      <c r="U87" s="196" t="s">
        <v>167</v>
      </c>
      <c r="V87" s="649"/>
      <c r="W87" s="327" t="s">
        <v>440</v>
      </c>
    </row>
    <row r="88" spans="1:23" s="47" customFormat="1" ht="19.25" customHeight="1">
      <c r="A88" s="40"/>
      <c r="B88" s="653" t="s">
        <v>441</v>
      </c>
      <c r="C88" s="653"/>
      <c r="D88" s="653"/>
      <c r="E88" s="653"/>
      <c r="F88" s="653"/>
      <c r="G88" s="653"/>
      <c r="H88" s="653"/>
      <c r="I88" s="653"/>
      <c r="J88" s="653"/>
      <c r="K88" s="653"/>
      <c r="L88" s="653"/>
      <c r="M88" s="653"/>
      <c r="N88" s="653"/>
      <c r="O88" s="653"/>
      <c r="P88" s="653"/>
      <c r="Q88" s="653"/>
      <c r="R88" s="653"/>
      <c r="S88" s="83"/>
      <c r="T88" s="45"/>
      <c r="U88" s="83"/>
      <c r="V88" s="45"/>
      <c r="W88" s="45"/>
    </row>
    <row r="89" spans="1:23" s="41" customFormat="1" ht="19.25" customHeight="1">
      <c r="A89" s="331" t="s">
        <v>76</v>
      </c>
      <c r="B89" s="150">
        <v>0.77</v>
      </c>
      <c r="C89" s="150">
        <f>1-B89</f>
        <v>0.22999999999999998</v>
      </c>
      <c r="D89" s="152"/>
      <c r="E89" s="152"/>
      <c r="F89" s="320">
        <v>0.96399999999999997</v>
      </c>
      <c r="G89" s="150">
        <f>F89*C89</f>
        <v>0.22171999999999997</v>
      </c>
      <c r="H89" s="150">
        <f>C89-G89</f>
        <v>8.2800000000000096E-3</v>
      </c>
      <c r="I89" s="172"/>
      <c r="J89" s="152"/>
      <c r="K89" s="152"/>
      <c r="L89" s="151">
        <v>5.0000000000000001E-3</v>
      </c>
      <c r="M89" s="151">
        <v>0.59</v>
      </c>
      <c r="N89" s="151">
        <v>0.19</v>
      </c>
      <c r="O89" s="151">
        <v>0.18099999999999999</v>
      </c>
      <c r="P89" s="152"/>
      <c r="Q89" s="155">
        <v>361</v>
      </c>
      <c r="R89" s="156">
        <v>500</v>
      </c>
      <c r="S89" s="157">
        <f t="shared" ref="S89:S99" si="47">R89/DensityofWater</f>
        <v>0.5</v>
      </c>
      <c r="T89" s="157" t="s">
        <v>376</v>
      </c>
      <c r="U89" s="157" t="s">
        <v>167</v>
      </c>
      <c r="V89" s="650" t="s">
        <v>442</v>
      </c>
      <c r="W89" s="325" t="s">
        <v>443</v>
      </c>
    </row>
    <row r="90" spans="1:23" s="41" customFormat="1" ht="19.25" customHeight="1">
      <c r="A90" s="331" t="s">
        <v>71</v>
      </c>
      <c r="B90" s="158">
        <v>0.56999999999999995</v>
      </c>
      <c r="C90" s="158">
        <f>1-B90</f>
        <v>0.43000000000000005</v>
      </c>
      <c r="D90" s="160"/>
      <c r="E90" s="160"/>
      <c r="F90" s="321">
        <v>0.94199999999999995</v>
      </c>
      <c r="G90" s="158">
        <f>F90*C90</f>
        <v>0.40506000000000003</v>
      </c>
      <c r="H90" s="158">
        <f>C90-G90</f>
        <v>2.4940000000000018E-2</v>
      </c>
      <c r="I90" s="175"/>
      <c r="J90" s="160"/>
      <c r="K90" s="160"/>
      <c r="L90" s="159">
        <v>5.0000000000000001E-3</v>
      </c>
      <c r="M90" s="159">
        <v>0.59</v>
      </c>
      <c r="N90" s="159">
        <v>0.19</v>
      </c>
      <c r="O90" s="159">
        <v>0.18099999999999999</v>
      </c>
      <c r="P90" s="160"/>
      <c r="Q90" s="162">
        <v>361</v>
      </c>
      <c r="R90" s="163">
        <v>500</v>
      </c>
      <c r="S90" s="157">
        <f t="shared" si="47"/>
        <v>0.5</v>
      </c>
      <c r="T90" s="157" t="s">
        <v>376</v>
      </c>
      <c r="U90" s="157" t="s">
        <v>167</v>
      </c>
      <c r="V90" s="648"/>
      <c r="W90" s="326" t="s">
        <v>443</v>
      </c>
    </row>
    <row r="91" spans="1:23" s="41" customFormat="1" ht="19.25" customHeight="1">
      <c r="A91" s="331" t="s">
        <v>43</v>
      </c>
      <c r="B91" s="161">
        <f>1-C91</f>
        <v>0.32599999999999996</v>
      </c>
      <c r="C91" s="161">
        <v>0.67400000000000004</v>
      </c>
      <c r="D91" s="160"/>
      <c r="E91" s="160"/>
      <c r="F91" s="321">
        <f>G91/C91</f>
        <v>0.97181008902077148</v>
      </c>
      <c r="G91" s="158">
        <v>0.65500000000000003</v>
      </c>
      <c r="H91" s="158">
        <f>C91-G91</f>
        <v>1.9000000000000017E-2</v>
      </c>
      <c r="I91" s="160"/>
      <c r="J91" s="160"/>
      <c r="K91" s="160"/>
      <c r="L91" s="159">
        <f>0.37*B91</f>
        <v>0.12061999999999998</v>
      </c>
      <c r="M91" s="159">
        <f>1-SUM(N91:O91)-H91</f>
        <v>0.84</v>
      </c>
      <c r="N91" s="159">
        <f>2%</f>
        <v>0.02</v>
      </c>
      <c r="O91" s="159">
        <f>12.1%</f>
        <v>0.121</v>
      </c>
      <c r="P91" s="160"/>
      <c r="Q91" s="162">
        <v>306</v>
      </c>
      <c r="R91" s="162">
        <v>200</v>
      </c>
      <c r="S91" s="157">
        <f t="shared" si="47"/>
        <v>0.2</v>
      </c>
      <c r="T91" s="157" t="s">
        <v>376</v>
      </c>
      <c r="U91" s="157" t="s">
        <v>167</v>
      </c>
      <c r="V91" s="648" t="s">
        <v>444</v>
      </c>
      <c r="W91" s="326" t="s">
        <v>445</v>
      </c>
    </row>
    <row r="92" spans="1:23" s="41" customFormat="1" ht="19.25" customHeight="1">
      <c r="A92" s="331" t="s">
        <v>51</v>
      </c>
      <c r="B92" s="161">
        <f>1-C92</f>
        <v>0.75800000000000001</v>
      </c>
      <c r="C92" s="161">
        <v>0.24199999999999999</v>
      </c>
      <c r="D92" s="160"/>
      <c r="E92" s="160"/>
      <c r="F92" s="321">
        <f>G92/C92</f>
        <v>0.95041322314049592</v>
      </c>
      <c r="G92" s="158">
        <v>0.23</v>
      </c>
      <c r="H92" s="158">
        <f>C92-G92</f>
        <v>1.1999999999999983E-2</v>
      </c>
      <c r="I92" s="160"/>
      <c r="J92" s="160"/>
      <c r="K92" s="160"/>
      <c r="L92" s="159">
        <f>0.14*B92</f>
        <v>0.10612000000000001</v>
      </c>
      <c r="M92" s="159">
        <f>1-SUM(N92:O92)-H92</f>
        <v>0.64</v>
      </c>
      <c r="N92" s="159">
        <f>8.7%</f>
        <v>8.6999999999999994E-2</v>
      </c>
      <c r="O92" s="159">
        <f>26.1%</f>
        <v>0.26100000000000001</v>
      </c>
      <c r="P92" s="160"/>
      <c r="Q92" s="162">
        <v>316</v>
      </c>
      <c r="R92" s="162">
        <v>200</v>
      </c>
      <c r="S92" s="157">
        <f t="shared" si="47"/>
        <v>0.2</v>
      </c>
      <c r="T92" s="157" t="s">
        <v>376</v>
      </c>
      <c r="U92" s="157" t="s">
        <v>167</v>
      </c>
      <c r="V92" s="648"/>
      <c r="W92" s="326" t="s">
        <v>445</v>
      </c>
    </row>
    <row r="93" spans="1:23" s="41" customFormat="1" ht="19.25" customHeight="1">
      <c r="A93" s="331" t="s">
        <v>446</v>
      </c>
      <c r="B93" s="161">
        <f>1-C93</f>
        <v>0.71</v>
      </c>
      <c r="C93" s="161">
        <v>0.28999999999999998</v>
      </c>
      <c r="D93" s="160"/>
      <c r="E93" s="160"/>
      <c r="F93" s="321">
        <v>0.95299999999999996</v>
      </c>
      <c r="G93" s="158">
        <f>F93*C93</f>
        <v>0.27636999999999995</v>
      </c>
      <c r="H93" s="158">
        <f>C93-G93</f>
        <v>1.3630000000000031E-2</v>
      </c>
      <c r="I93" s="160"/>
      <c r="J93" s="160"/>
      <c r="K93" s="160"/>
      <c r="L93" s="159">
        <v>3.5299999999999998E-2</v>
      </c>
      <c r="M93" s="159">
        <v>0.59</v>
      </c>
      <c r="N93" s="159">
        <v>0.19</v>
      </c>
      <c r="O93" s="159">
        <v>0.18099999999999999</v>
      </c>
      <c r="P93" s="160"/>
      <c r="Q93" s="162">
        <v>498</v>
      </c>
      <c r="R93" s="163">
        <f>R89</f>
        <v>500</v>
      </c>
      <c r="S93" s="157">
        <f t="shared" si="47"/>
        <v>0.5</v>
      </c>
      <c r="T93" s="157" t="s">
        <v>376</v>
      </c>
      <c r="U93" s="157" t="s">
        <v>167</v>
      </c>
      <c r="V93" s="509"/>
      <c r="W93" s="326" t="s">
        <v>447</v>
      </c>
    </row>
    <row r="94" spans="1:23" s="41" customFormat="1" ht="19.25" customHeight="1">
      <c r="A94" s="331" t="s">
        <v>59</v>
      </c>
      <c r="B94" s="161">
        <v>0.47</v>
      </c>
      <c r="C94" s="161">
        <v>0.53</v>
      </c>
      <c r="D94" s="160"/>
      <c r="E94" s="160"/>
      <c r="F94" s="321">
        <f>G94/C94</f>
        <v>0.97</v>
      </c>
      <c r="G94" s="158">
        <v>0.5141</v>
      </c>
      <c r="H94" s="158">
        <v>1.5900000000000025E-2</v>
      </c>
      <c r="I94" s="160"/>
      <c r="J94" s="160"/>
      <c r="K94" s="160"/>
      <c r="L94" s="159">
        <v>0.105</v>
      </c>
      <c r="M94" s="159">
        <f>1-N94-O94-H94</f>
        <v>0.53409999999999991</v>
      </c>
      <c r="N94" s="159">
        <v>0.17</v>
      </c>
      <c r="O94" s="159">
        <v>0.28000000000000003</v>
      </c>
      <c r="P94" s="160"/>
      <c r="Q94" s="162">
        <v>482</v>
      </c>
      <c r="R94" s="162">
        <v>1040</v>
      </c>
      <c r="S94" s="157">
        <f t="shared" si="47"/>
        <v>1.04</v>
      </c>
      <c r="T94" s="157" t="s">
        <v>376</v>
      </c>
      <c r="U94" s="157" t="s">
        <v>167</v>
      </c>
      <c r="V94" s="648" t="s">
        <v>448</v>
      </c>
      <c r="W94" s="326" t="s">
        <v>449</v>
      </c>
    </row>
    <row r="95" spans="1:23" s="41" customFormat="1" ht="19.25" customHeight="1">
      <c r="A95" s="331" t="s">
        <v>34</v>
      </c>
      <c r="B95" s="193">
        <v>0.65</v>
      </c>
      <c r="C95" s="193">
        <v>0.35</v>
      </c>
      <c r="D95" s="166"/>
      <c r="E95" s="166"/>
      <c r="F95" s="323">
        <f>G95/C95</f>
        <v>0.99</v>
      </c>
      <c r="G95" s="165">
        <v>0.34649999999999997</v>
      </c>
      <c r="H95" s="165">
        <v>3.5000000000000031E-3</v>
      </c>
      <c r="I95" s="166"/>
      <c r="J95" s="166"/>
      <c r="K95" s="166"/>
      <c r="L95" s="167">
        <v>1.6E-2</v>
      </c>
      <c r="M95" s="167">
        <f>B95-N95-O95-H95</f>
        <v>0.57250000000000001</v>
      </c>
      <c r="N95" s="167">
        <v>3.4000000000000002E-2</v>
      </c>
      <c r="O95" s="167">
        <v>0.04</v>
      </c>
      <c r="P95" s="166"/>
      <c r="Q95" s="168">
        <v>294</v>
      </c>
      <c r="R95" s="168">
        <v>700</v>
      </c>
      <c r="S95" s="157">
        <f t="shared" si="47"/>
        <v>0.7</v>
      </c>
      <c r="T95" s="157" t="s">
        <v>376</v>
      </c>
      <c r="U95" s="157" t="s">
        <v>167</v>
      </c>
      <c r="V95" s="649"/>
      <c r="W95" s="327" t="s">
        <v>449</v>
      </c>
    </row>
    <row r="96" spans="1:23" s="41" customFormat="1" ht="19.25" customHeight="1">
      <c r="A96" s="331" t="s">
        <v>450</v>
      </c>
      <c r="B96" s="161">
        <f>1-C96</f>
        <v>0.54200000000000004</v>
      </c>
      <c r="C96" s="161">
        <v>0.45800000000000002</v>
      </c>
      <c r="D96" s="160"/>
      <c r="E96" s="160"/>
      <c r="F96" s="321">
        <v>0.376</v>
      </c>
      <c r="G96" s="158">
        <f>F96*C96</f>
        <v>0.172208</v>
      </c>
      <c r="H96" s="158">
        <f>C96-G96</f>
        <v>0.28579200000000005</v>
      </c>
      <c r="I96" s="160"/>
      <c r="J96" s="160"/>
      <c r="K96" s="160"/>
      <c r="L96" s="159">
        <f>22.3/1000</f>
        <v>2.23E-2</v>
      </c>
      <c r="M96" s="159">
        <f>0.108*G96</f>
        <v>1.8598463999999999E-2</v>
      </c>
      <c r="N96" s="159">
        <f>0.523*G96</f>
        <v>9.0064784000000009E-2</v>
      </c>
      <c r="O96" s="159">
        <f>0.37*G96</f>
        <v>6.3716960000000003E-2</v>
      </c>
      <c r="P96" s="160"/>
      <c r="Q96" s="162">
        <v>125</v>
      </c>
      <c r="R96" s="162">
        <v>1100</v>
      </c>
      <c r="S96" s="157">
        <f t="shared" si="47"/>
        <v>1.1000000000000001</v>
      </c>
      <c r="T96" s="157" t="s">
        <v>376</v>
      </c>
      <c r="U96" s="157" t="s">
        <v>167</v>
      </c>
      <c r="V96" s="509" t="s">
        <v>451</v>
      </c>
      <c r="W96" s="326" t="s">
        <v>452</v>
      </c>
    </row>
    <row r="97" spans="1:23" s="41" customFormat="1" ht="19.25" customHeight="1">
      <c r="A97" s="331" t="s">
        <v>453</v>
      </c>
      <c r="B97" s="161">
        <f>1-C97</f>
        <v>0.60299999999999998</v>
      </c>
      <c r="C97" s="161">
        <v>0.39700000000000002</v>
      </c>
      <c r="D97" s="160"/>
      <c r="E97" s="160"/>
      <c r="F97" s="321">
        <v>0.35799999999999998</v>
      </c>
      <c r="G97" s="158">
        <f>F97*C97</f>
        <v>0.142126</v>
      </c>
      <c r="H97" s="158">
        <f>C97-G97</f>
        <v>0.25487400000000004</v>
      </c>
      <c r="I97" s="160"/>
      <c r="J97" s="160"/>
      <c r="K97" s="160"/>
      <c r="L97" s="159">
        <f>47.4/1000</f>
        <v>4.7399999999999998E-2</v>
      </c>
      <c r="M97" s="159">
        <f>0.062*G97</f>
        <v>8.8118120000000005E-3</v>
      </c>
      <c r="N97" s="159">
        <f>0.111*G97</f>
        <v>1.5775985999999999E-2</v>
      </c>
      <c r="O97" s="159">
        <f>0.822*G97</f>
        <v>0.11682757199999999</v>
      </c>
      <c r="P97" s="184"/>
      <c r="Q97" s="301">
        <v>266</v>
      </c>
      <c r="R97" s="301">
        <f>0.560646*1000</f>
        <v>560.64599999999996</v>
      </c>
      <c r="S97" s="157">
        <f t="shared" si="47"/>
        <v>0.56064599999999998</v>
      </c>
      <c r="T97" s="159" t="s">
        <v>376</v>
      </c>
      <c r="U97" s="159" t="s">
        <v>169</v>
      </c>
      <c r="V97" s="330" t="s">
        <v>454</v>
      </c>
      <c r="W97" s="326" t="s">
        <v>455</v>
      </c>
    </row>
    <row r="98" spans="1:23" s="41" customFormat="1" ht="19.25" customHeight="1">
      <c r="A98" s="331" t="s">
        <v>456</v>
      </c>
      <c r="B98" s="299">
        <f>1-C98</f>
        <v>0.82099999999999995</v>
      </c>
      <c r="C98" s="299">
        <v>0.17899999999999999</v>
      </c>
      <c r="D98" s="184"/>
      <c r="E98" s="184"/>
      <c r="F98" s="324">
        <v>0.16800000000000001</v>
      </c>
      <c r="G98" s="165">
        <f>F98*C98</f>
        <v>3.0072000000000002E-2</v>
      </c>
      <c r="H98" s="165">
        <f>C98-G98</f>
        <v>0.148928</v>
      </c>
      <c r="I98" s="166"/>
      <c r="J98" s="166"/>
      <c r="K98" s="166"/>
      <c r="L98" s="167">
        <f>25.4/1000</f>
        <v>2.5399999999999999E-2</v>
      </c>
      <c r="M98" s="167">
        <f>0.053*G98</f>
        <v>1.5938160000000001E-3</v>
      </c>
      <c r="N98" s="167">
        <f>0.003*G98</f>
        <v>9.0216000000000005E-5</v>
      </c>
      <c r="O98" s="167">
        <f>0.944*G98</f>
        <v>2.8387968E-2</v>
      </c>
      <c r="P98" s="184"/>
      <c r="Q98" s="300">
        <v>250</v>
      </c>
      <c r="R98" s="300">
        <v>1000</v>
      </c>
      <c r="S98" s="170">
        <f t="shared" si="47"/>
        <v>1</v>
      </c>
      <c r="T98" s="196" t="s">
        <v>376</v>
      </c>
      <c r="U98" s="196" t="s">
        <v>167</v>
      </c>
      <c r="V98" s="330" t="s">
        <v>454</v>
      </c>
      <c r="W98" s="326" t="s">
        <v>452</v>
      </c>
    </row>
    <row r="99" spans="1:23" s="41" customFormat="1" ht="19.25" customHeight="1">
      <c r="A99" s="331" t="s">
        <v>457</v>
      </c>
      <c r="B99" s="193">
        <f>1-C99</f>
        <v>0.77800000000000002</v>
      </c>
      <c r="C99" s="193">
        <v>0.222</v>
      </c>
      <c r="D99" s="166"/>
      <c r="E99" s="166"/>
      <c r="F99" s="323">
        <v>0.92700000000000005</v>
      </c>
      <c r="G99" s="165">
        <f>F99*C99</f>
        <v>0.205794</v>
      </c>
      <c r="H99" s="165">
        <f>C99-G99</f>
        <v>1.6205999999999998E-2</v>
      </c>
      <c r="I99" s="166"/>
      <c r="J99" s="166"/>
      <c r="K99" s="166"/>
      <c r="L99" s="302">
        <f>0.02*C99</f>
        <v>4.4400000000000004E-3</v>
      </c>
      <c r="M99" s="167">
        <f>0.784*C99</f>
        <v>0.17404800000000001</v>
      </c>
      <c r="N99" s="167">
        <f>0.005*C99</f>
        <v>1.1100000000000001E-3</v>
      </c>
      <c r="O99" s="167">
        <f>0.134*C99</f>
        <v>2.9748000000000004E-2</v>
      </c>
      <c r="P99" s="166"/>
      <c r="Q99" s="169">
        <v>228.8</v>
      </c>
      <c r="R99" s="169">
        <v>999.5521</v>
      </c>
      <c r="S99" s="170">
        <f t="shared" si="47"/>
        <v>0.99955209999999994</v>
      </c>
      <c r="T99" s="170" t="s">
        <v>376</v>
      </c>
      <c r="U99" s="170" t="s">
        <v>167</v>
      </c>
      <c r="V99" s="330"/>
      <c r="W99" s="331" t="s">
        <v>458</v>
      </c>
    </row>
    <row r="100" spans="1:23" s="41" customFormat="1" ht="19.25" customHeight="1">
      <c r="A100" s="40"/>
      <c r="B100" s="653" t="s">
        <v>459</v>
      </c>
      <c r="C100" s="653"/>
      <c r="D100" s="653"/>
      <c r="E100" s="653"/>
      <c r="F100" s="653"/>
      <c r="G100" s="653"/>
      <c r="H100" s="653"/>
      <c r="I100" s="653"/>
      <c r="J100" s="653"/>
      <c r="K100" s="653"/>
      <c r="L100" s="653"/>
      <c r="M100" s="653"/>
      <c r="N100" s="653"/>
      <c r="O100" s="653"/>
      <c r="P100" s="653"/>
      <c r="Q100" s="653"/>
      <c r="R100" s="653"/>
      <c r="S100" s="83"/>
      <c r="T100" s="83"/>
      <c r="U100" s="83"/>
      <c r="V100" s="44"/>
      <c r="W100" s="44"/>
    </row>
    <row r="101" spans="1:23" s="41" customFormat="1" ht="19.25" customHeight="1">
      <c r="A101" s="331" t="s">
        <v>55</v>
      </c>
      <c r="B101" s="154">
        <f>1-C101</f>
        <v>0.68599999999999994</v>
      </c>
      <c r="C101" s="154">
        <v>0.314</v>
      </c>
      <c r="D101" s="152"/>
      <c r="E101" s="152"/>
      <c r="F101" s="320">
        <f>G101/C101</f>
        <v>0.88</v>
      </c>
      <c r="G101" s="150">
        <f>C101*0.88</f>
        <v>0.27632000000000001</v>
      </c>
      <c r="H101" s="150">
        <f>C101-G101</f>
        <v>3.7679999999999991E-2</v>
      </c>
      <c r="I101" s="152"/>
      <c r="J101" s="152"/>
      <c r="K101" s="152"/>
      <c r="L101" s="151">
        <v>0.26</v>
      </c>
      <c r="M101" s="151">
        <f>1-SUM(N101:O101)-H101</f>
        <v>0.1953200000000001</v>
      </c>
      <c r="N101" s="151">
        <f>36.4%</f>
        <v>0.36399999999999999</v>
      </c>
      <c r="O101" s="151">
        <f>40.3%</f>
        <v>0.40299999999999997</v>
      </c>
      <c r="P101" s="152"/>
      <c r="Q101" s="155">
        <v>435</v>
      </c>
      <c r="R101" s="155">
        <v>200</v>
      </c>
      <c r="S101" s="157">
        <f>R101/DensityofWater</f>
        <v>0.2</v>
      </c>
      <c r="T101" s="157" t="s">
        <v>376</v>
      </c>
      <c r="U101" s="157" t="s">
        <v>167</v>
      </c>
      <c r="V101" s="650" t="s">
        <v>460</v>
      </c>
      <c r="W101" s="325" t="s">
        <v>461</v>
      </c>
    </row>
    <row r="102" spans="1:23" s="41" customFormat="1" ht="19.25" customHeight="1">
      <c r="A102" s="331" t="s">
        <v>38</v>
      </c>
      <c r="B102" s="161">
        <f>1-C102</f>
        <v>0.61499999999999999</v>
      </c>
      <c r="C102" s="161">
        <v>0.38500000000000001</v>
      </c>
      <c r="D102" s="160"/>
      <c r="E102" s="160"/>
      <c r="F102" s="321">
        <f t="shared" ref="F102:F103" si="48">G102/C102</f>
        <v>0.94</v>
      </c>
      <c r="G102" s="158">
        <f>C102*0.94</f>
        <v>0.3619</v>
      </c>
      <c r="H102" s="158">
        <f t="shared" ref="H102:H103" si="49">C102-G102</f>
        <v>2.3100000000000009E-2</v>
      </c>
      <c r="I102" s="160"/>
      <c r="J102" s="160"/>
      <c r="K102" s="160"/>
      <c r="L102" s="159">
        <v>0.26</v>
      </c>
      <c r="M102" s="159">
        <f t="shared" ref="M102:M103" si="50">1-SUM(N102:O102)-H102</f>
        <v>0.1069</v>
      </c>
      <c r="N102" s="159">
        <f>46.7%</f>
        <v>0.46700000000000003</v>
      </c>
      <c r="O102" s="159">
        <f>40.3%</f>
        <v>0.40299999999999997</v>
      </c>
      <c r="P102" s="160"/>
      <c r="Q102" s="162">
        <v>543</v>
      </c>
      <c r="R102" s="162">
        <v>200</v>
      </c>
      <c r="S102" s="157">
        <f>R102/DensityofWater</f>
        <v>0.2</v>
      </c>
      <c r="T102" s="157" t="s">
        <v>376</v>
      </c>
      <c r="U102" s="157" t="s">
        <v>167</v>
      </c>
      <c r="V102" s="648"/>
      <c r="W102" s="326" t="s">
        <v>461</v>
      </c>
    </row>
    <row r="103" spans="1:23" s="41" customFormat="1" ht="19.25" customHeight="1">
      <c r="A103" s="331" t="s">
        <v>47</v>
      </c>
      <c r="B103" s="193">
        <f>1-C103</f>
        <v>0.64400000000000002</v>
      </c>
      <c r="C103" s="193">
        <v>0.35599999999999998</v>
      </c>
      <c r="D103" s="166"/>
      <c r="E103" s="166"/>
      <c r="F103" s="323">
        <f t="shared" si="48"/>
        <v>0.86011235955056187</v>
      </c>
      <c r="G103" s="165">
        <v>0.30620000000000003</v>
      </c>
      <c r="H103" s="165">
        <f t="shared" si="49"/>
        <v>4.9799999999999955E-2</v>
      </c>
      <c r="I103" s="166"/>
      <c r="J103" s="166"/>
      <c r="K103" s="166"/>
      <c r="L103" s="167">
        <v>0.26</v>
      </c>
      <c r="M103" s="167">
        <f t="shared" si="50"/>
        <v>4.1200000000000014E-2</v>
      </c>
      <c r="N103" s="167">
        <f>49.5%</f>
        <v>0.495</v>
      </c>
      <c r="O103" s="167">
        <f>41.4%</f>
        <v>0.41399999999999998</v>
      </c>
      <c r="P103" s="166"/>
      <c r="Q103" s="168">
        <v>526</v>
      </c>
      <c r="R103" s="168">
        <v>200</v>
      </c>
      <c r="S103" s="170">
        <f>R103/DensityofWater</f>
        <v>0.2</v>
      </c>
      <c r="T103" s="196" t="s">
        <v>376</v>
      </c>
      <c r="U103" s="196" t="s">
        <v>167</v>
      </c>
      <c r="V103" s="649"/>
      <c r="W103" s="327" t="s">
        <v>461</v>
      </c>
    </row>
    <row r="104" spans="1:23" s="41" customFormat="1" ht="19.25" customHeight="1">
      <c r="A104" s="40"/>
      <c r="B104" s="653" t="s">
        <v>462</v>
      </c>
      <c r="C104" s="653"/>
      <c r="D104" s="653"/>
      <c r="E104" s="653"/>
      <c r="F104" s="653"/>
      <c r="G104" s="653"/>
      <c r="H104" s="653"/>
      <c r="I104" s="653"/>
      <c r="J104" s="653"/>
      <c r="K104" s="653"/>
      <c r="L104" s="653"/>
      <c r="M104" s="653"/>
      <c r="N104" s="653"/>
      <c r="O104" s="653"/>
      <c r="P104" s="653"/>
      <c r="Q104" s="653"/>
      <c r="R104" s="653"/>
      <c r="S104" s="83"/>
      <c r="T104" s="83"/>
      <c r="U104" s="83"/>
      <c r="V104" s="48"/>
      <c r="W104" s="44"/>
    </row>
    <row r="105" spans="1:23" s="41" customFormat="1" ht="19.25" customHeight="1">
      <c r="A105" s="331" t="s">
        <v>463</v>
      </c>
      <c r="B105" s="154">
        <v>0.69289999999999996</v>
      </c>
      <c r="C105" s="154">
        <f>1-B105</f>
        <v>0.30710000000000004</v>
      </c>
      <c r="D105" s="152"/>
      <c r="E105" s="152"/>
      <c r="F105" s="320">
        <f>67.7%</f>
        <v>0.67700000000000005</v>
      </c>
      <c r="G105" s="173">
        <f>F105*C105</f>
        <v>0.20790670000000003</v>
      </c>
      <c r="H105" s="150">
        <f>C105-G105</f>
        <v>9.9193300000000012E-2</v>
      </c>
      <c r="I105" s="152"/>
      <c r="J105" s="152"/>
      <c r="K105" s="152"/>
      <c r="L105" s="151">
        <v>0.02</v>
      </c>
      <c r="M105" s="151">
        <v>0.99</v>
      </c>
      <c r="N105" s="194">
        <v>5.0000000000000001E-3</v>
      </c>
      <c r="O105" s="194">
        <v>5.0000000000000001E-3</v>
      </c>
      <c r="P105" s="152"/>
      <c r="Q105" s="155">
        <v>301</v>
      </c>
      <c r="R105" s="156">
        <f>0.52/(1.04* 0.079 *0.018)</f>
        <v>351.61744022503518</v>
      </c>
      <c r="S105" s="157">
        <f t="shared" ref="S105:S114" si="51">R105/DensityofWater</f>
        <v>0.35161744022503516</v>
      </c>
      <c r="T105" s="157" t="s">
        <v>376</v>
      </c>
      <c r="U105" s="157" t="s">
        <v>166</v>
      </c>
      <c r="V105" s="510" t="s">
        <v>464</v>
      </c>
      <c r="W105" s="325" t="s">
        <v>465</v>
      </c>
    </row>
    <row r="106" spans="1:23" s="41" customFormat="1" ht="19.25" customHeight="1">
      <c r="A106" s="331" t="s">
        <v>85</v>
      </c>
      <c r="B106" s="154">
        <f>1-C106</f>
        <v>0.2036</v>
      </c>
      <c r="C106" s="154">
        <v>0.7964</v>
      </c>
      <c r="D106" s="152"/>
      <c r="E106" s="152"/>
      <c r="F106" s="320">
        <f>G106/C106</f>
        <v>0.98982923154193869</v>
      </c>
      <c r="G106" s="150">
        <v>0.7883</v>
      </c>
      <c r="H106" s="150">
        <f>C106-G106</f>
        <v>8.0999999999999961E-3</v>
      </c>
      <c r="I106" s="152"/>
      <c r="J106" s="152"/>
      <c r="K106" s="152"/>
      <c r="L106" s="151">
        <v>7.4000000000000003E-3</v>
      </c>
      <c r="M106" s="151">
        <f>1-N106-O106-H106</f>
        <v>0.92289999999999994</v>
      </c>
      <c r="N106" s="151">
        <v>3.5000000000000003E-2</v>
      </c>
      <c r="O106" s="151">
        <v>3.4000000000000002E-2</v>
      </c>
      <c r="P106" s="152"/>
      <c r="Q106" s="155">
        <v>420</v>
      </c>
      <c r="R106" s="155">
        <v>400.5</v>
      </c>
      <c r="S106" s="157">
        <f t="shared" si="51"/>
        <v>0.40050000000000002</v>
      </c>
      <c r="T106" s="157" t="s">
        <v>376</v>
      </c>
      <c r="U106" s="157" t="s">
        <v>166</v>
      </c>
      <c r="V106" s="510"/>
      <c r="W106" s="325" t="s">
        <v>466</v>
      </c>
    </row>
    <row r="107" spans="1:23" s="41" customFormat="1" ht="19.25" customHeight="1">
      <c r="A107" s="331" t="s">
        <v>89</v>
      </c>
      <c r="B107" s="161">
        <f>1-C107</f>
        <v>0.2036</v>
      </c>
      <c r="C107" s="161">
        <v>0.7964</v>
      </c>
      <c r="D107" s="160"/>
      <c r="E107" s="160"/>
      <c r="F107" s="321">
        <f>G107/C107</f>
        <v>0.98982923154193869</v>
      </c>
      <c r="G107" s="158">
        <v>0.7883</v>
      </c>
      <c r="H107" s="158">
        <f>C107-G107</f>
        <v>8.0999999999999961E-3</v>
      </c>
      <c r="I107" s="160"/>
      <c r="J107" s="160"/>
      <c r="K107" s="160"/>
      <c r="L107" s="159">
        <v>7.4000000000000003E-3</v>
      </c>
      <c r="M107" s="159">
        <f>1-N107-O107-H107</f>
        <v>0.92289999999999994</v>
      </c>
      <c r="N107" s="159">
        <v>3.5000000000000003E-2</v>
      </c>
      <c r="O107" s="159">
        <v>3.4000000000000002E-2</v>
      </c>
      <c r="P107" s="160"/>
      <c r="Q107" s="163">
        <v>84.75</v>
      </c>
      <c r="R107" s="162">
        <v>400.5</v>
      </c>
      <c r="S107" s="157">
        <f t="shared" si="51"/>
        <v>0.40050000000000002</v>
      </c>
      <c r="T107" s="157" t="s">
        <v>376</v>
      </c>
      <c r="U107" s="157" t="s">
        <v>166</v>
      </c>
      <c r="V107" s="509"/>
      <c r="W107" s="326" t="s">
        <v>466</v>
      </c>
    </row>
    <row r="108" spans="1:23" s="41" customFormat="1" ht="19.25" customHeight="1">
      <c r="A108" s="331" t="s">
        <v>81</v>
      </c>
      <c r="B108" s="161">
        <f>1-C108</f>
        <v>0.88400000000000001</v>
      </c>
      <c r="C108" s="161">
        <v>0.11600000000000001</v>
      </c>
      <c r="D108" s="160"/>
      <c r="E108" s="160"/>
      <c r="F108" s="321">
        <v>0.85</v>
      </c>
      <c r="G108" s="158">
        <v>9.9000000000000005E-2</v>
      </c>
      <c r="H108" s="158">
        <f>C108-G108</f>
        <v>1.7000000000000001E-2</v>
      </c>
      <c r="I108" s="160"/>
      <c r="J108" s="160"/>
      <c r="K108" s="160"/>
      <c r="L108" s="305">
        <f>0.022*C108</f>
        <v>2.552E-3</v>
      </c>
      <c r="M108" s="159">
        <f>0.07*0.304</f>
        <v>2.128E-2</v>
      </c>
      <c r="N108" s="159">
        <f>0.015*0.304%</f>
        <v>4.5599999999999997E-5</v>
      </c>
      <c r="O108" s="159">
        <f>0.087*0.304</f>
        <v>2.6447999999999996E-2</v>
      </c>
      <c r="P108" s="160"/>
      <c r="Q108" s="163">
        <v>340</v>
      </c>
      <c r="R108" s="162">
        <v>380</v>
      </c>
      <c r="S108" s="157">
        <f t="shared" si="51"/>
        <v>0.38</v>
      </c>
      <c r="T108" s="157" t="s">
        <v>376</v>
      </c>
      <c r="U108" s="157" t="s">
        <v>166</v>
      </c>
      <c r="V108" s="509"/>
      <c r="W108" s="326" t="s">
        <v>467</v>
      </c>
    </row>
    <row r="109" spans="1:23" s="41" customFormat="1" ht="19.25" customHeight="1">
      <c r="A109" s="331" t="s">
        <v>77</v>
      </c>
      <c r="B109" s="161">
        <f>1-C109</f>
        <v>8.7999999999999967E-2</v>
      </c>
      <c r="C109" s="161">
        <v>0.91200000000000003</v>
      </c>
      <c r="D109" s="160"/>
      <c r="E109" s="160"/>
      <c r="F109" s="321">
        <v>0.86799999999999999</v>
      </c>
      <c r="G109" s="158">
        <f>F109*C109</f>
        <v>0.79161599999999999</v>
      </c>
      <c r="H109" s="158">
        <f>C109-G109</f>
        <v>0.12038400000000005</v>
      </c>
      <c r="I109" s="160"/>
      <c r="J109" s="160"/>
      <c r="K109" s="160"/>
      <c r="L109" s="159">
        <v>8.9999999999999993E-3</v>
      </c>
      <c r="M109" s="159">
        <v>0.63400000000000001</v>
      </c>
      <c r="N109" s="159">
        <v>0</v>
      </c>
      <c r="O109" s="159">
        <v>0</v>
      </c>
      <c r="P109" s="160"/>
      <c r="Q109" s="162">
        <v>420</v>
      </c>
      <c r="R109" s="162">
        <v>704</v>
      </c>
      <c r="S109" s="157">
        <f t="shared" si="51"/>
        <v>0.70399999999999996</v>
      </c>
      <c r="T109" s="157" t="s">
        <v>376</v>
      </c>
      <c r="U109" s="157" t="s">
        <v>166</v>
      </c>
      <c r="V109" s="648" t="s">
        <v>468</v>
      </c>
      <c r="W109" s="326" t="s">
        <v>469</v>
      </c>
    </row>
    <row r="110" spans="1:23" s="41" customFormat="1" ht="19.25" customHeight="1">
      <c r="A110" s="331" t="s">
        <v>93</v>
      </c>
      <c r="B110" s="161">
        <f t="shared" ref="B110:B113" si="52">1-C110</f>
        <v>7.8999999999999959E-2</v>
      </c>
      <c r="C110" s="161">
        <v>0.92100000000000004</v>
      </c>
      <c r="D110" s="160"/>
      <c r="E110" s="160"/>
      <c r="F110" s="321">
        <v>0.89200000000000002</v>
      </c>
      <c r="G110" s="158">
        <f t="shared" ref="G110" si="53">F110*C110</f>
        <v>0.82153200000000004</v>
      </c>
      <c r="H110" s="158">
        <f t="shared" ref="H110" si="54">C110-G110</f>
        <v>9.9468000000000001E-2</v>
      </c>
      <c r="I110" s="160"/>
      <c r="J110" s="160"/>
      <c r="K110" s="160"/>
      <c r="L110" s="159">
        <v>8.9999999999999993E-3</v>
      </c>
      <c r="M110" s="159">
        <f>1-N110-O110-H110</f>
        <v>0.17813200000000007</v>
      </c>
      <c r="N110" s="159">
        <v>0.51459999999999995</v>
      </c>
      <c r="O110" s="159">
        <v>0.20780000000000001</v>
      </c>
      <c r="P110" s="160"/>
      <c r="Q110" s="162">
        <v>481</v>
      </c>
      <c r="R110" s="162">
        <v>289</v>
      </c>
      <c r="S110" s="157">
        <f t="shared" si="51"/>
        <v>0.28899999999999998</v>
      </c>
      <c r="T110" s="157" t="s">
        <v>376</v>
      </c>
      <c r="U110" s="157" t="s">
        <v>166</v>
      </c>
      <c r="V110" s="648"/>
      <c r="W110" s="326" t="s">
        <v>470</v>
      </c>
    </row>
    <row r="111" spans="1:23" s="41" customFormat="1" ht="19.25" customHeight="1">
      <c r="A111" s="331" t="s">
        <v>60</v>
      </c>
      <c r="B111" s="161">
        <f t="shared" si="52"/>
        <v>6.7999999999999949E-2</v>
      </c>
      <c r="C111" s="161">
        <v>0.93200000000000005</v>
      </c>
      <c r="D111" s="160"/>
      <c r="E111" s="160"/>
      <c r="F111" s="321">
        <f>G111/C111</f>
        <v>0.80826180257510727</v>
      </c>
      <c r="G111" s="158">
        <v>0.75329999999999997</v>
      </c>
      <c r="H111" s="158">
        <f>C111-G111</f>
        <v>0.17870000000000008</v>
      </c>
      <c r="I111" s="160"/>
      <c r="J111" s="160"/>
      <c r="K111" s="160"/>
      <c r="L111" s="159">
        <v>1.0699999999999999E-2</v>
      </c>
      <c r="M111" s="159">
        <f>1-N111-O111-H111</f>
        <v>0.77399999999999991</v>
      </c>
      <c r="N111" s="159">
        <v>4.7300000000000002E-2</v>
      </c>
      <c r="O111" s="159">
        <v>0</v>
      </c>
      <c r="P111" s="160"/>
      <c r="Q111" s="162">
        <v>112</v>
      </c>
      <c r="R111" s="163">
        <v>707.55</v>
      </c>
      <c r="S111" s="157">
        <f t="shared" si="51"/>
        <v>0.7075499999999999</v>
      </c>
      <c r="T111" s="157" t="s">
        <v>376</v>
      </c>
      <c r="U111" s="157" t="s">
        <v>166</v>
      </c>
      <c r="V111" s="648" t="s">
        <v>471</v>
      </c>
      <c r="W111" s="326" t="s">
        <v>472</v>
      </c>
    </row>
    <row r="112" spans="1:23" s="41" customFormat="1" ht="19.25" customHeight="1">
      <c r="A112" s="331" t="s">
        <v>66</v>
      </c>
      <c r="B112" s="161">
        <f t="shared" si="52"/>
        <v>6.1000000000000054E-2</v>
      </c>
      <c r="C112" s="161">
        <v>0.93899999999999995</v>
      </c>
      <c r="D112" s="160"/>
      <c r="E112" s="160"/>
      <c r="F112" s="321">
        <f>G112/C112</f>
        <v>0.87113951011714585</v>
      </c>
      <c r="G112" s="158">
        <v>0.81799999999999995</v>
      </c>
      <c r="H112" s="158">
        <f t="shared" ref="H112:H114" si="55">C112-G112</f>
        <v>0.121</v>
      </c>
      <c r="I112" s="160"/>
      <c r="J112" s="160"/>
      <c r="K112" s="160"/>
      <c r="L112" s="159">
        <v>1.49E-2</v>
      </c>
      <c r="M112" s="159">
        <f t="shared" ref="M112:M113" si="56">1-N112-O112-H112</f>
        <v>0.79710000000000003</v>
      </c>
      <c r="N112" s="159">
        <v>8.1900000000000001E-2</v>
      </c>
      <c r="O112" s="159">
        <v>0</v>
      </c>
      <c r="P112" s="160"/>
      <c r="Q112" s="162">
        <v>108</v>
      </c>
      <c r="R112" s="163">
        <v>707.55</v>
      </c>
      <c r="S112" s="157">
        <f t="shared" si="51"/>
        <v>0.7075499999999999</v>
      </c>
      <c r="T112" s="157" t="s">
        <v>376</v>
      </c>
      <c r="U112" s="157" t="s">
        <v>166</v>
      </c>
      <c r="V112" s="648"/>
      <c r="W112" s="326" t="s">
        <v>472</v>
      </c>
    </row>
    <row r="113" spans="1:23" s="41" customFormat="1" ht="18.75" customHeight="1">
      <c r="A113" s="331" t="s">
        <v>52</v>
      </c>
      <c r="B113" s="193">
        <f t="shared" si="52"/>
        <v>5.8100000000000041E-2</v>
      </c>
      <c r="C113" s="193">
        <v>0.94189999999999996</v>
      </c>
      <c r="D113" s="166"/>
      <c r="E113" s="166"/>
      <c r="F113" s="321">
        <f>G113/C113</f>
        <v>0.81388682450366279</v>
      </c>
      <c r="G113" s="165">
        <v>0.76659999999999995</v>
      </c>
      <c r="H113" s="165">
        <f t="shared" si="55"/>
        <v>0.17530000000000001</v>
      </c>
      <c r="I113" s="166"/>
      <c r="J113" s="166"/>
      <c r="K113" s="166"/>
      <c r="L113" s="167">
        <v>3.3000000000000002E-2</v>
      </c>
      <c r="M113" s="167">
        <f t="shared" si="56"/>
        <v>0.70899999999999996</v>
      </c>
      <c r="N113" s="167">
        <v>0.1157</v>
      </c>
      <c r="O113" s="167">
        <v>0</v>
      </c>
      <c r="P113" s="166"/>
      <c r="Q113" s="168">
        <v>100</v>
      </c>
      <c r="R113" s="169">
        <v>707.55</v>
      </c>
      <c r="S113" s="170">
        <f t="shared" si="51"/>
        <v>0.7075499999999999</v>
      </c>
      <c r="T113" s="196" t="s">
        <v>376</v>
      </c>
      <c r="U113" s="196" t="s">
        <v>166</v>
      </c>
      <c r="V113" s="649"/>
      <c r="W113" s="327" t="s">
        <v>472</v>
      </c>
    </row>
    <row r="114" spans="1:23" s="41" customFormat="1" ht="18.75" customHeight="1">
      <c r="A114" s="331" t="s">
        <v>72</v>
      </c>
      <c r="B114" s="161">
        <f>1-C114</f>
        <v>0.90910000000000002</v>
      </c>
      <c r="C114" s="161">
        <f>0.0909</f>
        <v>9.0899999999999995E-2</v>
      </c>
      <c r="D114" s="160"/>
      <c r="E114" s="160"/>
      <c r="F114" s="321">
        <v>0.80840000000000001</v>
      </c>
      <c r="G114" s="158">
        <f>F114*C114</f>
        <v>7.3483560000000003E-2</v>
      </c>
      <c r="H114" s="159">
        <f t="shared" si="55"/>
        <v>1.7416439999999991E-2</v>
      </c>
      <c r="I114" s="160"/>
      <c r="J114" s="160"/>
      <c r="K114" s="160"/>
      <c r="L114" s="159">
        <f>0.017*((100-B114)/100)</f>
        <v>1.6845453000000003E-2</v>
      </c>
      <c r="M114" s="159">
        <v>5.7000000000000002E-2</v>
      </c>
      <c r="N114" s="159">
        <v>0</v>
      </c>
      <c r="O114" s="159">
        <v>0.155</v>
      </c>
      <c r="P114" s="160"/>
      <c r="Q114" s="163">
        <v>225</v>
      </c>
      <c r="R114" s="162">
        <v>30</v>
      </c>
      <c r="S114" s="284">
        <f t="shared" si="51"/>
        <v>0.03</v>
      </c>
      <c r="T114" s="284" t="s">
        <v>376</v>
      </c>
      <c r="U114" s="284" t="s">
        <v>166</v>
      </c>
      <c r="V114" s="509"/>
      <c r="W114" s="326" t="s">
        <v>473</v>
      </c>
    </row>
    <row r="115" spans="1:23" s="41" customFormat="1" ht="18.75" customHeight="1">
      <c r="A115" s="331" t="s">
        <v>44</v>
      </c>
      <c r="B115" s="299">
        <v>8.299999999999999E-2</v>
      </c>
      <c r="C115" s="299">
        <v>0.91874999999999996</v>
      </c>
      <c r="D115" s="184"/>
      <c r="E115" s="184"/>
      <c r="F115" s="324">
        <v>0.84738368982774115</v>
      </c>
      <c r="G115" s="303">
        <v>0.77729999999999999</v>
      </c>
      <c r="H115" s="195">
        <v>0.14145000000000002</v>
      </c>
      <c r="I115" s="184"/>
      <c r="J115" s="184"/>
      <c r="K115" s="184"/>
      <c r="L115" s="195">
        <v>3.8374999999999999E-2</v>
      </c>
      <c r="M115" s="195">
        <v>0.85854999999999992</v>
      </c>
      <c r="N115" s="195">
        <v>6.7999999999999988E-3</v>
      </c>
      <c r="O115" s="195">
        <v>1.5579999999999997E-2</v>
      </c>
      <c r="P115" s="184"/>
      <c r="Q115" s="304">
        <v>91.224808286873852</v>
      </c>
      <c r="R115" s="300">
        <v>517.5</v>
      </c>
      <c r="S115" s="196">
        <v>1.0024</v>
      </c>
      <c r="T115" s="196" t="s">
        <v>376</v>
      </c>
      <c r="U115" s="196" t="s">
        <v>166</v>
      </c>
      <c r="V115" s="330"/>
      <c r="W115" s="331" t="s">
        <v>474</v>
      </c>
    </row>
    <row r="116" spans="1:23" s="41" customFormat="1" ht="19.25" customHeight="1">
      <c r="A116" s="40"/>
      <c r="B116" s="653" t="s">
        <v>30</v>
      </c>
      <c r="C116" s="653"/>
      <c r="D116" s="653"/>
      <c r="E116" s="653"/>
      <c r="F116" s="653"/>
      <c r="G116" s="653"/>
      <c r="H116" s="653"/>
      <c r="I116" s="653"/>
      <c r="J116" s="653"/>
      <c r="K116" s="653"/>
      <c r="L116" s="653"/>
      <c r="M116" s="653"/>
      <c r="N116" s="653"/>
      <c r="O116" s="653"/>
      <c r="P116" s="653"/>
      <c r="Q116" s="653"/>
      <c r="R116" s="653"/>
      <c r="S116" s="83"/>
      <c r="T116" s="83"/>
      <c r="U116" s="83"/>
      <c r="V116" s="45"/>
      <c r="W116" s="45"/>
    </row>
    <row r="117" spans="1:23" s="41" customFormat="1" ht="19.25" customHeight="1">
      <c r="A117" s="331" t="s">
        <v>39</v>
      </c>
      <c r="B117" s="150">
        <v>1</v>
      </c>
      <c r="C117" s="155">
        <v>0</v>
      </c>
      <c r="D117" s="152"/>
      <c r="E117" s="152"/>
      <c r="F117" s="320">
        <v>0</v>
      </c>
      <c r="G117" s="151">
        <v>0</v>
      </c>
      <c r="H117" s="151">
        <v>0</v>
      </c>
      <c r="I117" s="153"/>
      <c r="J117" s="153"/>
      <c r="K117" s="153"/>
      <c r="L117" s="151">
        <v>0</v>
      </c>
      <c r="M117" s="195">
        <v>0</v>
      </c>
      <c r="N117" s="195">
        <v>0</v>
      </c>
      <c r="O117" s="195">
        <v>0</v>
      </c>
      <c r="P117" s="153"/>
      <c r="Q117" s="151">
        <v>0</v>
      </c>
      <c r="R117" s="155">
        <v>1000</v>
      </c>
      <c r="S117" s="196">
        <f>R117/DensityofWater</f>
        <v>1</v>
      </c>
      <c r="T117" s="196" t="s">
        <v>376</v>
      </c>
      <c r="U117" s="196" t="s">
        <v>169</v>
      </c>
      <c r="V117" s="331"/>
      <c r="W117" s="331"/>
    </row>
    <row r="118" spans="1:23">
      <c r="A118" s="87" t="s">
        <v>475</v>
      </c>
    </row>
    <row r="125" spans="1:23">
      <c r="O125" s="21"/>
    </row>
    <row r="126" spans="1:23">
      <c r="O126" s="21"/>
    </row>
    <row r="127" spans="1:23">
      <c r="O127" s="21"/>
    </row>
    <row r="128" spans="1:23">
      <c r="O128" s="21"/>
    </row>
  </sheetData>
  <sheetProtection selectLockedCells="1"/>
  <autoFilter ref="A9:U118"/>
  <mergeCells count="25">
    <mergeCell ref="T8:U8"/>
    <mergeCell ref="B88:R88"/>
    <mergeCell ref="B100:R100"/>
    <mergeCell ref="B104:R104"/>
    <mergeCell ref="B116:R116"/>
    <mergeCell ref="B10:R10"/>
    <mergeCell ref="B32:R32"/>
    <mergeCell ref="B61:R61"/>
    <mergeCell ref="B65:R65"/>
    <mergeCell ref="B71:R71"/>
    <mergeCell ref="W54:W56"/>
    <mergeCell ref="V62:V64"/>
    <mergeCell ref="V67:V70"/>
    <mergeCell ref="V24:V31"/>
    <mergeCell ref="V91:V92"/>
    <mergeCell ref="V89:V90"/>
    <mergeCell ref="V52:V53"/>
    <mergeCell ref="V86:V87"/>
    <mergeCell ref="V111:V113"/>
    <mergeCell ref="V11:V23"/>
    <mergeCell ref="V81:V84"/>
    <mergeCell ref="V101:V103"/>
    <mergeCell ref="V54:V56"/>
    <mergeCell ref="V94:V95"/>
    <mergeCell ref="V109:V110"/>
  </mergeCells>
  <pageMargins left="0.7" right="0.7" top="0.75" bottom="0.75" header="0.3" footer="0.3"/>
  <pageSetup orientation="portrait" r:id="rId1"/>
  <ignoredErrors>
    <ignoredError sqref="R84" formula="1"/>
  </ignoredError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E8D548"/>
  </sheetPr>
  <dimension ref="A1:T114"/>
  <sheetViews>
    <sheetView workbookViewId="0"/>
  </sheetViews>
  <sheetFormatPr defaultColWidth="8.58203125" defaultRowHeight="15.5"/>
  <cols>
    <col min="1" max="1" width="35.58203125" bestFit="1" customWidth="1"/>
    <col min="2" max="2" width="27.5" style="22" bestFit="1" customWidth="1"/>
    <col min="3" max="3" width="8.08203125" style="22" bestFit="1" customWidth="1"/>
    <col min="4" max="4" width="11.58203125" style="22" bestFit="1" customWidth="1"/>
    <col min="5" max="5" width="7.6640625" style="22" bestFit="1" customWidth="1"/>
    <col min="6" max="6" width="11" style="22" bestFit="1" customWidth="1"/>
    <col min="7" max="7" width="10" style="22" bestFit="1" customWidth="1"/>
    <col min="8" max="8" width="7.5" style="22" bestFit="1" customWidth="1"/>
    <col min="9" max="9" width="21.08203125" style="22" bestFit="1" customWidth="1"/>
    <col min="10" max="10" width="71.58203125" style="22" customWidth="1"/>
    <col min="20" max="20" width="8.58203125" style="488"/>
  </cols>
  <sheetData>
    <row r="1" spans="1:20" ht="18">
      <c r="A1" s="287" t="s">
        <v>476</v>
      </c>
      <c r="B1" s="293"/>
      <c r="C1" s="293"/>
      <c r="D1" s="293"/>
      <c r="E1" s="293"/>
      <c r="F1" s="293"/>
      <c r="G1" s="293"/>
      <c r="H1" s="293"/>
      <c r="I1" s="293"/>
      <c r="J1" s="293"/>
    </row>
    <row r="2" spans="1:20">
      <c r="A2" s="654" t="s">
        <v>477</v>
      </c>
      <c r="B2" s="654"/>
      <c r="C2" s="654"/>
      <c r="D2" s="654"/>
      <c r="E2" s="654"/>
      <c r="F2" s="654"/>
      <c r="G2" s="654"/>
      <c r="H2" s="654"/>
      <c r="I2" s="654"/>
      <c r="J2" s="654"/>
    </row>
    <row r="3" spans="1:20">
      <c r="A3" s="654"/>
      <c r="B3" s="654"/>
      <c r="C3" s="654"/>
      <c r="D3" s="654"/>
      <c r="E3" s="654"/>
      <c r="F3" s="654"/>
      <c r="G3" s="654"/>
      <c r="H3" s="654"/>
      <c r="I3" s="654"/>
      <c r="J3" s="654"/>
      <c r="T3" s="488" t="s">
        <v>320</v>
      </c>
    </row>
    <row r="4" spans="1:20" s="487" customFormat="1">
      <c r="A4" s="40" t="s">
        <v>478</v>
      </c>
      <c r="B4" s="38" t="s">
        <v>318</v>
      </c>
      <c r="C4" s="38" t="s">
        <v>319</v>
      </c>
      <c r="D4" s="656" t="s">
        <v>320</v>
      </c>
      <c r="E4" s="656"/>
      <c r="F4" s="656"/>
      <c r="G4" s="656"/>
      <c r="H4" s="656"/>
      <c r="I4" s="38" t="s">
        <v>321</v>
      </c>
      <c r="J4" s="38" t="s">
        <v>479</v>
      </c>
      <c r="T4" s="489"/>
    </row>
    <row r="5" spans="1:20" s="487" customFormat="1">
      <c r="A5" s="40" t="s">
        <v>480</v>
      </c>
      <c r="B5" s="75" t="s">
        <v>481</v>
      </c>
      <c r="C5" s="75" t="s">
        <v>319</v>
      </c>
      <c r="D5" s="75" t="s">
        <v>482</v>
      </c>
      <c r="E5" s="75" t="s">
        <v>483</v>
      </c>
      <c r="F5" s="76" t="s">
        <v>484</v>
      </c>
      <c r="G5" s="75" t="s">
        <v>485</v>
      </c>
      <c r="H5" s="75" t="s">
        <v>486</v>
      </c>
      <c r="I5" s="75" t="s">
        <v>487</v>
      </c>
      <c r="J5" s="75" t="s">
        <v>488</v>
      </c>
      <c r="T5" s="489"/>
    </row>
    <row r="6" spans="1:20">
      <c r="A6" s="59"/>
      <c r="B6" s="655" t="s">
        <v>23</v>
      </c>
      <c r="C6" s="655"/>
      <c r="D6" s="655"/>
      <c r="E6" s="655"/>
      <c r="F6" s="655"/>
      <c r="G6" s="655"/>
      <c r="H6" s="655"/>
      <c r="I6" s="655"/>
      <c r="J6" s="655"/>
    </row>
    <row r="7" spans="1:20">
      <c r="A7" s="333" t="s">
        <v>489</v>
      </c>
      <c r="B7" s="65" t="s">
        <v>490</v>
      </c>
      <c r="C7" s="62"/>
      <c r="D7" s="63"/>
      <c r="E7" s="63"/>
      <c r="F7" s="62"/>
      <c r="G7" s="62"/>
      <c r="H7" s="64"/>
      <c r="I7" s="63"/>
      <c r="J7" s="62" t="s">
        <v>490</v>
      </c>
      <c r="T7" s="488">
        <f t="shared" ref="T7:T38" si="0">COUNTA(D7:H7)</f>
        <v>0</v>
      </c>
    </row>
    <row r="8" spans="1:20">
      <c r="A8" s="333" t="s">
        <v>57</v>
      </c>
      <c r="B8" s="65" t="s">
        <v>490</v>
      </c>
      <c r="C8" s="66"/>
      <c r="D8" s="67"/>
      <c r="E8" s="67"/>
      <c r="F8" s="66"/>
      <c r="G8" s="66"/>
      <c r="H8" s="68"/>
      <c r="I8" s="67"/>
      <c r="J8" s="66" t="s">
        <v>490</v>
      </c>
      <c r="T8" s="488">
        <f t="shared" si="0"/>
        <v>0</v>
      </c>
    </row>
    <row r="9" spans="1:20">
      <c r="A9" s="333" t="s">
        <v>91</v>
      </c>
      <c r="B9" s="65" t="s">
        <v>490</v>
      </c>
      <c r="C9" s="66"/>
      <c r="D9" s="67"/>
      <c r="E9" s="67"/>
      <c r="F9" s="66"/>
      <c r="G9" s="66"/>
      <c r="H9" s="68"/>
      <c r="I9" s="67"/>
      <c r="J9" s="66" t="s">
        <v>490</v>
      </c>
      <c r="T9" s="488">
        <f t="shared" si="0"/>
        <v>0</v>
      </c>
    </row>
    <row r="10" spans="1:20">
      <c r="A10" s="333" t="s">
        <v>83</v>
      </c>
      <c r="B10" s="65" t="s">
        <v>490</v>
      </c>
      <c r="C10" s="66"/>
      <c r="D10" s="67"/>
      <c r="E10" s="67"/>
      <c r="F10" s="66"/>
      <c r="G10" s="66"/>
      <c r="H10" s="68"/>
      <c r="I10" s="67"/>
      <c r="J10" s="66" t="s">
        <v>490</v>
      </c>
      <c r="T10" s="488">
        <f t="shared" si="0"/>
        <v>0</v>
      </c>
    </row>
    <row r="11" spans="1:20">
      <c r="A11" s="333" t="s">
        <v>491</v>
      </c>
      <c r="B11" s="65" t="s">
        <v>490</v>
      </c>
      <c r="C11" s="65"/>
      <c r="D11" s="67"/>
      <c r="E11" s="67"/>
      <c r="F11" s="66"/>
      <c r="G11" s="65"/>
      <c r="H11" s="65"/>
      <c r="I11" s="69"/>
      <c r="J11" s="66" t="s">
        <v>490</v>
      </c>
      <c r="T11" s="488">
        <f t="shared" si="0"/>
        <v>0</v>
      </c>
    </row>
    <row r="12" spans="1:20">
      <c r="A12" s="333" t="s">
        <v>492</v>
      </c>
      <c r="B12" s="65" t="s">
        <v>490</v>
      </c>
      <c r="C12" s="65"/>
      <c r="D12" s="67"/>
      <c r="E12" s="67"/>
      <c r="F12" s="66"/>
      <c r="G12" s="65"/>
      <c r="H12" s="65"/>
      <c r="I12" s="69"/>
      <c r="J12" s="66" t="s">
        <v>490</v>
      </c>
      <c r="T12" s="488">
        <f t="shared" si="0"/>
        <v>0</v>
      </c>
    </row>
    <row r="13" spans="1:20">
      <c r="A13" s="333" t="s">
        <v>493</v>
      </c>
      <c r="B13" s="65" t="s">
        <v>490</v>
      </c>
      <c r="C13" s="65"/>
      <c r="D13" s="67"/>
      <c r="E13" s="67"/>
      <c r="F13" s="66"/>
      <c r="G13" s="65"/>
      <c r="H13" s="65"/>
      <c r="I13" s="69"/>
      <c r="J13" s="66" t="s">
        <v>490</v>
      </c>
      <c r="T13" s="488">
        <f t="shared" si="0"/>
        <v>0</v>
      </c>
    </row>
    <row r="14" spans="1:20">
      <c r="A14" s="333" t="s">
        <v>494</v>
      </c>
      <c r="B14" s="65" t="s">
        <v>490</v>
      </c>
      <c r="C14" s="65"/>
      <c r="D14" s="67"/>
      <c r="E14" s="67"/>
      <c r="F14" s="66"/>
      <c r="G14" s="65"/>
      <c r="H14" s="65"/>
      <c r="I14" s="69"/>
      <c r="J14" s="66" t="s">
        <v>490</v>
      </c>
      <c r="T14" s="488">
        <f t="shared" si="0"/>
        <v>0</v>
      </c>
    </row>
    <row r="15" spans="1:20">
      <c r="A15" s="333" t="s">
        <v>495</v>
      </c>
      <c r="B15" s="65" t="s">
        <v>490</v>
      </c>
      <c r="C15" s="65" t="s">
        <v>490</v>
      </c>
      <c r="D15" s="67"/>
      <c r="E15" s="67"/>
      <c r="F15" s="66"/>
      <c r="G15" s="65"/>
      <c r="H15" s="65"/>
      <c r="I15" s="69"/>
      <c r="J15" s="66" t="s">
        <v>490</v>
      </c>
      <c r="T15" s="488">
        <f t="shared" si="0"/>
        <v>0</v>
      </c>
    </row>
    <row r="16" spans="1:20">
      <c r="A16" s="333" t="s">
        <v>496</v>
      </c>
      <c r="B16" s="65" t="s">
        <v>490</v>
      </c>
      <c r="C16" s="65" t="s">
        <v>490</v>
      </c>
      <c r="D16" s="67"/>
      <c r="E16" s="67"/>
      <c r="F16" s="66"/>
      <c r="G16" s="65"/>
      <c r="H16" s="65"/>
      <c r="I16" s="69"/>
      <c r="J16" s="66" t="s">
        <v>490</v>
      </c>
      <c r="T16" s="488">
        <f t="shared" si="0"/>
        <v>0</v>
      </c>
    </row>
    <row r="17" spans="1:20">
      <c r="A17" s="333" t="s">
        <v>497</v>
      </c>
      <c r="B17" s="65" t="s">
        <v>490</v>
      </c>
      <c r="C17" s="65" t="s">
        <v>490</v>
      </c>
      <c r="D17" s="67"/>
      <c r="E17" s="67"/>
      <c r="F17" s="66"/>
      <c r="G17" s="65"/>
      <c r="H17" s="65"/>
      <c r="I17" s="69"/>
      <c r="J17" s="66" t="s">
        <v>490</v>
      </c>
      <c r="T17" s="488">
        <f t="shared" si="0"/>
        <v>0</v>
      </c>
    </row>
    <row r="18" spans="1:20">
      <c r="A18" s="333" t="s">
        <v>104</v>
      </c>
      <c r="B18" s="65" t="s">
        <v>490</v>
      </c>
      <c r="C18" s="65" t="s">
        <v>490</v>
      </c>
      <c r="D18" s="67"/>
      <c r="E18" s="67"/>
      <c r="F18" s="66"/>
      <c r="G18" s="65"/>
      <c r="H18" s="65"/>
      <c r="I18" s="69"/>
      <c r="J18" s="66" t="s">
        <v>490</v>
      </c>
      <c r="T18" s="488">
        <f t="shared" si="0"/>
        <v>0</v>
      </c>
    </row>
    <row r="19" spans="1:20">
      <c r="A19" s="333" t="s">
        <v>32</v>
      </c>
      <c r="B19" s="65" t="s">
        <v>490</v>
      </c>
      <c r="C19" s="65" t="s">
        <v>490</v>
      </c>
      <c r="D19" s="67"/>
      <c r="E19" s="67"/>
      <c r="F19" s="66"/>
      <c r="G19" s="65"/>
      <c r="H19" s="65"/>
      <c r="I19" s="69"/>
      <c r="J19" s="66" t="s">
        <v>490</v>
      </c>
      <c r="T19" s="488">
        <f t="shared" si="0"/>
        <v>0</v>
      </c>
    </row>
    <row r="20" spans="1:20">
      <c r="A20" s="333" t="s">
        <v>107</v>
      </c>
      <c r="B20" s="65" t="s">
        <v>490</v>
      </c>
      <c r="C20" s="65"/>
      <c r="D20" s="67"/>
      <c r="E20" s="67"/>
      <c r="F20" s="66"/>
      <c r="G20" s="65"/>
      <c r="H20" s="65"/>
      <c r="I20" s="69"/>
      <c r="J20" s="66" t="s">
        <v>490</v>
      </c>
      <c r="T20" s="488">
        <f t="shared" si="0"/>
        <v>0</v>
      </c>
    </row>
    <row r="21" spans="1:20">
      <c r="A21" s="333" t="s">
        <v>49</v>
      </c>
      <c r="B21" s="65" t="s">
        <v>490</v>
      </c>
      <c r="C21" s="65"/>
      <c r="D21" s="67"/>
      <c r="E21" s="67"/>
      <c r="F21" s="66"/>
      <c r="G21" s="65"/>
      <c r="H21" s="65"/>
      <c r="I21" s="69"/>
      <c r="J21" s="66" t="s">
        <v>490</v>
      </c>
      <c r="T21" s="488">
        <f t="shared" si="0"/>
        <v>0</v>
      </c>
    </row>
    <row r="22" spans="1:20">
      <c r="A22" s="333" t="s">
        <v>116</v>
      </c>
      <c r="B22" s="65" t="s">
        <v>490</v>
      </c>
      <c r="C22" s="65"/>
      <c r="D22" s="67"/>
      <c r="E22" s="67"/>
      <c r="F22" s="66"/>
      <c r="G22" s="65"/>
      <c r="H22" s="65"/>
      <c r="I22" s="69"/>
      <c r="J22" s="66" t="s">
        <v>490</v>
      </c>
      <c r="T22" s="488">
        <f t="shared" si="0"/>
        <v>0</v>
      </c>
    </row>
    <row r="23" spans="1:20">
      <c r="A23" s="333" t="s">
        <v>114</v>
      </c>
      <c r="B23" s="65" t="s">
        <v>490</v>
      </c>
      <c r="C23" s="65"/>
      <c r="D23" s="67"/>
      <c r="E23" s="67"/>
      <c r="F23" s="66"/>
      <c r="G23" s="65"/>
      <c r="H23" s="65"/>
      <c r="I23" s="69"/>
      <c r="J23" s="66" t="s">
        <v>490</v>
      </c>
      <c r="T23" s="488">
        <f t="shared" si="0"/>
        <v>0</v>
      </c>
    </row>
    <row r="24" spans="1:20">
      <c r="A24" s="333" t="s">
        <v>87</v>
      </c>
      <c r="B24" s="65" t="s">
        <v>490</v>
      </c>
      <c r="C24" s="65"/>
      <c r="D24" s="67"/>
      <c r="E24" s="67"/>
      <c r="F24" s="66"/>
      <c r="G24" s="65"/>
      <c r="H24" s="65"/>
      <c r="I24" s="69"/>
      <c r="J24" s="66" t="s">
        <v>490</v>
      </c>
      <c r="T24" s="488">
        <f t="shared" si="0"/>
        <v>0</v>
      </c>
    </row>
    <row r="25" spans="1:20">
      <c r="A25" s="333" t="s">
        <v>101</v>
      </c>
      <c r="B25" s="65" t="s">
        <v>490</v>
      </c>
      <c r="C25" s="65"/>
      <c r="D25" s="67"/>
      <c r="E25" s="67"/>
      <c r="F25" s="66"/>
      <c r="G25" s="65"/>
      <c r="H25" s="65"/>
      <c r="I25" s="69"/>
      <c r="J25" s="66" t="s">
        <v>490</v>
      </c>
      <c r="T25" s="488">
        <f t="shared" si="0"/>
        <v>0</v>
      </c>
    </row>
    <row r="26" spans="1:20">
      <c r="A26" s="333" t="s">
        <v>118</v>
      </c>
      <c r="B26" s="65" t="s">
        <v>490</v>
      </c>
      <c r="C26" s="65"/>
      <c r="D26" s="67"/>
      <c r="E26" s="67"/>
      <c r="F26" s="66"/>
      <c r="G26" s="65"/>
      <c r="H26" s="65"/>
      <c r="I26" s="69"/>
      <c r="J26" s="66" t="s">
        <v>490</v>
      </c>
      <c r="T26" s="488">
        <f t="shared" si="0"/>
        <v>0</v>
      </c>
    </row>
    <row r="27" spans="1:20">
      <c r="A27" s="333" t="s">
        <v>95</v>
      </c>
      <c r="B27" s="65" t="s">
        <v>490</v>
      </c>
      <c r="C27" s="65"/>
      <c r="D27" s="67"/>
      <c r="E27" s="67"/>
      <c r="F27" s="66"/>
      <c r="G27" s="65"/>
      <c r="H27" s="65"/>
      <c r="I27" s="69"/>
      <c r="J27" s="66" t="s">
        <v>490</v>
      </c>
      <c r="T27" s="488">
        <f t="shared" si="0"/>
        <v>0</v>
      </c>
    </row>
    <row r="28" spans="1:20">
      <c r="A28" s="60"/>
      <c r="B28" s="655" t="s">
        <v>392</v>
      </c>
      <c r="C28" s="655"/>
      <c r="D28" s="655"/>
      <c r="E28" s="655"/>
      <c r="F28" s="655"/>
      <c r="G28" s="655"/>
      <c r="H28" s="655"/>
      <c r="I28" s="655"/>
      <c r="J28" s="655"/>
      <c r="T28" s="488">
        <f t="shared" si="0"/>
        <v>0</v>
      </c>
    </row>
    <row r="29" spans="1:20">
      <c r="A29" s="333" t="s">
        <v>31</v>
      </c>
      <c r="B29" s="74"/>
      <c r="C29" s="74"/>
      <c r="D29" s="64"/>
      <c r="E29" s="63"/>
      <c r="F29" s="62"/>
      <c r="G29" s="74"/>
      <c r="H29" s="74"/>
      <c r="I29" s="74"/>
      <c r="J29" s="62"/>
      <c r="T29" s="488">
        <f t="shared" si="0"/>
        <v>0</v>
      </c>
    </row>
    <row r="30" spans="1:20">
      <c r="A30" s="333" t="s">
        <v>40</v>
      </c>
      <c r="B30" s="65"/>
      <c r="C30" s="65"/>
      <c r="D30" s="68"/>
      <c r="E30" s="67"/>
      <c r="F30" s="66"/>
      <c r="G30" s="65"/>
      <c r="H30" s="65"/>
      <c r="I30" s="65"/>
      <c r="J30" s="66"/>
      <c r="T30" s="488">
        <f t="shared" si="0"/>
        <v>0</v>
      </c>
    </row>
    <row r="31" spans="1:20">
      <c r="A31" s="333" t="s">
        <v>48</v>
      </c>
      <c r="B31" s="65"/>
      <c r="C31" s="65"/>
      <c r="D31" s="68"/>
      <c r="E31" s="67"/>
      <c r="F31" s="66"/>
      <c r="G31" s="65"/>
      <c r="H31" s="65"/>
      <c r="I31" s="65"/>
      <c r="J31" s="66"/>
      <c r="T31" s="488">
        <f t="shared" si="0"/>
        <v>0</v>
      </c>
    </row>
    <row r="32" spans="1:20">
      <c r="A32" s="333" t="s">
        <v>56</v>
      </c>
      <c r="B32" s="65"/>
      <c r="C32" s="65"/>
      <c r="D32" s="68"/>
      <c r="E32" s="67"/>
      <c r="F32" s="66"/>
      <c r="G32" s="65"/>
      <c r="H32" s="65"/>
      <c r="I32" s="65"/>
      <c r="J32" s="66"/>
      <c r="T32" s="488">
        <f t="shared" si="0"/>
        <v>0</v>
      </c>
    </row>
    <row r="33" spans="1:20">
      <c r="A33" s="333" t="s">
        <v>73</v>
      </c>
      <c r="B33" s="65"/>
      <c r="C33" s="65"/>
      <c r="D33" s="68"/>
      <c r="E33" s="67"/>
      <c r="F33" s="66"/>
      <c r="G33" s="65"/>
      <c r="H33" s="65"/>
      <c r="I33" s="65"/>
      <c r="J33" s="66"/>
      <c r="T33" s="488">
        <f t="shared" si="0"/>
        <v>0</v>
      </c>
    </row>
    <row r="34" spans="1:20">
      <c r="A34" s="333" t="s">
        <v>62</v>
      </c>
      <c r="B34" s="65"/>
      <c r="C34" s="65"/>
      <c r="D34" s="68"/>
      <c r="E34" s="67"/>
      <c r="F34" s="66"/>
      <c r="G34" s="65"/>
      <c r="H34" s="65"/>
      <c r="I34" s="65"/>
      <c r="J34" s="66"/>
      <c r="T34" s="488">
        <f t="shared" si="0"/>
        <v>0</v>
      </c>
    </row>
    <row r="35" spans="1:20">
      <c r="A35" s="333" t="s">
        <v>68</v>
      </c>
      <c r="B35" s="65"/>
      <c r="C35" s="65"/>
      <c r="D35" s="68"/>
      <c r="E35" s="67"/>
      <c r="F35" s="66"/>
      <c r="G35" s="65"/>
      <c r="H35" s="65"/>
      <c r="I35" s="65"/>
      <c r="J35" s="66"/>
      <c r="T35" s="488">
        <f t="shared" si="0"/>
        <v>0</v>
      </c>
    </row>
    <row r="36" spans="1:20">
      <c r="A36" s="333" t="s">
        <v>121</v>
      </c>
      <c r="B36" s="65"/>
      <c r="C36" s="65"/>
      <c r="D36" s="68"/>
      <c r="E36" s="67"/>
      <c r="F36" s="66"/>
      <c r="G36" s="65"/>
      <c r="H36" s="65"/>
      <c r="I36" s="65"/>
      <c r="J36" s="66"/>
      <c r="T36" s="488">
        <f t="shared" si="0"/>
        <v>0</v>
      </c>
    </row>
    <row r="37" spans="1:20">
      <c r="A37" s="333" t="s">
        <v>82</v>
      </c>
      <c r="B37" s="65"/>
      <c r="C37" s="65"/>
      <c r="D37" s="68"/>
      <c r="E37" s="67"/>
      <c r="F37" s="66"/>
      <c r="G37" s="65"/>
      <c r="H37" s="65"/>
      <c r="I37" s="65"/>
      <c r="J37" s="66"/>
      <c r="T37" s="488">
        <f t="shared" si="0"/>
        <v>0</v>
      </c>
    </row>
    <row r="38" spans="1:20">
      <c r="A38" s="333" t="s">
        <v>86</v>
      </c>
      <c r="B38" s="65"/>
      <c r="C38" s="65"/>
      <c r="D38" s="68"/>
      <c r="E38" s="67"/>
      <c r="F38" s="66"/>
      <c r="G38" s="65"/>
      <c r="H38" s="65"/>
      <c r="I38" s="65"/>
      <c r="J38" s="66"/>
      <c r="T38" s="488">
        <f t="shared" si="0"/>
        <v>0</v>
      </c>
    </row>
    <row r="39" spans="1:20">
      <c r="A39" s="333" t="s">
        <v>100</v>
      </c>
      <c r="B39" s="65"/>
      <c r="C39" s="65"/>
      <c r="D39" s="68"/>
      <c r="E39" s="67"/>
      <c r="F39" s="66"/>
      <c r="G39" s="65"/>
      <c r="H39" s="65"/>
      <c r="I39" s="65"/>
      <c r="J39" s="66"/>
      <c r="T39" s="488">
        <f t="shared" ref="T39:T70" si="1">COUNTA(D39:H39)</f>
        <v>0</v>
      </c>
    </row>
    <row r="40" spans="1:20">
      <c r="A40" s="333" t="s">
        <v>405</v>
      </c>
      <c r="B40" s="65"/>
      <c r="C40" s="65"/>
      <c r="D40" s="68"/>
      <c r="E40" s="67"/>
      <c r="F40" s="66"/>
      <c r="G40" s="65"/>
      <c r="H40" s="65"/>
      <c r="I40" s="65"/>
      <c r="J40" s="66"/>
      <c r="T40" s="488">
        <f t="shared" si="1"/>
        <v>0</v>
      </c>
    </row>
    <row r="41" spans="1:20">
      <c r="A41" s="333" t="s">
        <v>103</v>
      </c>
      <c r="B41" s="65"/>
      <c r="C41" s="65"/>
      <c r="D41" s="68"/>
      <c r="E41" s="67"/>
      <c r="F41" s="66"/>
      <c r="G41" s="65"/>
      <c r="H41" s="65"/>
      <c r="I41" s="65"/>
      <c r="J41" s="66"/>
      <c r="T41" s="488">
        <f t="shared" si="1"/>
        <v>0</v>
      </c>
    </row>
    <row r="42" spans="1:20">
      <c r="A42" s="333" t="s">
        <v>111</v>
      </c>
      <c r="B42" s="65"/>
      <c r="C42" s="65"/>
      <c r="D42" s="68"/>
      <c r="E42" s="67"/>
      <c r="F42" s="66"/>
      <c r="G42" s="65"/>
      <c r="H42" s="65"/>
      <c r="I42" s="65"/>
      <c r="J42" s="66"/>
      <c r="T42" s="488">
        <f t="shared" si="1"/>
        <v>0</v>
      </c>
    </row>
    <row r="43" spans="1:20">
      <c r="A43" s="333" t="s">
        <v>109</v>
      </c>
      <c r="B43" s="65"/>
      <c r="C43" s="65"/>
      <c r="D43" s="68"/>
      <c r="E43" s="67"/>
      <c r="F43" s="66"/>
      <c r="G43" s="65"/>
      <c r="H43" s="65"/>
      <c r="I43" s="65"/>
      <c r="J43" s="66"/>
      <c r="T43" s="488">
        <f t="shared" si="1"/>
        <v>0</v>
      </c>
    </row>
    <row r="44" spans="1:20">
      <c r="A44" s="333" t="s">
        <v>113</v>
      </c>
      <c r="B44" s="65"/>
      <c r="C44" s="65"/>
      <c r="D44" s="68"/>
      <c r="E44" s="67"/>
      <c r="F44" s="66"/>
      <c r="G44" s="65"/>
      <c r="H44" s="65"/>
      <c r="I44" s="65"/>
      <c r="J44" s="66"/>
      <c r="T44" s="488">
        <f t="shared" si="1"/>
        <v>0</v>
      </c>
    </row>
    <row r="45" spans="1:20">
      <c r="A45" s="333" t="s">
        <v>120</v>
      </c>
      <c r="B45" s="65"/>
      <c r="C45" s="65"/>
      <c r="D45" s="68"/>
      <c r="E45" s="67"/>
      <c r="F45" s="66"/>
      <c r="G45" s="65"/>
      <c r="H45" s="65"/>
      <c r="I45" s="65"/>
      <c r="J45" s="66"/>
      <c r="T45" s="488">
        <f t="shared" si="1"/>
        <v>0</v>
      </c>
    </row>
    <row r="46" spans="1:20">
      <c r="A46" s="333" t="s">
        <v>123</v>
      </c>
      <c r="B46" s="65"/>
      <c r="C46" s="65"/>
      <c r="D46" s="68"/>
      <c r="E46" s="67"/>
      <c r="F46" s="66"/>
      <c r="G46" s="65"/>
      <c r="H46" s="65"/>
      <c r="I46" s="65"/>
      <c r="J46" s="66"/>
      <c r="T46" s="488">
        <f t="shared" si="1"/>
        <v>0</v>
      </c>
    </row>
    <row r="47" spans="1:20">
      <c r="A47" s="333" t="s">
        <v>124</v>
      </c>
      <c r="B47" s="65"/>
      <c r="C47" s="65"/>
      <c r="D47" s="68"/>
      <c r="E47" s="67"/>
      <c r="F47" s="66"/>
      <c r="G47" s="65"/>
      <c r="H47" s="65"/>
      <c r="I47" s="65"/>
      <c r="J47" s="66"/>
      <c r="T47" s="488">
        <f t="shared" si="1"/>
        <v>0</v>
      </c>
    </row>
    <row r="48" spans="1:20">
      <c r="A48" s="333" t="s">
        <v>90</v>
      </c>
      <c r="B48" s="65"/>
      <c r="C48" s="65"/>
      <c r="D48" s="68"/>
      <c r="E48" s="67"/>
      <c r="F48" s="66"/>
      <c r="G48" s="65"/>
      <c r="H48" s="65"/>
      <c r="I48" s="65"/>
      <c r="J48" s="66" t="s">
        <v>490</v>
      </c>
      <c r="T48" s="488">
        <f t="shared" si="1"/>
        <v>0</v>
      </c>
    </row>
    <row r="49" spans="1:20">
      <c r="A49" s="333" t="s">
        <v>417</v>
      </c>
      <c r="B49" s="65"/>
      <c r="C49" s="65"/>
      <c r="D49" s="68"/>
      <c r="E49" s="67"/>
      <c r="F49" s="66"/>
      <c r="G49" s="65"/>
      <c r="H49" s="65"/>
      <c r="I49" s="65"/>
      <c r="J49" s="66" t="s">
        <v>490</v>
      </c>
      <c r="T49" s="488">
        <f t="shared" si="1"/>
        <v>0</v>
      </c>
    </row>
    <row r="50" spans="1:20">
      <c r="A50" s="333" t="s">
        <v>119</v>
      </c>
      <c r="B50" s="65"/>
      <c r="C50" s="65"/>
      <c r="D50" s="68"/>
      <c r="E50" s="67"/>
      <c r="F50" s="66"/>
      <c r="G50" s="65"/>
      <c r="H50" s="65"/>
      <c r="I50" s="65"/>
      <c r="J50" s="66" t="s">
        <v>490</v>
      </c>
      <c r="T50" s="488">
        <f t="shared" si="1"/>
        <v>0</v>
      </c>
    </row>
    <row r="51" spans="1:20">
      <c r="A51" s="333" t="s">
        <v>115</v>
      </c>
      <c r="B51" s="65"/>
      <c r="C51" s="65"/>
      <c r="D51" s="68"/>
      <c r="E51" s="67"/>
      <c r="F51" s="66"/>
      <c r="G51" s="65"/>
      <c r="H51" s="65"/>
      <c r="I51" s="65"/>
      <c r="J51" s="66" t="s">
        <v>490</v>
      </c>
      <c r="T51" s="488">
        <f t="shared" si="1"/>
        <v>0</v>
      </c>
    </row>
    <row r="52" spans="1:20">
      <c r="A52" s="333" t="s">
        <v>117</v>
      </c>
      <c r="B52" s="65"/>
      <c r="C52" s="65"/>
      <c r="D52" s="68"/>
      <c r="E52" s="67"/>
      <c r="F52" s="66"/>
      <c r="G52" s="65"/>
      <c r="H52" s="65"/>
      <c r="I52" s="65"/>
      <c r="J52" s="66" t="s">
        <v>490</v>
      </c>
      <c r="T52" s="488">
        <f t="shared" si="1"/>
        <v>0</v>
      </c>
    </row>
    <row r="53" spans="1:20">
      <c r="A53" s="333" t="s">
        <v>125</v>
      </c>
      <c r="B53" s="65"/>
      <c r="C53" s="65"/>
      <c r="D53" s="68"/>
      <c r="E53" s="67"/>
      <c r="F53" s="66"/>
      <c r="G53" s="65"/>
      <c r="H53" s="65"/>
      <c r="I53" s="65"/>
      <c r="J53" s="66"/>
      <c r="T53" s="488">
        <f t="shared" si="1"/>
        <v>0</v>
      </c>
    </row>
    <row r="54" spans="1:20">
      <c r="A54" s="333" t="s">
        <v>97</v>
      </c>
      <c r="B54" s="65"/>
      <c r="C54" s="65"/>
      <c r="D54" s="68"/>
      <c r="E54" s="67"/>
      <c r="F54" s="66"/>
      <c r="G54" s="65"/>
      <c r="H54" s="65"/>
      <c r="I54" s="65"/>
      <c r="J54" s="66"/>
      <c r="T54" s="488">
        <f t="shared" si="1"/>
        <v>0</v>
      </c>
    </row>
    <row r="55" spans="1:20">
      <c r="A55" s="333" t="s">
        <v>78</v>
      </c>
      <c r="B55" s="65"/>
      <c r="C55" s="65"/>
      <c r="D55" s="68"/>
      <c r="E55" s="67"/>
      <c r="F55" s="66"/>
      <c r="G55" s="65"/>
      <c r="H55" s="73"/>
      <c r="I55" s="65"/>
      <c r="J55" s="66"/>
      <c r="T55" s="488">
        <f t="shared" si="1"/>
        <v>0</v>
      </c>
    </row>
    <row r="56" spans="1:20">
      <c r="A56" s="333" t="s">
        <v>122</v>
      </c>
      <c r="B56" s="70"/>
      <c r="C56" s="70"/>
      <c r="D56" s="79"/>
      <c r="E56" s="71"/>
      <c r="F56" s="72"/>
      <c r="G56" s="70"/>
      <c r="H56" s="70"/>
      <c r="I56" s="70"/>
      <c r="J56" s="72"/>
      <c r="T56" s="488">
        <f t="shared" si="1"/>
        <v>0</v>
      </c>
    </row>
    <row r="57" spans="1:20">
      <c r="A57" s="60"/>
      <c r="B57" s="655" t="s">
        <v>28</v>
      </c>
      <c r="C57" s="655"/>
      <c r="D57" s="655"/>
      <c r="E57" s="655"/>
      <c r="F57" s="655"/>
      <c r="G57" s="655"/>
      <c r="H57" s="655"/>
      <c r="I57" s="655"/>
      <c r="J57" s="655"/>
      <c r="T57" s="488">
        <f t="shared" si="1"/>
        <v>0</v>
      </c>
    </row>
    <row r="58" spans="1:20">
      <c r="A58" s="333" t="s">
        <v>37</v>
      </c>
      <c r="B58" s="74"/>
      <c r="C58" s="74"/>
      <c r="D58" s="74"/>
      <c r="E58" s="74"/>
      <c r="F58" s="74"/>
      <c r="G58" s="74"/>
      <c r="H58" s="74" t="s">
        <v>490</v>
      </c>
      <c r="I58" s="74"/>
      <c r="J58" s="62"/>
      <c r="T58" s="488">
        <f>COUNTA(D58:H58)</f>
        <v>1</v>
      </c>
    </row>
    <row r="59" spans="1:20">
      <c r="A59" s="333" t="s">
        <v>54</v>
      </c>
      <c r="B59" s="65"/>
      <c r="C59" s="65"/>
      <c r="D59" s="74"/>
      <c r="E59" s="74"/>
      <c r="F59" s="74"/>
      <c r="G59" s="65"/>
      <c r="H59" s="65" t="s">
        <v>490</v>
      </c>
      <c r="I59" s="65"/>
      <c r="J59" s="66"/>
      <c r="T59" s="488">
        <f t="shared" si="1"/>
        <v>1</v>
      </c>
    </row>
    <row r="60" spans="1:20" ht="16" thickBot="1">
      <c r="A60" s="333" t="s">
        <v>46</v>
      </c>
      <c r="B60" s="70"/>
      <c r="C60" s="70"/>
      <c r="D60" s="80"/>
      <c r="E60" s="80"/>
      <c r="F60" s="80"/>
      <c r="G60" s="70"/>
      <c r="H60" s="65" t="s">
        <v>490</v>
      </c>
      <c r="I60" s="70"/>
      <c r="J60" s="72"/>
      <c r="T60" s="488">
        <f t="shared" si="1"/>
        <v>1</v>
      </c>
    </row>
    <row r="61" spans="1:20" ht="16" thickBot="1">
      <c r="A61" s="61"/>
      <c r="B61" s="657" t="s">
        <v>429</v>
      </c>
      <c r="C61" s="658"/>
      <c r="D61" s="658"/>
      <c r="E61" s="658"/>
      <c r="F61" s="658"/>
      <c r="G61" s="658"/>
      <c r="H61" s="658"/>
      <c r="I61" s="658"/>
      <c r="J61" s="658"/>
      <c r="T61" s="488">
        <f t="shared" si="1"/>
        <v>0</v>
      </c>
    </row>
    <row r="62" spans="1:20">
      <c r="A62" s="334" t="s">
        <v>36</v>
      </c>
      <c r="B62" s="74"/>
      <c r="C62" s="74"/>
      <c r="D62" s="74"/>
      <c r="E62" s="74"/>
      <c r="F62" s="74"/>
      <c r="G62" s="74"/>
      <c r="H62" s="74"/>
      <c r="I62" s="74"/>
      <c r="J62" s="62"/>
      <c r="T62" s="488">
        <f t="shared" si="1"/>
        <v>0</v>
      </c>
    </row>
    <row r="63" spans="1:20">
      <c r="A63" s="333" t="s">
        <v>61</v>
      </c>
      <c r="B63" s="65"/>
      <c r="C63" s="65"/>
      <c r="D63" s="74"/>
      <c r="E63" s="74"/>
      <c r="F63" s="74"/>
      <c r="G63" s="74"/>
      <c r="H63" s="74"/>
      <c r="I63" s="74"/>
      <c r="J63" s="66"/>
      <c r="T63" s="488">
        <f t="shared" si="1"/>
        <v>0</v>
      </c>
    </row>
    <row r="64" spans="1:20">
      <c r="A64" s="333" t="s">
        <v>53</v>
      </c>
      <c r="B64" s="65"/>
      <c r="C64" s="65"/>
      <c r="D64" s="74"/>
      <c r="E64" s="74"/>
      <c r="F64" s="74"/>
      <c r="G64" s="74"/>
      <c r="H64" s="74"/>
      <c r="I64" s="74"/>
      <c r="J64" s="66"/>
      <c r="T64" s="488">
        <f t="shared" si="1"/>
        <v>0</v>
      </c>
    </row>
    <row r="65" spans="1:20">
      <c r="A65" s="333" t="s">
        <v>45</v>
      </c>
      <c r="B65" s="65"/>
      <c r="C65" s="65"/>
      <c r="D65" s="74"/>
      <c r="E65" s="74"/>
      <c r="F65" s="74"/>
      <c r="G65" s="74"/>
      <c r="H65" s="74"/>
      <c r="I65" s="74"/>
      <c r="J65" s="66" t="s">
        <v>490</v>
      </c>
      <c r="T65" s="488">
        <f t="shared" si="1"/>
        <v>0</v>
      </c>
    </row>
    <row r="66" spans="1:20">
      <c r="A66" s="333" t="s">
        <v>67</v>
      </c>
      <c r="B66" s="70"/>
      <c r="C66" s="70"/>
      <c r="D66" s="74"/>
      <c r="E66" s="74"/>
      <c r="F66" s="74"/>
      <c r="G66" s="74"/>
      <c r="H66" s="74"/>
      <c r="I66" s="74"/>
      <c r="J66" s="77" t="s">
        <v>490</v>
      </c>
      <c r="T66" s="488">
        <f t="shared" si="1"/>
        <v>0</v>
      </c>
    </row>
    <row r="67" spans="1:20">
      <c r="A67" s="59"/>
      <c r="B67" s="655" t="s">
        <v>24</v>
      </c>
      <c r="C67" s="655"/>
      <c r="D67" s="655"/>
      <c r="E67" s="655"/>
      <c r="F67" s="655"/>
      <c r="G67" s="655"/>
      <c r="H67" s="655"/>
      <c r="I67" s="655"/>
      <c r="J67" s="655"/>
      <c r="T67" s="488">
        <f t="shared" si="1"/>
        <v>0</v>
      </c>
    </row>
    <row r="68" spans="1:20">
      <c r="A68" s="334" t="s">
        <v>108</v>
      </c>
      <c r="B68" s="74"/>
      <c r="C68" s="74"/>
      <c r="D68" s="74"/>
      <c r="E68" s="74"/>
      <c r="F68" s="74"/>
      <c r="G68" s="74"/>
      <c r="H68" s="74"/>
      <c r="I68" s="74" t="s">
        <v>490</v>
      </c>
      <c r="J68" s="66" t="s">
        <v>490</v>
      </c>
      <c r="T68" s="488">
        <f t="shared" si="1"/>
        <v>0</v>
      </c>
    </row>
    <row r="69" spans="1:20">
      <c r="A69" s="333" t="s">
        <v>88</v>
      </c>
      <c r="B69" s="65"/>
      <c r="C69" s="65" t="s">
        <v>490</v>
      </c>
      <c r="D69" s="74"/>
      <c r="E69" s="74"/>
      <c r="F69" s="74"/>
      <c r="G69" s="74"/>
      <c r="H69" s="74"/>
      <c r="I69" s="74"/>
      <c r="J69" s="66" t="s">
        <v>490</v>
      </c>
      <c r="T69" s="488">
        <f t="shared" si="1"/>
        <v>0</v>
      </c>
    </row>
    <row r="70" spans="1:20">
      <c r="A70" s="333" t="s">
        <v>42</v>
      </c>
      <c r="B70" s="65"/>
      <c r="C70" s="65" t="s">
        <v>490</v>
      </c>
      <c r="D70" s="74"/>
      <c r="E70" s="74"/>
      <c r="F70" s="74"/>
      <c r="G70" s="74"/>
      <c r="H70" s="74"/>
      <c r="I70" s="74"/>
      <c r="J70" s="66" t="s">
        <v>490</v>
      </c>
      <c r="T70" s="488">
        <f t="shared" si="1"/>
        <v>0</v>
      </c>
    </row>
    <row r="71" spans="1:20">
      <c r="A71" s="333" t="s">
        <v>92</v>
      </c>
      <c r="B71" s="65"/>
      <c r="C71" s="65" t="s">
        <v>490</v>
      </c>
      <c r="D71" s="74"/>
      <c r="E71" s="74"/>
      <c r="F71" s="74"/>
      <c r="G71" s="74"/>
      <c r="H71" s="74"/>
      <c r="I71" s="74"/>
      <c r="J71" s="66" t="s">
        <v>490</v>
      </c>
      <c r="T71" s="488">
        <f t="shared" ref="T71:T106" si="2">COUNTA(D71:H71)</f>
        <v>0</v>
      </c>
    </row>
    <row r="72" spans="1:20">
      <c r="A72" s="333" t="s">
        <v>84</v>
      </c>
      <c r="B72" s="65"/>
      <c r="C72" s="65" t="s">
        <v>490</v>
      </c>
      <c r="D72" s="74"/>
      <c r="E72" s="74"/>
      <c r="F72" s="74"/>
      <c r="G72" s="74"/>
      <c r="H72" s="74"/>
      <c r="I72" s="74"/>
      <c r="J72" s="66" t="s">
        <v>490</v>
      </c>
      <c r="T72" s="488">
        <f t="shared" si="2"/>
        <v>0</v>
      </c>
    </row>
    <row r="73" spans="1:20">
      <c r="A73" s="334" t="s">
        <v>80</v>
      </c>
      <c r="B73" s="65"/>
      <c r="C73" s="65" t="s">
        <v>490</v>
      </c>
      <c r="D73" s="74"/>
      <c r="E73" s="74"/>
      <c r="F73" s="74"/>
      <c r="G73" s="74"/>
      <c r="H73" s="74"/>
      <c r="I73" s="74"/>
      <c r="J73" s="66" t="s">
        <v>490</v>
      </c>
      <c r="T73" s="488">
        <f t="shared" si="2"/>
        <v>0</v>
      </c>
    </row>
    <row r="74" spans="1:20">
      <c r="A74" s="333" t="s">
        <v>64</v>
      </c>
      <c r="B74" s="65"/>
      <c r="C74" s="65" t="s">
        <v>490</v>
      </c>
      <c r="D74" s="74"/>
      <c r="E74" s="74"/>
      <c r="F74" s="74"/>
      <c r="G74" s="74"/>
      <c r="H74" s="74"/>
      <c r="I74" s="74"/>
      <c r="J74" s="66" t="s">
        <v>490</v>
      </c>
      <c r="T74" s="488">
        <f t="shared" si="2"/>
        <v>0</v>
      </c>
    </row>
    <row r="75" spans="1:20">
      <c r="A75" s="333" t="s">
        <v>96</v>
      </c>
      <c r="B75" s="65"/>
      <c r="C75" s="65" t="s">
        <v>490</v>
      </c>
      <c r="D75" s="74"/>
      <c r="E75" s="74"/>
      <c r="F75" s="74"/>
      <c r="G75" s="74"/>
      <c r="H75" s="74"/>
      <c r="I75" s="74"/>
      <c r="J75" s="66" t="s">
        <v>490</v>
      </c>
      <c r="T75" s="488">
        <f t="shared" si="2"/>
        <v>0</v>
      </c>
    </row>
    <row r="76" spans="1:20">
      <c r="A76" s="333" t="s">
        <v>99</v>
      </c>
      <c r="B76" s="65"/>
      <c r="C76" s="65" t="s">
        <v>490</v>
      </c>
      <c r="D76" s="74"/>
      <c r="E76" s="74"/>
      <c r="F76" s="74"/>
      <c r="G76" s="74"/>
      <c r="H76" s="74"/>
      <c r="I76" s="74"/>
      <c r="J76" s="66" t="s">
        <v>490</v>
      </c>
      <c r="T76" s="488">
        <f t="shared" si="2"/>
        <v>0</v>
      </c>
    </row>
    <row r="77" spans="1:20">
      <c r="A77" s="333" t="s">
        <v>75</v>
      </c>
      <c r="B77" s="65" t="s">
        <v>490</v>
      </c>
      <c r="C77" s="65" t="s">
        <v>490</v>
      </c>
      <c r="D77" s="74"/>
      <c r="E77" s="74"/>
      <c r="F77" s="74"/>
      <c r="G77" s="74"/>
      <c r="H77" s="74"/>
      <c r="I77" s="74"/>
      <c r="J77" s="66"/>
      <c r="T77" s="488">
        <f t="shared" si="2"/>
        <v>0</v>
      </c>
    </row>
    <row r="78" spans="1:20">
      <c r="A78" s="334" t="s">
        <v>70</v>
      </c>
      <c r="B78" s="65" t="s">
        <v>490</v>
      </c>
      <c r="C78" s="65" t="s">
        <v>490</v>
      </c>
      <c r="D78" s="74"/>
      <c r="E78" s="74"/>
      <c r="F78" s="74"/>
      <c r="G78" s="74"/>
      <c r="H78" s="74" t="s">
        <v>490</v>
      </c>
      <c r="I78" s="74" t="s">
        <v>490</v>
      </c>
      <c r="J78" s="66"/>
      <c r="T78" s="488">
        <f t="shared" si="2"/>
        <v>1</v>
      </c>
    </row>
    <row r="79" spans="1:20">
      <c r="A79" s="333" t="s">
        <v>105</v>
      </c>
      <c r="B79" s="65" t="s">
        <v>490</v>
      </c>
      <c r="C79" s="73" t="s">
        <v>490</v>
      </c>
      <c r="D79" s="74"/>
      <c r="E79" s="74"/>
      <c r="F79" s="74"/>
      <c r="G79" s="74"/>
      <c r="H79" s="74" t="s">
        <v>490</v>
      </c>
      <c r="I79" s="74" t="s">
        <v>490</v>
      </c>
      <c r="J79" s="74" t="s">
        <v>490</v>
      </c>
      <c r="T79" s="488">
        <f t="shared" si="2"/>
        <v>1</v>
      </c>
    </row>
    <row r="80" spans="1:20">
      <c r="A80" s="333" t="s">
        <v>33</v>
      </c>
      <c r="B80" s="65" t="s">
        <v>490</v>
      </c>
      <c r="C80" s="73" t="s">
        <v>490</v>
      </c>
      <c r="D80" s="74"/>
      <c r="E80" s="74"/>
      <c r="F80" s="74"/>
      <c r="G80" s="74"/>
      <c r="H80" s="74" t="s">
        <v>490</v>
      </c>
      <c r="I80" s="74" t="s">
        <v>490</v>
      </c>
      <c r="J80" s="74" t="s">
        <v>490</v>
      </c>
      <c r="T80" s="488">
        <f t="shared" si="2"/>
        <v>1</v>
      </c>
    </row>
    <row r="81" spans="1:20">
      <c r="A81" s="333" t="s">
        <v>102</v>
      </c>
      <c r="B81" s="65" t="s">
        <v>490</v>
      </c>
      <c r="C81" s="73" t="s">
        <v>490</v>
      </c>
      <c r="D81" s="74"/>
      <c r="E81" s="74"/>
      <c r="F81" s="74"/>
      <c r="G81" s="74"/>
      <c r="H81" s="74" t="s">
        <v>490</v>
      </c>
      <c r="I81" s="74" t="s">
        <v>490</v>
      </c>
      <c r="J81" s="74" t="s">
        <v>490</v>
      </c>
      <c r="T81" s="488">
        <f t="shared" si="2"/>
        <v>1</v>
      </c>
    </row>
    <row r="82" spans="1:20">
      <c r="A82" s="333" t="s">
        <v>58</v>
      </c>
      <c r="B82" s="65"/>
      <c r="C82" s="73"/>
      <c r="D82" s="74"/>
      <c r="E82" s="74"/>
      <c r="F82" s="74"/>
      <c r="G82" s="74"/>
      <c r="H82" s="74" t="s">
        <v>490</v>
      </c>
      <c r="I82" s="74"/>
      <c r="J82" s="66"/>
      <c r="T82" s="488">
        <f t="shared" si="2"/>
        <v>1</v>
      </c>
    </row>
    <row r="83" spans="1:20">
      <c r="A83" s="334" t="s">
        <v>50</v>
      </c>
      <c r="B83" s="70" t="s">
        <v>490</v>
      </c>
      <c r="C83" s="78" t="s">
        <v>490</v>
      </c>
      <c r="D83" s="74"/>
      <c r="E83" s="74"/>
      <c r="F83" s="74"/>
      <c r="G83" s="74"/>
      <c r="H83" s="74" t="s">
        <v>490</v>
      </c>
      <c r="I83" s="74" t="s">
        <v>490</v>
      </c>
      <c r="J83" s="74" t="s">
        <v>490</v>
      </c>
      <c r="T83" s="488">
        <f t="shared" si="2"/>
        <v>1</v>
      </c>
    </row>
    <row r="84" spans="1:20">
      <c r="A84" s="59"/>
      <c r="B84" s="655" t="s">
        <v>441</v>
      </c>
      <c r="C84" s="655"/>
      <c r="D84" s="655"/>
      <c r="E84" s="655"/>
      <c r="F84" s="655"/>
      <c r="G84" s="655"/>
      <c r="H84" s="655"/>
      <c r="I84" s="655"/>
      <c r="J84" s="655"/>
      <c r="T84" s="488">
        <f t="shared" si="2"/>
        <v>0</v>
      </c>
    </row>
    <row r="85" spans="1:20">
      <c r="A85" s="333" t="s">
        <v>76</v>
      </c>
      <c r="B85" s="74"/>
      <c r="C85" s="74"/>
      <c r="D85" s="74"/>
      <c r="E85" s="74"/>
      <c r="F85" s="74"/>
      <c r="G85" s="74"/>
      <c r="H85" s="74" t="s">
        <v>490</v>
      </c>
      <c r="I85" s="74"/>
      <c r="J85" s="62"/>
      <c r="T85" s="488">
        <f t="shared" si="2"/>
        <v>1</v>
      </c>
    </row>
    <row r="86" spans="1:20">
      <c r="A86" s="333" t="s">
        <v>71</v>
      </c>
      <c r="B86" s="65"/>
      <c r="C86" s="65"/>
      <c r="D86" s="74"/>
      <c r="E86" s="74"/>
      <c r="F86" s="74"/>
      <c r="G86" s="74"/>
      <c r="H86" s="74" t="s">
        <v>490</v>
      </c>
      <c r="I86" s="74"/>
      <c r="J86" s="66" t="s">
        <v>490</v>
      </c>
      <c r="T86" s="488">
        <f t="shared" si="2"/>
        <v>1</v>
      </c>
    </row>
    <row r="87" spans="1:20">
      <c r="A87" s="333" t="s">
        <v>43</v>
      </c>
      <c r="B87" s="68"/>
      <c r="C87" s="68"/>
      <c r="D87" s="74"/>
      <c r="E87" s="74"/>
      <c r="F87" s="74"/>
      <c r="G87" s="74"/>
      <c r="H87" s="74" t="s">
        <v>490</v>
      </c>
      <c r="I87" s="74"/>
      <c r="J87" s="66"/>
      <c r="T87" s="488">
        <f t="shared" si="2"/>
        <v>1</v>
      </c>
    </row>
    <row r="88" spans="1:20">
      <c r="A88" s="333" t="s">
        <v>51</v>
      </c>
      <c r="B88" s="68"/>
      <c r="C88" s="68" t="s">
        <v>490</v>
      </c>
      <c r="D88" s="74"/>
      <c r="E88" s="74"/>
      <c r="F88" s="74"/>
      <c r="G88" s="74"/>
      <c r="H88" s="74" t="s">
        <v>490</v>
      </c>
      <c r="I88" s="74"/>
      <c r="J88" s="66"/>
      <c r="T88" s="488">
        <f t="shared" si="2"/>
        <v>1</v>
      </c>
    </row>
    <row r="89" spans="1:20">
      <c r="A89" s="333" t="s">
        <v>446</v>
      </c>
      <c r="B89" s="68"/>
      <c r="C89" s="68"/>
      <c r="D89" s="74"/>
      <c r="E89" s="74"/>
      <c r="F89" s="74"/>
      <c r="G89" s="74"/>
      <c r="H89" s="74" t="s">
        <v>490</v>
      </c>
      <c r="I89" s="74"/>
      <c r="J89" s="66"/>
      <c r="T89" s="488">
        <f t="shared" si="2"/>
        <v>1</v>
      </c>
    </row>
    <row r="90" spans="1:20">
      <c r="A90" s="333" t="s">
        <v>59</v>
      </c>
      <c r="B90" s="65" t="s">
        <v>490</v>
      </c>
      <c r="C90" s="68"/>
      <c r="D90" s="74"/>
      <c r="E90" s="74"/>
      <c r="F90" s="74"/>
      <c r="G90" s="74"/>
      <c r="H90" s="74" t="s">
        <v>490</v>
      </c>
      <c r="I90" s="74"/>
      <c r="J90" s="65" t="s">
        <v>490</v>
      </c>
      <c r="T90" s="488">
        <f t="shared" si="2"/>
        <v>1</v>
      </c>
    </row>
    <row r="91" spans="1:20">
      <c r="A91" s="333" t="s">
        <v>34</v>
      </c>
      <c r="B91" s="74"/>
      <c r="C91" s="74"/>
      <c r="D91" s="74"/>
      <c r="E91" s="74"/>
      <c r="F91" s="74"/>
      <c r="G91" s="74"/>
      <c r="H91" s="74" t="s">
        <v>490</v>
      </c>
      <c r="I91" s="74"/>
      <c r="J91" s="77"/>
      <c r="T91" s="488">
        <f t="shared" si="2"/>
        <v>1</v>
      </c>
    </row>
    <row r="92" spans="1:20">
      <c r="A92" s="333" t="s">
        <v>450</v>
      </c>
      <c r="B92" s="65" t="s">
        <v>490</v>
      </c>
      <c r="C92" s="74"/>
      <c r="D92" s="74"/>
      <c r="E92" s="74"/>
      <c r="F92" s="74"/>
      <c r="G92" s="74"/>
      <c r="H92" s="74"/>
      <c r="I92" s="74"/>
      <c r="J92" s="65" t="s">
        <v>490</v>
      </c>
    </row>
    <row r="93" spans="1:20">
      <c r="A93" s="333" t="s">
        <v>453</v>
      </c>
      <c r="B93" s="65" t="s">
        <v>490</v>
      </c>
      <c r="C93" s="74"/>
      <c r="D93" s="74"/>
      <c r="E93" s="74"/>
      <c r="F93" s="74"/>
      <c r="G93" s="74"/>
      <c r="H93" s="74"/>
      <c r="I93" s="74"/>
      <c r="J93" s="65" t="s">
        <v>490</v>
      </c>
    </row>
    <row r="94" spans="1:20">
      <c r="A94" s="333" t="s">
        <v>456</v>
      </c>
      <c r="B94" s="65" t="s">
        <v>490</v>
      </c>
      <c r="C94" s="74"/>
      <c r="D94" s="74"/>
      <c r="E94" s="74"/>
      <c r="F94" s="74"/>
      <c r="G94" s="74"/>
      <c r="H94" s="74"/>
      <c r="I94" s="74"/>
      <c r="J94" s="65" t="s">
        <v>490</v>
      </c>
    </row>
    <row r="95" spans="1:20">
      <c r="A95" s="333" t="s">
        <v>457</v>
      </c>
      <c r="B95" s="70" t="s">
        <v>490</v>
      </c>
      <c r="C95" s="80"/>
      <c r="D95" s="80"/>
      <c r="E95" s="80"/>
      <c r="F95" s="80"/>
      <c r="G95" s="80"/>
      <c r="H95" s="80"/>
      <c r="I95" s="80"/>
      <c r="J95" s="65" t="s">
        <v>490</v>
      </c>
    </row>
    <row r="96" spans="1:20">
      <c r="A96" s="59"/>
      <c r="B96" s="655" t="s">
        <v>459</v>
      </c>
      <c r="C96" s="655"/>
      <c r="D96" s="655"/>
      <c r="E96" s="655"/>
      <c r="F96" s="655"/>
      <c r="G96" s="655"/>
      <c r="H96" s="655"/>
      <c r="I96" s="655"/>
      <c r="J96" s="655"/>
      <c r="T96" s="488">
        <f t="shared" si="2"/>
        <v>0</v>
      </c>
    </row>
    <row r="97" spans="1:20">
      <c r="A97" s="333" t="s">
        <v>55</v>
      </c>
      <c r="B97" s="64"/>
      <c r="C97" s="64"/>
      <c r="D97" s="74"/>
      <c r="E97" s="74"/>
      <c r="F97" s="74"/>
      <c r="G97" s="74"/>
      <c r="H97" s="74" t="s">
        <v>490</v>
      </c>
      <c r="I97" s="74"/>
      <c r="J97" s="62" t="s">
        <v>490</v>
      </c>
      <c r="T97" s="488">
        <f t="shared" si="2"/>
        <v>1</v>
      </c>
    </row>
    <row r="98" spans="1:20">
      <c r="A98" s="333" t="s">
        <v>38</v>
      </c>
      <c r="B98" s="68"/>
      <c r="C98" s="68"/>
      <c r="D98" s="74"/>
      <c r="E98" s="74"/>
      <c r="F98" s="74"/>
      <c r="G98" s="74"/>
      <c r="H98" s="74" t="s">
        <v>490</v>
      </c>
      <c r="I98" s="74"/>
      <c r="J98" s="66" t="s">
        <v>490</v>
      </c>
      <c r="T98" s="488">
        <f t="shared" si="2"/>
        <v>1</v>
      </c>
    </row>
    <row r="99" spans="1:20">
      <c r="A99" s="333" t="s">
        <v>47</v>
      </c>
      <c r="B99" s="74"/>
      <c r="C99" s="74"/>
      <c r="D99" s="74"/>
      <c r="E99" s="74"/>
      <c r="F99" s="74"/>
      <c r="G99" s="74"/>
      <c r="H99" s="74" t="s">
        <v>490</v>
      </c>
      <c r="I99" s="74"/>
      <c r="J99" s="77" t="s">
        <v>490</v>
      </c>
      <c r="T99" s="488">
        <f t="shared" si="2"/>
        <v>1</v>
      </c>
    </row>
    <row r="100" spans="1:20">
      <c r="A100" s="59"/>
      <c r="B100" s="655" t="s">
        <v>462</v>
      </c>
      <c r="C100" s="655"/>
      <c r="D100" s="655"/>
      <c r="E100" s="655"/>
      <c r="F100" s="655"/>
      <c r="G100" s="655"/>
      <c r="H100" s="655"/>
      <c r="I100" s="655"/>
      <c r="J100" s="655"/>
      <c r="T100" s="488">
        <f t="shared" si="2"/>
        <v>0</v>
      </c>
    </row>
    <row r="101" spans="1:20">
      <c r="A101" s="333" t="s">
        <v>498</v>
      </c>
      <c r="B101" s="64"/>
      <c r="C101" s="64"/>
      <c r="D101" s="74"/>
      <c r="E101" s="74"/>
      <c r="F101" s="74"/>
      <c r="G101" s="74"/>
      <c r="H101" s="74"/>
      <c r="I101" s="74"/>
      <c r="J101" s="62" t="s">
        <v>490</v>
      </c>
      <c r="T101" s="488">
        <f t="shared" si="2"/>
        <v>0</v>
      </c>
    </row>
    <row r="102" spans="1:20">
      <c r="A102" s="333" t="s">
        <v>499</v>
      </c>
      <c r="B102" s="64"/>
      <c r="C102" s="64" t="s">
        <v>490</v>
      </c>
      <c r="D102" s="74"/>
      <c r="E102" s="74"/>
      <c r="F102" s="74"/>
      <c r="G102" s="74"/>
      <c r="H102" s="74" t="s">
        <v>490</v>
      </c>
      <c r="I102" s="74"/>
      <c r="J102" s="62" t="s">
        <v>490</v>
      </c>
      <c r="T102" s="488">
        <f t="shared" si="2"/>
        <v>1</v>
      </c>
    </row>
    <row r="103" spans="1:20">
      <c r="A103" s="333" t="s">
        <v>85</v>
      </c>
      <c r="B103" s="64"/>
      <c r="C103" s="64"/>
      <c r="D103" s="74"/>
      <c r="E103" s="74"/>
      <c r="F103" s="74"/>
      <c r="G103" s="74"/>
      <c r="H103" s="74"/>
      <c r="I103" s="74"/>
      <c r="J103" s="62" t="s">
        <v>490</v>
      </c>
      <c r="T103" s="488">
        <f t="shared" si="2"/>
        <v>0</v>
      </c>
    </row>
    <row r="104" spans="1:20">
      <c r="A104" s="333" t="s">
        <v>89</v>
      </c>
      <c r="B104" s="68"/>
      <c r="C104" s="68"/>
      <c r="D104" s="74"/>
      <c r="E104" s="74"/>
      <c r="F104" s="74"/>
      <c r="G104" s="74"/>
      <c r="H104" s="74"/>
      <c r="I104" s="74"/>
      <c r="J104" s="66" t="s">
        <v>490</v>
      </c>
      <c r="T104" s="488">
        <f t="shared" si="2"/>
        <v>0</v>
      </c>
    </row>
    <row r="105" spans="1:20">
      <c r="A105" s="333" t="s">
        <v>77</v>
      </c>
      <c r="B105" s="68"/>
      <c r="C105" s="68"/>
      <c r="D105" s="74"/>
      <c r="E105" s="74"/>
      <c r="F105" s="74"/>
      <c r="G105" s="74"/>
      <c r="H105" s="74"/>
      <c r="I105" s="74"/>
      <c r="J105" s="66"/>
      <c r="T105" s="488">
        <f t="shared" si="2"/>
        <v>0</v>
      </c>
    </row>
    <row r="106" spans="1:20">
      <c r="A106" s="333" t="s">
        <v>93</v>
      </c>
      <c r="B106" s="68"/>
      <c r="C106" s="68"/>
      <c r="D106" s="74"/>
      <c r="E106" s="74"/>
      <c r="F106" s="74"/>
      <c r="G106" s="74"/>
      <c r="H106" s="74"/>
      <c r="I106" s="74"/>
      <c r="J106" s="66"/>
      <c r="T106" s="488">
        <f t="shared" si="2"/>
        <v>0</v>
      </c>
    </row>
    <row r="107" spans="1:20">
      <c r="A107" s="333" t="s">
        <v>60</v>
      </c>
      <c r="B107" s="68"/>
      <c r="C107" s="68"/>
      <c r="D107" s="74"/>
      <c r="E107" s="74"/>
      <c r="F107" s="74"/>
      <c r="G107" s="74"/>
      <c r="H107" s="74"/>
      <c r="I107" s="74"/>
      <c r="J107" s="66"/>
      <c r="T107" s="488">
        <f t="shared" ref="T107:T114" si="3">COUNTA(D107:H107)</f>
        <v>0</v>
      </c>
    </row>
    <row r="108" spans="1:20">
      <c r="A108" s="333" t="s">
        <v>66</v>
      </c>
      <c r="B108" s="68"/>
      <c r="C108" s="68"/>
      <c r="D108" s="74"/>
      <c r="E108" s="74"/>
      <c r="F108" s="74"/>
      <c r="G108" s="74"/>
      <c r="H108" s="74"/>
      <c r="I108" s="74"/>
      <c r="J108" s="66"/>
      <c r="T108" s="488">
        <f t="shared" si="3"/>
        <v>0</v>
      </c>
    </row>
    <row r="109" spans="1:20">
      <c r="A109" s="333" t="s">
        <v>52</v>
      </c>
      <c r="B109" s="74"/>
      <c r="C109" s="74"/>
      <c r="D109" s="74"/>
      <c r="E109" s="74"/>
      <c r="F109" s="74"/>
      <c r="G109" s="74"/>
      <c r="H109" s="74"/>
      <c r="I109" s="74"/>
      <c r="J109" s="66"/>
      <c r="T109" s="488">
        <f t="shared" si="3"/>
        <v>0</v>
      </c>
    </row>
    <row r="110" spans="1:20">
      <c r="A110" s="333" t="s">
        <v>72</v>
      </c>
      <c r="B110" s="65"/>
      <c r="C110" s="65"/>
      <c r="D110" s="65"/>
      <c r="E110" s="65"/>
      <c r="F110" s="65"/>
      <c r="G110" s="65"/>
      <c r="H110" s="65"/>
      <c r="I110" s="65"/>
      <c r="J110" s="66"/>
    </row>
    <row r="111" spans="1:20">
      <c r="A111" s="333" t="s">
        <v>44</v>
      </c>
      <c r="B111" s="80" t="s">
        <v>490</v>
      </c>
      <c r="C111" s="80" t="s">
        <v>490</v>
      </c>
      <c r="D111" s="80"/>
      <c r="E111" s="80"/>
      <c r="F111" s="80"/>
      <c r="G111" s="80"/>
      <c r="H111" s="80"/>
      <c r="I111" s="80"/>
      <c r="J111" s="81"/>
    </row>
    <row r="112" spans="1:20">
      <c r="A112" s="59"/>
      <c r="B112" s="655" t="s">
        <v>30</v>
      </c>
      <c r="C112" s="655"/>
      <c r="D112" s="655"/>
      <c r="E112" s="655"/>
      <c r="F112" s="655"/>
      <c r="G112" s="655"/>
      <c r="H112" s="655"/>
      <c r="I112" s="655"/>
      <c r="J112" s="655"/>
      <c r="T112" s="488">
        <f t="shared" si="3"/>
        <v>0</v>
      </c>
    </row>
    <row r="113" spans="1:20">
      <c r="A113" s="333" t="s">
        <v>39</v>
      </c>
      <c r="B113" s="74"/>
      <c r="C113" s="63"/>
      <c r="D113" s="74"/>
      <c r="E113" s="74"/>
      <c r="F113" s="74"/>
      <c r="G113" s="74"/>
      <c r="H113" s="74"/>
      <c r="I113" s="74"/>
      <c r="J113" s="81"/>
      <c r="T113" s="488">
        <f t="shared" si="3"/>
        <v>0</v>
      </c>
    </row>
    <row r="114" spans="1:20">
      <c r="T114" s="488">
        <f t="shared" si="3"/>
        <v>0</v>
      </c>
    </row>
  </sheetData>
  <sheetProtection selectLockedCells="1"/>
  <mergeCells count="11">
    <mergeCell ref="A2:J3"/>
    <mergeCell ref="B96:J96"/>
    <mergeCell ref="B100:J100"/>
    <mergeCell ref="B112:J112"/>
    <mergeCell ref="D4:H4"/>
    <mergeCell ref="B6:J6"/>
    <mergeCell ref="B28:J28"/>
    <mergeCell ref="B57:J57"/>
    <mergeCell ref="B61:J61"/>
    <mergeCell ref="B67:J67"/>
    <mergeCell ref="B84:J84"/>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E8D548"/>
  </sheetPr>
  <dimension ref="A1:C17"/>
  <sheetViews>
    <sheetView workbookViewId="0"/>
  </sheetViews>
  <sheetFormatPr defaultColWidth="8.58203125" defaultRowHeight="15.5"/>
  <cols>
    <col min="1" max="1" width="20.08203125" customWidth="1"/>
    <col min="2" max="3" width="21.58203125" bestFit="1" customWidth="1"/>
  </cols>
  <sheetData>
    <row r="1" spans="1:3" s="22" customFormat="1" ht="18">
      <c r="A1" s="287" t="s">
        <v>500</v>
      </c>
      <c r="B1" s="293"/>
      <c r="C1" s="293"/>
    </row>
    <row r="2" spans="1:3" ht="121.5" customHeight="1"/>
    <row r="3" spans="1:3">
      <c r="A3" s="40" t="s">
        <v>501</v>
      </c>
      <c r="B3" s="40" t="s">
        <v>502</v>
      </c>
      <c r="C3" s="40" t="s">
        <v>503</v>
      </c>
    </row>
    <row r="4" spans="1:3">
      <c r="A4" s="1" t="s">
        <v>504</v>
      </c>
      <c r="B4" s="1">
        <v>0.4008493115035045</v>
      </c>
      <c r="C4" s="1">
        <v>0.7304181796609337</v>
      </c>
    </row>
    <row r="5" spans="1:3">
      <c r="A5" s="1" t="s">
        <v>505</v>
      </c>
      <c r="B5" s="1">
        <v>0.57471264367816088</v>
      </c>
      <c r="C5" s="1">
        <v>0.57471264367816088</v>
      </c>
    </row>
    <row r="6" spans="1:3">
      <c r="A6" s="1" t="s">
        <v>506</v>
      </c>
      <c r="B6" s="1">
        <v>1.1761938367442956E-2</v>
      </c>
      <c r="C6" s="1">
        <v>1.1761938367442956E-2</v>
      </c>
    </row>
    <row r="7" spans="1:3">
      <c r="A7" s="1" t="s">
        <v>507</v>
      </c>
      <c r="B7" s="1">
        <v>0.4008493115035045</v>
      </c>
      <c r="C7" s="1">
        <v>0.7304181796609337</v>
      </c>
    </row>
    <row r="8" spans="1:3">
      <c r="A8" s="1" t="s">
        <v>508</v>
      </c>
      <c r="B8" s="1">
        <v>0.57471264367816088</v>
      </c>
      <c r="C8" s="1">
        <v>0.57471264367816088</v>
      </c>
    </row>
    <row r="9" spans="1:3">
      <c r="A9" s="1" t="s">
        <v>509</v>
      </c>
      <c r="B9" s="1">
        <v>1.1761938367442956E-2</v>
      </c>
      <c r="C9" s="1">
        <v>1.1761938367442956E-2</v>
      </c>
    </row>
    <row r="12" spans="1:3">
      <c r="A12" s="1" t="s">
        <v>725</v>
      </c>
    </row>
    <row r="13" spans="1:3">
      <c r="A13" t="s">
        <v>726</v>
      </c>
    </row>
    <row r="14" spans="1:3">
      <c r="A14" t="s">
        <v>727</v>
      </c>
    </row>
    <row r="15" spans="1:3">
      <c r="A15" s="1" t="s">
        <v>728</v>
      </c>
    </row>
    <row r="16" spans="1:3">
      <c r="A16" t="s">
        <v>729</v>
      </c>
    </row>
    <row r="17" spans="1:1">
      <c r="A17" t="s">
        <v>730</v>
      </c>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E8D548"/>
  </sheetPr>
  <dimension ref="A1:AQ19"/>
  <sheetViews>
    <sheetView workbookViewId="0">
      <selection activeCell="D43" sqref="D43"/>
    </sheetView>
  </sheetViews>
  <sheetFormatPr defaultColWidth="9" defaultRowHeight="12.5"/>
  <cols>
    <col min="1" max="1" width="35.58203125" style="257" bestFit="1" customWidth="1"/>
    <col min="2" max="2" width="14.08203125" style="257" customWidth="1"/>
    <col min="3" max="3" width="12.6640625" style="257" customWidth="1"/>
    <col min="4" max="4" width="13.08203125" style="257" customWidth="1"/>
    <col min="5" max="5" width="14.58203125" style="257" customWidth="1"/>
    <col min="6" max="6" width="13.08203125" style="257" customWidth="1"/>
    <col min="7" max="7" width="11" style="257" bestFit="1" customWidth="1"/>
    <col min="8" max="8" width="17.1640625" style="257" customWidth="1"/>
    <col min="9" max="16384" width="9" style="257"/>
  </cols>
  <sheetData>
    <row r="1" spans="1:43" s="295" customFormat="1" ht="18">
      <c r="A1" s="287" t="s">
        <v>15</v>
      </c>
      <c r="B1" s="294"/>
      <c r="C1" s="294"/>
      <c r="D1" s="294"/>
      <c r="E1" s="294"/>
      <c r="F1" s="294"/>
      <c r="G1" s="294"/>
      <c r="H1" s="294"/>
      <c r="I1" s="294"/>
      <c r="J1" s="294"/>
      <c r="K1" s="294"/>
      <c r="L1" s="294"/>
      <c r="M1" s="294"/>
      <c r="N1" s="294"/>
      <c r="O1" s="294"/>
      <c r="P1" s="294"/>
      <c r="Q1" s="294"/>
      <c r="R1" s="294"/>
      <c r="S1" s="294"/>
      <c r="T1" s="294"/>
      <c r="U1" s="294"/>
      <c r="V1" s="294"/>
      <c r="W1" s="294"/>
      <c r="X1" s="294"/>
      <c r="Y1" s="294"/>
      <c r="Z1" s="294"/>
      <c r="AA1" s="294"/>
      <c r="AB1" s="294"/>
      <c r="AC1" s="294"/>
      <c r="AD1" s="294"/>
      <c r="AE1" s="294"/>
      <c r="AF1" s="294"/>
      <c r="AG1" s="294"/>
      <c r="AH1" s="294"/>
      <c r="AI1" s="294"/>
      <c r="AJ1" s="294"/>
      <c r="AK1" s="294"/>
      <c r="AL1" s="294"/>
      <c r="AM1" s="294"/>
      <c r="AN1" s="294"/>
      <c r="AO1" s="294"/>
      <c r="AP1" s="294"/>
      <c r="AQ1" s="294"/>
    </row>
    <row r="2" spans="1:43" ht="15.75" customHeight="1">
      <c r="A2" s="659" t="s">
        <v>759</v>
      </c>
      <c r="B2" s="659"/>
      <c r="C2" s="659"/>
      <c r="D2" s="659"/>
      <c r="E2" s="659"/>
      <c r="F2" s="659"/>
      <c r="G2" s="659"/>
    </row>
    <row r="3" spans="1:43" ht="12.75" customHeight="1">
      <c r="A3" s="659"/>
      <c r="B3" s="659"/>
      <c r="C3" s="659"/>
      <c r="D3" s="659"/>
      <c r="E3" s="659"/>
      <c r="F3" s="659"/>
      <c r="G3" s="659"/>
    </row>
    <row r="4" spans="1:43">
      <c r="A4" s="659"/>
      <c r="B4" s="659"/>
      <c r="C4" s="659"/>
      <c r="D4" s="659"/>
      <c r="E4" s="659"/>
      <c r="F4" s="659"/>
      <c r="G4" s="659"/>
    </row>
    <row r="5" spans="1:43">
      <c r="A5" s="659"/>
      <c r="B5" s="659"/>
      <c r="C5" s="659"/>
      <c r="D5" s="659"/>
      <c r="E5" s="659"/>
      <c r="F5" s="659"/>
      <c r="G5" s="659"/>
    </row>
    <row r="6" spans="1:43">
      <c r="A6" s="659"/>
      <c r="B6" s="659"/>
      <c r="C6" s="659"/>
      <c r="D6" s="659"/>
      <c r="E6" s="659"/>
      <c r="F6" s="659"/>
      <c r="G6" s="659"/>
    </row>
    <row r="7" spans="1:43">
      <c r="A7" s="659"/>
      <c r="B7" s="659"/>
      <c r="C7" s="659"/>
      <c r="D7" s="659"/>
      <c r="E7" s="659"/>
      <c r="F7" s="659"/>
      <c r="G7" s="659"/>
    </row>
    <row r="8" spans="1:43" ht="26">
      <c r="A8" s="256"/>
      <c r="B8" s="256" t="s">
        <v>166</v>
      </c>
      <c r="C8" s="256" t="s">
        <v>167</v>
      </c>
      <c r="D8" s="256" t="s">
        <v>168</v>
      </c>
      <c r="E8" s="256" t="s">
        <v>169</v>
      </c>
      <c r="F8" s="256" t="s">
        <v>170</v>
      </c>
      <c r="G8" s="256" t="s">
        <v>171</v>
      </c>
    </row>
    <row r="9" spans="1:43">
      <c r="A9" s="335" t="s">
        <v>510</v>
      </c>
      <c r="B9" s="255">
        <f>SUMIFS('3-Digester Inputs'!$BE$17:$BE$31,'3-Digester Inputs'!$S$17:$S$31,'12-OrganEcs Input Sheet'!B8)*365/1000</f>
        <v>0</v>
      </c>
      <c r="C9" s="255">
        <f>SUMIFS('3-Digester Inputs'!$BE$17:$BE$31,'3-Digester Inputs'!$S$17:$S$31,'12-OrganEcs Input Sheet'!C8)*365/1000</f>
        <v>0</v>
      </c>
      <c r="D9" s="255">
        <f>SUMIFS('3-Digester Inputs'!$BE$17:$BE$31,'3-Digester Inputs'!$S$17:$S$31,'12-OrganEcs Input Sheet'!D8)*365/1000</f>
        <v>7329.8856948399989</v>
      </c>
      <c r="E9" s="255">
        <f>SUMIFS('3-Digester Inputs'!$BE$17:$BE$31,'3-Digester Inputs'!$S$17:$S$31,'12-OrganEcs Input Sheet'!E8)*365/1000</f>
        <v>0</v>
      </c>
      <c r="F9" s="255">
        <f>SUMIFS('3-Digester Inputs'!$BE$17:$BE$31,'3-Digester Inputs'!$S$17:$S$31,'12-OrganEcs Input Sheet'!F8)*365/1000</f>
        <v>0</v>
      </c>
      <c r="G9" s="255">
        <f>SUMIFS('3-Digester Inputs'!$BE$17:$BE$31,'3-Digester Inputs'!$S$17:$S$31,'12-OrganEcs Input Sheet'!G8)*365/1000</f>
        <v>0</v>
      </c>
    </row>
    <row r="10" spans="1:43">
      <c r="A10" s="336" t="s">
        <v>511</v>
      </c>
      <c r="B10" s="337" t="str">
        <f>IFERROR(B11*B12,"")</f>
        <v/>
      </c>
      <c r="C10" s="337" t="str">
        <f t="shared" ref="C10:G10" si="0">IFERROR(C11*C12,"")</f>
        <v/>
      </c>
      <c r="D10" s="337">
        <f t="shared" si="0"/>
        <v>0.3041015183493529</v>
      </c>
      <c r="E10" s="337" t="str">
        <f t="shared" si="0"/>
        <v/>
      </c>
      <c r="F10" s="337" t="str">
        <f t="shared" si="0"/>
        <v/>
      </c>
      <c r="G10" s="337" t="str">
        <f t="shared" si="0"/>
        <v/>
      </c>
    </row>
    <row r="11" spans="1:43">
      <c r="A11" s="336" t="s">
        <v>512</v>
      </c>
      <c r="B11" s="254" t="str">
        <f>IFERROR(SUMPRODUCT('3-Digester Inputs'!T17:T31,'3-Digester Inputs'!Z17:Z31)/SUM('3-Digester Inputs'!T17:T31),"")</f>
        <v/>
      </c>
      <c r="C11" s="254" t="str">
        <f>IFERROR(SUMPRODUCT('3-Digester Inputs'!U17:U31,'3-Digester Inputs'!AA17:AA31)/SUM('3-Digester Inputs'!U17:U31),"")</f>
        <v/>
      </c>
      <c r="D11" s="254">
        <f>IFERROR(SUMPRODUCT('3-Digester Inputs'!V17:V31,'3-Digester Inputs'!AB17:AB31)/SUM('3-Digester Inputs'!V17:V31),"")</f>
        <v>4.6427226219120196E-2</v>
      </c>
      <c r="E11" s="254" t="str">
        <f>IFERROR(SUMPRODUCT('3-Digester Inputs'!W17:W31,'3-Digester Inputs'!AC17:AC31)/SUM('3-Digester Inputs'!W17:W31),"")</f>
        <v/>
      </c>
      <c r="F11" s="254" t="str">
        <f>IFERROR(SUMPRODUCT('3-Digester Inputs'!X17:X31,'3-Digester Inputs'!AD17:AD31)/SUM('3-Digester Inputs'!X17:X31),"")</f>
        <v/>
      </c>
      <c r="G11" s="254" t="str">
        <f>IFERROR(SUMPRODUCT('3-Digester Inputs'!Y17:Y31,'3-Digester Inputs'!AE17:AE31)/SUM('3-Digester Inputs'!Y17:Y31),"")</f>
        <v/>
      </c>
    </row>
    <row r="12" spans="1:43">
      <c r="A12" s="336" t="s">
        <v>513</v>
      </c>
      <c r="B12" s="253" t="str">
        <f>IFERROR(SUMPRODUCT('3-Digester Inputs'!AF17:AF31,'3-Digester Inputs'!T17:T31)/SUM('3-Digester Inputs'!T17:T31),"")</f>
        <v/>
      </c>
      <c r="C12" s="253" t="str">
        <f>IFERROR(SUMPRODUCT('3-Digester Inputs'!AG17:AG31,'3-Digester Inputs'!U17:U31)/SUM('3-Digester Inputs'!U17:U31),"")</f>
        <v/>
      </c>
      <c r="D12" s="253">
        <f>IFERROR(SUMPRODUCT('3-Digester Inputs'!AH17:AH31,'3-Digester Inputs'!V17:V31)/SUM('3-Digester Inputs'!V17:V31),"")</f>
        <v>6.5500686367542302</v>
      </c>
      <c r="E12" s="253" t="str">
        <f>IFERROR(SUMPRODUCT('3-Digester Inputs'!AI17:AI31,'3-Digester Inputs'!W17:W31)/SUM('3-Digester Inputs'!W17:W31),"")</f>
        <v/>
      </c>
      <c r="F12" s="253" t="str">
        <f>IFERROR(SUMPRODUCT('3-Digester Inputs'!AJ17:AJ31,'3-Digester Inputs'!X17:X31)/SUM('3-Digester Inputs'!X17:X31),"")</f>
        <v/>
      </c>
      <c r="G12" s="253" t="str">
        <f>IFERROR(SUMPRODUCT('3-Digester Inputs'!AK17:AK31,'3-Digester Inputs'!Y17:Y31)/SUM('3-Digester Inputs'!Y17:Y31),"")</f>
        <v/>
      </c>
    </row>
    <row r="13" spans="1:43">
      <c r="A13" s="336" t="s">
        <v>514</v>
      </c>
      <c r="B13" s="252" t="str">
        <f>IFERROR(SUMPRODUCT('3-Digester Inputs'!AL17:AL31,'3-Digester Inputs'!T17:T31)/SUM('3-Digester Inputs'!T17:T31),"")</f>
        <v/>
      </c>
      <c r="C13" s="252" t="str">
        <f>IFERROR(SUMPRODUCT('3-Digester Inputs'!AM17:AM31,'3-Digester Inputs'!U17:U31)/SUM('3-Digester Inputs'!U17:U31),"")</f>
        <v/>
      </c>
      <c r="D13" s="252">
        <f>IFERROR(SUMPRODUCT('3-Digester Inputs'!AN17:AN31,'3-Digester Inputs'!V17:V31)/SUM('3-Digester Inputs'!V17:V31),"")</f>
        <v>0.83040792356515258</v>
      </c>
      <c r="E13" s="252" t="str">
        <f>IFERROR(SUMPRODUCT('3-Digester Inputs'!AO17:AO31,'3-Digester Inputs'!W17:W31)/SUM('3-Digester Inputs'!W17:W31),"")</f>
        <v/>
      </c>
      <c r="F13" s="252" t="str">
        <f>IFERROR(SUMPRODUCT('3-Digester Inputs'!AP17:AP31,'3-Digester Inputs'!X17:X31)/SUM('3-Digester Inputs'!X17:X31),"")</f>
        <v/>
      </c>
      <c r="G13" s="252" t="str">
        <f>IFERROR(SUMPRODUCT('3-Digester Inputs'!AQ17:AQ31,'3-Digester Inputs'!Y17:Y31)/SUM('3-Digester Inputs'!Y17:Y31),"")</f>
        <v/>
      </c>
    </row>
    <row r="14" spans="1:43">
      <c r="A14" s="336" t="s">
        <v>515</v>
      </c>
      <c r="B14" s="252" t="str">
        <f>IFERROR(SUMPRODUCT('3-Digester Inputs'!AR17:AR31,'3-Digester Inputs'!T17:T31)/SUM('3-Digester Inputs'!T17:T31),"")</f>
        <v/>
      </c>
      <c r="C14" s="252" t="str">
        <f>IFERROR(SUMPRODUCT('3-Digester Inputs'!AS17:AS31,'3-Digester Inputs'!U17:U31)/SUM('3-Digester Inputs'!U17:U31),"")</f>
        <v/>
      </c>
      <c r="D14" s="252">
        <f>IFERROR(SUMPRODUCT('3-Digester Inputs'!AT17:AT31,'3-Digester Inputs'!V17:V31)/SUM('3-Digester Inputs'!V17:V31),"")</f>
        <v>9.3342945946890965E-2</v>
      </c>
      <c r="E14" s="252" t="str">
        <f>IFERROR(SUMPRODUCT('3-Digester Inputs'!AU17:AU31,'3-Digester Inputs'!W17:W31)/SUM('3-Digester Inputs'!W17:W31),"")</f>
        <v/>
      </c>
      <c r="F14" s="252" t="str">
        <f>IFERROR(SUMPRODUCT('3-Digester Inputs'!AV17:AV31,'3-Digester Inputs'!X17:X31)/SUM('3-Digester Inputs'!X17:X31),"")</f>
        <v/>
      </c>
      <c r="G14" s="252" t="str">
        <f>IFERROR(SUMPRODUCT('3-Digester Inputs'!AW17:AW31,'3-Digester Inputs'!Y17:Y31)/SUM('3-Digester Inputs'!Y17:Y31),"")</f>
        <v/>
      </c>
    </row>
    <row r="15" spans="1:43">
      <c r="A15" s="336" t="s">
        <v>516</v>
      </c>
      <c r="B15" s="338" t="str">
        <f>IFERROR(B10*B9,"")</f>
        <v/>
      </c>
      <c r="C15" s="338" t="str">
        <f t="shared" ref="C15:G15" si="1">IFERROR(C10*C9,"")</f>
        <v/>
      </c>
      <c r="D15" s="338">
        <f t="shared" si="1"/>
        <v>2229.0293691280453</v>
      </c>
      <c r="E15" s="338" t="str">
        <f t="shared" si="1"/>
        <v/>
      </c>
      <c r="F15" s="338" t="str">
        <f t="shared" si="1"/>
        <v/>
      </c>
      <c r="G15" s="338" t="str">
        <f t="shared" si="1"/>
        <v/>
      </c>
    </row>
    <row r="16" spans="1:43">
      <c r="A16" s="336" t="s">
        <v>517</v>
      </c>
      <c r="B16" s="338" t="str">
        <f>IFERROR(B9*B11,"")</f>
        <v/>
      </c>
      <c r="C16" s="338" t="str">
        <f t="shared" ref="C16:G16" si="2">IFERROR(C9*C11,"")</f>
        <v/>
      </c>
      <c r="D16" s="338">
        <f t="shared" si="2"/>
        <v>340.30626131462964</v>
      </c>
      <c r="E16" s="338" t="str">
        <f t="shared" si="2"/>
        <v/>
      </c>
      <c r="F16" s="338" t="str">
        <f t="shared" si="2"/>
        <v/>
      </c>
      <c r="G16" s="338" t="str">
        <f t="shared" si="2"/>
        <v/>
      </c>
    </row>
    <row r="17" spans="1:7">
      <c r="A17" s="336" t="s">
        <v>518</v>
      </c>
      <c r="B17" s="338" t="str">
        <f>IFERROR(B13*B9,"")</f>
        <v/>
      </c>
      <c r="C17" s="338" t="str">
        <f t="shared" ref="C17:G17" si="3">IFERROR(C13*C9,"")</f>
        <v/>
      </c>
      <c r="D17" s="338">
        <f t="shared" si="3"/>
        <v>6086.7951598219988</v>
      </c>
      <c r="E17" s="338" t="str">
        <f t="shared" si="3"/>
        <v/>
      </c>
      <c r="F17" s="338" t="str">
        <f t="shared" si="3"/>
        <v/>
      </c>
      <c r="G17" s="338" t="str">
        <f t="shared" si="3"/>
        <v/>
      </c>
    </row>
    <row r="18" spans="1:7">
      <c r="A18" s="336" t="s">
        <v>519</v>
      </c>
      <c r="B18" s="338" t="str">
        <f>IFERROR(B9*B14,"")</f>
        <v/>
      </c>
      <c r="C18" s="338" t="str">
        <f t="shared" ref="C18:G18" si="4">IFERROR(C9*C14,"")</f>
        <v/>
      </c>
      <c r="D18" s="338">
        <f t="shared" si="4"/>
        <v>684.19312421033931</v>
      </c>
      <c r="E18" s="338" t="str">
        <f t="shared" si="4"/>
        <v/>
      </c>
      <c r="F18" s="338" t="str">
        <f t="shared" si="4"/>
        <v/>
      </c>
      <c r="G18" s="338" t="str">
        <f t="shared" si="4"/>
        <v/>
      </c>
    </row>
    <row r="19" spans="1:7" ht="15.5">
      <c r="A19" s="336" t="s">
        <v>520</v>
      </c>
      <c r="B19" s="251" t="str">
        <f>IFERROR(SUMPRODUCT('3-Digester Inputs'!T17:T31,'3-Digester Inputs'!AX17:AX31)/SUM('3-Digester Inputs'!T17:T31)*1000,"")</f>
        <v/>
      </c>
      <c r="C19" s="251" t="str">
        <f>IFERROR(SUMPRODUCT('3-Digester Inputs'!U17:U31,'3-Digester Inputs'!AY17:AY31)/SUM('3-Digester Inputs'!U17:U31)*1000,"")</f>
        <v/>
      </c>
      <c r="D19" s="251">
        <f>IFERROR(SUMPRODUCT('3-Digester Inputs'!V17:V31,'3-Digester Inputs'!AZ17:AZ31)/SUM('3-Digester Inputs'!V17:V31)*1000,"")</f>
        <v>152.10326835768979</v>
      </c>
      <c r="E19" s="251" t="str">
        <f>IFERROR(SUMPRODUCT('3-Digester Inputs'!W17:W31,'3-Digester Inputs'!BA17:BA31)/SUM('3-Digester Inputs'!W17:W31)*1000,"")</f>
        <v/>
      </c>
      <c r="F19" s="251" t="str">
        <f>IFERROR(SUMPRODUCT('3-Digester Inputs'!X17:X31,'3-Digester Inputs'!BB17:BB31)/SUM('3-Digester Inputs'!X17:X31)*1000,"")</f>
        <v/>
      </c>
      <c r="G19" s="251" t="str">
        <f>IFERROR(SUMPRODUCT('3-Digester Inputs'!Y17:Y31,'3-Digester Inputs'!BC17:BC31)/SUM('3-Digester Inputs'!Y17:Y31)*1000,"")</f>
        <v/>
      </c>
    </row>
  </sheetData>
  <mergeCells count="1">
    <mergeCell ref="A2:G7"/>
  </mergeCells>
  <pageMargins left="0.7" right="0.7" top="0.75" bottom="0.75" header="0.3" footer="0.3"/>
  <pageSetup orientation="portrait" r:id="rId1"/>
  <ignoredErrors>
    <ignoredError sqref="B11:G14" unlocked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E8D548"/>
  </sheetPr>
  <dimension ref="A1:Y35"/>
  <sheetViews>
    <sheetView workbookViewId="0"/>
  </sheetViews>
  <sheetFormatPr defaultColWidth="9" defaultRowHeight="15.5"/>
  <cols>
    <col min="1" max="1" width="1.08203125" style="9" customWidth="1"/>
    <col min="2" max="2" width="41.5" style="9" bestFit="1" customWidth="1"/>
    <col min="3" max="3" width="12" style="9" bestFit="1" customWidth="1"/>
    <col min="4" max="16384" width="9" style="9"/>
  </cols>
  <sheetData>
    <row r="1" spans="1:25" ht="17.5">
      <c r="A1" s="290" t="s">
        <v>521</v>
      </c>
      <c r="B1" s="288"/>
      <c r="C1" s="288"/>
      <c r="D1" s="288"/>
      <c r="E1" s="288"/>
      <c r="F1" s="288"/>
      <c r="G1" s="288"/>
      <c r="H1" s="288"/>
      <c r="I1" s="288"/>
      <c r="J1" s="288"/>
      <c r="K1" s="288"/>
      <c r="L1" s="288"/>
      <c r="M1" s="288"/>
      <c r="N1" s="288"/>
      <c r="O1" s="288"/>
      <c r="P1" s="288"/>
      <c r="Q1" s="288"/>
      <c r="R1" s="288"/>
      <c r="S1" s="288"/>
      <c r="T1" s="288"/>
      <c r="U1" s="288"/>
    </row>
    <row r="2" spans="1:25" ht="17.5">
      <c r="A2" s="56"/>
    </row>
    <row r="3" spans="1:25" ht="17.5">
      <c r="A3" s="56"/>
    </row>
    <row r="4" spans="1:25" ht="17.5">
      <c r="A4" s="56"/>
    </row>
    <row r="5" spans="1:25" ht="6.65" customHeight="1"/>
    <row r="6" spans="1:25" ht="16" thickBot="1">
      <c r="B6" s="210" t="s">
        <v>522</v>
      </c>
      <c r="C6" s="210"/>
      <c r="D6" s="210"/>
      <c r="E6" s="210"/>
      <c r="F6" s="210"/>
      <c r="G6" s="210"/>
      <c r="H6" s="210"/>
      <c r="I6" s="210"/>
      <c r="J6" s="210"/>
      <c r="K6" s="210"/>
      <c r="L6" s="210"/>
      <c r="M6" s="210"/>
      <c r="N6" s="210"/>
      <c r="O6" s="210"/>
      <c r="P6" s="210"/>
      <c r="Q6" s="210"/>
      <c r="R6" s="210"/>
      <c r="S6" s="210"/>
      <c r="T6" s="210"/>
      <c r="U6" s="210"/>
    </row>
    <row r="7" spans="1:25" ht="16" thickBot="1">
      <c r="B7" s="234"/>
      <c r="C7" s="663" t="s">
        <v>523</v>
      </c>
      <c r="D7" s="664"/>
      <c r="E7" s="664"/>
      <c r="F7" s="664"/>
      <c r="G7" s="664"/>
      <c r="H7" s="664"/>
      <c r="I7" s="664"/>
      <c r="J7" s="664"/>
      <c r="K7" s="664"/>
      <c r="L7" s="664"/>
      <c r="M7" s="664"/>
      <c r="N7" s="664"/>
      <c r="O7" s="664"/>
      <c r="P7" s="664"/>
      <c r="Q7" s="664"/>
      <c r="R7" s="664"/>
      <c r="S7" s="664"/>
      <c r="T7" s="664"/>
      <c r="U7" s="665"/>
    </row>
    <row r="8" spans="1:25">
      <c r="B8" s="482"/>
      <c r="C8" s="660" t="s">
        <v>524</v>
      </c>
      <c r="D8" s="661"/>
      <c r="E8" s="661"/>
      <c r="F8" s="661"/>
      <c r="G8" s="662"/>
      <c r="H8" s="660" t="s">
        <v>525</v>
      </c>
      <c r="I8" s="661"/>
      <c r="J8" s="661"/>
      <c r="K8" s="661"/>
      <c r="L8" s="661"/>
      <c r="M8" s="661"/>
      <c r="N8" s="661"/>
      <c r="O8" s="661"/>
      <c r="P8" s="661"/>
      <c r="Q8" s="661"/>
      <c r="R8" s="662"/>
      <c r="S8" s="660" t="s">
        <v>526</v>
      </c>
      <c r="T8" s="661"/>
      <c r="U8" s="662"/>
    </row>
    <row r="9" spans="1:25">
      <c r="B9" s="482" t="s">
        <v>527</v>
      </c>
      <c r="C9" s="235">
        <v>10</v>
      </c>
      <c r="D9" s="236">
        <v>11</v>
      </c>
      <c r="E9" s="236">
        <v>12</v>
      </c>
      <c r="F9" s="236">
        <v>13</v>
      </c>
      <c r="G9" s="237">
        <v>14</v>
      </c>
      <c r="H9" s="235">
        <v>15</v>
      </c>
      <c r="I9" s="236">
        <v>16</v>
      </c>
      <c r="J9" s="236">
        <v>17</v>
      </c>
      <c r="K9" s="236">
        <v>18</v>
      </c>
      <c r="L9" s="236">
        <v>19</v>
      </c>
      <c r="M9" s="236">
        <v>20</v>
      </c>
      <c r="N9" s="236">
        <v>21</v>
      </c>
      <c r="O9" s="236">
        <v>22</v>
      </c>
      <c r="P9" s="236">
        <v>23</v>
      </c>
      <c r="Q9" s="236">
        <v>24</v>
      </c>
      <c r="R9" s="237">
        <v>25</v>
      </c>
      <c r="S9" s="235">
        <v>26</v>
      </c>
      <c r="T9" s="236">
        <v>27</v>
      </c>
      <c r="U9" s="237">
        <v>28</v>
      </c>
      <c r="Y9" s="481"/>
    </row>
    <row r="10" spans="1:25">
      <c r="B10" s="482" t="s">
        <v>528</v>
      </c>
      <c r="C10" s="238">
        <v>0</v>
      </c>
      <c r="D10" s="226">
        <v>0</v>
      </c>
      <c r="E10" s="226">
        <v>0</v>
      </c>
      <c r="F10" s="226">
        <v>0</v>
      </c>
      <c r="G10" s="239">
        <v>0</v>
      </c>
      <c r="H10" s="238">
        <v>0</v>
      </c>
      <c r="I10" s="226">
        <v>0</v>
      </c>
      <c r="J10" s="226">
        <v>0</v>
      </c>
      <c r="K10" s="226">
        <v>0</v>
      </c>
      <c r="L10" s="226">
        <v>0</v>
      </c>
      <c r="M10" s="226">
        <v>0</v>
      </c>
      <c r="N10" s="226">
        <v>0</v>
      </c>
      <c r="O10" s="226">
        <v>0</v>
      </c>
      <c r="P10" s="226">
        <v>0</v>
      </c>
      <c r="Q10" s="226">
        <v>0</v>
      </c>
      <c r="R10" s="239">
        <v>0</v>
      </c>
      <c r="S10" s="238">
        <v>0</v>
      </c>
      <c r="T10" s="226">
        <v>0</v>
      </c>
      <c r="U10" s="239">
        <v>0</v>
      </c>
      <c r="Y10" s="481"/>
    </row>
    <row r="11" spans="1:25">
      <c r="B11" s="482" t="s">
        <v>529</v>
      </c>
      <c r="C11" s="238">
        <v>1</v>
      </c>
      <c r="D11" s="226">
        <v>1</v>
      </c>
      <c r="E11" s="226">
        <v>1</v>
      </c>
      <c r="F11" s="226">
        <v>1</v>
      </c>
      <c r="G11" s="239">
        <v>1</v>
      </c>
      <c r="H11" s="238">
        <v>1</v>
      </c>
      <c r="I11" s="226">
        <v>1</v>
      </c>
      <c r="J11" s="226">
        <v>1</v>
      </c>
      <c r="K11" s="226">
        <v>1</v>
      </c>
      <c r="L11" s="226">
        <v>1</v>
      </c>
      <c r="M11" s="226">
        <v>1</v>
      </c>
      <c r="N11" s="226">
        <v>1</v>
      </c>
      <c r="O11" s="226">
        <v>1</v>
      </c>
      <c r="P11" s="226">
        <v>1</v>
      </c>
      <c r="Q11" s="226">
        <v>1</v>
      </c>
      <c r="R11" s="239">
        <v>1</v>
      </c>
      <c r="S11" s="238">
        <v>1</v>
      </c>
      <c r="T11" s="226">
        <v>1</v>
      </c>
      <c r="U11" s="239">
        <v>1</v>
      </c>
      <c r="Y11" s="481"/>
    </row>
    <row r="12" spans="1:25">
      <c r="B12" s="482" t="s">
        <v>530</v>
      </c>
      <c r="C12" s="238">
        <v>0.03</v>
      </c>
      <c r="D12" s="226">
        <v>0.03</v>
      </c>
      <c r="E12" s="226">
        <v>0.03</v>
      </c>
      <c r="F12" s="226">
        <v>0.03</v>
      </c>
      <c r="G12" s="239">
        <v>0.03</v>
      </c>
      <c r="H12" s="238">
        <v>0.03</v>
      </c>
      <c r="I12" s="226">
        <v>0.03</v>
      </c>
      <c r="J12" s="226">
        <v>0.03</v>
      </c>
      <c r="K12" s="226">
        <v>0.03</v>
      </c>
      <c r="L12" s="226">
        <v>0.03</v>
      </c>
      <c r="M12" s="226">
        <v>0.03</v>
      </c>
      <c r="N12" s="226">
        <v>0.03</v>
      </c>
      <c r="O12" s="226">
        <v>0.03</v>
      </c>
      <c r="P12" s="226">
        <v>0.03</v>
      </c>
      <c r="Q12" s="226">
        <v>0.03</v>
      </c>
      <c r="R12" s="239">
        <v>0.03</v>
      </c>
      <c r="S12" s="238">
        <v>0.3</v>
      </c>
      <c r="T12" s="226">
        <v>0.3</v>
      </c>
      <c r="U12" s="239">
        <v>0.3</v>
      </c>
      <c r="Y12" s="481" t="s">
        <v>531</v>
      </c>
    </row>
    <row r="13" spans="1:25">
      <c r="B13" s="482" t="s">
        <v>532</v>
      </c>
      <c r="C13" s="238">
        <v>0.17</v>
      </c>
      <c r="D13" s="226">
        <v>0.19</v>
      </c>
      <c r="E13" s="226">
        <v>0.2</v>
      </c>
      <c r="F13" s="226">
        <v>0.22</v>
      </c>
      <c r="G13" s="239">
        <v>0.25</v>
      </c>
      <c r="H13" s="238">
        <v>0.27</v>
      </c>
      <c r="I13" s="226">
        <v>0.28999999999999998</v>
      </c>
      <c r="J13" s="226">
        <v>0.32</v>
      </c>
      <c r="K13" s="226">
        <v>0.35</v>
      </c>
      <c r="L13" s="226">
        <v>0.39</v>
      </c>
      <c r="M13" s="226">
        <v>0.42</v>
      </c>
      <c r="N13" s="226">
        <v>0.46</v>
      </c>
      <c r="O13" s="226">
        <v>0.5</v>
      </c>
      <c r="P13" s="226">
        <v>0.55000000000000004</v>
      </c>
      <c r="Q13" s="226">
        <v>0.6</v>
      </c>
      <c r="R13" s="239">
        <v>0.65</v>
      </c>
      <c r="S13" s="238">
        <v>0.71</v>
      </c>
      <c r="T13" s="226">
        <v>0.78</v>
      </c>
      <c r="U13" s="239">
        <v>0.9</v>
      </c>
      <c r="Y13" s="481" t="s">
        <v>533</v>
      </c>
    </row>
    <row r="14" spans="1:25">
      <c r="B14" s="482" t="s">
        <v>534</v>
      </c>
      <c r="C14" s="238">
        <v>5.0000000000000001E-3</v>
      </c>
      <c r="D14" s="226">
        <v>5.0000000000000001E-3</v>
      </c>
      <c r="E14" s="226">
        <v>5.0000000000000001E-3</v>
      </c>
      <c r="F14" s="226">
        <v>5.0000000000000001E-3</v>
      </c>
      <c r="G14" s="239">
        <v>5.0000000000000001E-3</v>
      </c>
      <c r="H14" s="238">
        <v>5.0000000000000001E-3</v>
      </c>
      <c r="I14" s="226">
        <v>5.0000000000000001E-3</v>
      </c>
      <c r="J14" s="226">
        <v>5.0000000000000001E-3</v>
      </c>
      <c r="K14" s="226">
        <v>5.0000000000000001E-3</v>
      </c>
      <c r="L14" s="226">
        <v>5.0000000000000001E-3</v>
      </c>
      <c r="M14" s="226">
        <v>5.0000000000000001E-3</v>
      </c>
      <c r="N14" s="226">
        <v>5.0000000000000001E-3</v>
      </c>
      <c r="O14" s="226">
        <v>5.0000000000000001E-3</v>
      </c>
      <c r="P14" s="226">
        <v>5.0000000000000001E-3</v>
      </c>
      <c r="Q14" s="226">
        <v>5.0000000000000001E-3</v>
      </c>
      <c r="R14" s="239">
        <v>5.0000000000000001E-3</v>
      </c>
      <c r="S14" s="238">
        <v>5.0000000000000001E-3</v>
      </c>
      <c r="T14" s="226">
        <v>5.0000000000000001E-3</v>
      </c>
      <c r="U14" s="239">
        <v>5.0000000000000001E-3</v>
      </c>
      <c r="Y14" s="481" t="s">
        <v>535</v>
      </c>
    </row>
    <row r="15" spans="1:25">
      <c r="B15" s="482" t="s">
        <v>536</v>
      </c>
      <c r="C15" s="238">
        <v>5.0000000000000001E-3</v>
      </c>
      <c r="D15" s="226">
        <v>5.0000000000000001E-3</v>
      </c>
      <c r="E15" s="226">
        <v>5.0000000000000001E-3</v>
      </c>
      <c r="F15" s="226">
        <v>5.0000000000000001E-3</v>
      </c>
      <c r="G15" s="239">
        <v>5.0000000000000001E-3</v>
      </c>
      <c r="H15" s="238">
        <v>0.01</v>
      </c>
      <c r="I15" s="226">
        <v>0.01</v>
      </c>
      <c r="J15" s="226">
        <v>0.01</v>
      </c>
      <c r="K15" s="226">
        <v>0.01</v>
      </c>
      <c r="L15" s="226">
        <v>0.01</v>
      </c>
      <c r="M15" s="226">
        <v>0.01</v>
      </c>
      <c r="N15" s="226">
        <v>0.01</v>
      </c>
      <c r="O15" s="226">
        <v>0.01</v>
      </c>
      <c r="P15" s="226">
        <v>0.01</v>
      </c>
      <c r="Q15" s="226">
        <v>0.01</v>
      </c>
      <c r="R15" s="239">
        <v>0.01</v>
      </c>
      <c r="S15" s="238">
        <v>1.4999999999999999E-2</v>
      </c>
      <c r="T15" s="226">
        <v>1.4999999999999999E-2</v>
      </c>
      <c r="U15" s="239">
        <v>1.4999999999999999E-2</v>
      </c>
      <c r="Y15" s="481" t="s">
        <v>537</v>
      </c>
    </row>
    <row r="16" spans="1:25">
      <c r="B16" s="482" t="s">
        <v>538</v>
      </c>
      <c r="C16" s="238">
        <v>5.0000000000000001E-3</v>
      </c>
      <c r="D16" s="226">
        <v>5.0000000000000001E-3</v>
      </c>
      <c r="E16" s="226">
        <v>5.0000000000000001E-3</v>
      </c>
      <c r="F16" s="226">
        <v>5.0000000000000001E-3</v>
      </c>
      <c r="G16" s="239">
        <v>5.0000000000000001E-3</v>
      </c>
      <c r="H16" s="238">
        <v>0.01</v>
      </c>
      <c r="I16" s="226">
        <v>0.01</v>
      </c>
      <c r="J16" s="226">
        <v>0.01</v>
      </c>
      <c r="K16" s="226">
        <v>0.01</v>
      </c>
      <c r="L16" s="226">
        <v>0.01</v>
      </c>
      <c r="M16" s="226">
        <v>0.01</v>
      </c>
      <c r="N16" s="226">
        <v>0.01</v>
      </c>
      <c r="O16" s="226">
        <v>0.01</v>
      </c>
      <c r="P16" s="226">
        <v>0.01</v>
      </c>
      <c r="Q16" s="226">
        <v>0.01</v>
      </c>
      <c r="R16" s="239">
        <v>0.01</v>
      </c>
      <c r="S16" s="238">
        <v>1.4999999999999999E-2</v>
      </c>
      <c r="T16" s="226">
        <v>1.4999999999999999E-2</v>
      </c>
      <c r="U16" s="239">
        <v>1.4999999999999999E-2</v>
      </c>
      <c r="Y16" s="481" t="s">
        <v>239</v>
      </c>
    </row>
    <row r="17" spans="2:25">
      <c r="B17" s="482" t="s">
        <v>539</v>
      </c>
      <c r="C17" s="238">
        <v>5.0000000000000001E-3</v>
      </c>
      <c r="D17" s="226">
        <v>5.0000000000000001E-3</v>
      </c>
      <c r="E17" s="226">
        <v>5.0000000000000001E-3</v>
      </c>
      <c r="F17" s="226">
        <v>5.0000000000000001E-3</v>
      </c>
      <c r="G17" s="239">
        <v>5.0000000000000001E-3</v>
      </c>
      <c r="H17" s="238">
        <v>5.0000000000000001E-3</v>
      </c>
      <c r="I17" s="226">
        <v>5.0000000000000001E-3</v>
      </c>
      <c r="J17" s="226">
        <v>5.0000000000000001E-3</v>
      </c>
      <c r="K17" s="226">
        <v>5.0000000000000001E-3</v>
      </c>
      <c r="L17" s="226">
        <v>5.0000000000000001E-3</v>
      </c>
      <c r="M17" s="226">
        <v>5.0000000000000001E-3</v>
      </c>
      <c r="N17" s="226">
        <v>5.0000000000000001E-3</v>
      </c>
      <c r="O17" s="226">
        <v>5.0000000000000001E-3</v>
      </c>
      <c r="P17" s="226">
        <v>5.0000000000000001E-3</v>
      </c>
      <c r="Q17" s="226">
        <v>5.0000000000000001E-3</v>
      </c>
      <c r="R17" s="239">
        <v>5.0000000000000001E-3</v>
      </c>
      <c r="S17" s="238">
        <v>5.0000000000000001E-3</v>
      </c>
      <c r="T17" s="226">
        <v>5.0000000000000001E-3</v>
      </c>
      <c r="U17" s="239">
        <v>5.0000000000000001E-3</v>
      </c>
      <c r="Y17" s="481" t="s">
        <v>540</v>
      </c>
    </row>
    <row r="18" spans="2:25">
      <c r="B18" s="482" t="s">
        <v>541</v>
      </c>
      <c r="C18" s="238">
        <v>1E-3</v>
      </c>
      <c r="D18" s="226">
        <v>1E-3</v>
      </c>
      <c r="E18" s="226">
        <v>1E-3</v>
      </c>
      <c r="F18" s="226">
        <v>1E-3</v>
      </c>
      <c r="G18" s="239">
        <v>1E-3</v>
      </c>
      <c r="H18" s="238">
        <v>0.02</v>
      </c>
      <c r="I18" s="226">
        <v>0.02</v>
      </c>
      <c r="J18" s="226">
        <v>0.02</v>
      </c>
      <c r="K18" s="226">
        <v>0.02</v>
      </c>
      <c r="L18" s="226">
        <v>0.02</v>
      </c>
      <c r="M18" s="226">
        <v>0.02</v>
      </c>
      <c r="N18" s="226">
        <v>0.02</v>
      </c>
      <c r="O18" s="226">
        <v>0.02</v>
      </c>
      <c r="P18" s="226">
        <v>0.02</v>
      </c>
      <c r="Q18" s="226">
        <v>0.02</v>
      </c>
      <c r="R18" s="239">
        <v>0.02</v>
      </c>
      <c r="S18" s="238">
        <v>0.01</v>
      </c>
      <c r="T18" s="226">
        <v>0.01</v>
      </c>
      <c r="U18" s="239">
        <v>0.01</v>
      </c>
      <c r="Y18" s="481" t="s">
        <v>242</v>
      </c>
    </row>
    <row r="19" spans="2:25">
      <c r="B19" s="482" t="s">
        <v>531</v>
      </c>
      <c r="C19" s="238">
        <v>0.01</v>
      </c>
      <c r="D19" s="226">
        <v>0.01</v>
      </c>
      <c r="E19" s="226">
        <v>0.01</v>
      </c>
      <c r="F19" s="226">
        <v>0.01</v>
      </c>
      <c r="G19" s="239">
        <v>0.01</v>
      </c>
      <c r="H19" s="238">
        <v>0.02</v>
      </c>
      <c r="I19" s="226">
        <v>0.02</v>
      </c>
      <c r="J19" s="226">
        <v>0.02</v>
      </c>
      <c r="K19" s="226">
        <v>0.02</v>
      </c>
      <c r="L19" s="226">
        <v>0.02</v>
      </c>
      <c r="M19" s="226">
        <v>0.02</v>
      </c>
      <c r="N19" s="226">
        <v>0.02</v>
      </c>
      <c r="O19" s="226">
        <v>0.02</v>
      </c>
      <c r="P19" s="226">
        <v>0.02</v>
      </c>
      <c r="Q19" s="226">
        <v>0.02</v>
      </c>
      <c r="R19" s="239">
        <v>0.02</v>
      </c>
      <c r="S19" s="238">
        <v>0.02</v>
      </c>
      <c r="T19" s="226">
        <v>0.02</v>
      </c>
      <c r="U19" s="239">
        <v>0.02</v>
      </c>
      <c r="Y19" s="481"/>
    </row>
    <row r="20" spans="2:25">
      <c r="B20" s="482" t="s">
        <v>542</v>
      </c>
      <c r="C20" s="238">
        <v>1</v>
      </c>
      <c r="D20" s="226">
        <v>1</v>
      </c>
      <c r="E20" s="226">
        <v>1</v>
      </c>
      <c r="F20" s="226">
        <v>1</v>
      </c>
      <c r="G20" s="239">
        <v>1</v>
      </c>
      <c r="H20" s="238">
        <v>1</v>
      </c>
      <c r="I20" s="226">
        <v>1</v>
      </c>
      <c r="J20" s="226">
        <v>1</v>
      </c>
      <c r="K20" s="226">
        <v>1</v>
      </c>
      <c r="L20" s="226">
        <v>1</v>
      </c>
      <c r="M20" s="226">
        <v>1</v>
      </c>
      <c r="N20" s="226">
        <v>1</v>
      </c>
      <c r="O20" s="226">
        <v>1</v>
      </c>
      <c r="P20" s="226">
        <v>1</v>
      </c>
      <c r="Q20" s="226">
        <v>1</v>
      </c>
      <c r="R20" s="239">
        <v>1</v>
      </c>
      <c r="S20" s="238">
        <v>1</v>
      </c>
      <c r="T20" s="226">
        <v>1</v>
      </c>
      <c r="U20" s="239">
        <v>1</v>
      </c>
      <c r="Y20" s="481"/>
    </row>
    <row r="21" spans="2:25">
      <c r="B21" s="482" t="s">
        <v>543</v>
      </c>
      <c r="C21" s="238">
        <v>0.5</v>
      </c>
      <c r="D21" s="226">
        <v>0.5</v>
      </c>
      <c r="E21" s="226">
        <v>0.5</v>
      </c>
      <c r="F21" s="226">
        <v>0.5</v>
      </c>
      <c r="G21" s="239">
        <v>0.5</v>
      </c>
      <c r="H21" s="238">
        <v>0.5</v>
      </c>
      <c r="I21" s="226">
        <v>0.5</v>
      </c>
      <c r="J21" s="226">
        <v>0.5</v>
      </c>
      <c r="K21" s="226">
        <v>0.5</v>
      </c>
      <c r="L21" s="226">
        <v>0.5</v>
      </c>
      <c r="M21" s="226">
        <v>0.5</v>
      </c>
      <c r="N21" s="226">
        <v>0.5</v>
      </c>
      <c r="O21" s="226">
        <v>0.5</v>
      </c>
      <c r="P21" s="226">
        <v>0.5</v>
      </c>
      <c r="Q21" s="226">
        <v>0.5</v>
      </c>
      <c r="R21" s="239">
        <v>0.5</v>
      </c>
      <c r="S21" s="238">
        <v>0.5</v>
      </c>
      <c r="T21" s="226">
        <v>0.5</v>
      </c>
      <c r="U21" s="239">
        <v>0.5</v>
      </c>
      <c r="Y21" s="481"/>
    </row>
    <row r="22" spans="2:25">
      <c r="B22" s="482" t="s">
        <v>533</v>
      </c>
      <c r="C22" s="238">
        <v>0.17</v>
      </c>
      <c r="D22" s="226">
        <v>0.19</v>
      </c>
      <c r="E22" s="226">
        <v>0.2</v>
      </c>
      <c r="F22" s="226">
        <v>0.22</v>
      </c>
      <c r="G22" s="239">
        <v>0.25</v>
      </c>
      <c r="H22" s="238">
        <v>0.27</v>
      </c>
      <c r="I22" s="226">
        <v>0.28999999999999998</v>
      </c>
      <c r="J22" s="226">
        <v>0.32</v>
      </c>
      <c r="K22" s="226">
        <v>0.35</v>
      </c>
      <c r="L22" s="226">
        <v>0.39</v>
      </c>
      <c r="M22" s="226">
        <v>0.42</v>
      </c>
      <c r="N22" s="226">
        <v>0.46</v>
      </c>
      <c r="O22" s="226">
        <v>0.5</v>
      </c>
      <c r="P22" s="226">
        <v>0.55000000000000004</v>
      </c>
      <c r="Q22" s="226">
        <v>0.6</v>
      </c>
      <c r="R22" s="239">
        <v>0.65</v>
      </c>
      <c r="S22" s="238">
        <v>0.71</v>
      </c>
      <c r="T22" s="226">
        <v>0.78</v>
      </c>
      <c r="U22" s="239">
        <v>0.8</v>
      </c>
    </row>
    <row r="23" spans="2:25">
      <c r="B23" s="482" t="s">
        <v>535</v>
      </c>
      <c r="C23" s="238">
        <v>0.1</v>
      </c>
      <c r="D23" s="226">
        <v>0.11</v>
      </c>
      <c r="E23" s="226">
        <v>0.13</v>
      </c>
      <c r="F23" s="226">
        <v>0.14000000000000001</v>
      </c>
      <c r="G23" s="239">
        <v>0.15</v>
      </c>
      <c r="H23" s="238">
        <v>0.17</v>
      </c>
      <c r="I23" s="226">
        <v>0.18</v>
      </c>
      <c r="J23" s="226">
        <v>0.2</v>
      </c>
      <c r="K23" s="226">
        <v>0.22</v>
      </c>
      <c r="L23" s="226">
        <v>0.24</v>
      </c>
      <c r="M23" s="226">
        <v>0.26</v>
      </c>
      <c r="N23" s="226">
        <v>0.28999999999999998</v>
      </c>
      <c r="O23" s="226">
        <v>0.31</v>
      </c>
      <c r="P23" s="226">
        <v>0.34</v>
      </c>
      <c r="Q23" s="226">
        <v>0.37</v>
      </c>
      <c r="R23" s="239">
        <v>0.41</v>
      </c>
      <c r="S23" s="238">
        <v>0.44</v>
      </c>
      <c r="T23" s="226">
        <v>0.48</v>
      </c>
      <c r="U23" s="239">
        <v>0.5</v>
      </c>
    </row>
    <row r="24" spans="2:25">
      <c r="B24" s="482" t="s">
        <v>544</v>
      </c>
      <c r="C24" s="238">
        <v>0.1</v>
      </c>
      <c r="D24" s="226">
        <v>0.1</v>
      </c>
      <c r="E24" s="226">
        <v>0.1</v>
      </c>
      <c r="F24" s="226">
        <v>0.1</v>
      </c>
      <c r="G24" s="239">
        <v>0.1</v>
      </c>
      <c r="H24" s="238">
        <v>0.1</v>
      </c>
      <c r="I24" s="226">
        <v>0.1</v>
      </c>
      <c r="J24" s="226">
        <v>0.1</v>
      </c>
      <c r="K24" s="226">
        <v>0.1</v>
      </c>
      <c r="L24" s="226">
        <v>0.1</v>
      </c>
      <c r="M24" s="226">
        <v>0.1</v>
      </c>
      <c r="N24" s="226">
        <v>0.1</v>
      </c>
      <c r="O24" s="226">
        <v>0.1</v>
      </c>
      <c r="P24" s="226">
        <v>0.1</v>
      </c>
      <c r="Q24" s="226">
        <v>0.1</v>
      </c>
      <c r="R24" s="239">
        <v>0.1</v>
      </c>
      <c r="S24" s="238">
        <v>0.1</v>
      </c>
      <c r="T24" s="226">
        <v>0.1</v>
      </c>
      <c r="U24" s="239">
        <v>0.1</v>
      </c>
    </row>
    <row r="25" spans="2:25">
      <c r="B25" s="482" t="s">
        <v>545</v>
      </c>
      <c r="C25" s="238">
        <v>0.01</v>
      </c>
      <c r="D25" s="226">
        <v>0.01</v>
      </c>
      <c r="E25" s="226">
        <v>0.01</v>
      </c>
      <c r="F25" s="226">
        <v>0.01</v>
      </c>
      <c r="G25" s="239">
        <v>0.01</v>
      </c>
      <c r="H25" s="238">
        <v>0.02</v>
      </c>
      <c r="I25" s="226">
        <v>0.02</v>
      </c>
      <c r="J25" s="226">
        <v>0.02</v>
      </c>
      <c r="K25" s="226">
        <v>0.02</v>
      </c>
      <c r="L25" s="226">
        <v>0.02</v>
      </c>
      <c r="M25" s="226">
        <v>0.02</v>
      </c>
      <c r="N25" s="226">
        <v>0.02</v>
      </c>
      <c r="O25" s="226">
        <v>0.02</v>
      </c>
      <c r="P25" s="226">
        <v>0.02</v>
      </c>
      <c r="Q25" s="226">
        <v>0.02</v>
      </c>
      <c r="R25" s="239">
        <v>0.02</v>
      </c>
      <c r="S25" s="238">
        <v>0.02</v>
      </c>
      <c r="T25" s="226">
        <v>0.02</v>
      </c>
      <c r="U25" s="239">
        <v>0.02</v>
      </c>
    </row>
    <row r="26" spans="2:25">
      <c r="B26" s="482" t="s">
        <v>537</v>
      </c>
      <c r="C26" s="238">
        <v>0.03</v>
      </c>
      <c r="D26" s="226">
        <v>0.03</v>
      </c>
      <c r="E26" s="226">
        <v>0.03</v>
      </c>
      <c r="F26" s="226">
        <v>0.03</v>
      </c>
      <c r="G26" s="239">
        <v>0.03</v>
      </c>
      <c r="H26" s="238">
        <v>0.03</v>
      </c>
      <c r="I26" s="226">
        <v>0.03</v>
      </c>
      <c r="J26" s="226">
        <v>0.03</v>
      </c>
      <c r="K26" s="226">
        <v>0.03</v>
      </c>
      <c r="L26" s="226">
        <v>0.03</v>
      </c>
      <c r="M26" s="226">
        <v>0.03</v>
      </c>
      <c r="N26" s="226">
        <v>0.03</v>
      </c>
      <c r="O26" s="226">
        <v>0.03</v>
      </c>
      <c r="P26" s="226">
        <v>0.03</v>
      </c>
      <c r="Q26" s="226">
        <v>0.03</v>
      </c>
      <c r="R26" s="239">
        <v>0.03</v>
      </c>
      <c r="S26" s="238">
        <v>0.03</v>
      </c>
      <c r="T26" s="226">
        <v>0.03</v>
      </c>
      <c r="U26" s="239">
        <v>0.03</v>
      </c>
    </row>
    <row r="27" spans="2:25">
      <c r="B27" s="482" t="s">
        <v>239</v>
      </c>
      <c r="C27" s="238">
        <v>0.19</v>
      </c>
      <c r="D27" s="226">
        <v>0.19</v>
      </c>
      <c r="E27" s="226">
        <v>0.2</v>
      </c>
      <c r="F27" s="226">
        <v>0.22</v>
      </c>
      <c r="G27" s="239">
        <v>0.25</v>
      </c>
      <c r="H27" s="238">
        <v>0.27</v>
      </c>
      <c r="I27" s="226">
        <v>0.28999999999999998</v>
      </c>
      <c r="J27" s="226">
        <v>0.32</v>
      </c>
      <c r="K27" s="226">
        <v>0.35</v>
      </c>
      <c r="L27" s="226">
        <v>0.39</v>
      </c>
      <c r="M27" s="226">
        <v>0.42</v>
      </c>
      <c r="N27" s="226">
        <v>0.46</v>
      </c>
      <c r="O27" s="226">
        <v>0.5</v>
      </c>
      <c r="P27" s="226">
        <v>0.55000000000000004</v>
      </c>
      <c r="Q27" s="226">
        <v>0.6</v>
      </c>
      <c r="R27" s="239">
        <v>0.65</v>
      </c>
      <c r="S27" s="238">
        <v>0.71</v>
      </c>
      <c r="T27" s="226">
        <v>0.78</v>
      </c>
      <c r="U27" s="239">
        <v>0.8</v>
      </c>
    </row>
    <row r="28" spans="2:25">
      <c r="B28" s="482" t="s">
        <v>540</v>
      </c>
      <c r="C28" s="238">
        <v>0.02</v>
      </c>
      <c r="D28" s="226">
        <v>0.02</v>
      </c>
      <c r="E28" s="226">
        <v>0.02</v>
      </c>
      <c r="F28" s="226">
        <v>0.02</v>
      </c>
      <c r="G28" s="239">
        <v>0.02</v>
      </c>
      <c r="H28" s="238">
        <v>0.04</v>
      </c>
      <c r="I28" s="226">
        <v>0.04</v>
      </c>
      <c r="J28" s="226">
        <v>0.04</v>
      </c>
      <c r="K28" s="226">
        <v>0.04</v>
      </c>
      <c r="L28" s="226">
        <v>0.04</v>
      </c>
      <c r="M28" s="226">
        <v>0.04</v>
      </c>
      <c r="N28" s="226">
        <v>0.04</v>
      </c>
      <c r="O28" s="226">
        <v>0.04</v>
      </c>
      <c r="P28" s="226">
        <v>0.04</v>
      </c>
      <c r="Q28" s="226">
        <v>0.04</v>
      </c>
      <c r="R28" s="239">
        <v>0.04</v>
      </c>
      <c r="S28" s="238">
        <v>0.05</v>
      </c>
      <c r="T28" s="226">
        <v>0.05</v>
      </c>
      <c r="U28" s="239">
        <v>0.05</v>
      </c>
    </row>
    <row r="29" spans="2:25">
      <c r="B29" s="482" t="s">
        <v>546</v>
      </c>
      <c r="C29" s="238">
        <v>0.6</v>
      </c>
      <c r="D29" s="226">
        <v>0.6</v>
      </c>
      <c r="E29" s="226">
        <v>0.6</v>
      </c>
      <c r="F29" s="226">
        <v>0.6</v>
      </c>
      <c r="G29" s="239">
        <v>0.6</v>
      </c>
      <c r="H29" s="238">
        <v>0.6</v>
      </c>
      <c r="I29" s="226">
        <v>0.6</v>
      </c>
      <c r="J29" s="226">
        <v>0.6</v>
      </c>
      <c r="K29" s="226">
        <v>0.6</v>
      </c>
      <c r="L29" s="226">
        <v>0.6</v>
      </c>
      <c r="M29" s="226">
        <v>0.6</v>
      </c>
      <c r="N29" s="226">
        <v>0.6</v>
      </c>
      <c r="O29" s="226">
        <v>0.6</v>
      </c>
      <c r="P29" s="226">
        <v>0.6</v>
      </c>
      <c r="Q29" s="226">
        <v>0.6</v>
      </c>
      <c r="R29" s="239">
        <v>0.6</v>
      </c>
      <c r="S29" s="238">
        <v>0.6</v>
      </c>
      <c r="T29" s="226">
        <v>0.6</v>
      </c>
      <c r="U29" s="239">
        <v>0.6</v>
      </c>
    </row>
    <row r="30" spans="2:25">
      <c r="B30" s="482" t="s">
        <v>242</v>
      </c>
      <c r="C30" s="238">
        <v>0.66</v>
      </c>
      <c r="D30" s="226">
        <v>0.68</v>
      </c>
      <c r="E30" s="226">
        <v>0.7</v>
      </c>
      <c r="F30" s="226">
        <v>0.71</v>
      </c>
      <c r="G30" s="239">
        <v>0.73</v>
      </c>
      <c r="H30" s="238">
        <v>0.74</v>
      </c>
      <c r="I30" s="226">
        <v>0.75</v>
      </c>
      <c r="J30" s="226">
        <v>0.76</v>
      </c>
      <c r="K30" s="226">
        <v>0.77</v>
      </c>
      <c r="L30" s="226">
        <v>0.77</v>
      </c>
      <c r="M30" s="226">
        <v>0.78</v>
      </c>
      <c r="N30" s="226">
        <v>0.78</v>
      </c>
      <c r="O30" s="226">
        <v>0.78</v>
      </c>
      <c r="P30" s="226">
        <v>0.79</v>
      </c>
      <c r="Q30" s="226">
        <v>0.79</v>
      </c>
      <c r="R30" s="239">
        <v>0.79</v>
      </c>
      <c r="S30" s="238">
        <v>0.79</v>
      </c>
      <c r="T30" s="226">
        <v>0.8</v>
      </c>
      <c r="U30" s="239">
        <v>0.8</v>
      </c>
    </row>
    <row r="31" spans="2:25">
      <c r="B31" s="482" t="s">
        <v>547</v>
      </c>
      <c r="C31" s="238">
        <v>0.4</v>
      </c>
      <c r="D31" s="226">
        <v>0.4</v>
      </c>
      <c r="E31" s="226">
        <v>0.4</v>
      </c>
      <c r="F31" s="226">
        <v>0.4</v>
      </c>
      <c r="G31" s="239">
        <v>0.4</v>
      </c>
      <c r="H31" s="238">
        <v>0.4</v>
      </c>
      <c r="I31" s="226">
        <v>0.4</v>
      </c>
      <c r="J31" s="226">
        <v>0.4</v>
      </c>
      <c r="K31" s="226">
        <v>0.4</v>
      </c>
      <c r="L31" s="226">
        <v>0.4</v>
      </c>
      <c r="M31" s="226">
        <v>0.4</v>
      </c>
      <c r="N31" s="226">
        <v>0.4</v>
      </c>
      <c r="O31" s="226">
        <v>0.4</v>
      </c>
      <c r="P31" s="226">
        <v>0.4</v>
      </c>
      <c r="Q31" s="226">
        <v>0.4</v>
      </c>
      <c r="R31" s="239">
        <v>0.4</v>
      </c>
      <c r="S31" s="238">
        <v>0.4</v>
      </c>
      <c r="T31" s="226">
        <v>0.4</v>
      </c>
      <c r="U31" s="239">
        <v>0.4</v>
      </c>
    </row>
    <row r="32" spans="2:25" ht="16" thickBot="1">
      <c r="B32" s="483" t="s">
        <v>548</v>
      </c>
      <c r="C32" s="240">
        <v>0.8</v>
      </c>
      <c r="D32" s="241">
        <v>0.8</v>
      </c>
      <c r="E32" s="241">
        <v>0.8</v>
      </c>
      <c r="F32" s="241">
        <v>0.8</v>
      </c>
      <c r="G32" s="242">
        <v>0.8</v>
      </c>
      <c r="H32" s="240">
        <v>0.8</v>
      </c>
      <c r="I32" s="241">
        <v>0.8</v>
      </c>
      <c r="J32" s="241">
        <v>0.8</v>
      </c>
      <c r="K32" s="241">
        <v>0.8</v>
      </c>
      <c r="L32" s="241">
        <v>0.8</v>
      </c>
      <c r="M32" s="241">
        <v>0.8</v>
      </c>
      <c r="N32" s="241">
        <v>0.8</v>
      </c>
      <c r="O32" s="241">
        <v>0.8</v>
      </c>
      <c r="P32" s="241">
        <v>0.8</v>
      </c>
      <c r="Q32" s="241">
        <v>0.8</v>
      </c>
      <c r="R32" s="242">
        <v>0.8</v>
      </c>
      <c r="S32" s="240">
        <v>0.8</v>
      </c>
      <c r="T32" s="241">
        <v>0.8</v>
      </c>
      <c r="U32" s="242">
        <v>0.8</v>
      </c>
    </row>
    <row r="33" spans="2:2" ht="15" customHeight="1">
      <c r="B33" s="268" t="s">
        <v>549</v>
      </c>
    </row>
    <row r="34" spans="2:2">
      <c r="B34" s="9" t="s">
        <v>550</v>
      </c>
    </row>
    <row r="35" spans="2:2">
      <c r="B35" s="472" t="s">
        <v>551</v>
      </c>
    </row>
  </sheetData>
  <sortState ref="Y12:Y18">
    <sortCondition ref="Y12"/>
  </sortState>
  <mergeCells count="4">
    <mergeCell ref="C8:G8"/>
    <mergeCell ref="H8:R8"/>
    <mergeCell ref="S8:U8"/>
    <mergeCell ref="C7:U7"/>
  </mergeCells>
  <pageMargins left="0.7" right="0.7" top="0.75" bottom="0.75" header="0.3" footer="0.3"/>
  <pageSetup paperSize="9" orientation="portrait" verticalDpi="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DBAD4F"/>
  </sheetPr>
  <dimension ref="A1:C73"/>
  <sheetViews>
    <sheetView workbookViewId="0">
      <selection activeCell="B1" sqref="B1"/>
    </sheetView>
  </sheetViews>
  <sheetFormatPr defaultColWidth="9" defaultRowHeight="14"/>
  <cols>
    <col min="1" max="1" width="1.08203125" style="4" customWidth="1"/>
    <col min="2" max="2" width="124.5" style="4" customWidth="1"/>
    <col min="3" max="3" width="10.58203125" style="373" customWidth="1"/>
    <col min="4" max="16384" width="9" style="4"/>
  </cols>
  <sheetData>
    <row r="1" spans="1:3" s="371" customFormat="1" ht="18" customHeight="1">
      <c r="A1" s="296"/>
      <c r="B1" s="287" t="s">
        <v>552</v>
      </c>
      <c r="C1" s="370"/>
    </row>
    <row r="2" spans="1:3">
      <c r="C2" s="11"/>
    </row>
    <row r="3" spans="1:3">
      <c r="B3" s="49" t="s">
        <v>553</v>
      </c>
      <c r="C3" s="11"/>
    </row>
    <row r="4" spans="1:3" s="41" customFormat="1" ht="45" customHeight="1">
      <c r="B4" s="49" t="s">
        <v>554</v>
      </c>
      <c r="C4" s="50"/>
    </row>
    <row r="5" spans="1:3" s="41" customFormat="1" ht="45" customHeight="1">
      <c r="B5" s="51" t="s">
        <v>555</v>
      </c>
      <c r="C5" s="50"/>
    </row>
    <row r="6" spans="1:3" s="41" customFormat="1" ht="45" customHeight="1">
      <c r="B6" s="51" t="s">
        <v>556</v>
      </c>
      <c r="C6" s="50"/>
    </row>
    <row r="7" spans="1:3" s="41" customFormat="1" ht="42">
      <c r="B7" s="51" t="s">
        <v>557</v>
      </c>
      <c r="C7" s="50"/>
    </row>
    <row r="8" spans="1:3" s="41" customFormat="1" ht="45" customHeight="1">
      <c r="B8" s="51" t="s">
        <v>558</v>
      </c>
      <c r="C8" s="50"/>
    </row>
    <row r="9" spans="1:3" s="41" customFormat="1" ht="20.149999999999999" customHeight="1">
      <c r="B9" s="51" t="s">
        <v>559</v>
      </c>
      <c r="C9" s="50"/>
    </row>
    <row r="10" spans="1:3" s="41" customFormat="1">
      <c r="B10" s="51" t="s">
        <v>560</v>
      </c>
      <c r="C10" s="50"/>
    </row>
    <row r="11" spans="1:3" s="41" customFormat="1" ht="45" customHeight="1">
      <c r="B11" s="51" t="s">
        <v>561</v>
      </c>
      <c r="C11" s="50"/>
    </row>
    <row r="12" spans="1:3" s="41" customFormat="1" ht="45" customHeight="1">
      <c r="B12" s="51" t="s">
        <v>562</v>
      </c>
    </row>
    <row r="13" spans="1:3" s="41" customFormat="1" ht="45" customHeight="1">
      <c r="B13" s="51" t="s">
        <v>563</v>
      </c>
    </row>
    <row r="14" spans="1:3" s="41" customFormat="1" ht="45" customHeight="1">
      <c r="B14" s="51" t="s">
        <v>564</v>
      </c>
    </row>
    <row r="15" spans="1:3" s="41" customFormat="1" ht="45" customHeight="1">
      <c r="B15" s="51" t="s">
        <v>565</v>
      </c>
    </row>
    <row r="16" spans="1:3" s="41" customFormat="1" ht="42">
      <c r="B16" s="51" t="s">
        <v>566</v>
      </c>
    </row>
    <row r="17" spans="2:2" s="41" customFormat="1" ht="45" customHeight="1">
      <c r="B17" s="51" t="s">
        <v>567</v>
      </c>
    </row>
    <row r="18" spans="2:2" s="41" customFormat="1" ht="20.149999999999999" customHeight="1">
      <c r="B18" s="51" t="s">
        <v>568</v>
      </c>
    </row>
    <row r="19" spans="2:2" s="41" customFormat="1" ht="20.149999999999999" customHeight="1">
      <c r="B19" s="51" t="s">
        <v>569</v>
      </c>
    </row>
    <row r="20" spans="2:2" s="41" customFormat="1" ht="32.15" customHeight="1">
      <c r="B20" s="51" t="s">
        <v>774</v>
      </c>
    </row>
    <row r="21" spans="2:2" s="41" customFormat="1" ht="45" customHeight="1">
      <c r="B21" s="51" t="s">
        <v>570</v>
      </c>
    </row>
    <row r="22" spans="2:2" s="41" customFormat="1" ht="45" customHeight="1">
      <c r="B22" s="51" t="s">
        <v>571</v>
      </c>
    </row>
    <row r="23" spans="2:2" s="41" customFormat="1" ht="45" customHeight="1">
      <c r="B23" s="51" t="s">
        <v>572</v>
      </c>
    </row>
    <row r="24" spans="2:2" s="41" customFormat="1" ht="45" customHeight="1">
      <c r="B24" s="51" t="s">
        <v>573</v>
      </c>
    </row>
    <row r="25" spans="2:2" s="41" customFormat="1" ht="45" customHeight="1">
      <c r="B25" s="51" t="s">
        <v>574</v>
      </c>
    </row>
    <row r="26" spans="2:2" s="41" customFormat="1" ht="45" customHeight="1">
      <c r="B26" s="51" t="s">
        <v>575</v>
      </c>
    </row>
    <row r="27" spans="2:2" s="41" customFormat="1" ht="28">
      <c r="B27" s="51" t="s">
        <v>576</v>
      </c>
    </row>
    <row r="28" spans="2:2" s="41" customFormat="1" ht="42">
      <c r="B28" s="51" t="s">
        <v>577</v>
      </c>
    </row>
    <row r="29" spans="2:2" s="41" customFormat="1" ht="45" customHeight="1">
      <c r="B29" s="51" t="s">
        <v>578</v>
      </c>
    </row>
    <row r="30" spans="2:2" s="41" customFormat="1" ht="45" customHeight="1">
      <c r="B30" s="51" t="s">
        <v>579</v>
      </c>
    </row>
    <row r="31" spans="2:2" s="41" customFormat="1" ht="45" customHeight="1">
      <c r="B31" s="51" t="s">
        <v>580</v>
      </c>
    </row>
    <row r="32" spans="2:2" s="41" customFormat="1" ht="45" customHeight="1">
      <c r="B32" s="51" t="s">
        <v>581</v>
      </c>
    </row>
    <row r="33" spans="2:2" s="41" customFormat="1" ht="45" customHeight="1">
      <c r="B33" s="51" t="s">
        <v>582</v>
      </c>
    </row>
    <row r="34" spans="2:2" s="41" customFormat="1" ht="45" customHeight="1">
      <c r="B34" s="51" t="s">
        <v>583</v>
      </c>
    </row>
    <row r="35" spans="2:2" s="41" customFormat="1" ht="45" customHeight="1">
      <c r="B35" s="51" t="s">
        <v>584</v>
      </c>
    </row>
    <row r="36" spans="2:2" s="41" customFormat="1" ht="56">
      <c r="B36" s="51" t="s">
        <v>585</v>
      </c>
    </row>
    <row r="37" spans="2:2" s="41" customFormat="1" ht="42">
      <c r="B37" s="51" t="s">
        <v>586</v>
      </c>
    </row>
    <row r="38" spans="2:2" s="41" customFormat="1" ht="28">
      <c r="B38" s="51" t="s">
        <v>587</v>
      </c>
    </row>
    <row r="39" spans="2:2" s="41" customFormat="1" ht="20.149999999999999" customHeight="1">
      <c r="B39" s="51" t="s">
        <v>588</v>
      </c>
    </row>
    <row r="40" spans="2:2" s="41" customFormat="1" ht="32.25" customHeight="1">
      <c r="B40" s="51" t="s">
        <v>589</v>
      </c>
    </row>
    <row r="41" spans="2:2" s="41" customFormat="1" ht="45" customHeight="1">
      <c r="B41" s="51" t="s">
        <v>590</v>
      </c>
    </row>
    <row r="42" spans="2:2" s="41" customFormat="1" ht="45" customHeight="1">
      <c r="B42" s="51" t="s">
        <v>591</v>
      </c>
    </row>
    <row r="43" spans="2:2" s="41" customFormat="1" ht="45" customHeight="1">
      <c r="B43" s="51" t="s">
        <v>592</v>
      </c>
    </row>
    <row r="44" spans="2:2" s="41" customFormat="1" ht="45" customHeight="1">
      <c r="B44" s="51" t="s">
        <v>593</v>
      </c>
    </row>
    <row r="45" spans="2:2" s="41" customFormat="1" ht="28">
      <c r="B45" s="51" t="s">
        <v>594</v>
      </c>
    </row>
    <row r="46" spans="2:2" s="41" customFormat="1" ht="28">
      <c r="B46" s="51" t="s">
        <v>595</v>
      </c>
    </row>
    <row r="47" spans="2:2" s="41" customFormat="1" ht="45" customHeight="1">
      <c r="B47" s="51" t="s">
        <v>596</v>
      </c>
    </row>
    <row r="48" spans="2:2" s="41" customFormat="1" ht="45" customHeight="1">
      <c r="B48" s="51" t="s">
        <v>597</v>
      </c>
    </row>
    <row r="49" spans="2:3" s="41" customFormat="1" ht="50.25" customHeight="1">
      <c r="B49" s="51" t="s">
        <v>598</v>
      </c>
    </row>
    <row r="50" spans="2:3" s="41" customFormat="1" ht="63.75" customHeight="1">
      <c r="B50" s="51" t="s">
        <v>599</v>
      </c>
    </row>
    <row r="51" spans="2:3" s="41" customFormat="1" ht="45" customHeight="1">
      <c r="B51" s="51" t="s">
        <v>600</v>
      </c>
    </row>
    <row r="52" spans="2:3" s="41" customFormat="1" ht="45" customHeight="1">
      <c r="B52" s="51" t="s">
        <v>601</v>
      </c>
    </row>
    <row r="53" spans="2:3" s="41" customFormat="1" ht="45" customHeight="1">
      <c r="B53" s="51" t="s">
        <v>602</v>
      </c>
    </row>
    <row r="54" spans="2:3" s="41" customFormat="1" ht="45" customHeight="1">
      <c r="B54" s="51" t="s">
        <v>603</v>
      </c>
    </row>
    <row r="55" spans="2:3" s="41" customFormat="1" ht="45" customHeight="1">
      <c r="B55" s="51" t="s">
        <v>604</v>
      </c>
    </row>
    <row r="56" spans="2:3" s="41" customFormat="1" ht="28">
      <c r="B56" s="51" t="s">
        <v>605</v>
      </c>
    </row>
    <row r="57" spans="2:3" s="41" customFormat="1" ht="45" customHeight="1">
      <c r="B57" s="51" t="s">
        <v>606</v>
      </c>
    </row>
    <row r="58" spans="2:3" s="41" customFormat="1" ht="45" customHeight="1">
      <c r="B58" s="51" t="s">
        <v>607</v>
      </c>
    </row>
    <row r="59" spans="2:3" s="41" customFormat="1" ht="56">
      <c r="B59" s="51" t="s">
        <v>608</v>
      </c>
    </row>
    <row r="60" spans="2:3" s="41" customFormat="1" ht="45" customHeight="1">
      <c r="B60" s="51" t="s">
        <v>609</v>
      </c>
    </row>
    <row r="61" spans="2:3" s="41" customFormat="1" ht="45" customHeight="1">
      <c r="B61" s="51" t="s">
        <v>610</v>
      </c>
    </row>
    <row r="62" spans="2:3" s="41" customFormat="1" ht="45" customHeight="1">
      <c r="B62" s="51" t="s">
        <v>611</v>
      </c>
    </row>
    <row r="63" spans="2:3" s="41" customFormat="1" ht="45" customHeight="1">
      <c r="B63" s="51" t="s">
        <v>612</v>
      </c>
    </row>
    <row r="64" spans="2:3" s="41" customFormat="1" ht="45" customHeight="1">
      <c r="B64" s="51" t="s">
        <v>613</v>
      </c>
      <c r="C64" s="372"/>
    </row>
    <row r="65" spans="2:3" s="41" customFormat="1" ht="45" customHeight="1">
      <c r="B65" s="51" t="s">
        <v>614</v>
      </c>
      <c r="C65" s="372"/>
    </row>
    <row r="66" spans="2:3" s="41" customFormat="1" ht="45" customHeight="1">
      <c r="B66" s="51" t="s">
        <v>615</v>
      </c>
      <c r="C66" s="372"/>
    </row>
    <row r="67" spans="2:3" s="41" customFormat="1" ht="42">
      <c r="B67" s="51" t="s">
        <v>616</v>
      </c>
      <c r="C67" s="372"/>
    </row>
    <row r="68" spans="2:3" s="41" customFormat="1" ht="28">
      <c r="B68" s="51" t="s">
        <v>617</v>
      </c>
      <c r="C68" s="372"/>
    </row>
    <row r="69" spans="2:3" s="41" customFormat="1" ht="45" customHeight="1">
      <c r="B69" s="52" t="s">
        <v>618</v>
      </c>
      <c r="C69" s="372"/>
    </row>
    <row r="70" spans="2:3" s="41" customFormat="1" ht="45" customHeight="1">
      <c r="B70" s="52" t="s">
        <v>619</v>
      </c>
      <c r="C70" s="372"/>
    </row>
    <row r="71" spans="2:3" s="41" customFormat="1" ht="45" customHeight="1">
      <c r="B71" s="52" t="s">
        <v>620</v>
      </c>
      <c r="C71" s="372"/>
    </row>
    <row r="72" spans="2:3" s="41" customFormat="1" ht="45" customHeight="1">
      <c r="B72" s="52" t="s">
        <v>621</v>
      </c>
      <c r="C72" s="372"/>
    </row>
    <row r="73" spans="2:3" s="41" customFormat="1" ht="45" customHeight="1">
      <c r="B73" s="53" t="s">
        <v>622</v>
      </c>
      <c r="C73" s="372"/>
    </row>
  </sheetData>
  <sortState ref="B3:B34">
    <sortCondition ref="B35"/>
  </sortState>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DBAD4F"/>
  </sheetPr>
  <dimension ref="A1:B91"/>
  <sheetViews>
    <sheetView workbookViewId="0"/>
  </sheetViews>
  <sheetFormatPr defaultColWidth="9" defaultRowHeight="14"/>
  <cols>
    <col min="1" max="1" width="142.58203125" style="1" customWidth="1"/>
    <col min="2" max="16384" width="9" style="1"/>
  </cols>
  <sheetData>
    <row r="1" spans="1:2" ht="28.5" customHeight="1">
      <c r="A1" s="287" t="s">
        <v>18</v>
      </c>
    </row>
    <row r="2" spans="1:2">
      <c r="A2" s="85"/>
    </row>
    <row r="3" spans="1:2">
      <c r="A3" s="85"/>
    </row>
    <row r="4" spans="1:2">
      <c r="A4" s="85"/>
    </row>
    <row r="5" spans="1:2">
      <c r="A5" s="85"/>
    </row>
    <row r="6" spans="1:2">
      <c r="A6" s="85"/>
    </row>
    <row r="7" spans="1:2">
      <c r="A7" s="85"/>
    </row>
    <row r="8" spans="1:2">
      <c r="A8" s="84"/>
    </row>
    <row r="9" spans="1:2">
      <c r="A9" s="84"/>
    </row>
    <row r="10" spans="1:2" ht="20">
      <c r="A10" s="86"/>
      <c r="B10" s="374"/>
    </row>
    <row r="11" spans="1:2">
      <c r="A11" s="84"/>
    </row>
    <row r="12" spans="1:2">
      <c r="A12" s="84"/>
    </row>
    <row r="13" spans="1:2">
      <c r="A13" s="84"/>
    </row>
    <row r="14" spans="1:2">
      <c r="A14" s="84"/>
    </row>
    <row r="15" spans="1:2">
      <c r="A15" s="84"/>
    </row>
    <row r="16" spans="1:2">
      <c r="A16" s="84"/>
    </row>
    <row r="17" spans="1:1">
      <c r="A17" s="84"/>
    </row>
    <row r="18" spans="1:1">
      <c r="A18" s="84"/>
    </row>
    <row r="19" spans="1:1">
      <c r="A19" s="84"/>
    </row>
    <row r="20" spans="1:1">
      <c r="A20" s="84"/>
    </row>
    <row r="21" spans="1:1">
      <c r="A21" s="84"/>
    </row>
    <row r="22" spans="1:1">
      <c r="A22" s="84"/>
    </row>
    <row r="23" spans="1:1">
      <c r="A23" s="84"/>
    </row>
    <row r="24" spans="1:1">
      <c r="A24" s="84"/>
    </row>
    <row r="25" spans="1:1">
      <c r="A25" s="84"/>
    </row>
    <row r="26" spans="1:1">
      <c r="A26" s="84"/>
    </row>
    <row r="27" spans="1:1">
      <c r="A27" s="84"/>
    </row>
    <row r="28" spans="1:1">
      <c r="A28" s="84"/>
    </row>
    <row r="29" spans="1:1">
      <c r="A29" s="84"/>
    </row>
    <row r="30" spans="1:1">
      <c r="A30" s="84"/>
    </row>
    <row r="31" spans="1:1">
      <c r="A31" s="84"/>
    </row>
    <row r="32" spans="1:1">
      <c r="A32" s="84"/>
    </row>
    <row r="33" spans="1:1">
      <c r="A33" s="84"/>
    </row>
    <row r="34" spans="1:1">
      <c r="A34" s="84"/>
    </row>
    <row r="35" spans="1:1">
      <c r="A35" s="84"/>
    </row>
    <row r="36" spans="1:1">
      <c r="A36" s="84"/>
    </row>
    <row r="37" spans="1:1">
      <c r="A37" s="84"/>
    </row>
    <row r="38" spans="1:1">
      <c r="A38" s="84"/>
    </row>
    <row r="39" spans="1:1">
      <c r="A39" s="84"/>
    </row>
    <row r="40" spans="1:1">
      <c r="A40" s="84"/>
    </row>
    <row r="41" spans="1:1">
      <c r="A41" s="84"/>
    </row>
    <row r="42" spans="1:1">
      <c r="A42" s="84"/>
    </row>
    <row r="43" spans="1:1">
      <c r="A43" s="84"/>
    </row>
    <row r="44" spans="1:1">
      <c r="A44" s="84"/>
    </row>
    <row r="45" spans="1:1">
      <c r="A45" s="84"/>
    </row>
    <row r="46" spans="1:1">
      <c r="A46" s="84"/>
    </row>
    <row r="47" spans="1:1">
      <c r="A47" s="84"/>
    </row>
    <row r="48" spans="1:1">
      <c r="A48" s="84"/>
    </row>
    <row r="49" spans="1:1">
      <c r="A49" s="84"/>
    </row>
    <row r="50" spans="1:1">
      <c r="A50" s="84"/>
    </row>
    <row r="51" spans="1:1">
      <c r="A51" s="84"/>
    </row>
    <row r="52" spans="1:1">
      <c r="A52" s="84"/>
    </row>
    <row r="53" spans="1:1">
      <c r="A53" s="84"/>
    </row>
    <row r="54" spans="1:1">
      <c r="A54" s="84"/>
    </row>
    <row r="55" spans="1:1">
      <c r="A55" s="84"/>
    </row>
    <row r="56" spans="1:1">
      <c r="A56" s="84"/>
    </row>
    <row r="57" spans="1:1">
      <c r="A57" s="84"/>
    </row>
    <row r="58" spans="1:1">
      <c r="A58" s="84"/>
    </row>
    <row r="59" spans="1:1">
      <c r="A59" s="84"/>
    </row>
    <row r="60" spans="1:1">
      <c r="A60" s="84"/>
    </row>
    <row r="61" spans="1:1">
      <c r="A61" s="84"/>
    </row>
    <row r="62" spans="1:1">
      <c r="A62" s="84"/>
    </row>
    <row r="63" spans="1:1">
      <c r="A63" s="84"/>
    </row>
    <row r="64" spans="1:1">
      <c r="A64" s="84"/>
    </row>
    <row r="65" spans="1:1">
      <c r="A65" s="84"/>
    </row>
    <row r="66" spans="1:1">
      <c r="A66" s="84"/>
    </row>
    <row r="67" spans="1:1">
      <c r="A67" s="84"/>
    </row>
    <row r="68" spans="1:1">
      <c r="A68" s="84"/>
    </row>
    <row r="69" spans="1:1">
      <c r="A69" s="84"/>
    </row>
    <row r="70" spans="1:1">
      <c r="A70" s="84"/>
    </row>
    <row r="71" spans="1:1">
      <c r="A71" s="84"/>
    </row>
    <row r="72" spans="1:1">
      <c r="A72" s="84"/>
    </row>
    <row r="73" spans="1:1">
      <c r="A73" s="84"/>
    </row>
    <row r="74" spans="1:1">
      <c r="A74" s="84"/>
    </row>
    <row r="75" spans="1:1">
      <c r="A75" s="84"/>
    </row>
    <row r="76" spans="1:1">
      <c r="A76" s="84"/>
    </row>
    <row r="77" spans="1:1">
      <c r="A77" s="84"/>
    </row>
    <row r="78" spans="1:1">
      <c r="A78" s="84"/>
    </row>
    <row r="79" spans="1:1">
      <c r="A79" s="84"/>
    </row>
    <row r="80" spans="1:1">
      <c r="A80" s="84"/>
    </row>
    <row r="81" spans="1:1">
      <c r="A81" s="84"/>
    </row>
    <row r="82" spans="1:1">
      <c r="A82" s="84"/>
    </row>
    <row r="83" spans="1:1">
      <c r="A83" s="84"/>
    </row>
    <row r="84" spans="1:1">
      <c r="A84" s="84"/>
    </row>
    <row r="85" spans="1:1">
      <c r="A85" s="84"/>
    </row>
    <row r="86" spans="1:1">
      <c r="A86" s="84"/>
    </row>
    <row r="87" spans="1:1">
      <c r="A87" s="84"/>
    </row>
    <row r="88" spans="1:1">
      <c r="A88" s="84"/>
    </row>
    <row r="89" spans="1:1">
      <c r="A89" s="84"/>
    </row>
    <row r="90" spans="1:1">
      <c r="A90" s="84"/>
    </row>
    <row r="91" spans="1:1">
      <c r="A91" s="84"/>
    </row>
  </sheetData>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DBAD4F"/>
  </sheetPr>
  <dimension ref="B1:N1"/>
  <sheetViews>
    <sheetView workbookViewId="0"/>
  </sheetViews>
  <sheetFormatPr defaultColWidth="8.58203125" defaultRowHeight="15.5"/>
  <cols>
    <col min="1" max="1" width="1.08203125" customWidth="1"/>
    <col min="2" max="14" width="8.58203125" customWidth="1"/>
  </cols>
  <sheetData>
    <row r="1" spans="2:14" ht="29.25" customHeight="1">
      <c r="B1" s="287" t="s">
        <v>4</v>
      </c>
      <c r="C1" s="287"/>
      <c r="D1" s="287"/>
      <c r="E1" s="287"/>
      <c r="F1" s="287"/>
      <c r="G1" s="287"/>
      <c r="H1" s="287"/>
      <c r="I1" s="287"/>
      <c r="J1" s="287"/>
      <c r="K1" s="287"/>
      <c r="L1" s="287"/>
      <c r="M1" s="287"/>
      <c r="N1" s="287"/>
    </row>
  </sheetData>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L27"/>
  <sheetViews>
    <sheetView workbookViewId="0"/>
  </sheetViews>
  <sheetFormatPr defaultColWidth="8.58203125" defaultRowHeight="15.5"/>
  <cols>
    <col min="1" max="1" width="44.58203125" customWidth="1"/>
    <col min="2" max="2" width="19.08203125" bestFit="1" customWidth="1"/>
    <col min="3" max="3" width="30.6640625" hidden="1" customWidth="1"/>
    <col min="4" max="4" width="44.58203125" hidden="1" customWidth="1"/>
    <col min="5" max="5" width="43.9140625" customWidth="1"/>
    <col min="6" max="6" width="42.1640625" customWidth="1"/>
  </cols>
  <sheetData>
    <row r="1" spans="1:12" ht="21">
      <c r="A1" s="539" t="s">
        <v>623</v>
      </c>
      <c r="B1" s="539"/>
      <c r="C1" s="539"/>
      <c r="D1" s="539"/>
      <c r="E1" s="539"/>
      <c r="F1" s="539"/>
      <c r="G1" s="480"/>
      <c r="H1" s="480"/>
      <c r="I1" s="480"/>
      <c r="J1" s="480"/>
      <c r="K1" s="480"/>
      <c r="L1" s="480"/>
    </row>
    <row r="2" spans="1:12">
      <c r="A2" s="9"/>
      <c r="B2" s="9"/>
      <c r="C2" s="9"/>
      <c r="D2" s="9"/>
      <c r="E2" s="9"/>
      <c r="F2" s="9"/>
    </row>
    <row r="3" spans="1:12">
      <c r="A3" s="210" t="s">
        <v>624</v>
      </c>
      <c r="B3" s="210"/>
      <c r="C3" s="210"/>
      <c r="D3" s="210"/>
      <c r="E3" s="210"/>
      <c r="F3" s="210" t="s">
        <v>625</v>
      </c>
    </row>
    <row r="4" spans="1:12" ht="34.25" customHeight="1">
      <c r="A4" s="210" t="s">
        <v>626</v>
      </c>
      <c r="B4" s="210" t="s">
        <v>627</v>
      </c>
      <c r="C4" s="210" t="s">
        <v>628</v>
      </c>
      <c r="D4" s="210" t="s">
        <v>752</v>
      </c>
      <c r="E4" s="210" t="s">
        <v>762</v>
      </c>
      <c r="F4" s="236" t="s">
        <v>753</v>
      </c>
    </row>
    <row r="5" spans="1:12">
      <c r="A5" s="542" t="str">
        <f>'3-Digester Inputs'!B17</f>
        <v>Calf</v>
      </c>
      <c r="B5" s="540">
        <f>IFERROR(IF(VLOOKUP(A5,Waste_Item_Table,20,FALSE)="Y",('3-Digester Inputs'!H17*100)/(100-'3-Digester Inputs'!H17),""),"")</f>
        <v>9.2857228995574206E-2</v>
      </c>
      <c r="C5" s="541">
        <f>IFERROR(IF(VLOOKUP(A5,Waste_Item_Table,20,FALSE)="Y",B5*'3-Digester Inputs'!BE17/1000*365,""),"")</f>
        <v>665.13634301388038</v>
      </c>
      <c r="D5" s="540">
        <f>IFERROR(IF(VLOOKUP(A5,Waste_Item_Table,20,FALSE)="Y",VLOOKUP(A5,Waste_Item_Table,17),""),"")</f>
        <v>277</v>
      </c>
      <c r="E5" s="540">
        <f>IF(B5&lt;&gt;"",IFERROR(VLOOKUP(PrimaryManureMang,'13-MCF'!$B$9:$U$32,MATCH(AvgTemp,'13-MCF'!$C$9:$U$9,0),FALSE),0),"")</f>
        <v>1</v>
      </c>
      <c r="F5" s="214">
        <f>IF(LEN(B5)&gt;0,VLOOKUP(A5,'6-Biogas Production'!$O$58:$T$72,4,FALSE)*E5*365*ConversionFactor,"")</f>
        <v>66877.221226456793</v>
      </c>
    </row>
    <row r="6" spans="1:12">
      <c r="A6" s="542" t="str">
        <f>'3-Digester Inputs'!B18</f>
        <v>Adolescents Pigs</v>
      </c>
      <c r="B6" s="540">
        <f>IFERROR(IF(VLOOKUP(A6,Waste_Item_Table,20,FALSE)="Y",('3-Digester Inputs'!H18*100)/(100-'3-Digester Inputs'!H18),""),"")</f>
        <v>8.3145998213900757E-2</v>
      </c>
      <c r="C6" s="541">
        <f>IFERROR(IF(VLOOKUP(A6,Waste_Item_Table,20,FALSE)="Y",B6*'3-Digester Inputs'!BE18/1000*365,""),"")</f>
        <v>9.0578577503772326</v>
      </c>
      <c r="D6" s="540" t="str">
        <f t="shared" ref="D6:D19" si="0">IFERROR(IF(VLOOKUP(A6,Waste_Item_Table,20,FALSE)="Y",VLOOKUP(A6,Waste_Item_Table,17),""),"")</f>
        <v/>
      </c>
      <c r="E6" s="540">
        <f>IF(B6&lt;&gt;"",IFERROR(VLOOKUP(PrimaryManureMang,'13-MCF'!$B$9:$U$32,MATCH(AvgTemp,'13-MCF'!$C$9:$U$9,0),FALSE),0),"")</f>
        <v>1</v>
      </c>
      <c r="F6" s="214">
        <f>IF(LEN(B6)&gt;0,VLOOKUP(A6,'6-Biogas Production'!$O$58:$T$72,4,FALSE)*E6*365*ConversionFactor,"")</f>
        <v>2190.9045547493606</v>
      </c>
    </row>
    <row r="7" spans="1:12">
      <c r="A7" s="542" t="str">
        <f>'3-Digester Inputs'!B19</f>
        <v>Poultry Chicken</v>
      </c>
      <c r="B7" s="540">
        <f>IFERROR(IF(VLOOKUP(A7,Waste_Item_Table,20,FALSE)="Y",('3-Digester Inputs'!H19*100)/(100-'3-Digester Inputs'!H19),""),"")</f>
        <v>0.18367006177992987</v>
      </c>
      <c r="C7" s="541">
        <f>IFERROR(IF(VLOOKUP(A7,Waste_Item_Table,20,FALSE)="Y",B7*'3-Digester Inputs'!BE19/1000*365,""),"")</f>
        <v>10.643014827183167</v>
      </c>
      <c r="D7" s="540">
        <f t="shared" si="0"/>
        <v>270</v>
      </c>
      <c r="E7" s="540">
        <f>IF(B7&lt;&gt;"",IFERROR(VLOOKUP(PrimaryManureMang,'13-MCF'!$B$9:$U$32,MATCH(AvgTemp,'13-MCF'!$C$9:$U$9,0),FALSE),0),"")</f>
        <v>1</v>
      </c>
      <c r="F7" s="214">
        <f>IF(LEN(B7)&gt;0,VLOOKUP(A7,'6-Biogas Production'!$O$58:$T$72,4,FALSE)*E7*365*ConversionFactor,"")</f>
        <v>1993.8189742239999</v>
      </c>
    </row>
    <row r="8" spans="1:12">
      <c r="A8" s="542">
        <f>'3-Digester Inputs'!B20</f>
        <v>0</v>
      </c>
      <c r="B8" s="540" t="str">
        <f>IFERROR(IF(VLOOKUP(A8,Waste_Item_Table,20,FALSE)="Y",('3-Digester Inputs'!H20*100)/(100-'3-Digester Inputs'!H20),""),"")</f>
        <v/>
      </c>
      <c r="C8" s="541" t="str">
        <f>IFERROR(IF(VLOOKUP(A8,Waste_Item_Table,20,FALSE)="Y",B8*'3-Digester Inputs'!BE20/1000*365,""),"")</f>
        <v/>
      </c>
      <c r="D8" s="540" t="str">
        <f t="shared" si="0"/>
        <v/>
      </c>
      <c r="E8" s="540" t="str">
        <f>IF(B8&lt;&gt;"",IFERROR(VLOOKUP(PrimaryManureMang,'13-MCF'!$B$9:$U$32,MATCH(AvgTemp,'13-MCF'!$C$9:$U$9,0),FALSE),0),"")</f>
        <v/>
      </c>
      <c r="F8" s="214" t="str">
        <f>IF(LEN(B8)&gt;0,VLOOKUP(A8,'6-Biogas Production'!$O$58:$T$72,4,FALSE)*E8*365*ConversionFactor,"")</f>
        <v/>
      </c>
    </row>
    <row r="9" spans="1:12">
      <c r="A9" s="542">
        <f>'3-Digester Inputs'!B21</f>
        <v>0</v>
      </c>
      <c r="B9" s="540" t="str">
        <f>IFERROR(IF(VLOOKUP(A9,Waste_Item_Table,20,FALSE)="Y",('3-Digester Inputs'!H21*100)/(100-'3-Digester Inputs'!H21),""),"")</f>
        <v/>
      </c>
      <c r="C9" s="541" t="str">
        <f>IFERROR(IF(VLOOKUP(A9,Waste_Item_Table,20,FALSE)="Y",B9*'3-Digester Inputs'!BE21/1000*365,""),"")</f>
        <v/>
      </c>
      <c r="D9" s="540" t="str">
        <f t="shared" si="0"/>
        <v/>
      </c>
      <c r="E9" s="540" t="str">
        <f>IF(B9&lt;&gt;"",IFERROR(VLOOKUP(PrimaryManureMang,'13-MCF'!$B$9:$U$32,MATCH(AvgTemp,'13-MCF'!$C$9:$U$9,0),FALSE),0),"")</f>
        <v/>
      </c>
      <c r="F9" s="214" t="str">
        <f>IF(LEN(B9)&gt;0,VLOOKUP(A9,'6-Biogas Production'!$O$58:$T$72,4,FALSE)*E9*365*ConversionFactor,"")</f>
        <v/>
      </c>
    </row>
    <row r="10" spans="1:12">
      <c r="A10" s="542">
        <f>'3-Digester Inputs'!B22</f>
        <v>0</v>
      </c>
      <c r="B10" s="540" t="str">
        <f>IFERROR(IF(VLOOKUP(A10,Waste_Item_Table,20,FALSE)="Y",('3-Digester Inputs'!H22*100)/(100-'3-Digester Inputs'!H22),""),"")</f>
        <v/>
      </c>
      <c r="C10" s="541" t="str">
        <f>IFERROR(IF(VLOOKUP(A10,Waste_Item_Table,20,FALSE)="Y",B10*'3-Digester Inputs'!BE22/1000*365,""),"")</f>
        <v/>
      </c>
      <c r="D10" s="540" t="str">
        <f t="shared" si="0"/>
        <v/>
      </c>
      <c r="E10" s="540" t="str">
        <f>IF(B10&lt;&gt;"",IFERROR(VLOOKUP(PrimaryManureMang,'13-MCF'!$B$9:$U$32,MATCH(AvgTemp,'13-MCF'!$C$9:$U$9,0),FALSE),0),"")</f>
        <v/>
      </c>
      <c r="F10" s="214" t="str">
        <f>IF(LEN(B10)&gt;0,VLOOKUP(A10,'6-Biogas Production'!$O$58:$T$72,4,FALSE)*E10*365*ConversionFactor,"")</f>
        <v/>
      </c>
    </row>
    <row r="11" spans="1:12">
      <c r="A11" s="542">
        <f>'3-Digester Inputs'!B23</f>
        <v>0</v>
      </c>
      <c r="B11" s="540" t="str">
        <f>IFERROR(IF(VLOOKUP(A11,Waste_Item_Table,20,FALSE)="Y",('3-Digester Inputs'!H23*100)/(100-'3-Digester Inputs'!H23),""),"")</f>
        <v/>
      </c>
      <c r="C11" s="541" t="str">
        <f>IFERROR(IF(VLOOKUP(A11,Waste_Item_Table,20,FALSE)="Y",B11*'3-Digester Inputs'!BE23/1000*365,""),"")</f>
        <v/>
      </c>
      <c r="D11" s="540" t="str">
        <f t="shared" si="0"/>
        <v/>
      </c>
      <c r="E11" s="540" t="str">
        <f>IF(B11&lt;&gt;"",IFERROR(VLOOKUP(PrimaryManureMang,'13-MCF'!$B$9:$U$32,MATCH(AvgTemp,'13-MCF'!$C$9:$U$9,0),FALSE),0),"")</f>
        <v/>
      </c>
      <c r="F11" s="214" t="str">
        <f>IF(LEN(B11)&gt;0,VLOOKUP(A11,'6-Biogas Production'!$O$58:$T$72,4,FALSE)*E11*365*ConversionFactor,"")</f>
        <v/>
      </c>
    </row>
    <row r="12" spans="1:12">
      <c r="A12" s="542">
        <f>'3-Digester Inputs'!B24</f>
        <v>0</v>
      </c>
      <c r="B12" s="540" t="str">
        <f>IFERROR(IF(VLOOKUP(A12,Waste_Item_Table,20,FALSE)="Y",('3-Digester Inputs'!H24*100)/(100-'3-Digester Inputs'!H24),""),"")</f>
        <v/>
      </c>
      <c r="C12" s="541" t="str">
        <f>IFERROR(IF(VLOOKUP(A12,Waste_Item_Table,20,FALSE)="Y",B12*'3-Digester Inputs'!BE24/1000*365,""),"")</f>
        <v/>
      </c>
      <c r="D12" s="540" t="str">
        <f t="shared" si="0"/>
        <v/>
      </c>
      <c r="E12" s="540" t="str">
        <f>IF(B12&lt;&gt;"",IFERROR(VLOOKUP(PrimaryManureMang,'13-MCF'!$B$9:$U$32,MATCH(AvgTemp,'13-MCF'!$C$9:$U$9,0),FALSE),0),"")</f>
        <v/>
      </c>
      <c r="F12" s="214" t="str">
        <f>IF(LEN(B12)&gt;0,VLOOKUP(A12,'6-Biogas Production'!$O$58:$T$72,4,FALSE)*E12*365*ConversionFactor,"")</f>
        <v/>
      </c>
    </row>
    <row r="13" spans="1:12">
      <c r="A13" s="542">
        <f>'3-Digester Inputs'!B25</f>
        <v>0</v>
      </c>
      <c r="B13" s="540" t="str">
        <f>IFERROR(IF(VLOOKUP(A13,Waste_Item_Table,20,FALSE)="Y",('3-Digester Inputs'!H25*100)/(100-'3-Digester Inputs'!H25),""),"")</f>
        <v/>
      </c>
      <c r="C13" s="541" t="str">
        <f>IFERROR(IF(VLOOKUP(A13,Waste_Item_Table,20,FALSE)="Y",B13*'3-Digester Inputs'!BE25/1000*365,""),"")</f>
        <v/>
      </c>
      <c r="D13" s="540" t="str">
        <f t="shared" si="0"/>
        <v/>
      </c>
      <c r="E13" s="540" t="str">
        <f>IF(B13&lt;&gt;"",IFERROR(VLOOKUP(PrimaryManureMang,'13-MCF'!$B$9:$U$32,MATCH(AvgTemp,'13-MCF'!$C$9:$U$9,0),FALSE),0),"")</f>
        <v/>
      </c>
      <c r="F13" s="214" t="str">
        <f>IF(LEN(B13)&gt;0,VLOOKUP(A13,'6-Biogas Production'!$O$58:$T$72,4,FALSE)*E13*365*ConversionFactor,"")</f>
        <v/>
      </c>
    </row>
    <row r="14" spans="1:12">
      <c r="A14" s="542">
        <f>'3-Digester Inputs'!B26</f>
        <v>0</v>
      </c>
      <c r="B14" s="540" t="str">
        <f>IFERROR(IF(VLOOKUP(A14,Waste_Item_Table,20,FALSE)="Y",('3-Digester Inputs'!H26*100)/(100-'3-Digester Inputs'!H26),""),"")</f>
        <v/>
      </c>
      <c r="C14" s="541" t="str">
        <f>IFERROR(IF(VLOOKUP(A14,Waste_Item_Table,20,FALSE)="Y",B14*'3-Digester Inputs'!BE26/1000*365,""),"")</f>
        <v/>
      </c>
      <c r="D14" s="540" t="str">
        <f t="shared" si="0"/>
        <v/>
      </c>
      <c r="E14" s="540" t="str">
        <f>IF(B14&lt;&gt;"",IFERROR(VLOOKUP(PrimaryManureMang,'13-MCF'!$B$9:$U$32,MATCH(AvgTemp,'13-MCF'!$C$9:$U$9,0),FALSE),0),"")</f>
        <v/>
      </c>
      <c r="F14" s="214" t="str">
        <f>IF(LEN(B14)&gt;0,VLOOKUP(A14,'6-Biogas Production'!$O$58:$T$72,4,FALSE)*E14*365*ConversionFactor,"")</f>
        <v/>
      </c>
    </row>
    <row r="15" spans="1:12">
      <c r="A15" s="542">
        <f>'3-Digester Inputs'!B27</f>
        <v>0</v>
      </c>
      <c r="B15" s="540" t="str">
        <f>IFERROR(IF(VLOOKUP(A15,Waste_Item_Table,20,FALSE)="Y",('3-Digester Inputs'!H27*100)/(100-'3-Digester Inputs'!H27),""),"")</f>
        <v/>
      </c>
      <c r="C15" s="541" t="str">
        <f>IFERROR(IF(VLOOKUP(A15,Waste_Item_Table,20,FALSE)="Y",B15*'3-Digester Inputs'!BE27/1000*365,""),"")</f>
        <v/>
      </c>
      <c r="D15" s="540" t="str">
        <f t="shared" si="0"/>
        <v/>
      </c>
      <c r="E15" s="540" t="str">
        <f>IF(B15&lt;&gt;"",IFERROR(VLOOKUP(PrimaryManureMang,'13-MCF'!$B$9:$U$32,MATCH(AvgTemp,'13-MCF'!$C$9:$U$9,0),FALSE),0),"")</f>
        <v/>
      </c>
      <c r="F15" s="214" t="str">
        <f>IF(LEN(B15)&gt;0,VLOOKUP(A15,'6-Biogas Production'!$O$58:$T$72,4,FALSE)*E15*365*ConversionFactor,"")</f>
        <v/>
      </c>
    </row>
    <row r="16" spans="1:12">
      <c r="A16" s="542">
        <f>'3-Digester Inputs'!B28</f>
        <v>0</v>
      </c>
      <c r="B16" s="540" t="str">
        <f>IFERROR(IF(VLOOKUP(A16,Waste_Item_Table,20,FALSE)="Y",('3-Digester Inputs'!H28*100)/(100-'3-Digester Inputs'!H28),""),"")</f>
        <v/>
      </c>
      <c r="C16" s="541" t="str">
        <f>IFERROR(IF(VLOOKUP(A16,Waste_Item_Table,20,FALSE)="Y",B16*'3-Digester Inputs'!BE28/1000*365,""),"")</f>
        <v/>
      </c>
      <c r="D16" s="540" t="str">
        <f t="shared" si="0"/>
        <v/>
      </c>
      <c r="E16" s="540" t="str">
        <f>IF(B16&lt;&gt;"",IFERROR(VLOOKUP(PrimaryManureMang,'13-MCF'!$B$9:$U$32,MATCH(AvgTemp,'13-MCF'!$C$9:$U$9,0),FALSE),0),"")</f>
        <v/>
      </c>
      <c r="F16" s="214" t="str">
        <f>IF(LEN(B16)&gt;0,VLOOKUP(A16,'6-Biogas Production'!$O$58:$T$72,4,FALSE)*E16*365*ConversionFactor,"")</f>
        <v/>
      </c>
    </row>
    <row r="17" spans="1:6">
      <c r="A17" s="542">
        <f>'3-Digester Inputs'!B29</f>
        <v>0</v>
      </c>
      <c r="B17" s="540" t="str">
        <f>IFERROR(IF(VLOOKUP(A17,Waste_Item_Table,20,FALSE)="Y",('3-Digester Inputs'!H29*100)/(100-'3-Digester Inputs'!H29),""),"")</f>
        <v/>
      </c>
      <c r="C17" s="541" t="str">
        <f>IFERROR(IF(VLOOKUP(A17,Waste_Item_Table,20,FALSE)="Y",B17*'3-Digester Inputs'!BE29/1000*365,""),"")</f>
        <v/>
      </c>
      <c r="D17" s="540" t="str">
        <f t="shared" si="0"/>
        <v/>
      </c>
      <c r="E17" s="540" t="str">
        <f>IF(B17&lt;&gt;"",IFERROR(VLOOKUP(PrimaryManureMang,'13-MCF'!$B$9:$U$32,MATCH(AvgTemp,'13-MCF'!$C$9:$U$9,0),FALSE),0),"")</f>
        <v/>
      </c>
      <c r="F17" s="214" t="str">
        <f>IF(LEN(B17)&gt;0,VLOOKUP(A17,'6-Biogas Production'!$O$58:$T$72,4,FALSE)*E17*365*ConversionFactor,"")</f>
        <v/>
      </c>
    </row>
    <row r="18" spans="1:6">
      <c r="A18" s="542">
        <f>'3-Digester Inputs'!B30</f>
        <v>0</v>
      </c>
      <c r="B18" s="540" t="str">
        <f>IFERROR(IF(VLOOKUP(A18,Waste_Item_Table,20,FALSE)="Y",('3-Digester Inputs'!H30*100)/(100-'3-Digester Inputs'!H30),""),"")</f>
        <v/>
      </c>
      <c r="C18" s="541" t="str">
        <f>IFERROR(IF(VLOOKUP(A18,Waste_Item_Table,20,FALSE)="Y",B18*'3-Digester Inputs'!BE30/1000*365,""),"")</f>
        <v/>
      </c>
      <c r="D18" s="540" t="str">
        <f t="shared" si="0"/>
        <v/>
      </c>
      <c r="E18" s="540" t="str">
        <f>IF(B18&lt;&gt;"",IFERROR(VLOOKUP(PrimaryManureMang,'13-MCF'!$B$9:$U$32,MATCH(AvgTemp,'13-MCF'!$C$9:$U$9,0),FALSE),0),"")</f>
        <v/>
      </c>
      <c r="F18" s="214" t="str">
        <f>IF(LEN(B18)&gt;0,VLOOKUP(A18,'6-Biogas Production'!$O$58:$T$72,4,FALSE)*E18*365*ConversionFactor,"")</f>
        <v/>
      </c>
    </row>
    <row r="19" spans="1:6">
      <c r="A19" s="542">
        <f>'3-Digester Inputs'!B31</f>
        <v>0</v>
      </c>
      <c r="B19" s="540" t="str">
        <f>IFERROR(IF(VLOOKUP(A19,Waste_Item_Table,20,FALSE)="Y",('3-Digester Inputs'!H31*100)/(100-'3-Digester Inputs'!H31),""),"")</f>
        <v/>
      </c>
      <c r="C19" s="541" t="str">
        <f>IFERROR(IF(VLOOKUP(A19,Waste_Item_Table,20,FALSE)="Y",B19*'3-Digester Inputs'!BE31/1000*365,""),"")</f>
        <v/>
      </c>
      <c r="D19" s="540" t="str">
        <f t="shared" si="0"/>
        <v/>
      </c>
      <c r="E19" s="540" t="str">
        <f>IF(B19&lt;&gt;"",IFERROR(VLOOKUP(PrimaryManureMang,'13-MCF'!$B$9:$U$32,MATCH(AvgTemp,'13-MCF'!$C$9:$U$9,0),FALSE),0),"")</f>
        <v/>
      </c>
      <c r="F19" s="214" t="str">
        <f>IF(LEN(B19)&gt;0,VLOOKUP(A19,'6-Biogas Production'!$O$58:$T$72,4,FALSE)*E19*365*ConversionFactor,"")</f>
        <v/>
      </c>
    </row>
    <row r="20" spans="1:6">
      <c r="A20" s="543" t="s">
        <v>204</v>
      </c>
      <c r="B20" s="544" t="s">
        <v>630</v>
      </c>
      <c r="C20" s="545"/>
      <c r="D20" s="546" t="s">
        <v>630</v>
      </c>
      <c r="E20" s="546" t="s">
        <v>630</v>
      </c>
      <c r="F20" s="545">
        <f>SUM(F5:F19)</f>
        <v>71061.944755430159</v>
      </c>
    </row>
    <row r="21" spans="1:6">
      <c r="A21" s="543"/>
      <c r="B21" s="543"/>
      <c r="C21" s="547"/>
      <c r="D21" s="547"/>
      <c r="E21" s="547"/>
      <c r="F21" s="547"/>
    </row>
    <row r="22" spans="1:6">
      <c r="A22" s="9"/>
      <c r="B22" s="9"/>
      <c r="C22" s="9"/>
      <c r="D22" s="9"/>
      <c r="E22" s="9"/>
      <c r="F22" s="9"/>
    </row>
    <row r="27" spans="1:6">
      <c r="C27" s="559"/>
      <c r="D27" s="559"/>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J25"/>
  <sheetViews>
    <sheetView workbookViewId="0">
      <selection activeCell="E26" sqref="E26"/>
    </sheetView>
  </sheetViews>
  <sheetFormatPr defaultColWidth="8.58203125" defaultRowHeight="15.5"/>
  <cols>
    <col min="1" max="1" width="44.58203125" customWidth="1"/>
    <col min="2" max="2" width="22.9140625" customWidth="1"/>
    <col min="3" max="3" width="30.6640625" hidden="1" customWidth="1"/>
    <col min="4" max="4" width="41" hidden="1" customWidth="1"/>
    <col min="5" max="5" width="41" customWidth="1"/>
    <col min="6" max="6" width="38.4140625" customWidth="1"/>
  </cols>
  <sheetData>
    <row r="1" spans="1:10" ht="21">
      <c r="A1" s="539" t="s">
        <v>631</v>
      </c>
      <c r="B1" s="539"/>
      <c r="C1" s="539"/>
      <c r="D1" s="539"/>
      <c r="E1" s="539"/>
      <c r="F1" s="539"/>
      <c r="G1" s="480"/>
      <c r="H1" s="480"/>
      <c r="I1" s="480"/>
      <c r="J1" s="480"/>
    </row>
    <row r="2" spans="1:10">
      <c r="A2" s="9"/>
      <c r="B2" s="9"/>
      <c r="C2" s="9"/>
      <c r="D2" s="9"/>
      <c r="E2" s="9"/>
      <c r="F2" s="9"/>
    </row>
    <row r="3" spans="1:10">
      <c r="A3" s="210" t="s">
        <v>624</v>
      </c>
      <c r="B3" s="210"/>
      <c r="C3" s="210"/>
      <c r="D3" s="210"/>
      <c r="E3" s="210"/>
      <c r="F3" s="210" t="s">
        <v>761</v>
      </c>
    </row>
    <row r="4" spans="1:10" ht="19">
      <c r="A4" s="210" t="s">
        <v>626</v>
      </c>
      <c r="B4" s="236" t="s">
        <v>627</v>
      </c>
      <c r="C4" s="236" t="s">
        <v>628</v>
      </c>
      <c r="D4" s="236" t="s">
        <v>752</v>
      </c>
      <c r="E4" s="236" t="s">
        <v>629</v>
      </c>
      <c r="F4" s="236" t="s">
        <v>753</v>
      </c>
    </row>
    <row r="5" spans="1:10">
      <c r="A5" s="211" t="str">
        <f>IFERROR('3-Digester Inputs'!B17,"-")</f>
        <v>Calf</v>
      </c>
      <c r="B5" s="540" t="str">
        <f>IFERROR(IF(VLOOKUP(A5,Waste_Item_Table,20,FALSE)="N",('3-Digester Inputs'!H17*100)/(100-'3-Digester Inputs'!H17),""),"")</f>
        <v/>
      </c>
      <c r="C5" s="541" t="str">
        <f>IFERROR(IF(VLOOKUP(A5,Waste_Item_Table,20,FALSE)="N",B5*'3-Digester Inputs'!BE17/1000*365,""),"")</f>
        <v/>
      </c>
      <c r="D5" s="540" t="str">
        <f t="shared" ref="D5:D19" si="0">IFERROR(IF(VLOOKUP(A5,Waste_Item_Table,20,FALSE)="N",VLOOKUP(A5,Waste_Item_Table,17,FALSE),""),"")</f>
        <v/>
      </c>
      <c r="E5" s="540" t="str">
        <f>IF(B5&lt;&gt;"",IFERROR(VLOOKUP(PrimaryOtherWasteMng,'13-MCF'!$B$9:$U$32,MATCH(AvgTemp,'13-MCF'!$C$9:$U$9,0),FALSE),0),"")</f>
        <v/>
      </c>
      <c r="F5" s="273" t="str">
        <f>IF(LEN(B5)&gt;0,VLOOKUP(A5,'6-Biogas Production'!$O$58:$T$72,4,FALSE)*365*E5*ConversionFactor,"")</f>
        <v/>
      </c>
    </row>
    <row r="6" spans="1:10">
      <c r="A6" s="542" t="str">
        <f>IFERROR('3-Digester Inputs'!B18,"-")</f>
        <v>Adolescents Pigs</v>
      </c>
      <c r="B6" s="540" t="str">
        <f>IFERROR(IF(VLOOKUP(A6,Waste_Item_Table,20,FALSE)="N",('3-Digester Inputs'!H18*100)/(100-'3-Digester Inputs'!H18),""),"")</f>
        <v/>
      </c>
      <c r="C6" s="541" t="str">
        <f>IFERROR(IF(VLOOKUP(A6,Waste_Item_Table,20,FALSE)="N",B6*'3-Digester Inputs'!BE18/1000*365,""),"")</f>
        <v/>
      </c>
      <c r="D6" s="540" t="str">
        <f t="shared" si="0"/>
        <v/>
      </c>
      <c r="E6" s="540" t="str">
        <f>IF(B6&lt;&gt;"",IFERROR(VLOOKUP(PrimaryOtherWasteMng,'13-MCF'!$B$9:$U$32,MATCH(AvgTemp,'13-MCF'!$C$9:$U$9,0),FALSE),0),"")</f>
        <v/>
      </c>
      <c r="F6" s="273" t="str">
        <f>IF(LEN(B6)&gt;0,VLOOKUP(A6,'6-Biogas Production'!$O$58:$T$72,4,FALSE)*365*E6*ConversionFactor,"")</f>
        <v/>
      </c>
    </row>
    <row r="7" spans="1:10">
      <c r="A7" s="542" t="str">
        <f>IFERROR('3-Digester Inputs'!B19,"-")</f>
        <v>Poultry Chicken</v>
      </c>
      <c r="B7" s="540" t="str">
        <f>IFERROR(IF(VLOOKUP(A7,Waste_Item_Table,20,FALSE)="N",('3-Digester Inputs'!H19*100)/(100-'3-Digester Inputs'!H19),""),"")</f>
        <v/>
      </c>
      <c r="C7" s="541" t="str">
        <f>IFERROR(IF(VLOOKUP(A7,Waste_Item_Table,20,FALSE)="N",B7*'3-Digester Inputs'!BE19/1000*365,""),"")</f>
        <v/>
      </c>
      <c r="D7" s="540" t="str">
        <f t="shared" si="0"/>
        <v/>
      </c>
      <c r="E7" s="540" t="str">
        <f>IF(B7&lt;&gt;"",IFERROR(VLOOKUP(PrimaryOtherWasteMng,'13-MCF'!$B$9:$U$32,MATCH(AvgTemp,'13-MCF'!$C$9:$U$9,0),FALSE),0),"")</f>
        <v/>
      </c>
      <c r="F7" s="273" t="str">
        <f>IF(LEN(B7)&gt;0,VLOOKUP(A7,'6-Biogas Production'!$O$58:$T$72,4,FALSE)*365*E7*ConversionFactor,"")</f>
        <v/>
      </c>
    </row>
    <row r="8" spans="1:10">
      <c r="A8" s="542">
        <f>IFERROR('3-Digester Inputs'!B20,"-")</f>
        <v>0</v>
      </c>
      <c r="B8" s="540" t="str">
        <f>IFERROR(IF(VLOOKUP(A8,Waste_Item_Table,20,FALSE)="N",('3-Digester Inputs'!H20*100)/(100-'3-Digester Inputs'!H20),""),"")</f>
        <v/>
      </c>
      <c r="C8" s="541" t="str">
        <f>IFERROR(IF(VLOOKUP(A8,Waste_Item_Table,20,FALSE)="N",B8*'3-Digester Inputs'!BE20/1000*365,""),"")</f>
        <v/>
      </c>
      <c r="D8" s="540" t="str">
        <f t="shared" si="0"/>
        <v/>
      </c>
      <c r="E8" s="540" t="str">
        <f>IF(B8&lt;&gt;"",IFERROR(VLOOKUP(PrimaryOtherWasteMng,'13-MCF'!$B$9:$U$32,MATCH(AvgTemp,'13-MCF'!$C$9:$U$9,0),FALSE),0),"")</f>
        <v/>
      </c>
      <c r="F8" s="273" t="str">
        <f>IF(LEN(B8)&gt;0,VLOOKUP(A8,'6-Biogas Production'!$O$58:$T$72,4,FALSE)*365*E8*ConversionFactor,"")</f>
        <v/>
      </c>
    </row>
    <row r="9" spans="1:10">
      <c r="A9" s="542">
        <f>IFERROR('3-Digester Inputs'!B21,"-")</f>
        <v>0</v>
      </c>
      <c r="B9" s="540" t="str">
        <f>IFERROR(IF(VLOOKUP(A9,Waste_Item_Table,20,FALSE)="N",('3-Digester Inputs'!H21*100)/(100-'3-Digester Inputs'!H21),""),"")</f>
        <v/>
      </c>
      <c r="C9" s="541" t="str">
        <f>IFERROR(IF(VLOOKUP(A9,Waste_Item_Table,20,FALSE)="N",B9*'3-Digester Inputs'!BE21/1000*365,""),"")</f>
        <v/>
      </c>
      <c r="D9" s="540" t="str">
        <f t="shared" si="0"/>
        <v/>
      </c>
      <c r="E9" s="540" t="str">
        <f>IF(B9&lt;&gt;"",IFERROR(VLOOKUP(PrimaryOtherWasteMng,'13-MCF'!$B$9:$U$32,MATCH(AvgTemp,'13-MCF'!$C$9:$U$9,0),FALSE),0),"")</f>
        <v/>
      </c>
      <c r="F9" s="273" t="str">
        <f>IF(LEN(B9)&gt;0,VLOOKUP(A9,'6-Biogas Production'!$O$58:$T$72,4,FALSE)*365*E9*ConversionFactor,"")</f>
        <v/>
      </c>
    </row>
    <row r="10" spans="1:10">
      <c r="A10" s="542">
        <f>IFERROR('3-Digester Inputs'!B22,"-")</f>
        <v>0</v>
      </c>
      <c r="B10" s="540" t="str">
        <f>IFERROR(IF(VLOOKUP(A10,Waste_Item_Table,20,FALSE)="N",('3-Digester Inputs'!H22*100)/(100-'3-Digester Inputs'!H22),""),"")</f>
        <v/>
      </c>
      <c r="C10" s="541" t="str">
        <f>IFERROR(IF(VLOOKUP(A10,Waste_Item_Table,20,FALSE)="N",B10*'3-Digester Inputs'!BE22/1000*365,""),"")</f>
        <v/>
      </c>
      <c r="D10" s="540" t="str">
        <f t="shared" si="0"/>
        <v/>
      </c>
      <c r="E10" s="540" t="str">
        <f>IF(B10&lt;&gt;"",IFERROR(VLOOKUP(PrimaryOtherWasteMng,'13-MCF'!$B$9:$U$32,MATCH(AvgTemp,'13-MCF'!$C$9:$U$9,0),FALSE),0),"")</f>
        <v/>
      </c>
      <c r="F10" s="273" t="str">
        <f>IF(LEN(B10)&gt;0,VLOOKUP(A10,'6-Biogas Production'!$O$58:$T$72,4,FALSE)*365*E10*ConversionFactor,"")</f>
        <v/>
      </c>
    </row>
    <row r="11" spans="1:10">
      <c r="A11" s="542">
        <f>IFERROR('3-Digester Inputs'!B23,"-")</f>
        <v>0</v>
      </c>
      <c r="B11" s="540" t="str">
        <f>IFERROR(IF(VLOOKUP(A11,Waste_Item_Table,20,FALSE)="N",('3-Digester Inputs'!H23*100)/(100-'3-Digester Inputs'!H23),""),"")</f>
        <v/>
      </c>
      <c r="C11" s="541" t="str">
        <f>IFERROR(IF(VLOOKUP(A11,Waste_Item_Table,20,FALSE)="N",B11*'3-Digester Inputs'!BE23/1000*365,""),"")</f>
        <v/>
      </c>
      <c r="D11" s="540" t="str">
        <f t="shared" si="0"/>
        <v/>
      </c>
      <c r="E11" s="540" t="str">
        <f>IF(B11&lt;&gt;"",IFERROR(VLOOKUP(PrimaryOtherWasteMng,'13-MCF'!$B$9:$U$32,MATCH(AvgTemp,'13-MCF'!$C$9:$U$9,0),FALSE),0),"")</f>
        <v/>
      </c>
      <c r="F11" s="273" t="str">
        <f>IF(LEN(B11)&gt;0,VLOOKUP(A11,'6-Biogas Production'!$O$58:$T$72,4,FALSE)*365*E11*ConversionFactor,"")</f>
        <v/>
      </c>
    </row>
    <row r="12" spans="1:10">
      <c r="A12" s="542">
        <f>IFERROR('3-Digester Inputs'!B24,"-")</f>
        <v>0</v>
      </c>
      <c r="B12" s="540" t="str">
        <f>IFERROR(IF(VLOOKUP(A12,Waste_Item_Table,20,FALSE)="N",('3-Digester Inputs'!H24*100)/(100-'3-Digester Inputs'!H24),""),"")</f>
        <v/>
      </c>
      <c r="C12" s="541" t="str">
        <f>IFERROR(IF(VLOOKUP(A12,Waste_Item_Table,20,FALSE)="N",B12*'3-Digester Inputs'!BE24/1000*365,""),"")</f>
        <v/>
      </c>
      <c r="D12" s="540" t="str">
        <f t="shared" si="0"/>
        <v/>
      </c>
      <c r="E12" s="540" t="str">
        <f>IF(B12&lt;&gt;"",IFERROR(VLOOKUP(PrimaryOtherWasteMng,'13-MCF'!$B$9:$U$32,MATCH(AvgTemp,'13-MCF'!$C$9:$U$9,0),FALSE),0),"")</f>
        <v/>
      </c>
      <c r="F12" s="273" t="str">
        <f>IF(LEN(B12)&gt;0,VLOOKUP(A12,'6-Biogas Production'!$O$58:$T$72,4,FALSE)*365*E12*ConversionFactor,"")</f>
        <v/>
      </c>
    </row>
    <row r="13" spans="1:10">
      <c r="A13" s="542">
        <f>IFERROR('3-Digester Inputs'!B25,"-")</f>
        <v>0</v>
      </c>
      <c r="B13" s="540" t="str">
        <f>IFERROR(IF(VLOOKUP(A13,Waste_Item_Table,20,FALSE)="N",('3-Digester Inputs'!H25*100)/(100-'3-Digester Inputs'!H25),""),"")</f>
        <v/>
      </c>
      <c r="C13" s="541" t="str">
        <f>IFERROR(IF(VLOOKUP(A13,Waste_Item_Table,20,FALSE)="N",B13*'3-Digester Inputs'!BE25/1000*365,""),"")</f>
        <v/>
      </c>
      <c r="D13" s="540" t="str">
        <f t="shared" si="0"/>
        <v/>
      </c>
      <c r="E13" s="540" t="str">
        <f>IF(B13&lt;&gt;"",IFERROR(VLOOKUP(PrimaryOtherWasteMng,'13-MCF'!$B$9:$U$32,MATCH(AvgTemp,'13-MCF'!$C$9:$U$9,0),FALSE),0),"")</f>
        <v/>
      </c>
      <c r="F13" s="273" t="str">
        <f>IF(LEN(B13)&gt;0,VLOOKUP(A13,'6-Biogas Production'!$O$58:$T$72,4,FALSE)*365*E13*ConversionFactor,"")</f>
        <v/>
      </c>
    </row>
    <row r="14" spans="1:10">
      <c r="A14" s="542">
        <f>IFERROR('3-Digester Inputs'!B26,"-")</f>
        <v>0</v>
      </c>
      <c r="B14" s="540" t="str">
        <f>IFERROR(IF(VLOOKUP(A14,Waste_Item_Table,20,FALSE)="N",('3-Digester Inputs'!H26*100)/(100-'3-Digester Inputs'!H26),""),"")</f>
        <v/>
      </c>
      <c r="C14" s="541" t="str">
        <f>IFERROR(IF(VLOOKUP(A14,Waste_Item_Table,20,FALSE)="N",B14*'3-Digester Inputs'!BE26/1000*365,""),"")</f>
        <v/>
      </c>
      <c r="D14" s="540" t="str">
        <f t="shared" si="0"/>
        <v/>
      </c>
      <c r="E14" s="540" t="str">
        <f>IF(B14&lt;&gt;"",IFERROR(VLOOKUP(PrimaryOtherWasteMng,'13-MCF'!$B$9:$U$32,MATCH(AvgTemp,'13-MCF'!$C$9:$U$9,0),FALSE),0),"")</f>
        <v/>
      </c>
      <c r="F14" s="273" t="str">
        <f>IF(LEN(B14)&gt;0,VLOOKUP(A14,'6-Biogas Production'!$O$58:$T$72,4,FALSE)*365*E14*ConversionFactor,"")</f>
        <v/>
      </c>
    </row>
    <row r="15" spans="1:10">
      <c r="A15" s="542">
        <f>IFERROR('3-Digester Inputs'!B27,"-")</f>
        <v>0</v>
      </c>
      <c r="B15" s="540" t="str">
        <f>IFERROR(IF(VLOOKUP(A15,Waste_Item_Table,20,FALSE)="N",('3-Digester Inputs'!H27*100)/(100-'3-Digester Inputs'!H27),""),"")</f>
        <v/>
      </c>
      <c r="C15" s="541" t="str">
        <f>IFERROR(IF(VLOOKUP(A15,Waste_Item_Table,20,FALSE)="N",B15*'3-Digester Inputs'!BE27/1000*365,""),"")</f>
        <v/>
      </c>
      <c r="D15" s="540" t="str">
        <f t="shared" si="0"/>
        <v/>
      </c>
      <c r="E15" s="540" t="str">
        <f>IF(B15&lt;&gt;"",IFERROR(VLOOKUP(PrimaryOtherWasteMng,'13-MCF'!$B$9:$U$32,MATCH(AvgTemp,'13-MCF'!$C$9:$U$9,0),FALSE),0),"")</f>
        <v/>
      </c>
      <c r="F15" s="273" t="str">
        <f>IF(LEN(B15)&gt;0,VLOOKUP(A15,'6-Biogas Production'!$O$58:$T$72,4,FALSE)*365*E15*ConversionFactor,"")</f>
        <v/>
      </c>
    </row>
    <row r="16" spans="1:10">
      <c r="A16" s="542">
        <f>IFERROR('3-Digester Inputs'!B28,"-")</f>
        <v>0</v>
      </c>
      <c r="B16" s="540" t="str">
        <f>IFERROR(IF(VLOOKUP(A16,Waste_Item_Table,20,FALSE)="N",('3-Digester Inputs'!H28*100)/(100-'3-Digester Inputs'!H28),""),"")</f>
        <v/>
      </c>
      <c r="C16" s="541" t="str">
        <f>IFERROR(IF(VLOOKUP(A16,Waste_Item_Table,20,FALSE)="N",B16*'3-Digester Inputs'!BE28/1000*365,""),"")</f>
        <v/>
      </c>
      <c r="D16" s="540" t="str">
        <f t="shared" si="0"/>
        <v/>
      </c>
      <c r="E16" s="540" t="str">
        <f>IF(B16&lt;&gt;"",IFERROR(VLOOKUP(PrimaryOtherWasteMng,'13-MCF'!$B$9:$U$32,MATCH(AvgTemp,'13-MCF'!$C$9:$U$9,0),FALSE),0),"")</f>
        <v/>
      </c>
      <c r="F16" s="273" t="str">
        <f>IF(LEN(B16)&gt;0,VLOOKUP(A16,'6-Biogas Production'!$O$58:$T$72,4,FALSE)*365*E16*ConversionFactor,"")</f>
        <v/>
      </c>
    </row>
    <row r="17" spans="1:6">
      <c r="A17" s="542">
        <f>IFERROR('3-Digester Inputs'!B29,"-")</f>
        <v>0</v>
      </c>
      <c r="B17" s="540" t="str">
        <f>IFERROR(IF(VLOOKUP(A17,Waste_Item_Table,20,FALSE)="N",('3-Digester Inputs'!H29*100)/(100-'3-Digester Inputs'!H29),""),"")</f>
        <v/>
      </c>
      <c r="C17" s="541" t="str">
        <f>IFERROR(IF(VLOOKUP(A17,Waste_Item_Table,20,FALSE)="N",B17*'3-Digester Inputs'!BE29/1000*365,""),"")</f>
        <v/>
      </c>
      <c r="D17" s="540" t="str">
        <f t="shared" si="0"/>
        <v/>
      </c>
      <c r="E17" s="540" t="str">
        <f>IF(B17&lt;&gt;"",IFERROR(VLOOKUP(PrimaryOtherWasteMng,'13-MCF'!$B$9:$U$32,MATCH(AvgTemp,'13-MCF'!$C$9:$U$9,0),FALSE),0),"")</f>
        <v/>
      </c>
      <c r="F17" s="273" t="str">
        <f>IF(LEN(B17)&gt;0,VLOOKUP(A17,'6-Biogas Production'!$O$58:$T$72,4,FALSE)*365*E17*ConversionFactor,"")</f>
        <v/>
      </c>
    </row>
    <row r="18" spans="1:6">
      <c r="A18" s="542">
        <f>IFERROR('3-Digester Inputs'!B30,"-")</f>
        <v>0</v>
      </c>
      <c r="B18" s="540" t="str">
        <f>IFERROR(IF(VLOOKUP(A18,Waste_Item_Table,20,FALSE)="N",('3-Digester Inputs'!H30*100)/(100-'3-Digester Inputs'!H30),""),"")</f>
        <v/>
      </c>
      <c r="C18" s="541" t="str">
        <f>IFERROR(IF(VLOOKUP(A18,Waste_Item_Table,20,FALSE)="N",B18*'3-Digester Inputs'!BE30/1000*365,""),"")</f>
        <v/>
      </c>
      <c r="D18" s="540" t="str">
        <f t="shared" si="0"/>
        <v/>
      </c>
      <c r="E18" s="540" t="str">
        <f>IF(B18&lt;&gt;"",IFERROR(VLOOKUP(PrimaryOtherWasteMng,'13-MCF'!$B$9:$U$32,MATCH(AvgTemp,'13-MCF'!$C$9:$U$9,0),FALSE),0),"")</f>
        <v/>
      </c>
      <c r="F18" s="273" t="str">
        <f>IF(LEN(B18)&gt;0,VLOOKUP(A18,'6-Biogas Production'!$O$58:$T$72,4,FALSE)*365*E18*ConversionFactor,"")</f>
        <v/>
      </c>
    </row>
    <row r="19" spans="1:6">
      <c r="A19" s="542">
        <f>IFERROR('3-Digester Inputs'!B31,"-")</f>
        <v>0</v>
      </c>
      <c r="B19" s="540" t="str">
        <f>IFERROR(IF(VLOOKUP(A19,Waste_Item_Table,20,FALSE)="N",('3-Digester Inputs'!H31*100)/(100-'3-Digester Inputs'!H31),""),"")</f>
        <v/>
      </c>
      <c r="C19" s="541" t="str">
        <f>IFERROR(IF(VLOOKUP(A19,Waste_Item_Table,20,FALSE)="N",B19*'3-Digester Inputs'!BE31/1000*365,""),"")</f>
        <v/>
      </c>
      <c r="D19" s="540" t="str">
        <f t="shared" si="0"/>
        <v/>
      </c>
      <c r="E19" s="540" t="str">
        <f>IF(B19&lt;&gt;"",IFERROR(VLOOKUP(PrimaryOtherWasteMng,'13-MCF'!$B$9:$U$32,MATCH(AvgTemp,'13-MCF'!$C$9:$U$9,0),FALSE),0),"")</f>
        <v/>
      </c>
      <c r="F19" s="273" t="str">
        <f>IF(LEN(B19)&gt;0,VLOOKUP(A19,'6-Biogas Production'!$O$58:$T$72,4,FALSE)*365*E19*ConversionFactor,"")</f>
        <v/>
      </c>
    </row>
    <row r="20" spans="1:6">
      <c r="A20" s="543" t="s">
        <v>204</v>
      </c>
      <c r="B20" s="544" t="s">
        <v>630</v>
      </c>
      <c r="C20" s="545">
        <f>SUM(C5:C19)</f>
        <v>0</v>
      </c>
      <c r="D20" s="546" t="s">
        <v>630</v>
      </c>
      <c r="E20" s="546" t="s">
        <v>630</v>
      </c>
      <c r="F20" s="545">
        <f>SUM(F5:F19)</f>
        <v>0</v>
      </c>
    </row>
    <row r="21" spans="1:6">
      <c r="A21" s="543"/>
      <c r="B21" s="543"/>
      <c r="C21" s="547"/>
      <c r="D21" s="547"/>
      <c r="E21" s="547"/>
      <c r="F21" s="547"/>
    </row>
    <row r="22" spans="1:6">
      <c r="A22" s="9"/>
      <c r="B22" s="9"/>
      <c r="C22" s="9"/>
      <c r="D22" s="9"/>
      <c r="E22" s="9"/>
      <c r="F22" s="9"/>
    </row>
    <row r="23" spans="1:6">
      <c r="A23" s="9"/>
      <c r="B23" s="9"/>
      <c r="C23" s="9"/>
      <c r="D23" s="9"/>
      <c r="E23" s="9"/>
      <c r="F23" s="9"/>
    </row>
    <row r="24" spans="1:6">
      <c r="A24" s="9"/>
      <c r="B24" s="9"/>
      <c r="C24" s="9"/>
      <c r="D24" s="9"/>
      <c r="E24" s="9"/>
      <c r="F24" s="9"/>
    </row>
    <row r="25" spans="1:6">
      <c r="A25" s="9"/>
      <c r="B25" s="9"/>
      <c r="C25" s="9"/>
      <c r="D25" s="9"/>
      <c r="E25" s="9"/>
      <c r="F25" s="9"/>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21"/>
  <sheetViews>
    <sheetView workbookViewId="0"/>
  </sheetViews>
  <sheetFormatPr defaultColWidth="8.58203125" defaultRowHeight="15.5"/>
  <cols>
    <col min="1" max="1" width="38.1640625" bestFit="1" customWidth="1"/>
    <col min="2" max="2" width="19.58203125" bestFit="1" customWidth="1"/>
    <col min="3" max="3" width="26.08203125" bestFit="1" customWidth="1"/>
    <col min="4" max="4" width="38.5" bestFit="1" customWidth="1"/>
    <col min="5" max="5" width="23.5" bestFit="1" customWidth="1"/>
    <col min="6" max="6" width="35.5" customWidth="1"/>
  </cols>
  <sheetData>
    <row r="1" spans="1:12" ht="21">
      <c r="A1" s="539" t="s">
        <v>632</v>
      </c>
      <c r="B1" s="539"/>
      <c r="C1" s="539"/>
      <c r="D1" s="539"/>
      <c r="E1" s="539"/>
      <c r="F1" s="539"/>
      <c r="G1" s="480"/>
      <c r="H1" s="480"/>
      <c r="I1" s="480"/>
      <c r="J1" s="480"/>
      <c r="K1" s="480"/>
      <c r="L1" s="480"/>
    </row>
    <row r="2" spans="1:12">
      <c r="A2" s="9"/>
      <c r="B2" s="9"/>
      <c r="C2" s="9"/>
      <c r="D2" s="9"/>
      <c r="E2" s="9"/>
      <c r="F2" s="9"/>
    </row>
    <row r="3" spans="1:12">
      <c r="A3" s="210" t="s">
        <v>624</v>
      </c>
      <c r="B3" s="210"/>
      <c r="C3" s="210"/>
      <c r="D3" s="210"/>
      <c r="E3" s="210"/>
      <c r="F3" s="210" t="s">
        <v>633</v>
      </c>
    </row>
    <row r="4" spans="1:12" ht="19">
      <c r="A4" s="210" t="s">
        <v>626</v>
      </c>
      <c r="B4" s="210" t="s">
        <v>627</v>
      </c>
      <c r="C4" s="210" t="s">
        <v>634</v>
      </c>
      <c r="D4" s="210" t="s">
        <v>752</v>
      </c>
      <c r="E4" s="210" t="s">
        <v>629</v>
      </c>
      <c r="F4" s="236" t="s">
        <v>753</v>
      </c>
    </row>
    <row r="5" spans="1:12">
      <c r="A5" s="542" t="str">
        <f>IFERROR('3-Digester Inputs'!B17,"-")</f>
        <v>Calf</v>
      </c>
      <c r="B5" s="540">
        <f>IFERROR(('3-Digester Inputs'!H17*100)/(100-'3-Digester Inputs'!H17),"")</f>
        <v>9.2857228995574206E-2</v>
      </c>
      <c r="C5" s="548">
        <f>IFERROR(B5*'3-Digester Inputs'!BE17/1000,"")</f>
        <v>1.8222913507229599</v>
      </c>
      <c r="D5" s="540">
        <f t="shared" ref="D5:D19" si="0">IFERROR(VLOOKUP(A5,Waste_Item_Table,17),"")</f>
        <v>277</v>
      </c>
      <c r="E5" s="540">
        <f>IF(B5&lt;&gt;"",IFERROR(VLOOKUP(StorageMng,'13-MCF'!$B$9:$U$32,MATCH(AvgTemp,'13-MCF'!$C$9:$U$9,0),FALSE),0),"")</f>
        <v>0</v>
      </c>
      <c r="F5" s="273">
        <f>IF(LEN(B5)&gt;0,VLOOKUP(A5,'6-Biogas Production'!$O$58:$T$72,4,FALSE)*365*E5*ConversionFactor*Average_Days_Waste_Stored,"")</f>
        <v>0</v>
      </c>
    </row>
    <row r="6" spans="1:12">
      <c r="A6" s="542" t="str">
        <f>IFERROR('3-Digester Inputs'!B18,"-")</f>
        <v>Adolescents Pigs</v>
      </c>
      <c r="B6" s="540">
        <f>IFERROR(('3-Digester Inputs'!H18*100)/(100-'3-Digester Inputs'!H18),"")</f>
        <v>8.3145998213900757E-2</v>
      </c>
      <c r="C6" s="548">
        <f>IFERROR(B6*'3-Digester Inputs'!BE18/1000,"")</f>
        <v>2.4816048631170502E-2</v>
      </c>
      <c r="D6" s="540" t="str">
        <f t="shared" si="0"/>
        <v/>
      </c>
      <c r="E6" s="540">
        <f>IF(B6&lt;&gt;"",IFERROR(VLOOKUP(StorageMng,'13-MCF'!$B$9:$U$32,MATCH(AvgTemp,'13-MCF'!$C$9:$U$9,0),FALSE),0),"")</f>
        <v>0</v>
      </c>
      <c r="F6" s="273">
        <f>IF(LEN(B6)&gt;0,VLOOKUP(A6,'6-Biogas Production'!$O$58:$T$72,4,FALSE)*365*E6*ConversionFactor*Average_Days_Waste_Stored,"")</f>
        <v>0</v>
      </c>
    </row>
    <row r="7" spans="1:12">
      <c r="A7" s="542" t="str">
        <f>IFERROR('3-Digester Inputs'!B19,"-")</f>
        <v>Poultry Chicken</v>
      </c>
      <c r="B7" s="540">
        <f>IFERROR(('3-Digester Inputs'!H19*100)/(100-'3-Digester Inputs'!H19),"")</f>
        <v>0.18367006177992987</v>
      </c>
      <c r="C7" s="548">
        <f>IFERROR(B7*'3-Digester Inputs'!BE19/1000,"")</f>
        <v>2.9158944732008679E-2</v>
      </c>
      <c r="D7" s="540">
        <f t="shared" si="0"/>
        <v>270</v>
      </c>
      <c r="E7" s="540">
        <f>IF(B7&lt;&gt;"",IFERROR(VLOOKUP(StorageMng,'13-MCF'!$B$9:$U$32,MATCH(AvgTemp,'13-MCF'!$C$9:$U$9,0),FALSE),0),"")</f>
        <v>0</v>
      </c>
      <c r="F7" s="273">
        <f>IF(LEN(B7)&gt;0,VLOOKUP(A7,'6-Biogas Production'!$O$58:$T$72,4,FALSE)*365*E7*ConversionFactor*Average_Days_Waste_Stored,"")</f>
        <v>0</v>
      </c>
    </row>
    <row r="8" spans="1:12">
      <c r="A8" s="542">
        <f>IFERROR('3-Digester Inputs'!B20,"-")</f>
        <v>0</v>
      </c>
      <c r="B8" s="540" t="str">
        <f>IFERROR(('3-Digester Inputs'!H20*100)/(100-'3-Digester Inputs'!H20),"")</f>
        <v/>
      </c>
      <c r="C8" s="548" t="str">
        <f>IFERROR(B8*'3-Digester Inputs'!BE20/1000,"")</f>
        <v/>
      </c>
      <c r="D8" s="540" t="str">
        <f t="shared" si="0"/>
        <v/>
      </c>
      <c r="E8" s="540" t="str">
        <f>IF(B8&lt;&gt;"",IFERROR(VLOOKUP(StorageMng,'13-MCF'!$B$9:$U$32,MATCH(AvgTemp,'13-MCF'!$C$9:$U$9,0),FALSE),0),"")</f>
        <v/>
      </c>
      <c r="F8" s="273" t="str">
        <f>IF(LEN(B8)&gt;0,VLOOKUP(A8,'6-Biogas Production'!$O$58:$T$72,4,FALSE)*365*E8*ConversionFactor*Average_Days_Waste_Stored,"")</f>
        <v/>
      </c>
    </row>
    <row r="9" spans="1:12">
      <c r="A9" s="542">
        <f>IFERROR('3-Digester Inputs'!B21,"-")</f>
        <v>0</v>
      </c>
      <c r="B9" s="540" t="str">
        <f>IFERROR(('3-Digester Inputs'!H21*100)/(100-'3-Digester Inputs'!H21),"")</f>
        <v/>
      </c>
      <c r="C9" s="548" t="str">
        <f>IFERROR(B9*'3-Digester Inputs'!BE21/1000,"")</f>
        <v/>
      </c>
      <c r="D9" s="540" t="str">
        <f t="shared" si="0"/>
        <v/>
      </c>
      <c r="E9" s="540" t="str">
        <f>IF(B9&lt;&gt;"",IFERROR(VLOOKUP(StorageMng,'13-MCF'!$B$9:$U$32,MATCH(AvgTemp,'13-MCF'!$C$9:$U$9,0),FALSE),0),"")</f>
        <v/>
      </c>
      <c r="F9" s="273" t="str">
        <f>IF(LEN(B9)&gt;0,VLOOKUP(A9,'6-Biogas Production'!$O$58:$T$72,4,FALSE)*365*E9*ConversionFactor*Average_Days_Waste_Stored,"")</f>
        <v/>
      </c>
    </row>
    <row r="10" spans="1:12">
      <c r="A10" s="542">
        <f>IFERROR('3-Digester Inputs'!B22,"-")</f>
        <v>0</v>
      </c>
      <c r="B10" s="540" t="str">
        <f>IFERROR(('3-Digester Inputs'!H22*100)/(100-'3-Digester Inputs'!H22),"")</f>
        <v/>
      </c>
      <c r="C10" s="548" t="str">
        <f>IFERROR(B10*'3-Digester Inputs'!BE22/1000,"")</f>
        <v/>
      </c>
      <c r="D10" s="540" t="str">
        <f t="shared" si="0"/>
        <v/>
      </c>
      <c r="E10" s="540" t="str">
        <f>IF(B10&lt;&gt;"",IFERROR(VLOOKUP(StorageMng,'13-MCF'!$B$9:$U$32,MATCH(AvgTemp,'13-MCF'!$C$9:$U$9,0),FALSE),0),"")</f>
        <v/>
      </c>
      <c r="F10" s="273" t="str">
        <f>IF(LEN(B10)&gt;0,VLOOKUP(A10,'6-Biogas Production'!$O$58:$T$72,4,FALSE)*365*E10*ConversionFactor*Average_Days_Waste_Stored,"")</f>
        <v/>
      </c>
    </row>
    <row r="11" spans="1:12">
      <c r="A11" s="542">
        <f>IFERROR('3-Digester Inputs'!B23,"-")</f>
        <v>0</v>
      </c>
      <c r="B11" s="540" t="str">
        <f>IFERROR(('3-Digester Inputs'!H23*100)/(100-'3-Digester Inputs'!H23),"")</f>
        <v/>
      </c>
      <c r="C11" s="548" t="str">
        <f>IFERROR(B11*'3-Digester Inputs'!BE23/1000,"")</f>
        <v/>
      </c>
      <c r="D11" s="540" t="str">
        <f t="shared" si="0"/>
        <v/>
      </c>
      <c r="E11" s="540" t="str">
        <f>IF(B11&lt;&gt;"",IFERROR(VLOOKUP(StorageMng,'13-MCF'!$B$9:$U$32,MATCH(AvgTemp,'13-MCF'!$C$9:$U$9,0),FALSE),0),"")</f>
        <v/>
      </c>
      <c r="F11" s="273" t="str">
        <f>IF(LEN(B11)&gt;0,VLOOKUP(A11,'6-Biogas Production'!$O$58:$T$72,4,FALSE)*365*E11*ConversionFactor*Average_Days_Waste_Stored,"")</f>
        <v/>
      </c>
    </row>
    <row r="12" spans="1:12">
      <c r="A12" s="542">
        <f>IFERROR('3-Digester Inputs'!B24,"-")</f>
        <v>0</v>
      </c>
      <c r="B12" s="540" t="str">
        <f>IFERROR(('3-Digester Inputs'!H24*100)/(100-'3-Digester Inputs'!H24),"")</f>
        <v/>
      </c>
      <c r="C12" s="548" t="str">
        <f>IFERROR(B12*'3-Digester Inputs'!BE24/1000,"")</f>
        <v/>
      </c>
      <c r="D12" s="540" t="str">
        <f t="shared" si="0"/>
        <v/>
      </c>
      <c r="E12" s="540" t="str">
        <f>IF(B12&lt;&gt;"",IFERROR(VLOOKUP(StorageMng,'13-MCF'!$B$9:$U$32,MATCH(AvgTemp,'13-MCF'!$C$9:$U$9,0),FALSE),0),"")</f>
        <v/>
      </c>
      <c r="F12" s="273" t="str">
        <f>IF(LEN(B12)&gt;0,VLOOKUP(A12,'6-Biogas Production'!$O$58:$T$72,4,FALSE)*365*E12*ConversionFactor*Average_Days_Waste_Stored,"")</f>
        <v/>
      </c>
    </row>
    <row r="13" spans="1:12">
      <c r="A13" s="542">
        <f>IFERROR('3-Digester Inputs'!B25,"-")</f>
        <v>0</v>
      </c>
      <c r="B13" s="540" t="str">
        <f>IFERROR(('3-Digester Inputs'!H25*100)/(100-'3-Digester Inputs'!H25),"")</f>
        <v/>
      </c>
      <c r="C13" s="548" t="str">
        <f>IFERROR(B13*'3-Digester Inputs'!BE25/1000,"")</f>
        <v/>
      </c>
      <c r="D13" s="540" t="str">
        <f t="shared" si="0"/>
        <v/>
      </c>
      <c r="E13" s="540" t="str">
        <f>IF(B13&lt;&gt;"",IFERROR(VLOOKUP(StorageMng,'13-MCF'!$B$9:$U$32,MATCH(AvgTemp,'13-MCF'!$C$9:$U$9,0),FALSE),0),"")</f>
        <v/>
      </c>
      <c r="F13" s="273" t="str">
        <f>IF(LEN(B13)&gt;0,VLOOKUP(A13,'6-Biogas Production'!$O$58:$T$72,4,FALSE)*365*E13*ConversionFactor*Average_Days_Waste_Stored,"")</f>
        <v/>
      </c>
    </row>
    <row r="14" spans="1:12">
      <c r="A14" s="542">
        <f>IFERROR('3-Digester Inputs'!B26,"-")</f>
        <v>0</v>
      </c>
      <c r="B14" s="540" t="str">
        <f>IFERROR(('3-Digester Inputs'!H26*100)/(100-'3-Digester Inputs'!H26),"")</f>
        <v/>
      </c>
      <c r="C14" s="548" t="str">
        <f>IFERROR(B14*'3-Digester Inputs'!BE26/1000,"")</f>
        <v/>
      </c>
      <c r="D14" s="540" t="str">
        <f t="shared" si="0"/>
        <v/>
      </c>
      <c r="E14" s="540" t="str">
        <f>IF(B14&lt;&gt;"",IFERROR(VLOOKUP(StorageMng,'13-MCF'!$B$9:$U$32,MATCH(AvgTemp,'13-MCF'!$C$9:$U$9,0),FALSE),0),"")</f>
        <v/>
      </c>
      <c r="F14" s="273" t="str">
        <f>IF(LEN(B14)&gt;0,VLOOKUP(A14,'6-Biogas Production'!$O$58:$T$72,4,FALSE)*365*E14*ConversionFactor*Average_Days_Waste_Stored,"")</f>
        <v/>
      </c>
    </row>
    <row r="15" spans="1:12">
      <c r="A15" s="542">
        <f>IFERROR('3-Digester Inputs'!B27,"-")</f>
        <v>0</v>
      </c>
      <c r="B15" s="540" t="str">
        <f>IFERROR(('3-Digester Inputs'!H27*100)/(100-'3-Digester Inputs'!H27),"")</f>
        <v/>
      </c>
      <c r="C15" s="548" t="str">
        <f>IFERROR(B15*'3-Digester Inputs'!BE27/1000,"")</f>
        <v/>
      </c>
      <c r="D15" s="540" t="str">
        <f t="shared" si="0"/>
        <v/>
      </c>
      <c r="E15" s="540" t="str">
        <f>IF(B15&lt;&gt;"",IFERROR(VLOOKUP(StorageMng,'13-MCF'!$B$9:$U$32,MATCH(AvgTemp,'13-MCF'!$C$9:$U$9,0),FALSE),0),"")</f>
        <v/>
      </c>
      <c r="F15" s="273" t="str">
        <f>IF(LEN(B15)&gt;0,VLOOKUP(A15,'6-Biogas Production'!$O$58:$T$72,4,FALSE)*365*E15*ConversionFactor*Average_Days_Waste_Stored,"")</f>
        <v/>
      </c>
    </row>
    <row r="16" spans="1:12">
      <c r="A16" s="542">
        <f>IFERROR('3-Digester Inputs'!B28,"-")</f>
        <v>0</v>
      </c>
      <c r="B16" s="540" t="str">
        <f>IFERROR(('3-Digester Inputs'!H28*100)/(100-'3-Digester Inputs'!H28),"")</f>
        <v/>
      </c>
      <c r="C16" s="548" t="str">
        <f>IFERROR(B16*'3-Digester Inputs'!BE28/1000,"")</f>
        <v/>
      </c>
      <c r="D16" s="540" t="str">
        <f t="shared" si="0"/>
        <v/>
      </c>
      <c r="E16" s="540" t="str">
        <f>IF(B16&lt;&gt;"",IFERROR(VLOOKUP(StorageMng,'13-MCF'!$B$9:$U$32,MATCH(AvgTemp,'13-MCF'!$C$9:$U$9,0),FALSE),0),"")</f>
        <v/>
      </c>
      <c r="F16" s="273" t="str">
        <f>IF(LEN(B16)&gt;0,VLOOKUP(A16,'6-Biogas Production'!$O$58:$T$72,4,FALSE)*365*E16*ConversionFactor*Average_Days_Waste_Stored,"")</f>
        <v/>
      </c>
    </row>
    <row r="17" spans="1:6">
      <c r="A17" s="542">
        <f>IFERROR('3-Digester Inputs'!B29,"-")</f>
        <v>0</v>
      </c>
      <c r="B17" s="540" t="str">
        <f>IFERROR(('3-Digester Inputs'!H29*100)/(100-'3-Digester Inputs'!H29),"")</f>
        <v/>
      </c>
      <c r="C17" s="548" t="str">
        <f>IFERROR(B17*'3-Digester Inputs'!BE29/1000,"")</f>
        <v/>
      </c>
      <c r="D17" s="540" t="str">
        <f t="shared" si="0"/>
        <v/>
      </c>
      <c r="E17" s="540" t="str">
        <f>IF(B17&lt;&gt;"",IFERROR(VLOOKUP(StorageMng,'13-MCF'!$B$9:$U$32,MATCH(AvgTemp,'13-MCF'!$C$9:$U$9,0),FALSE),0),"")</f>
        <v/>
      </c>
      <c r="F17" s="273" t="str">
        <f>IF(LEN(B17)&gt;0,VLOOKUP(A17,'6-Biogas Production'!$O$58:$T$72,4,FALSE)*365*E17*ConversionFactor*Average_Days_Waste_Stored,"")</f>
        <v/>
      </c>
    </row>
    <row r="18" spans="1:6">
      <c r="A18" s="542">
        <f>IFERROR('3-Digester Inputs'!B30,"-")</f>
        <v>0</v>
      </c>
      <c r="B18" s="540" t="str">
        <f>IFERROR(('3-Digester Inputs'!H30*100)/(100-'3-Digester Inputs'!H30),"")</f>
        <v/>
      </c>
      <c r="C18" s="548" t="str">
        <f>IFERROR(B18*'3-Digester Inputs'!BE30/1000,"")</f>
        <v/>
      </c>
      <c r="D18" s="540" t="str">
        <f t="shared" si="0"/>
        <v/>
      </c>
      <c r="E18" s="540" t="str">
        <f>IF(B18&lt;&gt;"",IFERROR(VLOOKUP(StorageMng,'13-MCF'!$B$9:$U$32,MATCH(AvgTemp,'13-MCF'!$C$9:$U$9,0),FALSE),0),"")</f>
        <v/>
      </c>
      <c r="F18" s="273" t="str">
        <f>IF(LEN(B18)&gt;0,VLOOKUP(A18,'6-Biogas Production'!$O$58:$T$72,4,FALSE)*365*E18*ConversionFactor*Average_Days_Waste_Stored,"")</f>
        <v/>
      </c>
    </row>
    <row r="19" spans="1:6">
      <c r="A19" s="542">
        <f>IFERROR('3-Digester Inputs'!B31,"-")</f>
        <v>0</v>
      </c>
      <c r="B19" s="540" t="str">
        <f>IFERROR(('3-Digester Inputs'!H31*100)/(100-'3-Digester Inputs'!H31),"")</f>
        <v/>
      </c>
      <c r="C19" s="548" t="str">
        <f>IFERROR(B19*'3-Digester Inputs'!BE31/1000,"")</f>
        <v/>
      </c>
      <c r="D19" s="540" t="str">
        <f t="shared" si="0"/>
        <v/>
      </c>
      <c r="E19" s="540" t="str">
        <f>IF(B19&lt;&gt;"",IFERROR(VLOOKUP(StorageMng,'13-MCF'!$B$9:$U$32,MATCH(AvgTemp,'13-MCF'!$C$9:$U$9,0),FALSE),0),"")</f>
        <v/>
      </c>
      <c r="F19" s="273" t="str">
        <f>IF(LEN(B19)&gt;0,VLOOKUP(A19,'6-Biogas Production'!$O$58:$T$72,4,FALSE)*365*E19*ConversionFactor*Average_Days_Waste_Stored,"")</f>
        <v/>
      </c>
    </row>
    <row r="20" spans="1:6">
      <c r="A20" s="543" t="s">
        <v>204</v>
      </c>
      <c r="B20" s="544" t="s">
        <v>630</v>
      </c>
      <c r="C20" s="545">
        <f>SUM(C5:C19)</f>
        <v>1.8762663440861391</v>
      </c>
      <c r="D20" s="546" t="s">
        <v>630</v>
      </c>
      <c r="E20" s="546" t="s">
        <v>630</v>
      </c>
      <c r="F20" s="545">
        <f>SUM(F5:F19)</f>
        <v>0</v>
      </c>
    </row>
    <row r="21" spans="1:6">
      <c r="A21" s="543"/>
      <c r="B21" s="543"/>
      <c r="C21" s="547"/>
      <c r="D21" s="547"/>
      <c r="E21" s="547"/>
      <c r="F21" s="547"/>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D15"/>
  <sheetViews>
    <sheetView workbookViewId="0">
      <selection activeCell="C17" sqref="C17"/>
    </sheetView>
  </sheetViews>
  <sheetFormatPr defaultColWidth="8.58203125" defaultRowHeight="15.5"/>
  <cols>
    <col min="1" max="1" width="54" style="9" customWidth="1"/>
    <col min="2" max="2" width="16.9140625" style="9" customWidth="1"/>
    <col min="3" max="3" width="50.58203125" style="9" bestFit="1" customWidth="1"/>
    <col min="4" max="4" width="55.6640625" style="9" customWidth="1"/>
    <col min="5" max="16384" width="8.58203125" style="9"/>
  </cols>
  <sheetData>
    <row r="1" spans="1:4" ht="17.5">
      <c r="A1" s="290" t="s">
        <v>635</v>
      </c>
      <c r="B1" s="288"/>
      <c r="C1" s="288"/>
    </row>
    <row r="4" spans="1:4">
      <c r="A4" s="210" t="s">
        <v>348</v>
      </c>
      <c r="B4" s="210"/>
      <c r="C4" s="210"/>
    </row>
    <row r="5" spans="1:4">
      <c r="A5" s="210" t="s">
        <v>253</v>
      </c>
      <c r="B5" s="210" t="s">
        <v>722</v>
      </c>
      <c r="C5" s="210"/>
    </row>
    <row r="6" spans="1:4" ht="15" customHeight="1">
      <c r="A6" s="209" t="s">
        <v>636</v>
      </c>
      <c r="B6" s="211">
        <v>0</v>
      </c>
      <c r="C6" s="211"/>
    </row>
    <row r="7" spans="1:4" ht="15" customHeight="1">
      <c r="A7" s="209" t="s">
        <v>637</v>
      </c>
      <c r="B7" s="211">
        <v>0.93600000000000005</v>
      </c>
      <c r="C7" s="211"/>
    </row>
    <row r="8" spans="1:4" ht="15" customHeight="1">
      <c r="A8" s="209" t="s">
        <v>638</v>
      </c>
      <c r="B8" s="211">
        <v>0.995</v>
      </c>
      <c r="C8" s="211"/>
    </row>
    <row r="9" spans="1:4" ht="15" customHeight="1">
      <c r="A9" s="209" t="s">
        <v>254</v>
      </c>
      <c r="B9" s="211">
        <v>0.98</v>
      </c>
      <c r="C9" s="211"/>
    </row>
    <row r="10" spans="1:4">
      <c r="A10" s="210" t="s">
        <v>639</v>
      </c>
      <c r="B10" s="212"/>
      <c r="C10" s="212"/>
    </row>
    <row r="11" spans="1:4" ht="19">
      <c r="A11" s="213" t="s">
        <v>640</v>
      </c>
      <c r="B11" s="209">
        <v>0.68</v>
      </c>
      <c r="C11" s="209" t="s">
        <v>765</v>
      </c>
      <c r="D11" s="558"/>
    </row>
    <row r="12" spans="1:4">
      <c r="A12" s="208" t="s">
        <v>641</v>
      </c>
      <c r="B12" s="210"/>
      <c r="C12" s="210"/>
    </row>
    <row r="13" spans="1:4" ht="16.5">
      <c r="A13" s="213" t="s">
        <v>641</v>
      </c>
      <c r="B13" s="214">
        <f>IFERROR((Methane_Utilization*365*ConversionFactor)*(1-(VLOOKUP('4-Emissions Inputs'!B23,'20-Methane Gen. &amp; Utilization'!A6:B9,2,FALSE))),"")</f>
        <v>723.51061164667294</v>
      </c>
      <c r="C13" s="211" t="s">
        <v>767</v>
      </c>
    </row>
    <row r="14" spans="1:4">
      <c r="A14" s="208" t="s">
        <v>743</v>
      </c>
      <c r="B14" s="210"/>
      <c r="C14" s="210"/>
    </row>
    <row r="15" spans="1:4" ht="17.5">
      <c r="A15" s="213" t="s">
        <v>744</v>
      </c>
      <c r="B15" s="214">
        <f>Estimated_Avg_Daily_Methane_Production*Methane_Utilization_Percentage</f>
        <v>145.75153336959553</v>
      </c>
      <c r="C15" s="201" t="s">
        <v>768</v>
      </c>
    </row>
  </sheetData>
  <pageMargins left="0.7" right="0.7" top="0.75" bottom="0.75" header="0.3" footer="0.3"/>
  <pageSetup paperSize="9"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K55"/>
  <sheetViews>
    <sheetView topLeftCell="A5" workbookViewId="0">
      <selection activeCell="D16" sqref="D16"/>
    </sheetView>
  </sheetViews>
  <sheetFormatPr defaultColWidth="9" defaultRowHeight="14"/>
  <cols>
    <col min="1" max="1" width="67.58203125" style="215" bestFit="1" customWidth="1"/>
    <col min="2" max="2" width="47.58203125" style="215" bestFit="1" customWidth="1"/>
    <col min="3" max="3" width="12" style="215" customWidth="1"/>
    <col min="4" max="4" width="36.5" style="215" bestFit="1" customWidth="1"/>
    <col min="5" max="5" width="11.1640625" style="215" bestFit="1" customWidth="1"/>
    <col min="6" max="6" width="16.08203125" style="215" bestFit="1" customWidth="1"/>
    <col min="7" max="7" width="11" style="215" bestFit="1" customWidth="1"/>
    <col min="8" max="8" width="16.58203125" style="215" bestFit="1" customWidth="1"/>
    <col min="9" max="9" width="12.08203125" style="215" bestFit="1" customWidth="1"/>
    <col min="10" max="12" width="9" style="215"/>
    <col min="13" max="13" width="11.1640625" style="215" bestFit="1" customWidth="1"/>
    <col min="14" max="16384" width="9" style="215"/>
  </cols>
  <sheetData>
    <row r="1" spans="1:10" ht="17.5">
      <c r="A1" s="297" t="s">
        <v>642</v>
      </c>
      <c r="B1" s="297"/>
      <c r="C1" s="297"/>
      <c r="D1" s="297"/>
      <c r="E1" s="297"/>
      <c r="F1" s="297"/>
      <c r="G1" s="297"/>
      <c r="H1" s="297"/>
      <c r="I1" s="297"/>
      <c r="J1" s="479"/>
    </row>
    <row r="3" spans="1:10" ht="15.5">
      <c r="A3" s="210" t="s">
        <v>643</v>
      </c>
      <c r="B3" s="210"/>
      <c r="C3" s="210"/>
    </row>
    <row r="4" spans="1:10" ht="15.5">
      <c r="A4" s="210" t="s">
        <v>644</v>
      </c>
      <c r="B4" s="210" t="s">
        <v>187</v>
      </c>
      <c r="C4" s="210" t="s">
        <v>188</v>
      </c>
    </row>
    <row r="5" spans="1:10" ht="16">
      <c r="A5" s="209" t="s">
        <v>645</v>
      </c>
      <c r="B5" s="221">
        <f>'4-Emissions Inputs'!$B$43</f>
        <v>0.43553432762226502</v>
      </c>
      <c r="C5" s="209" t="s">
        <v>646</v>
      </c>
    </row>
    <row r="6" spans="1:10" ht="16">
      <c r="A6" s="209" t="s">
        <v>647</v>
      </c>
      <c r="B6" s="209">
        <f>IF('4-Emissions Inputs'!B42="No",'4-Emissions Inputs'!B44,0)</f>
        <v>0</v>
      </c>
      <c r="C6" s="209" t="s">
        <v>646</v>
      </c>
      <c r="H6" s="216"/>
      <c r="J6" s="243"/>
    </row>
    <row r="7" spans="1:10" ht="16.5">
      <c r="A7" s="209" t="s">
        <v>648</v>
      </c>
      <c r="B7" s="209">
        <v>57.61</v>
      </c>
      <c r="C7" s="209" t="s">
        <v>270</v>
      </c>
    </row>
    <row r="8" spans="1:10" ht="16.5">
      <c r="A8" s="209" t="s">
        <v>649</v>
      </c>
      <c r="B8" s="209">
        <f>1.06/1000</f>
        <v>1.06E-3</v>
      </c>
      <c r="C8" s="209" t="s">
        <v>270</v>
      </c>
    </row>
    <row r="9" spans="1:10" ht="15.5">
      <c r="A9" s="210" t="s">
        <v>639</v>
      </c>
      <c r="B9" s="210" t="s">
        <v>187</v>
      </c>
      <c r="C9" s="210" t="s">
        <v>188</v>
      </c>
    </row>
    <row r="10" spans="1:10" ht="15.5">
      <c r="A10" s="209" t="s">
        <v>650</v>
      </c>
      <c r="B10" s="273">
        <f>Estimated_Electricity_Use*365</f>
        <v>0</v>
      </c>
      <c r="C10" s="209" t="s">
        <v>651</v>
      </c>
    </row>
    <row r="11" spans="1:10" ht="15.5">
      <c r="A11" s="209" t="s">
        <v>652</v>
      </c>
      <c r="B11" s="209">
        <f>Electricity_from_Biogas*365</f>
        <v>0</v>
      </c>
      <c r="C11" s="209" t="s">
        <v>651</v>
      </c>
    </row>
    <row r="12" spans="1:10" ht="15.5">
      <c r="A12" s="209" t="s">
        <v>279</v>
      </c>
      <c r="B12" s="560">
        <f>GridGrossLoss</f>
        <v>4.4999999999999998E-2</v>
      </c>
      <c r="C12" s="209"/>
    </row>
    <row r="13" spans="1:10" ht="15.5">
      <c r="A13" s="209" t="s">
        <v>653</v>
      </c>
      <c r="B13" s="244">
        <v>3.3999999999999998E-3</v>
      </c>
      <c r="C13" s="209"/>
    </row>
    <row r="14" spans="1:10" ht="15.5">
      <c r="A14" s="210" t="s">
        <v>654</v>
      </c>
      <c r="B14" s="210" t="s">
        <v>187</v>
      </c>
      <c r="C14" s="210"/>
    </row>
    <row r="15" spans="1:10" ht="16.5">
      <c r="A15" s="209" t="s">
        <v>655</v>
      </c>
      <c r="B15" s="222">
        <f>IFERROR(IF($B$6&gt;0,$B$6*($B$10*(1+$B$12)),$B$5*($B$10*(1+$B$12))),"-")</f>
        <v>0</v>
      </c>
      <c r="C15" s="209" t="s">
        <v>656</v>
      </c>
    </row>
    <row r="16" spans="1:10" ht="16.5">
      <c r="A16" s="209" t="s">
        <v>657</v>
      </c>
      <c r="B16" s="222">
        <f>$B$11*$B$13*$B$7</f>
        <v>0</v>
      </c>
      <c r="C16" s="209" t="s">
        <v>656</v>
      </c>
    </row>
    <row r="17" spans="1:11" ht="16.5">
      <c r="A17" s="209" t="s">
        <v>658</v>
      </c>
      <c r="B17" s="266">
        <f>B11*$B$13*$B$8</f>
        <v>0</v>
      </c>
      <c r="C17" s="209" t="s">
        <v>659</v>
      </c>
      <c r="F17" s="1"/>
      <c r="G17" s="1"/>
      <c r="H17" s="1"/>
      <c r="I17" s="1"/>
    </row>
    <row r="18" spans="1:11">
      <c r="B18" s="1"/>
      <c r="C18" s="1"/>
      <c r="F18" s="1"/>
      <c r="G18" s="1"/>
      <c r="H18" s="1"/>
      <c r="I18" s="1"/>
    </row>
    <row r="19" spans="1:11">
      <c r="A19" s="217"/>
      <c r="B19" s="1"/>
      <c r="C19" s="1"/>
      <c r="F19" s="1"/>
      <c r="G19" s="1"/>
      <c r="H19" s="1"/>
      <c r="I19" s="1"/>
    </row>
    <row r="20" spans="1:11">
      <c r="A20" s="217"/>
      <c r="B20" s="1"/>
      <c r="C20" s="1"/>
      <c r="D20" s="1"/>
      <c r="E20" s="1"/>
      <c r="F20" s="1"/>
      <c r="G20" s="1"/>
      <c r="H20" s="1"/>
      <c r="I20" s="1"/>
    </row>
    <row r="21" spans="1:11">
      <c r="A21" s="223" t="s">
        <v>129</v>
      </c>
      <c r="B21" s="223" t="s">
        <v>660</v>
      </c>
      <c r="C21" s="223" t="s">
        <v>188</v>
      </c>
      <c r="D21" s="223" t="s">
        <v>265</v>
      </c>
      <c r="E21" s="223" t="s">
        <v>188</v>
      </c>
      <c r="F21" s="223" t="s">
        <v>661</v>
      </c>
      <c r="G21" s="223" t="s">
        <v>188</v>
      </c>
      <c r="H21" s="223" t="s">
        <v>662</v>
      </c>
      <c r="I21" s="223" t="s">
        <v>188</v>
      </c>
    </row>
    <row r="22" spans="1:11" ht="16.5">
      <c r="A22" s="224" t="s">
        <v>663</v>
      </c>
      <c r="B22" s="225">
        <v>55174670</v>
      </c>
      <c r="C22" s="226" t="s">
        <v>664</v>
      </c>
      <c r="D22" s="225">
        <v>147.19282085720954</v>
      </c>
      <c r="E22" s="226" t="s">
        <v>665</v>
      </c>
      <c r="F22" s="227">
        <f t="shared" ref="F22:F51" si="0">B22/D22</f>
        <v>374846.20295119192</v>
      </c>
      <c r="G22" s="226" t="s">
        <v>666</v>
      </c>
      <c r="H22" s="228">
        <f t="shared" ref="H22:H51" si="1">$F22*$D$54/$D$55</f>
        <v>0.37484620295119192</v>
      </c>
      <c r="I22" s="226" t="s">
        <v>667</v>
      </c>
      <c r="K22" s="216"/>
    </row>
    <row r="23" spans="1:11" ht="16.5">
      <c r="A23" s="224" t="s">
        <v>668</v>
      </c>
      <c r="B23" s="225">
        <v>194547378</v>
      </c>
      <c r="C23" s="226" t="s">
        <v>664</v>
      </c>
      <c r="D23" s="225">
        <v>259.367009</v>
      </c>
      <c r="E23" s="226" t="s">
        <v>665</v>
      </c>
      <c r="F23" s="227">
        <f t="shared" si="0"/>
        <v>750085.28937464056</v>
      </c>
      <c r="G23" s="226" t="s">
        <v>666</v>
      </c>
      <c r="H23" s="228">
        <f t="shared" si="1"/>
        <v>0.75008528937464058</v>
      </c>
      <c r="I23" s="226" t="s">
        <v>667</v>
      </c>
    </row>
    <row r="24" spans="1:11" ht="16.5">
      <c r="A24" s="224" t="s">
        <v>669</v>
      </c>
      <c r="B24" s="225">
        <v>69486733</v>
      </c>
      <c r="C24" s="226" t="s">
        <v>664</v>
      </c>
      <c r="D24" s="225">
        <v>578.89830886670256</v>
      </c>
      <c r="E24" s="226" t="s">
        <v>665</v>
      </c>
      <c r="F24" s="227">
        <f t="shared" si="0"/>
        <v>120032.71029765619</v>
      </c>
      <c r="G24" s="226" t="s">
        <v>666</v>
      </c>
      <c r="H24" s="228">
        <f t="shared" si="1"/>
        <v>0.12003271029765619</v>
      </c>
      <c r="I24" s="226" t="s">
        <v>667</v>
      </c>
    </row>
    <row r="25" spans="1:11" ht="16.5">
      <c r="A25" s="224" t="s">
        <v>670</v>
      </c>
      <c r="B25" s="225">
        <v>101200691</v>
      </c>
      <c r="C25" s="226" t="s">
        <v>664</v>
      </c>
      <c r="D25" s="225">
        <v>664.64903715422497</v>
      </c>
      <c r="E25" s="226" t="s">
        <v>665</v>
      </c>
      <c r="F25" s="227">
        <f t="shared" si="0"/>
        <v>152261.84849872492</v>
      </c>
      <c r="G25" s="226" t="s">
        <v>666</v>
      </c>
      <c r="H25" s="228">
        <f t="shared" si="1"/>
        <v>0.15226184849872496</v>
      </c>
      <c r="I25" s="226" t="s">
        <v>667</v>
      </c>
    </row>
    <row r="26" spans="1:11" ht="16.5">
      <c r="A26" s="229" t="s">
        <v>671</v>
      </c>
      <c r="B26" s="225">
        <v>4386420462.999999</v>
      </c>
      <c r="C26" s="226" t="s">
        <v>664</v>
      </c>
      <c r="D26" s="225">
        <v>6133.16</v>
      </c>
      <c r="E26" s="226" t="s">
        <v>665</v>
      </c>
      <c r="F26" s="227">
        <f t="shared" si="0"/>
        <v>715197.46150434669</v>
      </c>
      <c r="G26" s="226" t="s">
        <v>666</v>
      </c>
      <c r="H26" s="228">
        <f t="shared" si="1"/>
        <v>0.71519746150434671</v>
      </c>
      <c r="I26" s="226" t="s">
        <v>667</v>
      </c>
    </row>
    <row r="27" spans="1:11" ht="16.5">
      <c r="A27" s="224" t="s">
        <v>672</v>
      </c>
      <c r="B27" s="225">
        <v>89300294</v>
      </c>
      <c r="C27" s="226" t="s">
        <v>664</v>
      </c>
      <c r="D27" s="225">
        <v>188.19109872922775</v>
      </c>
      <c r="E27" s="226" t="s">
        <v>665</v>
      </c>
      <c r="F27" s="227">
        <f t="shared" si="0"/>
        <v>474519.22329486284</v>
      </c>
      <c r="G27" s="226" t="s">
        <v>666</v>
      </c>
      <c r="H27" s="228">
        <f t="shared" si="1"/>
        <v>0.47451922329486285</v>
      </c>
      <c r="I27" s="226" t="s">
        <v>667</v>
      </c>
    </row>
    <row r="28" spans="1:11" ht="16.5">
      <c r="A28" s="224" t="s">
        <v>673</v>
      </c>
      <c r="B28" s="225">
        <v>321808485</v>
      </c>
      <c r="C28" s="226" t="s">
        <v>664</v>
      </c>
      <c r="D28" s="225">
        <v>649.11698543</v>
      </c>
      <c r="E28" s="226" t="s">
        <v>665</v>
      </c>
      <c r="F28" s="227">
        <f t="shared" si="0"/>
        <v>495763.463633326</v>
      </c>
      <c r="G28" s="226" t="s">
        <v>666</v>
      </c>
      <c r="H28" s="228">
        <f t="shared" si="1"/>
        <v>0.49576346363332602</v>
      </c>
      <c r="I28" s="226" t="s">
        <v>667</v>
      </c>
    </row>
    <row r="29" spans="1:11" ht="16.5">
      <c r="A29" s="224" t="s">
        <v>674</v>
      </c>
      <c r="B29" s="225">
        <v>1072472691</v>
      </c>
      <c r="C29" s="226" t="s">
        <v>664</v>
      </c>
      <c r="D29" s="225">
        <v>1421.5037574297523</v>
      </c>
      <c r="E29" s="226" t="s">
        <v>665</v>
      </c>
      <c r="F29" s="227">
        <f t="shared" si="0"/>
        <v>754463.49360282952</v>
      </c>
      <c r="G29" s="226" t="s">
        <v>666</v>
      </c>
      <c r="H29" s="228">
        <f t="shared" si="1"/>
        <v>0.75446349360282949</v>
      </c>
      <c r="I29" s="226" t="s">
        <v>667</v>
      </c>
    </row>
    <row r="30" spans="1:11" ht="16.5">
      <c r="A30" s="224" t="s">
        <v>675</v>
      </c>
      <c r="B30" s="225">
        <v>181266140</v>
      </c>
      <c r="C30" s="226" t="s">
        <v>664</v>
      </c>
      <c r="D30" s="225">
        <v>248.61229</v>
      </c>
      <c r="E30" s="226" t="s">
        <v>665</v>
      </c>
      <c r="F30" s="227">
        <f t="shared" si="0"/>
        <v>729111.742625435</v>
      </c>
      <c r="G30" s="226" t="s">
        <v>666</v>
      </c>
      <c r="H30" s="228">
        <f t="shared" si="1"/>
        <v>0.72911174262543499</v>
      </c>
      <c r="I30" s="226" t="s">
        <v>667</v>
      </c>
    </row>
    <row r="31" spans="1:11" ht="16.5">
      <c r="A31" s="224" t="s">
        <v>676</v>
      </c>
      <c r="B31" s="225">
        <v>153602395</v>
      </c>
      <c r="C31" s="226" t="s">
        <v>664</v>
      </c>
      <c r="D31" s="225">
        <v>286.14299999999997</v>
      </c>
      <c r="E31" s="226" t="s">
        <v>665</v>
      </c>
      <c r="F31" s="227">
        <f t="shared" si="0"/>
        <v>536802.90973394422</v>
      </c>
      <c r="G31" s="226" t="s">
        <v>666</v>
      </c>
      <c r="H31" s="228">
        <f t="shared" si="1"/>
        <v>0.53680290973394429</v>
      </c>
      <c r="I31" s="226" t="s">
        <v>667</v>
      </c>
    </row>
    <row r="32" spans="1:11" ht="16.5">
      <c r="A32" s="224" t="s">
        <v>677</v>
      </c>
      <c r="B32" s="225">
        <v>108225192</v>
      </c>
      <c r="C32" s="226" t="s">
        <v>664</v>
      </c>
      <c r="D32" s="225">
        <v>289.76820000000004</v>
      </c>
      <c r="E32" s="226" t="s">
        <v>665</v>
      </c>
      <c r="F32" s="227">
        <f t="shared" si="0"/>
        <v>373488.85074345628</v>
      </c>
      <c r="G32" s="226" t="s">
        <v>666</v>
      </c>
      <c r="H32" s="228">
        <f t="shared" si="1"/>
        <v>0.37348885074345628</v>
      </c>
      <c r="I32" s="226" t="s">
        <v>667</v>
      </c>
    </row>
    <row r="33" spans="1:9" ht="16.5">
      <c r="A33" s="224" t="s">
        <v>678</v>
      </c>
      <c r="B33" s="225">
        <v>572800439</v>
      </c>
      <c r="C33" s="226" t="s">
        <v>664</v>
      </c>
      <c r="D33" s="225">
        <v>1002.3360179369458</v>
      </c>
      <c r="E33" s="226" t="s">
        <v>665</v>
      </c>
      <c r="F33" s="227">
        <f t="shared" si="0"/>
        <v>571465.48537581658</v>
      </c>
      <c r="G33" s="226" t="s">
        <v>666</v>
      </c>
      <c r="H33" s="228">
        <f t="shared" si="1"/>
        <v>0.57146548537581665</v>
      </c>
      <c r="I33" s="226" t="s">
        <v>667</v>
      </c>
    </row>
    <row r="34" spans="1:9" ht="16.5">
      <c r="A34" s="224" t="s">
        <v>679</v>
      </c>
      <c r="B34" s="225">
        <v>91587684</v>
      </c>
      <c r="C34" s="226" t="s">
        <v>664</v>
      </c>
      <c r="D34" s="225">
        <v>94.642384000000007</v>
      </c>
      <c r="E34" s="226" t="s">
        <v>665</v>
      </c>
      <c r="F34" s="227">
        <f t="shared" si="0"/>
        <v>967723.76317147713</v>
      </c>
      <c r="G34" s="226" t="s">
        <v>666</v>
      </c>
      <c r="H34" s="228">
        <f t="shared" si="1"/>
        <v>0.96772376317147712</v>
      </c>
      <c r="I34" s="226" t="s">
        <v>667</v>
      </c>
    </row>
    <row r="35" spans="1:9" ht="16.5">
      <c r="A35" s="224" t="s">
        <v>680</v>
      </c>
      <c r="B35" s="225">
        <v>102599164</v>
      </c>
      <c r="C35" s="226" t="s">
        <v>664</v>
      </c>
      <c r="D35" s="225">
        <v>159.25207313299998</v>
      </c>
      <c r="E35" s="226" t="s">
        <v>665</v>
      </c>
      <c r="F35" s="227">
        <f t="shared" si="0"/>
        <v>644256.37909475702</v>
      </c>
      <c r="G35" s="226" t="s">
        <v>666</v>
      </c>
      <c r="H35" s="228">
        <f t="shared" si="1"/>
        <v>0.64425637909475708</v>
      </c>
      <c r="I35" s="226" t="s">
        <v>667</v>
      </c>
    </row>
    <row r="36" spans="1:9" ht="16.5">
      <c r="A36" s="224" t="s">
        <v>681</v>
      </c>
      <c r="B36" s="225">
        <v>148755123</v>
      </c>
      <c r="C36" s="226" t="s">
        <v>664</v>
      </c>
      <c r="D36" s="225">
        <v>320.344722478498</v>
      </c>
      <c r="E36" s="226" t="s">
        <v>665</v>
      </c>
      <c r="F36" s="227">
        <f t="shared" si="0"/>
        <v>464359.52448064648</v>
      </c>
      <c r="G36" s="226" t="s">
        <v>666</v>
      </c>
      <c r="H36" s="228">
        <f t="shared" si="1"/>
        <v>0.46435952448064649</v>
      </c>
      <c r="I36" s="226" t="s">
        <v>667</v>
      </c>
    </row>
    <row r="37" spans="1:9" ht="16.5">
      <c r="A37" s="224" t="s">
        <v>682</v>
      </c>
      <c r="B37" s="225">
        <v>60749994</v>
      </c>
      <c r="C37" s="226" t="s">
        <v>664</v>
      </c>
      <c r="D37" s="225">
        <v>115.17027499999999</v>
      </c>
      <c r="E37" s="226" t="s">
        <v>665</v>
      </c>
      <c r="F37" s="227">
        <f t="shared" si="0"/>
        <v>527479.80327389168</v>
      </c>
      <c r="G37" s="226" t="s">
        <v>666</v>
      </c>
      <c r="H37" s="228">
        <f t="shared" si="1"/>
        <v>0.52747980327389166</v>
      </c>
      <c r="I37" s="226" t="s">
        <v>667</v>
      </c>
    </row>
    <row r="38" spans="1:9" ht="16.5">
      <c r="A38" s="224" t="s">
        <v>683</v>
      </c>
      <c r="B38" s="225">
        <v>150042386</v>
      </c>
      <c r="C38" s="226" t="s">
        <v>664</v>
      </c>
      <c r="D38" s="225">
        <v>166.63399999999999</v>
      </c>
      <c r="E38" s="226" t="s">
        <v>665</v>
      </c>
      <c r="F38" s="227">
        <f t="shared" si="0"/>
        <v>900430.80043688568</v>
      </c>
      <c r="G38" s="226" t="s">
        <v>666</v>
      </c>
      <c r="H38" s="228">
        <f t="shared" si="1"/>
        <v>0.90043080043688573</v>
      </c>
      <c r="I38" s="226" t="s">
        <v>667</v>
      </c>
    </row>
    <row r="39" spans="1:9" ht="16.5">
      <c r="A39" s="224" t="s">
        <v>684</v>
      </c>
      <c r="B39" s="225">
        <v>776785371</v>
      </c>
      <c r="C39" s="226" t="s">
        <v>664</v>
      </c>
      <c r="D39" s="225">
        <v>1090.9702240000001</v>
      </c>
      <c r="E39" s="226" t="s">
        <v>665</v>
      </c>
      <c r="F39" s="227">
        <f t="shared" si="0"/>
        <v>712013.35647085437</v>
      </c>
      <c r="G39" s="226" t="s">
        <v>666</v>
      </c>
      <c r="H39" s="228">
        <f t="shared" si="1"/>
        <v>0.7120133564708544</v>
      </c>
      <c r="I39" s="226" t="s">
        <v>667</v>
      </c>
    </row>
    <row r="40" spans="1:9" ht="16.5">
      <c r="A40" s="224" t="s">
        <v>685</v>
      </c>
      <c r="B40" s="225">
        <v>246055506</v>
      </c>
      <c r="C40" s="226" t="s">
        <v>664</v>
      </c>
      <c r="D40" s="225">
        <v>370.42819847642761</v>
      </c>
      <c r="E40" s="226" t="s">
        <v>665</v>
      </c>
      <c r="F40" s="227">
        <f t="shared" si="0"/>
        <v>664246.15353805979</v>
      </c>
      <c r="G40" s="226" t="s">
        <v>666</v>
      </c>
      <c r="H40" s="228">
        <f t="shared" si="1"/>
        <v>0.66424615353805982</v>
      </c>
      <c r="I40" s="226" t="s">
        <v>667</v>
      </c>
    </row>
    <row r="41" spans="1:9" ht="16.5">
      <c r="A41" s="224" t="s">
        <v>686</v>
      </c>
      <c r="B41" s="225">
        <v>235781046</v>
      </c>
      <c r="C41" s="226" t="s">
        <v>664</v>
      </c>
      <c r="D41" s="225">
        <v>252.74700000000001</v>
      </c>
      <c r="E41" s="226" t="s">
        <v>665</v>
      </c>
      <c r="F41" s="227">
        <f t="shared" si="0"/>
        <v>932873.76704767998</v>
      </c>
      <c r="G41" s="226" t="s">
        <v>666</v>
      </c>
      <c r="H41" s="228">
        <f t="shared" si="1"/>
        <v>0.93287376704767999</v>
      </c>
      <c r="I41" s="226" t="s">
        <v>667</v>
      </c>
    </row>
    <row r="42" spans="1:9" ht="16.5">
      <c r="A42" s="224" t="s">
        <v>687</v>
      </c>
      <c r="B42" s="225">
        <v>310232263</v>
      </c>
      <c r="C42" s="226" t="s">
        <v>664</v>
      </c>
      <c r="D42" s="225">
        <v>560.98458999999991</v>
      </c>
      <c r="E42" s="226" t="s">
        <v>665</v>
      </c>
      <c r="F42" s="227">
        <f t="shared" si="0"/>
        <v>553013.87690524629</v>
      </c>
      <c r="G42" s="226" t="s">
        <v>666</v>
      </c>
      <c r="H42" s="228">
        <f t="shared" si="1"/>
        <v>0.55301387690524628</v>
      </c>
      <c r="I42" s="226" t="s">
        <v>667</v>
      </c>
    </row>
    <row r="43" spans="1:9" ht="16.5">
      <c r="A43" s="229" t="s">
        <v>688</v>
      </c>
      <c r="B43" s="225">
        <v>66684037</v>
      </c>
      <c r="C43" s="226" t="s">
        <v>664</v>
      </c>
      <c r="D43" s="225">
        <v>274.63007297833207</v>
      </c>
      <c r="E43" s="226" t="s">
        <v>665</v>
      </c>
      <c r="F43" s="227">
        <f t="shared" si="0"/>
        <v>242814.03808701344</v>
      </c>
      <c r="G43" s="226" t="s">
        <v>666</v>
      </c>
      <c r="H43" s="228">
        <f t="shared" si="1"/>
        <v>0.24281403808701346</v>
      </c>
      <c r="I43" s="226" t="s">
        <v>667</v>
      </c>
    </row>
    <row r="44" spans="1:9" ht="16.5">
      <c r="A44" s="224" t="s">
        <v>689</v>
      </c>
      <c r="B44" s="225">
        <v>153110680</v>
      </c>
      <c r="C44" s="226" t="s">
        <v>664</v>
      </c>
      <c r="D44" s="225">
        <v>264.11415927600001</v>
      </c>
      <c r="E44" s="226" t="s">
        <v>665</v>
      </c>
      <c r="F44" s="227">
        <f t="shared" si="0"/>
        <v>579714.0161652558</v>
      </c>
      <c r="G44" s="226" t="s">
        <v>666</v>
      </c>
      <c r="H44" s="228">
        <f t="shared" si="1"/>
        <v>0.57971401616525586</v>
      </c>
      <c r="I44" s="226" t="s">
        <v>667</v>
      </c>
    </row>
    <row r="45" spans="1:9" ht="16.5">
      <c r="A45" s="229" t="s">
        <v>690</v>
      </c>
      <c r="B45" s="225">
        <v>91296297</v>
      </c>
      <c r="C45" s="226" t="s">
        <v>664</v>
      </c>
      <c r="D45" s="225">
        <v>179.74147517199995</v>
      </c>
      <c r="E45" s="226" t="s">
        <v>665</v>
      </c>
      <c r="F45" s="227">
        <f t="shared" si="0"/>
        <v>507931.16565131041</v>
      </c>
      <c r="G45" s="226" t="s">
        <v>666</v>
      </c>
      <c r="H45" s="228">
        <f t="shared" si="1"/>
        <v>0.50793116565131047</v>
      </c>
      <c r="I45" s="226" t="s">
        <v>667</v>
      </c>
    </row>
    <row r="46" spans="1:9" ht="16.5">
      <c r="A46" s="224" t="s">
        <v>691</v>
      </c>
      <c r="B46" s="225">
        <v>130021324.99999999</v>
      </c>
      <c r="C46" s="226" t="s">
        <v>664</v>
      </c>
      <c r="D46" s="225">
        <v>274.40776222883221</v>
      </c>
      <c r="E46" s="226" t="s">
        <v>665</v>
      </c>
      <c r="F46" s="227">
        <f t="shared" si="0"/>
        <v>473825.24438785191</v>
      </c>
      <c r="G46" s="226" t="s">
        <v>666</v>
      </c>
      <c r="H46" s="228">
        <f t="shared" si="1"/>
        <v>0.47382524438785195</v>
      </c>
      <c r="I46" s="226" t="s">
        <v>667</v>
      </c>
    </row>
    <row r="47" spans="1:9" ht="16.5">
      <c r="A47" s="224" t="s">
        <v>692</v>
      </c>
      <c r="B47" s="225">
        <v>101444091</v>
      </c>
      <c r="C47" s="226" t="s">
        <v>664</v>
      </c>
      <c r="D47" s="225">
        <v>164.57300000000001</v>
      </c>
      <c r="E47" s="226" t="s">
        <v>665</v>
      </c>
      <c r="F47" s="227">
        <f t="shared" si="0"/>
        <v>616407.8615568775</v>
      </c>
      <c r="G47" s="226" t="s">
        <v>666</v>
      </c>
      <c r="H47" s="228">
        <f t="shared" si="1"/>
        <v>0.61640786155687755</v>
      </c>
      <c r="I47" s="226" t="s">
        <v>667</v>
      </c>
    </row>
    <row r="48" spans="1:9" ht="16.5">
      <c r="A48" s="224" t="s">
        <v>693</v>
      </c>
      <c r="B48" s="225">
        <v>85635964</v>
      </c>
      <c r="C48" s="226" t="s">
        <v>664</v>
      </c>
      <c r="D48" s="225">
        <v>129.59625042499999</v>
      </c>
      <c r="E48" s="226" t="s">
        <v>665</v>
      </c>
      <c r="F48" s="227">
        <f t="shared" si="0"/>
        <v>660790.44508744706</v>
      </c>
      <c r="G48" s="226" t="s">
        <v>666</v>
      </c>
      <c r="H48" s="228">
        <f t="shared" si="1"/>
        <v>0.66079044508744711</v>
      </c>
      <c r="I48" s="226" t="s">
        <v>667</v>
      </c>
    </row>
    <row r="49" spans="1:9" ht="16.5">
      <c r="A49" s="224" t="s">
        <v>694</v>
      </c>
      <c r="B49" s="225">
        <v>99373423</v>
      </c>
      <c r="C49" s="226" t="s">
        <v>664</v>
      </c>
      <c r="D49" s="225">
        <v>339.39750518545372</v>
      </c>
      <c r="E49" s="226" t="s">
        <v>665</v>
      </c>
      <c r="F49" s="227">
        <f t="shared" si="0"/>
        <v>292793.61657564435</v>
      </c>
      <c r="G49" s="226" t="s">
        <v>666</v>
      </c>
      <c r="H49" s="228">
        <f t="shared" si="1"/>
        <v>0.2927936165756444</v>
      </c>
      <c r="I49" s="226" t="s">
        <v>667</v>
      </c>
    </row>
    <row r="50" spans="1:9" ht="16.5">
      <c r="A50" s="224" t="s">
        <v>264</v>
      </c>
      <c r="B50" s="225">
        <v>1893664413</v>
      </c>
      <c r="C50" s="226" t="s">
        <v>664</v>
      </c>
      <c r="D50" s="225">
        <v>4347.9108141445004</v>
      </c>
      <c r="E50" s="226" t="s">
        <v>665</v>
      </c>
      <c r="F50" s="227">
        <f t="shared" si="0"/>
        <v>435534.32762226503</v>
      </c>
      <c r="G50" s="226" t="s">
        <v>666</v>
      </c>
      <c r="H50" s="228">
        <f t="shared" si="1"/>
        <v>0.43553432762226502</v>
      </c>
      <c r="I50" s="226" t="s">
        <v>667</v>
      </c>
    </row>
    <row r="51" spans="1:9" ht="16.5">
      <c r="A51" s="224" t="s">
        <v>695</v>
      </c>
      <c r="B51" s="225">
        <v>73935412</v>
      </c>
      <c r="C51" s="226" t="s">
        <v>664</v>
      </c>
      <c r="D51" s="225">
        <v>174.56382001836548</v>
      </c>
      <c r="E51" s="226" t="s">
        <v>665</v>
      </c>
      <c r="F51" s="227">
        <f t="shared" si="0"/>
        <v>423543.73312993161</v>
      </c>
      <c r="G51" s="226" t="s">
        <v>666</v>
      </c>
      <c r="H51" s="228">
        <f t="shared" si="1"/>
        <v>0.4235437331299316</v>
      </c>
      <c r="I51" s="226" t="s">
        <v>667</v>
      </c>
    </row>
    <row r="53" spans="1:9">
      <c r="A53" s="217" t="s">
        <v>696</v>
      </c>
      <c r="C53" s="1" t="s">
        <v>697</v>
      </c>
      <c r="D53" s="1"/>
    </row>
    <row r="54" spans="1:9">
      <c r="A54" s="217" t="s">
        <v>698</v>
      </c>
      <c r="C54" s="1" t="s">
        <v>699</v>
      </c>
      <c r="D54" s="218">
        <f>1/1000000000</f>
        <v>1.0000000000000001E-9</v>
      </c>
    </row>
    <row r="55" spans="1:9">
      <c r="C55" s="1" t="s">
        <v>700</v>
      </c>
      <c r="D55" s="218">
        <f>1/1000</f>
        <v>1E-3</v>
      </c>
    </row>
  </sheetData>
  <sortState ref="A22:I51">
    <sortCondition ref="A22"/>
  </sortState>
  <pageMargins left="0.7" right="0.7" top="0.75" bottom="0.75" header="0.3" footer="0.3"/>
  <pageSetup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F2F2F2"/>
  </sheetPr>
  <dimension ref="A1:AB19"/>
  <sheetViews>
    <sheetView workbookViewId="0">
      <selection activeCell="C19" sqref="C19"/>
    </sheetView>
  </sheetViews>
  <sheetFormatPr defaultColWidth="8.58203125" defaultRowHeight="14"/>
  <cols>
    <col min="1" max="1" width="32.5" style="198" bestFit="1" customWidth="1"/>
    <col min="2" max="2" width="12.1640625" style="198" customWidth="1"/>
    <col min="3" max="3" width="45.4140625" style="198" bestFit="1" customWidth="1"/>
    <col min="4" max="4" width="30.08203125" style="198" customWidth="1"/>
    <col min="5" max="16384" width="8.58203125" style="198"/>
  </cols>
  <sheetData>
    <row r="1" spans="1:28" ht="17.5">
      <c r="A1" s="297" t="s">
        <v>701</v>
      </c>
      <c r="B1" s="298"/>
      <c r="C1" s="298"/>
      <c r="D1" s="478"/>
      <c r="E1" s="478"/>
      <c r="F1" s="478"/>
      <c r="G1" s="478"/>
      <c r="H1" s="478"/>
      <c r="I1" s="478"/>
      <c r="J1" s="478"/>
      <c r="K1" s="478"/>
      <c r="L1" s="478"/>
      <c r="M1" s="478"/>
      <c r="N1" s="478"/>
      <c r="O1" s="478"/>
      <c r="P1" s="478"/>
      <c r="Q1" s="478"/>
      <c r="R1" s="478"/>
      <c r="S1" s="478"/>
      <c r="T1" s="478"/>
      <c r="U1" s="478"/>
      <c r="V1" s="478"/>
      <c r="W1" s="478"/>
      <c r="X1" s="478"/>
      <c r="Y1" s="478"/>
      <c r="Z1" s="478"/>
      <c r="AA1" s="478"/>
      <c r="AB1" s="478"/>
    </row>
    <row r="3" spans="1:28">
      <c r="A3" s="666" t="s">
        <v>256</v>
      </c>
      <c r="B3" s="666"/>
      <c r="C3" s="511"/>
    </row>
    <row r="4" spans="1:28" ht="16">
      <c r="A4" s="267" t="s">
        <v>702</v>
      </c>
      <c r="B4" s="199" t="s">
        <v>187</v>
      </c>
      <c r="C4" s="267" t="s">
        <v>151</v>
      </c>
    </row>
    <row r="5" spans="1:28">
      <c r="A5" s="200" t="s">
        <v>703</v>
      </c>
      <c r="B5" s="200">
        <v>0.96</v>
      </c>
      <c r="C5" s="200"/>
    </row>
    <row r="6" spans="1:28">
      <c r="A6" s="200" t="s">
        <v>704</v>
      </c>
      <c r="B6" s="200">
        <v>0.5</v>
      </c>
      <c r="C6" s="200"/>
    </row>
    <row r="7" spans="1:28">
      <c r="A7" s="200" t="s">
        <v>260</v>
      </c>
      <c r="B7" s="200">
        <v>0.995</v>
      </c>
      <c r="C7" s="200"/>
    </row>
    <row r="8" spans="1:28">
      <c r="A8" s="200" t="s">
        <v>705</v>
      </c>
      <c r="B8" s="219" t="str">
        <f>IF('4-Emissions Inputs'!B29="No",'4-Emissions Inputs'!$B$30,"")</f>
        <v/>
      </c>
      <c r="C8" s="219"/>
    </row>
    <row r="9" spans="1:28">
      <c r="A9" s="200" t="s">
        <v>706</v>
      </c>
      <c r="B9" s="200">
        <f>IF(Use_Defaults_Flare="Yes",VLOOKUP(FlareType,'22-Flaring &amp; Leakage'!$A$5:$B$7,2,FALSE),$B$8)</f>
        <v>0.96</v>
      </c>
      <c r="C9" s="200"/>
    </row>
    <row r="10" spans="1:28">
      <c r="A10" s="267" t="s">
        <v>639</v>
      </c>
      <c r="B10" s="267" t="s">
        <v>187</v>
      </c>
      <c r="C10" s="267" t="s">
        <v>151</v>
      </c>
    </row>
    <row r="11" spans="1:28" ht="17.5">
      <c r="A11" s="201" t="s">
        <v>707</v>
      </c>
      <c r="B11" s="201">
        <v>0.68</v>
      </c>
      <c r="C11" s="201" t="s">
        <v>764</v>
      </c>
    </row>
    <row r="12" spans="1:28">
      <c r="A12" s="199" t="s">
        <v>708</v>
      </c>
      <c r="B12" s="199" t="s">
        <v>187</v>
      </c>
      <c r="C12" s="199" t="s">
        <v>151</v>
      </c>
    </row>
    <row r="13" spans="1:28" ht="16">
      <c r="A13" s="201" t="s">
        <v>708</v>
      </c>
      <c r="B13" s="201">
        <f>IFERROR(ConversionFactor*((1-AnalysisCombustionEffValue)*Measured_Methane_sent_to_Flare)*365,0)</f>
        <v>160.78013592148287</v>
      </c>
      <c r="C13" s="201" t="s">
        <v>709</v>
      </c>
    </row>
    <row r="15" spans="1:28">
      <c r="A15" s="220" t="s">
        <v>281</v>
      </c>
      <c r="B15" s="199" t="s">
        <v>187</v>
      </c>
      <c r="C15" s="199" t="s">
        <v>151</v>
      </c>
    </row>
    <row r="16" spans="1:28" ht="16">
      <c r="A16" s="201" t="s">
        <v>710</v>
      </c>
      <c r="B16" s="272">
        <f>Estimated_Avg_Daily_Methane_Production*ConversionFactor*Assumed_Fraction_of_Methane_Leakage*365</f>
        <v>4019.5033980370686</v>
      </c>
      <c r="C16" s="201" t="s">
        <v>709</v>
      </c>
    </row>
    <row r="17" spans="1:3">
      <c r="B17" s="202"/>
    </row>
    <row r="18" spans="1:3" ht="42">
      <c r="A18" s="533" t="s">
        <v>741</v>
      </c>
      <c r="B18" s="199" t="s">
        <v>187</v>
      </c>
      <c r="C18" s="199" t="s">
        <v>151</v>
      </c>
    </row>
    <row r="19" spans="1:3" ht="17.5">
      <c r="A19" s="201" t="s">
        <v>742</v>
      </c>
      <c r="B19" s="272">
        <f>Estimated_Avg_Daily_Methane_Production*Methane_Flare_Percentage</f>
        <v>16.194614818843945</v>
      </c>
      <c r="C19" s="201" t="s">
        <v>768</v>
      </c>
    </row>
  </sheetData>
  <mergeCells count="1">
    <mergeCell ref="A3:B3"/>
  </mergeCells>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Z102"/>
  <sheetViews>
    <sheetView workbookViewId="0"/>
  </sheetViews>
  <sheetFormatPr defaultRowHeight="15.5"/>
  <cols>
    <col min="1" max="1" width="35.6640625" customWidth="1"/>
    <col min="2" max="2" width="11.6640625" bestFit="1" customWidth="1"/>
    <col min="6" max="6" width="13.58203125" bestFit="1" customWidth="1"/>
    <col min="8" max="8" width="29.58203125" bestFit="1" customWidth="1"/>
  </cols>
  <sheetData>
    <row r="1" spans="1:26" ht="17.5">
      <c r="A1" s="520" t="s">
        <v>711</v>
      </c>
      <c r="B1" s="520"/>
      <c r="C1" s="520"/>
      <c r="D1" s="520"/>
      <c r="E1" s="520"/>
      <c r="F1" s="520"/>
      <c r="G1" s="520"/>
      <c r="H1" s="520"/>
      <c r="I1" s="297"/>
      <c r="J1" s="297"/>
      <c r="K1" s="297"/>
      <c r="L1" s="297"/>
      <c r="M1" s="297"/>
      <c r="N1" s="297"/>
      <c r="O1" s="297"/>
      <c r="P1" s="297"/>
      <c r="Q1" s="297"/>
      <c r="R1" s="297"/>
      <c r="S1" s="297"/>
      <c r="T1" s="297"/>
      <c r="U1" s="297"/>
      <c r="V1" s="297"/>
      <c r="W1" s="297"/>
      <c r="X1" s="297"/>
      <c r="Y1" s="297"/>
      <c r="Z1" s="297"/>
    </row>
    <row r="2" spans="1:26">
      <c r="A2" s="521"/>
      <c r="B2" s="521"/>
      <c r="C2" s="521"/>
      <c r="D2" s="521"/>
      <c r="E2" s="521"/>
      <c r="F2" s="521"/>
      <c r="G2" s="521"/>
      <c r="H2" s="521"/>
    </row>
    <row r="3" spans="1:26">
      <c r="A3" s="522" t="s">
        <v>712</v>
      </c>
      <c r="B3" s="522" t="s">
        <v>713</v>
      </c>
      <c r="C3" s="521"/>
      <c r="D3" s="521"/>
      <c r="E3" s="521"/>
      <c r="F3" s="522" t="s">
        <v>148</v>
      </c>
      <c r="G3" s="521"/>
      <c r="H3" s="522" t="s">
        <v>175</v>
      </c>
      <c r="J3" s="220" t="s">
        <v>173</v>
      </c>
    </row>
    <row r="4" spans="1:26">
      <c r="A4" s="521" t="s">
        <v>176</v>
      </c>
      <c r="B4" s="521">
        <v>1</v>
      </c>
      <c r="C4" s="521"/>
      <c r="D4" s="521"/>
      <c r="E4" s="521"/>
      <c r="F4" s="521" t="s">
        <v>175</v>
      </c>
      <c r="G4" s="521"/>
      <c r="H4" s="521" t="s">
        <v>98</v>
      </c>
      <c r="J4" t="s">
        <v>98</v>
      </c>
    </row>
    <row r="5" spans="1:26">
      <c r="A5" s="521" t="s">
        <v>714</v>
      </c>
      <c r="B5" s="521">
        <v>0.453592</v>
      </c>
      <c r="C5" s="521"/>
      <c r="D5" s="521"/>
      <c r="E5" s="521"/>
      <c r="F5" s="521" t="s">
        <v>173</v>
      </c>
      <c r="G5" s="521"/>
      <c r="H5" s="521" t="s">
        <v>57</v>
      </c>
      <c r="J5" t="s">
        <v>57</v>
      </c>
    </row>
    <row r="6" spans="1:26">
      <c r="A6" s="521" t="s">
        <v>715</v>
      </c>
      <c r="B6" s="521">
        <v>1000</v>
      </c>
      <c r="C6" s="521"/>
      <c r="D6" s="521"/>
      <c r="E6" s="521"/>
      <c r="F6" s="521"/>
      <c r="G6" s="521"/>
      <c r="H6" s="521" t="s">
        <v>110</v>
      </c>
      <c r="J6" t="s">
        <v>91</v>
      </c>
    </row>
    <row r="7" spans="1:26">
      <c r="A7" s="521" t="s">
        <v>174</v>
      </c>
      <c r="B7" s="521">
        <v>907.18499999999995</v>
      </c>
      <c r="C7" s="521"/>
      <c r="D7" s="521"/>
      <c r="E7" s="521"/>
      <c r="F7" s="521"/>
      <c r="G7" s="521"/>
      <c r="H7" s="521" t="s">
        <v>112</v>
      </c>
      <c r="J7" t="s">
        <v>83</v>
      </c>
    </row>
    <row r="8" spans="1:26">
      <c r="A8" s="521" t="s">
        <v>212</v>
      </c>
      <c r="B8" s="521">
        <v>1</v>
      </c>
      <c r="C8" s="521"/>
      <c r="D8" s="521"/>
      <c r="E8" s="521"/>
      <c r="F8" s="521"/>
      <c r="G8" s="521"/>
      <c r="H8" s="521" t="s">
        <v>32</v>
      </c>
      <c r="J8" t="s">
        <v>79</v>
      </c>
    </row>
    <row r="9" spans="1:26">
      <c r="A9" s="521" t="s">
        <v>716</v>
      </c>
      <c r="B9" s="521">
        <v>3.7850000000000001</v>
      </c>
      <c r="C9" s="521"/>
      <c r="D9" s="521"/>
      <c r="E9" s="521"/>
      <c r="F9" s="521"/>
      <c r="G9" s="521"/>
      <c r="H9" s="521" t="s">
        <v>107</v>
      </c>
      <c r="J9" t="s">
        <v>63</v>
      </c>
    </row>
    <row r="10" spans="1:26">
      <c r="A10" s="521"/>
      <c r="B10" s="521"/>
      <c r="C10" s="521"/>
      <c r="D10" s="521"/>
      <c r="E10" s="521"/>
      <c r="F10" s="521"/>
      <c r="G10" s="521"/>
      <c r="H10" s="521" t="s">
        <v>49</v>
      </c>
      <c r="J10" t="s">
        <v>69</v>
      </c>
    </row>
    <row r="11" spans="1:26">
      <c r="A11" s="521"/>
      <c r="B11" s="521"/>
      <c r="C11" s="521"/>
      <c r="D11" s="521"/>
      <c r="E11" s="521"/>
      <c r="F11" s="521"/>
      <c r="G11" s="521"/>
      <c r="H11" s="521" t="s">
        <v>71</v>
      </c>
      <c r="J11" t="s">
        <v>74</v>
      </c>
    </row>
    <row r="12" spans="1:26">
      <c r="A12" s="522" t="s">
        <v>717</v>
      </c>
      <c r="B12" s="522" t="s">
        <v>713</v>
      </c>
      <c r="C12" s="521"/>
      <c r="D12" s="521"/>
      <c r="E12" s="521"/>
      <c r="F12" s="521"/>
      <c r="G12" s="521"/>
      <c r="H12" s="521" t="s">
        <v>33</v>
      </c>
      <c r="J12" t="s">
        <v>110</v>
      </c>
    </row>
    <row r="13" spans="1:26" ht="18.5">
      <c r="A13" s="521" t="s">
        <v>737</v>
      </c>
      <c r="B13" s="521">
        <v>1</v>
      </c>
      <c r="C13" s="521"/>
      <c r="D13" s="521"/>
      <c r="E13" s="521"/>
      <c r="F13" s="521"/>
      <c r="G13" s="521"/>
      <c r="H13" s="521"/>
      <c r="J13" t="s">
        <v>112</v>
      </c>
    </row>
    <row r="14" spans="1:26">
      <c r="A14" s="521" t="s">
        <v>297</v>
      </c>
      <c r="B14" s="521">
        <v>35.314666711511585</v>
      </c>
      <c r="C14" s="521"/>
      <c r="D14" s="521"/>
      <c r="E14" s="521"/>
      <c r="F14" s="521"/>
      <c r="G14" s="521"/>
      <c r="H14" s="521"/>
      <c r="J14" t="s">
        <v>41</v>
      </c>
    </row>
    <row r="15" spans="1:26" ht="18.5">
      <c r="A15" s="521" t="s">
        <v>738</v>
      </c>
      <c r="B15" s="521">
        <v>1</v>
      </c>
      <c r="C15" s="521"/>
      <c r="D15" s="521"/>
      <c r="E15" s="521"/>
      <c r="F15" s="521"/>
      <c r="G15" s="521"/>
      <c r="H15" s="521"/>
      <c r="J15" t="s">
        <v>104</v>
      </c>
    </row>
    <row r="16" spans="1:26">
      <c r="A16" s="521" t="s">
        <v>731</v>
      </c>
      <c r="B16" s="521">
        <v>35.314666711511585</v>
      </c>
      <c r="C16" s="521"/>
      <c r="D16" s="521"/>
      <c r="E16" s="521"/>
      <c r="F16" s="521"/>
      <c r="G16" s="521"/>
      <c r="H16" s="521"/>
      <c r="J16" t="s">
        <v>32</v>
      </c>
    </row>
    <row r="17" spans="1:10">
      <c r="A17" s="522" t="s">
        <v>718</v>
      </c>
      <c r="B17" s="522" t="s">
        <v>713</v>
      </c>
      <c r="C17" s="521"/>
      <c r="D17" s="521"/>
      <c r="E17" s="521"/>
      <c r="F17" s="521"/>
      <c r="G17" s="521"/>
      <c r="H17" s="521"/>
      <c r="J17" t="s">
        <v>107</v>
      </c>
    </row>
    <row r="18" spans="1:10">
      <c r="A18" s="521" t="s">
        <v>300</v>
      </c>
      <c r="B18" s="521">
        <v>1</v>
      </c>
      <c r="C18" s="521"/>
      <c r="D18" s="521"/>
      <c r="E18" s="521"/>
      <c r="F18" s="521"/>
      <c r="G18" s="521"/>
      <c r="H18" s="521"/>
      <c r="J18" t="s">
        <v>49</v>
      </c>
    </row>
    <row r="19" spans="1:10">
      <c r="A19" s="521" t="s">
        <v>305</v>
      </c>
      <c r="B19" s="521">
        <v>0.453592</v>
      </c>
      <c r="C19" s="521"/>
      <c r="D19" s="521"/>
      <c r="E19" s="521"/>
      <c r="F19" s="521"/>
      <c r="G19" s="521"/>
      <c r="H19" s="521"/>
      <c r="J19" t="s">
        <v>116</v>
      </c>
    </row>
    <row r="20" spans="1:10">
      <c r="A20" s="521" t="s">
        <v>719</v>
      </c>
      <c r="B20" s="521">
        <v>1000</v>
      </c>
      <c r="C20" s="521"/>
      <c r="D20" s="521"/>
      <c r="E20" s="521"/>
      <c r="F20" s="521"/>
      <c r="G20" s="521"/>
      <c r="H20" s="521"/>
      <c r="J20" t="s">
        <v>114</v>
      </c>
    </row>
    <row r="21" spans="1:10">
      <c r="A21" s="521" t="s">
        <v>720</v>
      </c>
      <c r="B21" s="521">
        <v>907.18499999999995</v>
      </c>
      <c r="C21" s="521"/>
      <c r="D21" s="521"/>
      <c r="E21" s="521"/>
      <c r="F21" s="521"/>
      <c r="G21" s="521"/>
      <c r="H21" s="521"/>
      <c r="J21" t="s">
        <v>87</v>
      </c>
    </row>
    <row r="22" spans="1:10">
      <c r="A22" s="521"/>
      <c r="B22" s="521"/>
      <c r="C22" s="521"/>
      <c r="D22" s="521"/>
      <c r="E22" s="521"/>
      <c r="F22" s="521"/>
      <c r="G22" s="521"/>
      <c r="H22" s="521"/>
      <c r="J22" t="s">
        <v>101</v>
      </c>
    </row>
    <row r="23" spans="1:10">
      <c r="A23" s="522" t="s">
        <v>348</v>
      </c>
      <c r="B23" s="521"/>
      <c r="C23" s="521"/>
      <c r="D23" s="521"/>
      <c r="E23" s="521"/>
      <c r="F23" s="521"/>
      <c r="G23" s="521"/>
      <c r="H23" s="521"/>
      <c r="J23" t="s">
        <v>118</v>
      </c>
    </row>
    <row r="24" spans="1:10">
      <c r="A24" s="521" t="s">
        <v>636</v>
      </c>
      <c r="B24" s="521"/>
      <c r="C24" s="521"/>
      <c r="D24" s="521"/>
      <c r="E24" s="521"/>
      <c r="F24" s="521"/>
      <c r="G24" s="521"/>
      <c r="H24" s="521"/>
      <c r="J24" t="s">
        <v>95</v>
      </c>
    </row>
    <row r="25" spans="1:10">
      <c r="A25" s="521" t="s">
        <v>637</v>
      </c>
      <c r="B25" s="521"/>
      <c r="C25" s="521"/>
      <c r="D25" s="521"/>
      <c r="E25" s="521"/>
      <c r="F25" s="521"/>
      <c r="G25" s="521"/>
      <c r="H25" s="521"/>
      <c r="J25" t="s">
        <v>31</v>
      </c>
    </row>
    <row r="26" spans="1:10">
      <c r="A26" s="521" t="s">
        <v>638</v>
      </c>
      <c r="B26" s="521"/>
      <c r="C26" s="521"/>
      <c r="D26" s="521"/>
      <c r="E26" s="521"/>
      <c r="F26" s="521"/>
      <c r="G26" s="521"/>
      <c r="H26" s="521"/>
      <c r="J26" t="s">
        <v>40</v>
      </c>
    </row>
    <row r="27" spans="1:10">
      <c r="A27" s="521" t="s">
        <v>254</v>
      </c>
      <c r="B27" s="521"/>
      <c r="C27" s="521"/>
      <c r="D27" s="521"/>
      <c r="E27" s="521"/>
      <c r="F27" s="521"/>
      <c r="G27" s="521"/>
      <c r="H27" s="521"/>
      <c r="J27" t="s">
        <v>48</v>
      </c>
    </row>
    <row r="28" spans="1:10">
      <c r="A28" s="521"/>
      <c r="B28" s="521"/>
      <c r="C28" s="521"/>
      <c r="D28" s="521"/>
      <c r="E28" s="521"/>
      <c r="F28" s="521"/>
      <c r="G28" s="521"/>
      <c r="H28" s="521"/>
      <c r="J28" t="s">
        <v>56</v>
      </c>
    </row>
    <row r="29" spans="1:10">
      <c r="A29" s="522" t="s">
        <v>259</v>
      </c>
      <c r="B29" s="521"/>
      <c r="C29" s="521"/>
      <c r="D29" s="521"/>
      <c r="E29" s="521"/>
      <c r="F29" s="521"/>
      <c r="G29" s="521"/>
      <c r="H29" s="521"/>
      <c r="J29" t="s">
        <v>73</v>
      </c>
    </row>
    <row r="30" spans="1:10">
      <c r="A30" s="521" t="s">
        <v>703</v>
      </c>
      <c r="B30" s="521"/>
      <c r="C30" s="521"/>
      <c r="D30" s="521"/>
      <c r="E30" s="521"/>
      <c r="F30" s="521"/>
      <c r="G30" s="521"/>
      <c r="H30" s="521"/>
      <c r="J30" t="s">
        <v>62</v>
      </c>
    </row>
    <row r="31" spans="1:10">
      <c r="A31" s="521" t="s">
        <v>721</v>
      </c>
      <c r="B31" s="521"/>
      <c r="C31" s="521"/>
      <c r="D31" s="521"/>
      <c r="E31" s="521"/>
      <c r="F31" s="521"/>
      <c r="G31" s="521"/>
      <c r="H31" s="521"/>
      <c r="J31" t="s">
        <v>68</v>
      </c>
    </row>
    <row r="32" spans="1:10">
      <c r="A32" s="521" t="s">
        <v>260</v>
      </c>
      <c r="B32" s="521"/>
      <c r="C32" s="521"/>
      <c r="D32" s="521"/>
      <c r="E32" s="521"/>
      <c r="F32" s="521"/>
      <c r="G32" s="521"/>
      <c r="H32" s="521"/>
      <c r="J32" t="s">
        <v>121</v>
      </c>
    </row>
    <row r="33" spans="1:10">
      <c r="A33" s="521"/>
      <c r="B33" s="521"/>
      <c r="C33" s="521"/>
      <c r="D33" s="521"/>
      <c r="E33" s="521"/>
      <c r="F33" s="521"/>
      <c r="G33" s="521"/>
      <c r="H33" s="521"/>
      <c r="J33" t="s">
        <v>82</v>
      </c>
    </row>
    <row r="34" spans="1:10">
      <c r="A34" s="522" t="s">
        <v>735</v>
      </c>
      <c r="B34" s="524"/>
      <c r="C34" s="521"/>
      <c r="D34" s="521"/>
      <c r="E34" s="521"/>
      <c r="F34" s="521"/>
      <c r="G34" s="521"/>
      <c r="H34" s="521"/>
      <c r="J34" t="s">
        <v>86</v>
      </c>
    </row>
    <row r="35" spans="1:10">
      <c r="A35" s="521" t="s">
        <v>736</v>
      </c>
      <c r="B35" s="523">
        <f>ROUND(IF('4-Emissions Inputs'!C14="Fahrenheit",('4-Emissions Inputs'!B14-32)/1.8,'4-Emissions Inputs'!B14),0)</f>
        <v>20</v>
      </c>
      <c r="C35" s="521"/>
      <c r="D35" s="521"/>
      <c r="E35" s="521"/>
      <c r="F35" s="521"/>
      <c r="G35" s="521"/>
      <c r="H35" s="521"/>
      <c r="J35" t="s">
        <v>100</v>
      </c>
    </row>
    <row r="36" spans="1:10">
      <c r="A36" s="521"/>
      <c r="B36" s="521"/>
      <c r="C36" s="521"/>
      <c r="D36" s="521"/>
      <c r="E36" s="521"/>
      <c r="F36" s="521"/>
      <c r="G36" s="521"/>
      <c r="H36" s="521"/>
      <c r="J36" t="s">
        <v>405</v>
      </c>
    </row>
    <row r="37" spans="1:10">
      <c r="A37" s="521"/>
      <c r="B37" s="521"/>
      <c r="C37" s="521"/>
      <c r="D37" s="521"/>
      <c r="E37" s="521"/>
      <c r="F37" s="521"/>
      <c r="G37" s="521"/>
      <c r="H37" s="521"/>
      <c r="J37" t="s">
        <v>103</v>
      </c>
    </row>
    <row r="38" spans="1:10">
      <c r="A38" s="521"/>
      <c r="B38" s="521"/>
      <c r="C38" s="521"/>
      <c r="D38" s="521"/>
      <c r="E38" s="521"/>
      <c r="F38" s="521"/>
      <c r="G38" s="521"/>
      <c r="H38" s="521"/>
      <c r="J38" t="s">
        <v>111</v>
      </c>
    </row>
    <row r="39" spans="1:10">
      <c r="A39" s="521"/>
      <c r="B39" s="521"/>
      <c r="C39" s="521"/>
      <c r="D39" s="521"/>
      <c r="E39" s="521"/>
      <c r="F39" s="521"/>
      <c r="G39" s="521"/>
      <c r="H39" s="521"/>
      <c r="J39" t="s">
        <v>109</v>
      </c>
    </row>
    <row r="40" spans="1:10">
      <c r="A40" s="521"/>
      <c r="B40" s="521"/>
      <c r="C40" s="521"/>
      <c r="D40" s="521"/>
      <c r="E40" s="521"/>
      <c r="F40" s="521"/>
      <c r="G40" s="521"/>
      <c r="H40" s="521"/>
      <c r="J40" t="s">
        <v>113</v>
      </c>
    </row>
    <row r="41" spans="1:10">
      <c r="A41" s="521"/>
      <c r="B41" s="521"/>
      <c r="C41" s="521"/>
      <c r="D41" s="521"/>
      <c r="E41" s="521"/>
      <c r="F41" s="521"/>
      <c r="G41" s="521"/>
      <c r="H41" s="521"/>
      <c r="J41" t="s">
        <v>120</v>
      </c>
    </row>
    <row r="42" spans="1:10">
      <c r="A42" s="521"/>
      <c r="B42" s="521"/>
      <c r="C42" s="521"/>
      <c r="D42" s="521"/>
      <c r="E42" s="521"/>
      <c r="F42" s="521"/>
      <c r="G42" s="521"/>
      <c r="H42" s="521"/>
      <c r="J42" t="s">
        <v>123</v>
      </c>
    </row>
    <row r="43" spans="1:10">
      <c r="A43" s="521"/>
      <c r="B43" s="521"/>
      <c r="C43" s="521"/>
      <c r="D43" s="521"/>
      <c r="E43" s="521"/>
      <c r="F43" s="521"/>
      <c r="G43" s="521"/>
      <c r="H43" s="521"/>
      <c r="J43" t="s">
        <v>124</v>
      </c>
    </row>
    <row r="44" spans="1:10">
      <c r="A44" s="521"/>
      <c r="B44" s="521"/>
      <c r="C44" s="521"/>
      <c r="D44" s="521"/>
      <c r="E44" s="521"/>
      <c r="F44" s="521"/>
      <c r="G44" s="521"/>
      <c r="H44" s="521"/>
      <c r="J44" t="s">
        <v>90</v>
      </c>
    </row>
    <row r="45" spans="1:10">
      <c r="A45" s="521"/>
      <c r="B45" s="521"/>
      <c r="C45" s="521"/>
      <c r="D45" s="521"/>
      <c r="E45" s="521"/>
      <c r="F45" s="521"/>
      <c r="G45" s="521"/>
      <c r="H45" s="521"/>
      <c r="J45" t="s">
        <v>417</v>
      </c>
    </row>
    <row r="46" spans="1:10">
      <c r="A46" s="521"/>
      <c r="B46" s="521"/>
      <c r="C46" s="521"/>
      <c r="D46" s="521"/>
      <c r="E46" s="521"/>
      <c r="F46" s="521"/>
      <c r="G46" s="521"/>
      <c r="H46" s="521"/>
      <c r="J46" t="s">
        <v>119</v>
      </c>
    </row>
    <row r="47" spans="1:10">
      <c r="J47" t="s">
        <v>115</v>
      </c>
    </row>
    <row r="48" spans="1:10">
      <c r="J48" t="s">
        <v>117</v>
      </c>
    </row>
    <row r="49" spans="10:10">
      <c r="J49" t="s">
        <v>125</v>
      </c>
    </row>
    <row r="50" spans="10:10">
      <c r="J50" t="s">
        <v>97</v>
      </c>
    </row>
    <row r="51" spans="10:10">
      <c r="J51" t="s">
        <v>78</v>
      </c>
    </row>
    <row r="52" spans="10:10">
      <c r="J52" t="s">
        <v>122</v>
      </c>
    </row>
    <row r="53" spans="10:10">
      <c r="J53" t="s">
        <v>37</v>
      </c>
    </row>
    <row r="54" spans="10:10">
      <c r="J54" t="s">
        <v>54</v>
      </c>
    </row>
    <row r="55" spans="10:10">
      <c r="J55" t="s">
        <v>46</v>
      </c>
    </row>
    <row r="56" spans="10:10">
      <c r="J56" t="s">
        <v>36</v>
      </c>
    </row>
    <row r="57" spans="10:10">
      <c r="J57" t="s">
        <v>61</v>
      </c>
    </row>
    <row r="58" spans="10:10">
      <c r="J58" t="s">
        <v>53</v>
      </c>
    </row>
    <row r="59" spans="10:10">
      <c r="J59" t="s">
        <v>45</v>
      </c>
    </row>
    <row r="60" spans="10:10">
      <c r="J60" t="s">
        <v>67</v>
      </c>
    </row>
    <row r="61" spans="10:10">
      <c r="J61" t="s">
        <v>108</v>
      </c>
    </row>
    <row r="62" spans="10:10">
      <c r="J62" t="s">
        <v>88</v>
      </c>
    </row>
    <row r="63" spans="10:10">
      <c r="J63" t="s">
        <v>42</v>
      </c>
    </row>
    <row r="64" spans="10:10">
      <c r="J64" t="s">
        <v>92</v>
      </c>
    </row>
    <row r="65" spans="10:10">
      <c r="J65" t="s">
        <v>84</v>
      </c>
    </row>
    <row r="66" spans="10:10">
      <c r="J66" t="s">
        <v>80</v>
      </c>
    </row>
    <row r="67" spans="10:10">
      <c r="J67" t="s">
        <v>64</v>
      </c>
    </row>
    <row r="68" spans="10:10">
      <c r="J68" t="s">
        <v>96</v>
      </c>
    </row>
    <row r="69" spans="10:10">
      <c r="J69" t="s">
        <v>99</v>
      </c>
    </row>
    <row r="70" spans="10:10">
      <c r="J70" t="s">
        <v>75</v>
      </c>
    </row>
    <row r="71" spans="10:10">
      <c r="J71" t="s">
        <v>70</v>
      </c>
    </row>
    <row r="72" spans="10:10">
      <c r="J72" t="s">
        <v>105</v>
      </c>
    </row>
    <row r="73" spans="10:10">
      <c r="J73" t="s">
        <v>33</v>
      </c>
    </row>
    <row r="74" spans="10:10">
      <c r="J74" t="s">
        <v>102</v>
      </c>
    </row>
    <row r="75" spans="10:10">
      <c r="J75" t="s">
        <v>58</v>
      </c>
    </row>
    <row r="76" spans="10:10">
      <c r="J76" t="s">
        <v>50</v>
      </c>
    </row>
    <row r="77" spans="10:10">
      <c r="J77" t="s">
        <v>76</v>
      </c>
    </row>
    <row r="78" spans="10:10">
      <c r="J78" t="s">
        <v>71</v>
      </c>
    </row>
    <row r="79" spans="10:10">
      <c r="J79" t="s">
        <v>43</v>
      </c>
    </row>
    <row r="80" spans="10:10">
      <c r="J80" t="s">
        <v>51</v>
      </c>
    </row>
    <row r="81" spans="10:10">
      <c r="J81" t="s">
        <v>446</v>
      </c>
    </row>
    <row r="82" spans="10:10">
      <c r="J82" t="s">
        <v>59</v>
      </c>
    </row>
    <row r="83" spans="10:10">
      <c r="J83" t="s">
        <v>34</v>
      </c>
    </row>
    <row r="84" spans="10:10">
      <c r="J84" t="s">
        <v>450</v>
      </c>
    </row>
    <row r="85" spans="10:10">
      <c r="J85" t="s">
        <v>453</v>
      </c>
    </row>
    <row r="86" spans="10:10">
      <c r="J86" t="s">
        <v>456</v>
      </c>
    </row>
    <row r="87" spans="10:10">
      <c r="J87" t="s">
        <v>457</v>
      </c>
    </row>
    <row r="88" spans="10:10">
      <c r="J88" t="s">
        <v>55</v>
      </c>
    </row>
    <row r="89" spans="10:10">
      <c r="J89" t="s">
        <v>38</v>
      </c>
    </row>
    <row r="90" spans="10:10">
      <c r="J90" t="s">
        <v>47</v>
      </c>
    </row>
    <row r="91" spans="10:10">
      <c r="J91" t="s">
        <v>463</v>
      </c>
    </row>
    <row r="92" spans="10:10">
      <c r="J92" t="s">
        <v>85</v>
      </c>
    </row>
    <row r="93" spans="10:10">
      <c r="J93" t="s">
        <v>89</v>
      </c>
    </row>
    <row r="94" spans="10:10">
      <c r="J94" t="s">
        <v>81</v>
      </c>
    </row>
    <row r="95" spans="10:10">
      <c r="J95" t="s">
        <v>77</v>
      </c>
    </row>
    <row r="96" spans="10:10">
      <c r="J96" t="s">
        <v>93</v>
      </c>
    </row>
    <row r="97" spans="10:10">
      <c r="J97" t="s">
        <v>60</v>
      </c>
    </row>
    <row r="98" spans="10:10">
      <c r="J98" t="s">
        <v>66</v>
      </c>
    </row>
    <row r="99" spans="10:10">
      <c r="J99" t="s">
        <v>52</v>
      </c>
    </row>
    <row r="100" spans="10:10">
      <c r="J100" t="s">
        <v>72</v>
      </c>
    </row>
    <row r="101" spans="10:10">
      <c r="J101" t="s">
        <v>44</v>
      </c>
    </row>
    <row r="102" spans="10:10">
      <c r="J102" t="s">
        <v>39</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29f62856-1543-49d4-a736-4569d363f533" ContentTypeId="0x0101" PreviousValue="false"/>
</file>

<file path=customXml/item2.xml><?xml version="1.0" encoding="utf-8"?>
<ct:contentTypeSchema xmlns:ct="http://schemas.microsoft.com/office/2006/metadata/contentType" xmlns:ma="http://schemas.microsoft.com/office/2006/metadata/properties/metaAttributes" ct:_="" ma:_="" ma:contentTypeName="Document" ma:contentTypeID="0x0101002F5B74281A7CE7429B78075E9E746D16" ma:contentTypeVersion="13" ma:contentTypeDescription="Create a new document." ma:contentTypeScope="" ma:versionID="04a028ed4f77b6b7eea6ff52df4b30ac">
  <xsd:schema xmlns:xsd="http://www.w3.org/2001/XMLSchema" xmlns:xs="http://www.w3.org/2001/XMLSchema" xmlns:p="http://schemas.microsoft.com/office/2006/metadata/properties" xmlns:ns1="http://schemas.microsoft.com/sharepoint/v3" xmlns:ns2="4ffa91fb-a0ff-4ac5-b2db-65c790d184a4" xmlns:ns3="http://schemas.microsoft.com/sharepoint.v3" xmlns:ns4="http://schemas.microsoft.com/sharepoint/v3/fields" xmlns:ns5="a260071a-d966-4c0e-9d5d-078c3dd9e145" xmlns:ns6="b39f5709-1a81-4a8f-9e4f-78efd8cb472e" targetNamespace="http://schemas.microsoft.com/office/2006/metadata/properties" ma:root="true" ma:fieldsID="7772262d57002cfead2372363734b7fd" ns1:_="" ns2:_="" ns3:_="" ns4:_="" ns5:_="" ns6:_="">
    <xsd:import namespace="http://schemas.microsoft.com/sharepoint/v3"/>
    <xsd:import namespace="4ffa91fb-a0ff-4ac5-b2db-65c790d184a4"/>
    <xsd:import namespace="http://schemas.microsoft.com/sharepoint.v3"/>
    <xsd:import namespace="http://schemas.microsoft.com/sharepoint/v3/fields"/>
    <xsd:import namespace="a260071a-d966-4c0e-9d5d-078c3dd9e145"/>
    <xsd:import namespace="b39f5709-1a81-4a8f-9e4f-78efd8cb472e"/>
    <xsd:element name="properties">
      <xsd:complexType>
        <xsd:sequence>
          <xsd:element name="documentManagement">
            <xsd:complexType>
              <xsd:all>
                <xsd:element ref="ns2:Document_x0020_Creation_x0020_Date" minOccurs="0"/>
                <xsd:element ref="ns2:Creator" minOccurs="0"/>
                <xsd:element ref="ns2:EPA_x0020_Office" minOccurs="0"/>
                <xsd:element ref="ns2:Record" minOccurs="0"/>
                <xsd:element ref="ns3:CategoryDescription" minOccurs="0"/>
                <xsd:element ref="ns2:Identifier" minOccurs="0"/>
                <xsd:element ref="ns2:EPA_x0020_Contributor" minOccurs="0"/>
                <xsd:element ref="ns2:External_x0020_Contributor" minOccurs="0"/>
                <xsd:element ref="ns4:_Coverage" minOccurs="0"/>
                <xsd:element ref="ns2:EPA_x0020_Related_x0020_Documents" minOccurs="0"/>
                <xsd:element ref="ns4:_Source" minOccurs="0"/>
                <xsd:element ref="ns2:Rights" minOccurs="0"/>
                <xsd:element ref="ns1:Language" minOccurs="0"/>
                <xsd:element ref="ns2:j747ac98061d40f0aa7bd47e1db5675d" minOccurs="0"/>
                <xsd:element ref="ns2:TaxKeywordTaxHTField" minOccurs="0"/>
                <xsd:element ref="ns2:TaxCatchAllLabel" minOccurs="0"/>
                <xsd:element ref="ns2:TaxCatchAll" minOccurs="0"/>
                <xsd:element ref="ns5:MediaServiceMetadata" minOccurs="0"/>
                <xsd:element ref="ns5:MediaServiceFastMetadata" minOccurs="0"/>
                <xsd:element ref="ns5:MediaServiceAutoKeyPoints" minOccurs="0"/>
                <xsd:element ref="ns5:MediaServiceKeyPoints" minOccurs="0"/>
                <xsd:element ref="ns6:SharedWithUsers" minOccurs="0"/>
                <xsd:element ref="ns6:SharedWithDetails" minOccurs="0"/>
                <xsd:element ref="ns5:MediaServiceDateTaken" minOccurs="0"/>
                <xsd:element ref="ns5:MediaServiceAutoTags" minOccurs="0"/>
                <xsd:element ref="ns5:MediaServiceGenerationTime" minOccurs="0"/>
                <xsd:element ref="ns5:MediaServiceEventHashCode" minOccurs="0"/>
                <xsd:element ref="ns5:MediaServiceLocation" minOccurs="0"/>
                <xsd:element ref="ns5:MediaServiceOCR" minOccurs="0"/>
                <xsd:element ref="ns5: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Language" ma:index="17" nillable="true" ma:displayName="Language" ma:default="English" ma:description="Select the document language from the drop down." ma:format="Dropdown" ma:internalName="Language" ma:readOnly="false">
      <xsd:simpleType>
        <xsd:restriction base="dms:Choice">
          <xsd:enumeration value="Arabic (Saudi Arabia)"/>
          <xsd:enumeration value="Bulgarian (Bulgaria)"/>
          <xsd:enumeration value="Chinese (Hong Kong S.A.R.)"/>
          <xsd:enumeration value="Chinese (People's Republic of China)"/>
          <xsd:enumeration value="Chinese (Taiwan)"/>
          <xsd:enumeration value="Croatian (Croatia)"/>
          <xsd:enumeration value="Czech (Czech Republic)"/>
          <xsd:enumeration value="Danish (Denmark)"/>
          <xsd:enumeration value="Dutch (Netherlands)"/>
          <xsd:enumeration value="English"/>
          <xsd:enumeration value="Estonian (Estonia)"/>
          <xsd:enumeration value="Finnish (Finland)"/>
          <xsd:enumeration value="French (France)"/>
          <xsd:enumeration value="German (Germany)"/>
          <xsd:enumeration value="Greek (Greece)"/>
          <xsd:enumeration value="Hebrew (Israel)"/>
          <xsd:enumeration value="Hindi (India)"/>
          <xsd:enumeration value="Hungarian (Hungary)"/>
          <xsd:enumeration value="Indonesian (Indonesia)"/>
          <xsd:enumeration value="Italian (Italy)"/>
          <xsd:enumeration value="Japanese (Japan)"/>
          <xsd:enumeration value="Korean (Korea)"/>
          <xsd:enumeration value="Latvian (Latvia)"/>
          <xsd:enumeration value="Lithuanian (Lithuania)"/>
          <xsd:enumeration value="Malay (Malaysia)"/>
          <xsd:enumeration value="Norwegian (Bokmal) (Norway)"/>
          <xsd:enumeration value="Polish (Poland)"/>
          <xsd:enumeration value="Portuguese (Brazil)"/>
          <xsd:enumeration value="Portuguese (Portugal)"/>
          <xsd:enumeration value="Romanian (Romania)"/>
          <xsd:enumeration value="Russian (Russia)"/>
          <xsd:enumeration value="Serbian (Latin) (Serbia)"/>
          <xsd:enumeration value="Slovak (Slovakia)"/>
          <xsd:enumeration value="Slovenian (Slovenia)"/>
          <xsd:enumeration value="Spanish (Spain)"/>
          <xsd:enumeration value="Swedish (Sweden)"/>
          <xsd:enumeration value="Thai (Thailand)"/>
          <xsd:enumeration value="Turkish (Turkey)"/>
          <xsd:enumeration value="Ukrainian (Ukraine)"/>
          <xsd:enumeration value="Urdu (Islamic Republic of Pakistan)"/>
          <xsd:enumeration value="Vietnamese (Vietnam)"/>
        </xsd:restriction>
      </xsd:simpleType>
    </xsd:element>
  </xsd:schema>
  <xsd:schema xmlns:xsd="http://www.w3.org/2001/XMLSchema" xmlns:xs="http://www.w3.org/2001/XMLSchema" xmlns:dms="http://schemas.microsoft.com/office/2006/documentManagement/types" xmlns:pc="http://schemas.microsoft.com/office/infopath/2007/PartnerControls" targetNamespace="4ffa91fb-a0ff-4ac5-b2db-65c790d184a4" elementFormDefault="qualified">
    <xsd:import namespace="http://schemas.microsoft.com/office/2006/documentManagement/types"/>
    <xsd:import namespace="http://schemas.microsoft.com/office/infopath/2007/PartnerControls"/>
    <xsd:element name="Document_x0020_Creation_x0020_Date" ma:index="2" nillable="true" ma:displayName="Document Date" ma:default="[today]" ma:description="Enter the date this document was last modified. The upload date has been entered by default." ma:format="DateOnly" ma:internalName="Document_x0020_Creation_x0020_Date" ma:readOnly="false">
      <xsd:simpleType>
        <xsd:restriction base="dms:DateTime"/>
      </xsd:simpleType>
    </xsd:element>
    <xsd:element name="Creator" ma:index="3" nillable="true" ma:displayName="Creator" ma:description="Enter the person primarily responsible for the document. The name of the person uploading the document has been entered by default." ma:list="UserInfo" ma:SharePointGroup="0" ma:internalName="Creato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PA_x0020_Office" ma:index="4" nillable="true" ma:displayName="EPA Office" ma:description="Enter the EPA organization primarily responsible for the document. The office of the person uploading the document has been entered by default." ma:internalName="EPA_x0020_Office" ma:readOnly="false">
      <xsd:simpleType>
        <xsd:restriction base="dms:Text">
          <xsd:maxLength value="255"/>
        </xsd:restriction>
      </xsd:simpleType>
    </xsd:element>
    <xsd:element name="Record" ma:index="5" nillable="true" ma:displayName="Record" ma:default="Shared" ma:description="For documents that provide evidence of EPA decisions and actions, select &quot;Shared&quot; (open access) or &quot;Private&quot; (restricted access)." ma:format="Dropdown" ma:internalName="Record">
      <xsd:simpleType>
        <xsd:restriction base="dms:Choice">
          <xsd:enumeration value="None"/>
          <xsd:enumeration value="Shared"/>
          <xsd:enumeration value="Private"/>
        </xsd:restriction>
      </xsd:simpleType>
    </xsd:element>
    <xsd:element name="Identifier" ma:index="9" nillable="true" ma:displayName="Identifier" ma:description="Enter all EPA identification numbers applicable to this document, one on each line." ma:internalName="Identifier" ma:readOnly="false">
      <xsd:simpleType>
        <xsd:restriction base="dms:Note">
          <xsd:maxLength value="255"/>
        </xsd:restriction>
      </xsd:simpleType>
    </xsd:element>
    <xsd:element name="EPA_x0020_Contributor" ma:index="11" nillable="true" ma:displayName="EPA Contributor" ma:description="Enter an EPA person who contributed to the creation of the document but is not the primary author." ma:list="UserInfo" ma:SharePointGroup="0" ma:internalName="EPA_x0020_Contributo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xternal_x0020_Contributor" ma:index="12" nillable="true" ma:displayName="External Contributor" ma:description="Enter a non-EPA person who contributed to the creation of the document but is not the primary author." ma:internalName="External_x0020_Contributor" ma:readOnly="false">
      <xsd:simpleType>
        <xsd:restriction base="dms:Note">
          <xsd:maxLength value="255"/>
        </xsd:restriction>
      </xsd:simpleType>
    </xsd:element>
    <xsd:element name="EPA_x0020_Related_x0020_Documents" ma:index="14" nillable="true" ma:displayName="Other Related Documents" ma:description="Enter any related document." ma:internalName="EPA_x0020_Related_x0020_Documents" ma:readOnly="false">
      <xsd:simpleType>
        <xsd:restriction base="dms:Note">
          <xsd:maxLength value="255"/>
        </xsd:restriction>
      </xsd:simpleType>
    </xsd:element>
    <xsd:element name="Rights" ma:index="16" nillable="true" ma:displayName="Rights" ma:description="Enter information about intellectual property rights held over the document (e.g. copyright, patent, trademark)." ma:internalName="Rights" ma:readOnly="false">
      <xsd:simpleType>
        <xsd:restriction base="dms:Note">
          <xsd:maxLength value="255"/>
        </xsd:restriction>
      </xsd:simpleType>
    </xsd:element>
    <xsd:element name="j747ac98061d40f0aa7bd47e1db5675d" ma:index="19" nillable="true" ma:taxonomy="true" ma:internalName="j747ac98061d40f0aa7bd47e1db5675d" ma:taxonomyFieldName="Document_x0020_Type" ma:displayName="Document Type" ma:readOnly="false" ma:default="" ma:fieldId="{3747ac98-061d-40f0-aa7b-d47e1db5675d}" ma:sspId="29f62856-1543-49d4-a736-4569d363f533" ma:termSetId="e06cd6a9-a175-4da0-81cb-8dba7aa394ab" ma:anchorId="00000000-0000-0000-0000-000000000000" ma:open="false" ma:isKeyword="false">
      <xsd:complexType>
        <xsd:sequence>
          <xsd:element ref="pc:Terms" minOccurs="0" maxOccurs="1"/>
        </xsd:sequence>
      </xsd:complexType>
    </xsd:element>
    <xsd:element name="TaxKeywordTaxHTField" ma:index="21" nillable="true" ma:taxonomy="true" ma:internalName="TaxKeywordTaxHTField" ma:taxonomyFieldName="TaxKeyword" ma:displayName="Enterprise Keywords" ma:readOnly="false" ma:fieldId="{23f27201-bee3-471e-b2e7-b64fd8b7ca38}" ma:taxonomyMulti="true" ma:sspId="29f62856-1543-49d4-a736-4569d363f533" ma:termSetId="00000000-0000-0000-0000-000000000000" ma:anchorId="00000000-0000-0000-0000-000000000000" ma:open="true" ma:isKeyword="true">
      <xsd:complexType>
        <xsd:sequence>
          <xsd:element ref="pc:Terms" minOccurs="0" maxOccurs="1"/>
        </xsd:sequence>
      </xsd:complexType>
    </xsd:element>
    <xsd:element name="TaxCatchAllLabel" ma:index="23" nillable="true" ma:displayName="Taxonomy Catch All Column1" ma:hidden="true" ma:list="{09757562-274f-4c3d-9fe9-dfbf5c77a745}" ma:internalName="TaxCatchAllLabel" ma:readOnly="true" ma:showField="CatchAllDataLabel" ma:web="b39f5709-1a81-4a8f-9e4f-78efd8cb472e">
      <xsd:complexType>
        <xsd:complexContent>
          <xsd:extension base="dms:MultiChoiceLookup">
            <xsd:sequence>
              <xsd:element name="Value" type="dms:Lookup" maxOccurs="unbounded" minOccurs="0" nillable="true"/>
            </xsd:sequence>
          </xsd:extension>
        </xsd:complexContent>
      </xsd:complexType>
    </xsd:element>
    <xsd:element name="TaxCatchAll" ma:index="24" nillable="true" ma:displayName="Taxonomy Catch All Column" ma:hidden="true" ma:list="{09757562-274f-4c3d-9fe9-dfbf5c77a745}" ma:internalName="TaxCatchAll" ma:showField="CatchAllData" ma:web="b39f5709-1a81-4a8f-9e4f-78efd8cb472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CategoryDescription" ma:index="6" nillable="true" ma:displayName="Description" ma:description="Enter a brief description." ma:internalName="CategoryDescription" ma:readOnly="fals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Coverage" ma:index="13" nillable="true" ma:displayName="Coverage" ma:description="Enter the geographic location, jurisdiction, or time period for which the document is relevant." ma:internalName="_Coverage" ma:readOnly="false">
      <xsd:simpleType>
        <xsd:restriction base="dms:Text">
          <xsd:maxLength value="255"/>
        </xsd:restriction>
      </xsd:simpleType>
    </xsd:element>
    <xsd:element name="_Source" ma:index="15" nillable="true" ma:displayName="Source" ma:description="Enter a source from which the document is derived." ma:internalName="_Source" ma:readOnly="fals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260071a-d966-4c0e-9d5d-078c3dd9e145" elementFormDefault="qualified">
    <xsd:import namespace="http://schemas.microsoft.com/office/2006/documentManagement/types"/>
    <xsd:import namespace="http://schemas.microsoft.com/office/infopath/2007/PartnerControls"/>
    <xsd:element name="MediaServiceMetadata" ma:index="28" nillable="true" ma:displayName="MediaServiceMetadata" ma:hidden="true" ma:internalName="MediaServiceMetadata" ma:readOnly="true">
      <xsd:simpleType>
        <xsd:restriction base="dms:Note"/>
      </xsd:simpleType>
    </xsd:element>
    <xsd:element name="MediaServiceFastMetadata" ma:index="29" nillable="true" ma:displayName="MediaServiceFastMetadata" ma:hidden="true" ma:internalName="MediaServiceFastMetadata" ma:readOnly="true">
      <xsd:simpleType>
        <xsd:restriction base="dms:Note"/>
      </xsd:simpleType>
    </xsd:element>
    <xsd:element name="MediaServiceAutoKeyPoints" ma:index="30" nillable="true" ma:displayName="MediaServiceAutoKeyPoints" ma:hidden="true" ma:internalName="MediaServiceAutoKeyPoints" ma:readOnly="true">
      <xsd:simpleType>
        <xsd:restriction base="dms:Note"/>
      </xsd:simpleType>
    </xsd:element>
    <xsd:element name="MediaServiceKeyPoints" ma:index="31" nillable="true" ma:displayName="KeyPoints" ma:internalName="MediaServiceKeyPoints" ma:readOnly="true">
      <xsd:simpleType>
        <xsd:restriction base="dms:Note">
          <xsd:maxLength value="255"/>
        </xsd:restriction>
      </xsd:simpleType>
    </xsd:element>
    <xsd:element name="MediaServiceDateTaken" ma:index="34" nillable="true" ma:displayName="MediaServiceDateTaken" ma:hidden="true" ma:internalName="MediaServiceDateTaken" ma:readOnly="true">
      <xsd:simpleType>
        <xsd:restriction base="dms:Text"/>
      </xsd:simpleType>
    </xsd:element>
    <xsd:element name="MediaServiceAutoTags" ma:index="35" nillable="true" ma:displayName="Tags" ma:internalName="MediaServiceAutoTags" ma:readOnly="true">
      <xsd:simpleType>
        <xsd:restriction base="dms:Text"/>
      </xsd:simpleType>
    </xsd:element>
    <xsd:element name="MediaServiceGenerationTime" ma:index="36" nillable="true" ma:displayName="MediaServiceGenerationTime" ma:hidden="true" ma:internalName="MediaServiceGenerationTime" ma:readOnly="true">
      <xsd:simpleType>
        <xsd:restriction base="dms:Text"/>
      </xsd:simpleType>
    </xsd:element>
    <xsd:element name="MediaServiceEventHashCode" ma:index="37" nillable="true" ma:displayName="MediaServiceEventHashCode" ma:hidden="true" ma:internalName="MediaServiceEventHashCode" ma:readOnly="true">
      <xsd:simpleType>
        <xsd:restriction base="dms:Text"/>
      </xsd:simpleType>
    </xsd:element>
    <xsd:element name="MediaServiceLocation" ma:index="38" nillable="true" ma:displayName="Location" ma:internalName="MediaServiceLocation" ma:readOnly="true">
      <xsd:simpleType>
        <xsd:restriction base="dms:Text"/>
      </xsd:simpleType>
    </xsd:element>
    <xsd:element name="MediaServiceOCR" ma:index="39" nillable="true" ma:displayName="Extracted Text" ma:internalName="MediaServiceOCR" ma:readOnly="true">
      <xsd:simpleType>
        <xsd:restriction base="dms:Note">
          <xsd:maxLength value="255"/>
        </xsd:restriction>
      </xsd:simpleType>
    </xsd:element>
    <xsd:element name="MediaLengthInSeconds" ma:index="4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39f5709-1a81-4a8f-9e4f-78efd8cb472e" elementFormDefault="qualified">
    <xsd:import namespace="http://schemas.microsoft.com/office/2006/documentManagement/types"/>
    <xsd:import namespace="http://schemas.microsoft.com/office/infopath/2007/PartnerControls"/>
    <xsd:element name="SharedWithUsers" ma:index="3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5"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Source xmlns="http://schemas.microsoft.com/sharepoint/v3/fields" xsi:nil="true"/>
    <Language xmlns="http://schemas.microsoft.com/sharepoint/v3">English</Language>
    <j747ac98061d40f0aa7bd47e1db5675d xmlns="4ffa91fb-a0ff-4ac5-b2db-65c790d184a4">
      <Terms xmlns="http://schemas.microsoft.com/office/infopath/2007/PartnerControls"/>
    </j747ac98061d40f0aa7bd47e1db5675d>
    <External_x0020_Contributor xmlns="4ffa91fb-a0ff-4ac5-b2db-65c790d184a4" xsi:nil="true"/>
    <TaxKeywordTaxHTField xmlns="4ffa91fb-a0ff-4ac5-b2db-65c790d184a4">
      <Terms xmlns="http://schemas.microsoft.com/office/infopath/2007/PartnerControls"/>
    </TaxKeywordTaxHTField>
    <Record xmlns="4ffa91fb-a0ff-4ac5-b2db-65c790d184a4">Shared</Record>
    <Rights xmlns="4ffa91fb-a0ff-4ac5-b2db-65c790d184a4" xsi:nil="true"/>
    <Document_x0020_Creation_x0020_Date xmlns="4ffa91fb-a0ff-4ac5-b2db-65c790d184a4">2021-08-23T20:30:21+00:00</Document_x0020_Creation_x0020_Date>
    <EPA_x0020_Office xmlns="4ffa91fb-a0ff-4ac5-b2db-65c790d184a4" xsi:nil="true"/>
    <CategoryDescription xmlns="http://schemas.microsoft.com/sharepoint.v3" xsi:nil="true"/>
    <Identifier xmlns="4ffa91fb-a0ff-4ac5-b2db-65c790d184a4" xsi:nil="true"/>
    <_Coverage xmlns="http://schemas.microsoft.com/sharepoint/v3/fields" xsi:nil="true"/>
    <Creator xmlns="4ffa91fb-a0ff-4ac5-b2db-65c790d184a4">
      <UserInfo>
        <DisplayName/>
        <AccountId xsi:nil="true"/>
        <AccountType/>
      </UserInfo>
    </Creator>
    <EPA_x0020_Related_x0020_Documents xmlns="4ffa91fb-a0ff-4ac5-b2db-65c790d184a4" xsi:nil="true"/>
    <EPA_x0020_Contributor xmlns="4ffa91fb-a0ff-4ac5-b2db-65c790d184a4">
      <UserInfo>
        <DisplayName/>
        <AccountId xsi:nil="true"/>
        <AccountType/>
      </UserInfo>
    </EPA_x0020_Contributor>
    <TaxCatchAll xmlns="4ffa91fb-a0ff-4ac5-b2db-65c790d184a4"/>
    <SharedWithUsers xmlns="b39f5709-1a81-4a8f-9e4f-78efd8cb472e">
      <UserInfo>
        <DisplayName>Cathy McGirl</DisplayName>
        <AccountId>61</AccountId>
        <AccountType/>
      </UserInfo>
      <UserInfo>
        <DisplayName>Chris Bachman</DisplayName>
        <AccountId>174</AccountId>
        <AccountType/>
      </UserInfo>
      <UserInfo>
        <DisplayName>Harrower, Dougie</DisplayName>
        <AccountId>152</AccountId>
        <AccountType/>
      </UserInfo>
      <UserInfo>
        <DisplayName>Eichelman, Emma</DisplayName>
        <AccountId>168</AccountId>
        <AccountType/>
      </UserInfo>
      <UserInfo>
        <DisplayName>Shimamura, Monica</DisplayName>
        <AccountId>18</AccountId>
        <AccountType/>
      </UserInfo>
      <UserInfo>
        <DisplayName>David Cooley</DisplayName>
        <AccountId>142</AccountId>
        <AccountType/>
      </UserInfo>
    </SharedWithUsers>
  </documentManagement>
</p:properties>
</file>

<file path=customXml/itemProps1.xml><?xml version="1.0" encoding="utf-8"?>
<ds:datastoreItem xmlns:ds="http://schemas.openxmlformats.org/officeDocument/2006/customXml" ds:itemID="{83EF840A-52DE-423E-A8D9-A5A28F050AA1}">
  <ds:schemaRefs>
    <ds:schemaRef ds:uri="Microsoft.SharePoint.Taxonomy.ContentTypeSync"/>
  </ds:schemaRefs>
</ds:datastoreItem>
</file>

<file path=customXml/itemProps2.xml><?xml version="1.0" encoding="utf-8"?>
<ds:datastoreItem xmlns:ds="http://schemas.openxmlformats.org/officeDocument/2006/customXml" ds:itemID="{11F15161-DD24-421C-B695-33E853A362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ffa91fb-a0ff-4ac5-b2db-65c790d184a4"/>
    <ds:schemaRef ds:uri="http://schemas.microsoft.com/sharepoint.v3"/>
    <ds:schemaRef ds:uri="http://schemas.microsoft.com/sharepoint/v3/fields"/>
    <ds:schemaRef ds:uri="a260071a-d966-4c0e-9d5d-078c3dd9e145"/>
    <ds:schemaRef ds:uri="b39f5709-1a81-4a8f-9e4f-78efd8cb472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F232045-224B-48A0-9AB3-C998A47C01A7}">
  <ds:schemaRefs>
    <ds:schemaRef ds:uri="http://schemas.microsoft.com/sharepoint/v3/contenttype/forms"/>
  </ds:schemaRefs>
</ds:datastoreItem>
</file>

<file path=customXml/itemProps4.xml><?xml version="1.0" encoding="utf-8"?>
<ds:datastoreItem xmlns:ds="http://schemas.openxmlformats.org/officeDocument/2006/customXml" ds:itemID="{4F58D5A4-06F9-4182-8190-C025E649B59F}">
  <ds:schemaRefs>
    <ds:schemaRef ds:uri="4ffa91fb-a0ff-4ac5-b2db-65c790d184a4"/>
    <ds:schemaRef ds:uri="http://purl.org/dc/elements/1.1/"/>
    <ds:schemaRef ds:uri="http://schemas.microsoft.com/office/2006/documentManagement/types"/>
    <ds:schemaRef ds:uri="http://schemas.microsoft.com/office/infopath/2007/PartnerControls"/>
    <ds:schemaRef ds:uri="http://schemas.microsoft.com/sharepoint/v3/fields"/>
    <ds:schemaRef ds:uri="http://schemas.microsoft.com/office/2006/metadata/properties"/>
    <ds:schemaRef ds:uri="http://schemas.microsoft.com/sharepoint/v3"/>
    <ds:schemaRef ds:uri="http://purl.org/dc/dcmitype/"/>
    <ds:schemaRef ds:uri="http://schemas.openxmlformats.org/package/2006/metadata/core-properties"/>
    <ds:schemaRef ds:uri="a260071a-d966-4c0e-9d5d-078c3dd9e145"/>
    <ds:schemaRef ds:uri="b39f5709-1a81-4a8f-9e4f-78efd8cb472e"/>
    <ds:schemaRef ds:uri="http://schemas.microsoft.com/sharepoint.v3"/>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52</vt:i4>
      </vt:variant>
    </vt:vector>
  </HeadingPairs>
  <TitlesOfParts>
    <vt:vector size="79" baseType="lpstr">
      <vt:lpstr>Cover</vt:lpstr>
      <vt:lpstr>AD ST History</vt:lpstr>
      <vt:lpstr>Contents</vt:lpstr>
      <vt:lpstr>1-Introduction</vt:lpstr>
      <vt:lpstr>2-Instructions</vt:lpstr>
      <vt:lpstr>Default Feedstock Inputs List</vt:lpstr>
      <vt:lpstr>3-Digester Inputs</vt:lpstr>
      <vt:lpstr>4-Emissions Inputs</vt:lpstr>
      <vt:lpstr>5-Annual Summary</vt:lpstr>
      <vt:lpstr>6-Biogas Production</vt:lpstr>
      <vt:lpstr>7-Digestate Production</vt:lpstr>
      <vt:lpstr>8-Emission Reductions</vt:lpstr>
      <vt:lpstr>9-Feedstock Characteristics</vt:lpstr>
      <vt:lpstr>10-Feedstock Toxicity Info</vt:lpstr>
      <vt:lpstr>11-Calibration Factors</vt:lpstr>
      <vt:lpstr>12-OrganEcs Input Sheet</vt:lpstr>
      <vt:lpstr>13-MCF</vt:lpstr>
      <vt:lpstr>14-References</vt:lpstr>
      <vt:lpstr>15-Help</vt:lpstr>
      <vt:lpstr>16-Methodology</vt:lpstr>
      <vt:lpstr>17-Manure Related Reductions</vt:lpstr>
      <vt:lpstr>18-Other Wastes Reductions</vt:lpstr>
      <vt:lpstr>19-Storage</vt:lpstr>
      <vt:lpstr>20-Methane Gen. &amp; Utilization</vt:lpstr>
      <vt:lpstr>21-Electricity Use</vt:lpstr>
      <vt:lpstr>22-Flaring &amp; Leakage</vt:lpstr>
      <vt:lpstr>23-Look up values</vt:lpstr>
      <vt:lpstr>AnalysisCombustionEffValue</vt:lpstr>
      <vt:lpstr>Annual_Avg_Biogas_Production</vt:lpstr>
      <vt:lpstr>Assumed_Biogas_Density</vt:lpstr>
      <vt:lpstr>Assumed_Fraction_of_Methane_Leakage</vt:lpstr>
      <vt:lpstr>Average_Days_Waste_Stored</vt:lpstr>
      <vt:lpstr>AvgTemp</vt:lpstr>
      <vt:lpstr>Black_Carbon_GWP</vt:lpstr>
      <vt:lpstr>CH4_Emissions_from_Consumption</vt:lpstr>
      <vt:lpstr>Chosen_Reactor_Volume</vt:lpstr>
      <vt:lpstr>Combustion_Process_Efficiency</vt:lpstr>
      <vt:lpstr>Continuous_monitoring</vt:lpstr>
      <vt:lpstr>ConversionFactor</vt:lpstr>
      <vt:lpstr>DensityofWater</vt:lpstr>
      <vt:lpstr>Electricity_from_Biogas</vt:lpstr>
      <vt:lpstr>ElectricityRelatedEmissions</vt:lpstr>
      <vt:lpstr>Estimated_Avg_Daily_Methane_Production</vt:lpstr>
      <vt:lpstr>Estimated_Electricity_Use</vt:lpstr>
      <vt:lpstr>Estimated_Max_Daily_Biogas_Production</vt:lpstr>
      <vt:lpstr>Estimated_Max_Daily_Methane_Production</vt:lpstr>
      <vt:lpstr>FeedstockList</vt:lpstr>
      <vt:lpstr>FlareRelatedEmissions</vt:lpstr>
      <vt:lpstr>FlareType</vt:lpstr>
      <vt:lpstr>General</vt:lpstr>
      <vt:lpstr>GridGrossLoss</vt:lpstr>
      <vt:lpstr>ManureMethane</vt:lpstr>
      <vt:lpstr>Measured_Methane_sent_to_Flare</vt:lpstr>
      <vt:lpstr>Methane_CH4_Percent</vt:lpstr>
      <vt:lpstr>Methane_Flare_Percentage</vt:lpstr>
      <vt:lpstr>Methane_fossil_GWP</vt:lpstr>
      <vt:lpstr>Methane_Utilization</vt:lpstr>
      <vt:lpstr>Methane_Utilization_Percentage</vt:lpstr>
      <vt:lpstr>Methane_Utilization_Related_Emissions</vt:lpstr>
      <vt:lpstr>Not_continually_operational</vt:lpstr>
      <vt:lpstr>OtherWasteMethane</vt:lpstr>
      <vt:lpstr>PrimaryManureMang</vt:lpstr>
      <vt:lpstr>PrimaryOtherWasteMng</vt:lpstr>
      <vt:lpstr>ProjectMethaneLeakage</vt:lpstr>
      <vt:lpstr>ReactorTemp</vt:lpstr>
      <vt:lpstr>ReactorType</vt:lpstr>
      <vt:lpstr>solid_capture_efficenicy_of_dewatering_equipment</vt:lpstr>
      <vt:lpstr>Solids_Retention_Time</vt:lpstr>
      <vt:lpstr>Specific</vt:lpstr>
      <vt:lpstr>StorageMng</vt:lpstr>
      <vt:lpstr>TempStorage</vt:lpstr>
      <vt:lpstr>Total_Waste</vt:lpstr>
      <vt:lpstr>TotalFats</vt:lpstr>
      <vt:lpstr>TotalProtein</vt:lpstr>
      <vt:lpstr>TotalSolidsPercent</vt:lpstr>
      <vt:lpstr>TotalSugar</vt:lpstr>
      <vt:lpstr>Use_Defaults_Flare</vt:lpstr>
      <vt:lpstr>Waste_Item_Table</vt:lpstr>
      <vt:lpstr>WasteDensity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Naman Shah</cp:lastModifiedBy>
  <cp:revision/>
  <dcterms:created xsi:type="dcterms:W3CDTF">2017-11-15T19:39:45Z</dcterms:created>
  <dcterms:modified xsi:type="dcterms:W3CDTF">2024-07-25T04:19:17Z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0x0101002F5B74281A7CE7429B78075E9E746D16</vt:lpwstr>
  </property>
  <property fmtid="{D5CDD505-2E9C-101B-9397-08002B2CF9AE}" pid="3" name="TaxKeyword">
    <vt:lpwstr/>
  </property>
  <property fmtid="{D5CDD505-2E9C-101B-9397-08002B2CF9AE}" pid="4" name="e3f09c3df709400db2417a7161762d62">
    <vt:lpwstr/>
  </property>
  <property fmtid="{D5CDD505-2E9C-101B-9397-08002B2CF9AE}" pid="5" name="EPA_x0020_Subject">
    <vt:lpwstr/>
  </property>
  <property fmtid="{D5CDD505-2E9C-101B-9397-08002B2CF9AE}" pid="6" name="Document Type">
    <vt:lpwstr/>
  </property>
  <property fmtid="{D5CDD505-2E9C-101B-9397-08002B2CF9AE}" pid="7" name="EPA Subject">
    <vt:lpwstr/>
  </property>
</Properties>
</file>