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https://d.docs.live.net/bfca01abaf64aab7/Projects/UG Projects/SU24_Aresty Summer Science/Bioenergy Potential/"/>
    </mc:Choice>
  </mc:AlternateContent>
  <xr:revisionPtr revIDLastSave="60" documentId="13_ncr:1_{BF9066DB-FB40-4364-BB86-B4CC9BE05054}" xr6:coauthVersionLast="47" xr6:coauthVersionMax="47" xr10:uidLastSave="{1E9F3CE5-B9BF-4BAB-BABD-18D5A4AA5806}"/>
  <bookViews>
    <workbookView xWindow="7131" yWindow="0" windowWidth="24635" windowHeight="16834" tabRatio="741" activeTab="8" xr2:uid="{3EB90C94-954F-474A-982D-CB08270074E7}"/>
  </bookViews>
  <sheets>
    <sheet name="Cover" sheetId="18" r:id="rId1"/>
    <sheet name="AD ST History" sheetId="44" r:id="rId2"/>
    <sheet name="Contents" sheetId="19" state="hidden" r:id="rId3"/>
    <sheet name="1-Introduction" sheetId="14" r:id="rId4"/>
    <sheet name="2-Instructions" sheetId="15" r:id="rId5"/>
    <sheet name="Default Feedstock Inputs List" sheetId="21" state="hidden" r:id="rId6"/>
    <sheet name="3-Digester Inputs" sheetId="2" r:id="rId7"/>
    <sheet name="4-Emissions Inputs" sheetId="25" r:id="rId8"/>
    <sheet name="5-Annual Summary" sheetId="12" r:id="rId9"/>
    <sheet name="6-Biogas Production" sheetId="7" r:id="rId10"/>
    <sheet name="7-Digestate Production" sheetId="16" r:id="rId11"/>
    <sheet name="8-Emission Reductions" sheetId="39" r:id="rId12"/>
    <sheet name="9-Feedstock Characteristics" sheetId="4" r:id="rId13"/>
    <sheet name="10-Feedstock Toxicity Info" sheetId="22" r:id="rId14"/>
    <sheet name="11-Calibration Factors" sheetId="42" r:id="rId15"/>
    <sheet name="12-OrganEcs Input Sheet" sheetId="38" r:id="rId16"/>
    <sheet name="13-MCF" sheetId="36" r:id="rId17"/>
    <sheet name="14-References" sheetId="6" r:id="rId18"/>
    <sheet name="15-Help" sheetId="24" r:id="rId19"/>
    <sheet name="16-Methodology" sheetId="20" r:id="rId20"/>
    <sheet name="17-Manure Related Reductions" sheetId="35" r:id="rId21"/>
    <sheet name="18-Other Wastes Reductions" sheetId="37" r:id="rId22"/>
    <sheet name="19-Storage" sheetId="41" r:id="rId23"/>
    <sheet name="20-Methane Gen. &amp; Utilization" sheetId="32" r:id="rId24"/>
    <sheet name="21-Electricity Use" sheetId="33" r:id="rId25"/>
    <sheet name="22-Flaring &amp; Leakage" sheetId="26" r:id="rId26"/>
    <sheet name="23-Look up values" sheetId="43" state="hidden" r:id="rId27"/>
  </sheets>
  <definedNames>
    <definedName name="_xlnm._FilterDatabase" localSheetId="12" hidden="1">'9-Feedstock Characteristics'!$A$9:$U$118</definedName>
    <definedName name="AnalysisCombustionEffValue">'22-Flaring &amp; Leakage'!$B$9</definedName>
    <definedName name="Annual_Avg_Biogas_Production">'6-Biogas Production'!$F$76</definedName>
    <definedName name="Assumed_Biogas_Density">'3-Digester Inputs'!$C$63</definedName>
    <definedName name="Assumed_Fraction_of_Methane_Leakage">'4-Emissions Inputs'!$B$49</definedName>
    <definedName name="Average_Days_Waste_Stored">'4-Emissions Inputs'!$B$18</definedName>
    <definedName name="AvgTemp">'23-Look up values'!$B$35</definedName>
    <definedName name="Black_Carbon_GWP">'8-Emission Reductions'!$B$40</definedName>
    <definedName name="CH4_Emissions_from_Consumption">'21-Electricity Use'!$B$17</definedName>
    <definedName name="Chosen_Reactor_Volume">'3-Digester Inputs'!$L$3</definedName>
    <definedName name="Combustion_Process_Efficiency">'4-Emissions Inputs'!$B$30</definedName>
    <definedName name="Continuous_monitoring">'22-Flaring &amp; Leakage'!$B$7</definedName>
    <definedName name="ConversionFactor">'22-Flaring &amp; Leakage'!$B$11</definedName>
    <definedName name="DensityofWater">'9-Feedstock Characteristics'!$R$117</definedName>
    <definedName name="Electricity_from_Biogas">'4-Emissions Inputs'!$B$37</definedName>
    <definedName name="ElectricityRelatedEmissions">'21-Electricity Use'!$B$15</definedName>
    <definedName name="Estimated_Avg_Daily_Methane_Production">'6-Biogas Production'!$F$79</definedName>
    <definedName name="Estimated_Electricity_Use">'4-Emissions Inputs'!$B$41</definedName>
    <definedName name="Estimated_Max_Daily_Biogas_Production">'6-Biogas Production'!$T$73</definedName>
    <definedName name="Estimated_Max_Daily_Methane_Production">'6-Biogas Production'!$R$73</definedName>
    <definedName name="FeedstockList">'23-Look up values'!$F$4:$F$5</definedName>
    <definedName name="FlareRelatedEmissions">'22-Flaring &amp; Leakage'!$B$13</definedName>
    <definedName name="FlareType">'4-Emissions Inputs'!$B$28</definedName>
    <definedName name="General">'23-Look up values'!$H$4:$H$12</definedName>
    <definedName name="GridGrossLoss">'4-Emissions Inputs'!$B$45</definedName>
    <definedName name="ManureMethane">'17-Manure Related Reductions'!$F$20</definedName>
    <definedName name="Measured_Methane_sent_to_Flare">'22-Flaring &amp; Leakage'!$B$19</definedName>
    <definedName name="Methane_CH4_Percent">'3-Digester Inputs'!$C$58</definedName>
    <definedName name="Methane_Flare_Percentage">'4-Emissions Inputs'!$B$27</definedName>
    <definedName name="Methane_fossil_GWP">'8-Emission Reductions'!$B$42</definedName>
    <definedName name="Methane_Utilization">'20-Methane Gen. &amp; Utilization'!$B$15</definedName>
    <definedName name="Methane_Utilization_Percentage">'4-Emissions Inputs'!$B$22</definedName>
    <definedName name="Methane_Utilization_Related_Emissions">'20-Methane Gen. &amp; Utilization'!$B$13</definedName>
    <definedName name="Not_continually_operational">'22-Flaring &amp; Leakage'!$B$6</definedName>
    <definedName name="OtherWasteMethane">'18-Other Wastes Reductions'!$F$20</definedName>
    <definedName name="PrimaryManureMang">'4-Emissions Inputs'!$B$12</definedName>
    <definedName name="PrimaryOtherWasteMng">'4-Emissions Inputs'!$B$13</definedName>
    <definedName name="ProjectMethaneLeakage">'22-Flaring &amp; Leakage'!$B$16</definedName>
    <definedName name="ReactorTemp">'3-Digester Inputs'!$C$10</definedName>
    <definedName name="ReactorType">'3-Digester Inputs'!$C$9</definedName>
    <definedName name="solid_capture_efficenicy_of_dewatering_equipment">'3-Digester Inputs'!$C$12</definedName>
    <definedName name="Solids_Retention_Time">'3-Digester Inputs'!$C$40</definedName>
    <definedName name="solver_adj" localSheetId="6" hidden="1">'3-Digester Inputs'!$BE$17:$BE$31</definedName>
    <definedName name="solver_cvg" localSheetId="6" hidden="1">0.0000001</definedName>
    <definedName name="solver_cvg" localSheetId="9" hidden="1">0.0001</definedName>
    <definedName name="solver_drv" localSheetId="6" hidden="1">1</definedName>
    <definedName name="solver_drv" localSheetId="9" hidden="1">2</definedName>
    <definedName name="solver_eng" localSheetId="6" hidden="1">1</definedName>
    <definedName name="solver_eng" localSheetId="9" hidden="1">2</definedName>
    <definedName name="solver_est" localSheetId="6" hidden="1">1</definedName>
    <definedName name="solver_est" localSheetId="9" hidden="1">1</definedName>
    <definedName name="solver_itr" localSheetId="6" hidden="1">2147483647</definedName>
    <definedName name="solver_itr" localSheetId="9" hidden="1">2147483647</definedName>
    <definedName name="solver_lhs1" localSheetId="6" hidden="1">'3-Digester Inputs'!$BE$17</definedName>
    <definedName name="solver_lhs1" localSheetId="9" hidden="1">'6-Biogas Production'!#REF!</definedName>
    <definedName name="solver_lhs10" localSheetId="6" hidden="1">'3-Digester Inputs'!$BE$26</definedName>
    <definedName name="solver_lhs11" localSheetId="6" hidden="1">'3-Digester Inputs'!$BE$27</definedName>
    <definedName name="solver_lhs12" localSheetId="6" hidden="1">'3-Digester Inputs'!$BE$28</definedName>
    <definedName name="solver_lhs13" localSheetId="6" hidden="1">'3-Digester Inputs'!$BE$29</definedName>
    <definedName name="solver_lhs14" localSheetId="6" hidden="1">'3-Digester Inputs'!$BE$30</definedName>
    <definedName name="solver_lhs15" localSheetId="6" hidden="1">'3-Digester Inputs'!$BE$31</definedName>
    <definedName name="solver_lhs16" localSheetId="6" hidden="1">'3-Digester Inputs'!$C$36</definedName>
    <definedName name="solver_lhs17" localSheetId="6" hidden="1">'3-Digester Inputs'!$C$41</definedName>
    <definedName name="solver_lhs18" localSheetId="6" hidden="1">'3-Digester Inputs'!$C$41</definedName>
    <definedName name="solver_lhs19" localSheetId="6" hidden="1">'3-Digester Inputs'!$L$3</definedName>
    <definedName name="solver_lhs2" localSheetId="6" hidden="1">'3-Digester Inputs'!$BE$18</definedName>
    <definedName name="solver_lhs2" localSheetId="9" hidden="1">'6-Biogas Production'!#REF!</definedName>
    <definedName name="solver_lhs20" localSheetId="6" hidden="1">'3-Digester Inputs'!#REF!</definedName>
    <definedName name="solver_lhs21" localSheetId="6" hidden="1">'3-Digester Inputs'!#REF!</definedName>
    <definedName name="solver_lhs3" localSheetId="6" hidden="1">'3-Digester Inputs'!$BE$19</definedName>
    <definedName name="solver_lhs4" localSheetId="6" hidden="1">'3-Digester Inputs'!$BE$20</definedName>
    <definedName name="solver_lhs5" localSheetId="6" hidden="1">'3-Digester Inputs'!$BE$21</definedName>
    <definedName name="solver_lhs6" localSheetId="6" hidden="1">'3-Digester Inputs'!$BE$22</definedName>
    <definedName name="solver_lhs7" localSheetId="6" hidden="1">'3-Digester Inputs'!$BE$23</definedName>
    <definedName name="solver_lhs8" localSheetId="6" hidden="1">'3-Digester Inputs'!$BE$24</definedName>
    <definedName name="solver_lhs9" localSheetId="6" hidden="1">'3-Digester Inputs'!$BE$25</definedName>
    <definedName name="solver_mip" localSheetId="6" hidden="1">1</definedName>
    <definedName name="solver_mip" localSheetId="9" hidden="1">2147483647</definedName>
    <definedName name="solver_mni" localSheetId="6" hidden="1">30</definedName>
    <definedName name="solver_mni" localSheetId="9" hidden="1">30</definedName>
    <definedName name="solver_mrt" localSheetId="6" hidden="1">0.075</definedName>
    <definedName name="solver_mrt" localSheetId="9" hidden="1">0.075</definedName>
    <definedName name="solver_msl" localSheetId="6" hidden="1">2</definedName>
    <definedName name="solver_msl" localSheetId="9" hidden="1">2</definedName>
    <definedName name="solver_neg" localSheetId="6" hidden="1">1</definedName>
    <definedName name="solver_neg" localSheetId="9" hidden="1">1</definedName>
    <definedName name="solver_nod" localSheetId="6" hidden="1">2147483647</definedName>
    <definedName name="solver_nod" localSheetId="9" hidden="1">2147483647</definedName>
    <definedName name="solver_num" localSheetId="6" hidden="1">21</definedName>
    <definedName name="solver_num" localSheetId="9" hidden="1">2</definedName>
    <definedName name="solver_nwt" localSheetId="6" hidden="1">1</definedName>
    <definedName name="solver_nwt" localSheetId="9" hidden="1">1</definedName>
    <definedName name="solver_opt" localSheetId="6" hidden="1">'3-Digester Inputs'!$C$41</definedName>
    <definedName name="solver_opt" localSheetId="9" hidden="1">'6-Biogas Production'!$T$73</definedName>
    <definedName name="solver_pre" localSheetId="6" hidden="1">0.0000001</definedName>
    <definedName name="solver_pre" localSheetId="9" hidden="1">0.000001</definedName>
    <definedName name="solver_rbv" localSheetId="6" hidden="1">1</definedName>
    <definedName name="solver_rbv" localSheetId="9" hidden="1">2</definedName>
    <definedName name="solver_rel1" localSheetId="6" hidden="1">1</definedName>
    <definedName name="solver_rel1" localSheetId="9" hidden="1">1</definedName>
    <definedName name="solver_rel10" localSheetId="6" hidden="1">1</definedName>
    <definedName name="solver_rel11" localSheetId="6" hidden="1">1</definedName>
    <definedName name="solver_rel12" localSheetId="6" hidden="1">1</definedName>
    <definedName name="solver_rel13" localSheetId="6" hidden="1">1</definedName>
    <definedName name="solver_rel14" localSheetId="6" hidden="1">1</definedName>
    <definedName name="solver_rel15" localSheetId="6" hidden="1">1</definedName>
    <definedName name="solver_rel16" localSheetId="6" hidden="1">1</definedName>
    <definedName name="solver_rel17" localSheetId="6" hidden="1">1</definedName>
    <definedName name="solver_rel18" localSheetId="6" hidden="1">3</definedName>
    <definedName name="solver_rel19" localSheetId="6" hidden="1">3</definedName>
    <definedName name="solver_rel2" localSheetId="6" hidden="1">1</definedName>
    <definedName name="solver_rel2" localSheetId="9" hidden="1">3</definedName>
    <definedName name="solver_rel20" localSheetId="6" hidden="1">1</definedName>
    <definedName name="solver_rel21" localSheetId="6" hidden="1">3</definedName>
    <definedName name="solver_rel3" localSheetId="6" hidden="1">1</definedName>
    <definedName name="solver_rel4" localSheetId="6" hidden="1">1</definedName>
    <definedName name="solver_rel5" localSheetId="6" hidden="1">1</definedName>
    <definedName name="solver_rel6" localSheetId="6" hidden="1">1</definedName>
    <definedName name="solver_rel7" localSheetId="6" hidden="1">1</definedName>
    <definedName name="solver_rel8" localSheetId="6" hidden="1">1</definedName>
    <definedName name="solver_rel9" localSheetId="6" hidden="1">1</definedName>
    <definedName name="solver_rhs1" localSheetId="6" hidden="1">'3-Digester Inputs'!$D$136</definedName>
    <definedName name="solver_rhs1" localSheetId="9" hidden="1">35</definedName>
    <definedName name="solver_rhs10" localSheetId="6" hidden="1">'3-Digester Inputs'!$D$145</definedName>
    <definedName name="solver_rhs11" localSheetId="6" hidden="1">'3-Digester Inputs'!$D$146</definedName>
    <definedName name="solver_rhs12" localSheetId="6" hidden="1">'3-Digester Inputs'!$D$147</definedName>
    <definedName name="solver_rhs13" localSheetId="6" hidden="1">'3-Digester Inputs'!$D$148</definedName>
    <definedName name="solver_rhs14" localSheetId="6" hidden="1">'3-Digester Inputs'!$D$149</definedName>
    <definedName name="solver_rhs15" localSheetId="6" hidden="1">'3-Digester Inputs'!$D$150</definedName>
    <definedName name="solver_rhs16" localSheetId="6" hidden="1">0.4</definedName>
    <definedName name="solver_rhs17" localSheetId="6" hidden="1">35</definedName>
    <definedName name="solver_rhs18" localSheetId="6" hidden="1">25</definedName>
    <definedName name="solver_rhs19" localSheetId="6" hidden="1">Minimum_Reactor_Volume</definedName>
    <definedName name="solver_rhs2" localSheetId="6" hidden="1">'3-Digester Inputs'!$D$137</definedName>
    <definedName name="solver_rhs2" localSheetId="9" hidden="1">25</definedName>
    <definedName name="solver_rhs20" localSheetId="6" hidden="1">3.2</definedName>
    <definedName name="solver_rhs21" localSheetId="6" hidden="1">1.6</definedName>
    <definedName name="solver_rhs3" localSheetId="6" hidden="1">'3-Digester Inputs'!$D$138</definedName>
    <definedName name="solver_rhs4" localSheetId="6" hidden="1">'3-Digester Inputs'!$D$139</definedName>
    <definedName name="solver_rhs5" localSheetId="6" hidden="1">'3-Digester Inputs'!$D$140</definedName>
    <definedName name="solver_rhs6" localSheetId="6" hidden="1">'3-Digester Inputs'!$D$141</definedName>
    <definedName name="solver_rhs7" localSheetId="6" hidden="1">'3-Digester Inputs'!$D$142</definedName>
    <definedName name="solver_rhs8" localSheetId="6" hidden="1">'3-Digester Inputs'!$D$143</definedName>
    <definedName name="solver_rhs9" localSheetId="6" hidden="1">'3-Digester Inputs'!$D$144</definedName>
    <definedName name="solver_rlx" localSheetId="6" hidden="1">2</definedName>
    <definedName name="solver_rlx" localSheetId="9" hidden="1">2</definedName>
    <definedName name="solver_rsd" localSheetId="6" hidden="1">0</definedName>
    <definedName name="solver_rsd" localSheetId="9" hidden="1">0</definedName>
    <definedName name="solver_scl" localSheetId="6" hidden="1">1</definedName>
    <definedName name="solver_scl" localSheetId="9" hidden="1">2</definedName>
    <definedName name="solver_sho" localSheetId="6" hidden="1">1</definedName>
    <definedName name="solver_sho" localSheetId="9" hidden="1">2</definedName>
    <definedName name="solver_ssz" localSheetId="6" hidden="1">100</definedName>
    <definedName name="solver_ssz" localSheetId="9" hidden="1">100</definedName>
    <definedName name="solver_tim" localSheetId="6" hidden="1">2147483647</definedName>
    <definedName name="solver_tim" localSheetId="9" hidden="1">2147483647</definedName>
    <definedName name="solver_tol" localSheetId="6" hidden="1">0.01</definedName>
    <definedName name="solver_tol" localSheetId="9" hidden="1">0.01</definedName>
    <definedName name="solver_typ" localSheetId="6" hidden="1">3</definedName>
    <definedName name="solver_typ" localSheetId="9" hidden="1">1</definedName>
    <definedName name="solver_val" localSheetId="6" hidden="1">30</definedName>
    <definedName name="solver_val" localSheetId="9" hidden="1">0</definedName>
    <definedName name="solver_ver" localSheetId="6" hidden="1">3</definedName>
    <definedName name="solver_ver" localSheetId="9" hidden="1">3</definedName>
    <definedName name="Specific">'23-Look up values'!$J$4:$J$102</definedName>
    <definedName name="StorageMng">'4-Emissions Inputs'!$B$17</definedName>
    <definedName name="TempStorage">'19-Storage'!$F$20</definedName>
    <definedName name="Total_Waste">'3-Digester Inputs'!$BE$32</definedName>
    <definedName name="TotalFats">'3-Digester Inputs'!$N$32</definedName>
    <definedName name="TotalProtein">'3-Digester Inputs'!$M$32</definedName>
    <definedName name="TotalSolidsPercent">'3-Digester Inputs'!$G$32</definedName>
    <definedName name="TotalSugar">'3-Digester Inputs'!$O$32</definedName>
    <definedName name="Use_Defaults_Flare">'4-Emissions Inputs'!$B$29</definedName>
    <definedName name="Waste_Item_Table">'9-Feedstock Characteristics'!$A$10:$U$117</definedName>
    <definedName name="WasteDensity">'3-Digester Inputs'!$L$32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8" i="2" l="1"/>
  <c r="C19" i="2"/>
  <c r="C17" i="2"/>
  <c r="C63" i="2" l="1"/>
  <c r="H99" i="4"/>
  <c r="O30" i="2"/>
  <c r="O31" i="2"/>
  <c r="N30" i="2"/>
  <c r="N31" i="2"/>
  <c r="M30" i="2"/>
  <c r="M31" i="2"/>
  <c r="I30" i="2"/>
  <c r="I31" i="2"/>
  <c r="H30" i="2"/>
  <c r="B18" i="41" s="1"/>
  <c r="H31" i="2"/>
  <c r="B19" i="41" s="1"/>
  <c r="G30" i="2"/>
  <c r="G31" i="2"/>
  <c r="F30" i="2"/>
  <c r="J30" i="2" s="1"/>
  <c r="F31" i="2"/>
  <c r="J31" i="2" s="1"/>
  <c r="A6" i="41"/>
  <c r="A7" i="41"/>
  <c r="A8" i="41"/>
  <c r="A9" i="41"/>
  <c r="A10" i="41"/>
  <c r="A11" i="41"/>
  <c r="A12" i="41"/>
  <c r="A13" i="41"/>
  <c r="A14" i="41"/>
  <c r="A15" i="41"/>
  <c r="A16" i="41"/>
  <c r="A17" i="41"/>
  <c r="A18" i="41"/>
  <c r="A19" i="41"/>
  <c r="A5" i="41"/>
  <c r="A5" i="37"/>
  <c r="K31" i="2" l="1"/>
  <c r="K30" i="2"/>
  <c r="M29" i="2"/>
  <c r="M28" i="2"/>
  <c r="M27" i="2"/>
  <c r="M26" i="2"/>
  <c r="M25" i="2"/>
  <c r="M24" i="2"/>
  <c r="M23" i="2"/>
  <c r="M22" i="2"/>
  <c r="M21" i="2"/>
  <c r="M20" i="2"/>
  <c r="M19" i="2"/>
  <c r="M18" i="2"/>
  <c r="M17" i="2"/>
  <c r="N29" i="2"/>
  <c r="N28" i="2"/>
  <c r="N27" i="2"/>
  <c r="N26" i="2"/>
  <c r="N25" i="2"/>
  <c r="N24" i="2"/>
  <c r="N23" i="2"/>
  <c r="N22" i="2"/>
  <c r="N21" i="2"/>
  <c r="N20" i="2"/>
  <c r="N19" i="2"/>
  <c r="N18" i="2"/>
  <c r="N17" i="2"/>
  <c r="O29" i="2"/>
  <c r="O28" i="2"/>
  <c r="O27" i="2"/>
  <c r="O26" i="2"/>
  <c r="O25" i="2"/>
  <c r="O24" i="2"/>
  <c r="O23" i="2"/>
  <c r="O22" i="2"/>
  <c r="O21" i="2"/>
  <c r="O20" i="2"/>
  <c r="O19" i="2"/>
  <c r="O18" i="2"/>
  <c r="O17" i="2"/>
  <c r="I29" i="2"/>
  <c r="I28" i="2"/>
  <c r="I27" i="2"/>
  <c r="I26" i="2"/>
  <c r="I25" i="2"/>
  <c r="I24" i="2"/>
  <c r="I23" i="2"/>
  <c r="I22" i="2"/>
  <c r="I21" i="2"/>
  <c r="I20" i="2"/>
  <c r="I19" i="2"/>
  <c r="I18" i="2"/>
  <c r="I17" i="2"/>
  <c r="F29" i="2"/>
  <c r="J29" i="2" s="1"/>
  <c r="F28" i="2"/>
  <c r="J28" i="2" s="1"/>
  <c r="F27" i="2"/>
  <c r="F26" i="2"/>
  <c r="J26" i="2" s="1"/>
  <c r="F25" i="2"/>
  <c r="F24" i="2"/>
  <c r="J24" i="2" s="1"/>
  <c r="F23" i="2"/>
  <c r="J23" i="2" s="1"/>
  <c r="F22" i="2"/>
  <c r="J22" i="2" s="1"/>
  <c r="F21" i="2"/>
  <c r="F20" i="2"/>
  <c r="J20" i="2" s="1"/>
  <c r="F19" i="2"/>
  <c r="J19" i="2" s="1"/>
  <c r="F18" i="2"/>
  <c r="J18" i="2" s="1"/>
  <c r="F17" i="2"/>
  <c r="G29" i="2"/>
  <c r="G28" i="2"/>
  <c r="G27" i="2"/>
  <c r="G26" i="2"/>
  <c r="G25" i="2"/>
  <c r="G24" i="2"/>
  <c r="G23" i="2"/>
  <c r="G22" i="2"/>
  <c r="G21" i="2"/>
  <c r="G20" i="2"/>
  <c r="G19" i="2"/>
  <c r="G18" i="2"/>
  <c r="G17" i="2"/>
  <c r="H29" i="2"/>
  <c r="H28" i="2"/>
  <c r="B16" i="41" s="1"/>
  <c r="H27" i="2"/>
  <c r="B15" i="41" s="1"/>
  <c r="H26" i="2"/>
  <c r="H25" i="2"/>
  <c r="B13" i="41" s="1"/>
  <c r="H24" i="2"/>
  <c r="B12" i="41" s="1"/>
  <c r="H23" i="2"/>
  <c r="B11" i="41" s="1"/>
  <c r="H22" i="2"/>
  <c r="B10" i="41" s="1"/>
  <c r="H21" i="2"/>
  <c r="B9" i="41" s="1"/>
  <c r="H20" i="2"/>
  <c r="H19" i="2"/>
  <c r="K19" i="2" s="1"/>
  <c r="H18" i="2"/>
  <c r="H17" i="2"/>
  <c r="J27" i="2"/>
  <c r="J25" i="2"/>
  <c r="K21" i="2" l="1"/>
  <c r="J21" i="2"/>
  <c r="K17" i="2"/>
  <c r="J17" i="2"/>
  <c r="K20" i="2"/>
  <c r="K24" i="2"/>
  <c r="B17" i="41"/>
  <c r="K29" i="2"/>
  <c r="K27" i="2"/>
  <c r="K28" i="2"/>
  <c r="K26" i="2"/>
  <c r="B14" i="41"/>
  <c r="K25" i="2"/>
  <c r="K18" i="2"/>
  <c r="K22" i="2"/>
  <c r="K23" i="2"/>
  <c r="A73" i="16"/>
  <c r="A74" i="16"/>
  <c r="A75" i="16"/>
  <c r="A76" i="16"/>
  <c r="A77" i="16"/>
  <c r="A78" i="16"/>
  <c r="A79" i="16"/>
  <c r="A80" i="16"/>
  <c r="A81" i="16"/>
  <c r="A82" i="16"/>
  <c r="A83" i="16"/>
  <c r="A84" i="16"/>
  <c r="A85" i="16"/>
  <c r="A86" i="16"/>
  <c r="A72" i="16"/>
  <c r="A36" i="16"/>
  <c r="A37" i="16"/>
  <c r="A38" i="16"/>
  <c r="A39" i="16"/>
  <c r="A40" i="16"/>
  <c r="A41" i="16"/>
  <c r="A42" i="16"/>
  <c r="A43" i="16"/>
  <c r="A44" i="16"/>
  <c r="A45" i="16"/>
  <c r="A46" i="16"/>
  <c r="A47" i="16"/>
  <c r="A48" i="16"/>
  <c r="A49" i="16"/>
  <c r="A35" i="16"/>
  <c r="A38" i="7"/>
  <c r="V59" i="7"/>
  <c r="X59" i="7" s="1"/>
  <c r="V60" i="7"/>
  <c r="X60" i="7" s="1"/>
  <c r="V61" i="7"/>
  <c r="X61" i="7" s="1"/>
  <c r="V62" i="7"/>
  <c r="X62" i="7" s="1"/>
  <c r="V63" i="7"/>
  <c r="X63" i="7" s="1"/>
  <c r="V64" i="7"/>
  <c r="X64" i="7" s="1"/>
  <c r="V65" i="7"/>
  <c r="X65" i="7" s="1"/>
  <c r="V66" i="7"/>
  <c r="X66" i="7" s="1"/>
  <c r="V67" i="7"/>
  <c r="X67" i="7" s="1"/>
  <c r="V68" i="7"/>
  <c r="X68" i="7" s="1"/>
  <c r="V69" i="7"/>
  <c r="X69" i="7" s="1"/>
  <c r="V70" i="7"/>
  <c r="X70" i="7" s="1"/>
  <c r="V71" i="7"/>
  <c r="X71" i="7" s="1"/>
  <c r="V72" i="7"/>
  <c r="X72" i="7" s="1"/>
  <c r="V58" i="7"/>
  <c r="X58" i="7" s="1"/>
  <c r="O58" i="7"/>
  <c r="Q58" i="7" s="1"/>
  <c r="A36" i="7"/>
  <c r="A6" i="37"/>
  <c r="A7" i="37"/>
  <c r="A8" i="37"/>
  <c r="A9" i="37"/>
  <c r="A10" i="37"/>
  <c r="A11" i="37"/>
  <c r="A12" i="37"/>
  <c r="A13" i="37"/>
  <c r="A14" i="37"/>
  <c r="A15" i="37"/>
  <c r="A16" i="37"/>
  <c r="A17" i="37"/>
  <c r="A18" i="37"/>
  <c r="A19" i="37"/>
  <c r="H59" i="7" l="1"/>
  <c r="J59" i="7" s="1"/>
  <c r="H60" i="7"/>
  <c r="J60" i="7" s="1"/>
  <c r="H61" i="7"/>
  <c r="J61" i="7" s="1"/>
  <c r="H62" i="7"/>
  <c r="H63" i="7"/>
  <c r="J63" i="7" s="1"/>
  <c r="H64" i="7"/>
  <c r="J64" i="7" s="1"/>
  <c r="H65" i="7"/>
  <c r="J65" i="7" s="1"/>
  <c r="H66" i="7"/>
  <c r="J66" i="7" s="1"/>
  <c r="H67" i="7"/>
  <c r="J67" i="7" s="1"/>
  <c r="H68" i="7"/>
  <c r="J68" i="7" s="1"/>
  <c r="H69" i="7"/>
  <c r="J69" i="7" s="1"/>
  <c r="H70" i="7"/>
  <c r="J70" i="7" s="1"/>
  <c r="H71" i="7"/>
  <c r="J71" i="7" s="1"/>
  <c r="H72" i="7"/>
  <c r="J72" i="7" s="1"/>
  <c r="H58" i="7"/>
  <c r="J58" i="7" s="1"/>
  <c r="A59" i="7"/>
  <c r="C59" i="7" s="1"/>
  <c r="A60" i="7"/>
  <c r="C60" i="7" s="1"/>
  <c r="A61" i="7"/>
  <c r="C61" i="7" s="1"/>
  <c r="A62" i="7"/>
  <c r="C62" i="7" s="1"/>
  <c r="A63" i="7"/>
  <c r="C63" i="7" s="1"/>
  <c r="A64" i="7"/>
  <c r="C64" i="7" s="1"/>
  <c r="A65" i="7"/>
  <c r="C65" i="7" s="1"/>
  <c r="A66" i="7"/>
  <c r="C66" i="7" s="1"/>
  <c r="A67" i="7"/>
  <c r="C67" i="7" s="1"/>
  <c r="A68" i="7"/>
  <c r="C68" i="7" s="1"/>
  <c r="A69" i="7"/>
  <c r="C69" i="7" s="1"/>
  <c r="A70" i="7"/>
  <c r="C70" i="7" s="1"/>
  <c r="A71" i="7"/>
  <c r="C71" i="7" s="1"/>
  <c r="A72" i="7"/>
  <c r="C72" i="7" s="1"/>
  <c r="A58" i="7"/>
  <c r="C58" i="7" s="1"/>
  <c r="J62" i="7"/>
  <c r="B14" i="12"/>
  <c r="A10" i="7"/>
  <c r="A33" i="16"/>
  <c r="A8" i="16"/>
  <c r="B35" i="43"/>
  <c r="O59" i="7"/>
  <c r="Q59" i="7" s="1"/>
  <c r="O60" i="7"/>
  <c r="Q60" i="7" s="1"/>
  <c r="O61" i="7"/>
  <c r="Q61" i="7" s="1"/>
  <c r="O62" i="7"/>
  <c r="Q62" i="7" s="1"/>
  <c r="O63" i="7"/>
  <c r="Q63" i="7" s="1"/>
  <c r="O64" i="7"/>
  <c r="Q64" i="7" s="1"/>
  <c r="O65" i="7"/>
  <c r="Q65" i="7" s="1"/>
  <c r="O66" i="7"/>
  <c r="Q66" i="7" s="1"/>
  <c r="O67" i="7"/>
  <c r="Q67" i="7" s="1"/>
  <c r="O68" i="7"/>
  <c r="Q68" i="7" s="1"/>
  <c r="O69" i="7"/>
  <c r="Q69" i="7" s="1"/>
  <c r="O70" i="7"/>
  <c r="Q70" i="7" s="1"/>
  <c r="O71" i="7"/>
  <c r="Q71" i="7" s="1"/>
  <c r="O72" i="7"/>
  <c r="Q72" i="7" s="1"/>
  <c r="F72" i="16"/>
  <c r="F73" i="16"/>
  <c r="F74" i="16"/>
  <c r="F75" i="16"/>
  <c r="F76" i="16"/>
  <c r="F77" i="16"/>
  <c r="F78" i="16"/>
  <c r="F79" i="16"/>
  <c r="F80" i="16"/>
  <c r="F81" i="16"/>
  <c r="F82" i="16"/>
  <c r="F83" i="16"/>
  <c r="F84" i="16"/>
  <c r="F85" i="16"/>
  <c r="F86" i="16"/>
  <c r="C38" i="7"/>
  <c r="F49" i="16"/>
  <c r="F48" i="16"/>
  <c r="F47" i="16"/>
  <c r="F46" i="16"/>
  <c r="F45" i="16"/>
  <c r="F44" i="16"/>
  <c r="F43" i="16"/>
  <c r="F42" i="16"/>
  <c r="F41" i="16"/>
  <c r="F40" i="16"/>
  <c r="F39" i="16"/>
  <c r="F38" i="16"/>
  <c r="F37" i="16"/>
  <c r="F36" i="16"/>
  <c r="F35" i="16"/>
  <c r="F37" i="7"/>
  <c r="E37" i="7"/>
  <c r="D37" i="7"/>
  <c r="A39" i="7"/>
  <c r="C39" i="7" s="1"/>
  <c r="A40" i="7"/>
  <c r="A41" i="7"/>
  <c r="A42" i="7"/>
  <c r="C42" i="7" s="1"/>
  <c r="A43" i="7"/>
  <c r="C43" i="7" s="1"/>
  <c r="A44" i="7"/>
  <c r="C44" i="7" s="1"/>
  <c r="A45" i="7"/>
  <c r="A46" i="7"/>
  <c r="A47" i="7"/>
  <c r="A48" i="7"/>
  <c r="A49" i="7"/>
  <c r="A50" i="7"/>
  <c r="C50" i="7" s="1"/>
  <c r="A51" i="7"/>
  <c r="C51" i="7" s="1"/>
  <c r="A52" i="7"/>
  <c r="C52" i="7" s="1"/>
  <c r="F87" i="16" l="1"/>
  <c r="C46" i="7"/>
  <c r="C47" i="7"/>
  <c r="C45" i="7"/>
  <c r="C48" i="7"/>
  <c r="C40" i="7"/>
  <c r="C49" i="7"/>
  <c r="C41" i="7"/>
  <c r="F50" i="16"/>
  <c r="BE17" i="2" l="1"/>
  <c r="D73" i="16"/>
  <c r="B5" i="37"/>
  <c r="B30" i="25"/>
  <c r="B27" i="25"/>
  <c r="B39" i="25"/>
  <c r="B38" i="25"/>
  <c r="B43" i="25"/>
  <c r="B78" i="25"/>
  <c r="C65" i="39"/>
  <c r="C63" i="39"/>
  <c r="C62" i="39"/>
  <c r="C61" i="39"/>
  <c r="C60" i="39"/>
  <c r="C58" i="39"/>
  <c r="E5" i="37" l="1"/>
  <c r="D46" i="16"/>
  <c r="D83" i="16"/>
  <c r="D47" i="16"/>
  <c r="D84" i="16"/>
  <c r="D77" i="16"/>
  <c r="D40" i="16"/>
  <c r="D85" i="16"/>
  <c r="D48" i="16"/>
  <c r="D41" i="16"/>
  <c r="D78" i="16"/>
  <c r="D49" i="16"/>
  <c r="D86" i="16"/>
  <c r="D42" i="16"/>
  <c r="D79" i="16"/>
  <c r="D38" i="16"/>
  <c r="D75" i="16"/>
  <c r="D80" i="16"/>
  <c r="D43" i="16"/>
  <c r="D81" i="16"/>
  <c r="D44" i="16"/>
  <c r="D74" i="16"/>
  <c r="D37" i="16"/>
  <c r="D82" i="16"/>
  <c r="D45" i="16"/>
  <c r="D39" i="16"/>
  <c r="D76" i="16"/>
  <c r="B35" i="16"/>
  <c r="D35" i="16"/>
  <c r="D72" i="16"/>
  <c r="B72" i="16"/>
  <c r="D36" i="16"/>
  <c r="D87" i="16" l="1"/>
  <c r="D50" i="16"/>
  <c r="L31" i="2"/>
  <c r="L30" i="2"/>
  <c r="L29" i="2"/>
  <c r="L28" i="2"/>
  <c r="L27" i="2"/>
  <c r="L26" i="2"/>
  <c r="L25" i="2"/>
  <c r="L24" i="2"/>
  <c r="L23" i="2"/>
  <c r="L22" i="2"/>
  <c r="L21" i="2"/>
  <c r="L20" i="2"/>
  <c r="L19" i="2"/>
  <c r="L18" i="2"/>
  <c r="L17" i="2"/>
  <c r="B5" i="33" l="1"/>
  <c r="C116" i="2" l="1"/>
  <c r="BE18" i="2"/>
  <c r="BE19" i="2"/>
  <c r="BE20" i="2"/>
  <c r="BE21" i="2"/>
  <c r="BE22" i="2"/>
  <c r="BE23" i="2"/>
  <c r="BE24" i="2"/>
  <c r="BE25" i="2"/>
  <c r="BE26" i="2"/>
  <c r="BE27" i="2"/>
  <c r="BE28" i="2"/>
  <c r="BE29" i="2"/>
  <c r="BE30" i="2"/>
  <c r="BE31" i="2"/>
  <c r="G32" i="2" l="1"/>
  <c r="H32" i="2"/>
  <c r="I32" i="2"/>
  <c r="F32" i="2"/>
  <c r="J32" i="2"/>
  <c r="K32" i="2"/>
  <c r="B78" i="16"/>
  <c r="B41" i="16"/>
  <c r="B86" i="16"/>
  <c r="B49" i="16"/>
  <c r="B77" i="16"/>
  <c r="B40" i="16"/>
  <c r="B47" i="16"/>
  <c r="B84" i="16"/>
  <c r="B76" i="16"/>
  <c r="B39" i="16"/>
  <c r="B38" i="16"/>
  <c r="B75" i="16"/>
  <c r="B83" i="16"/>
  <c r="B46" i="16"/>
  <c r="B45" i="16"/>
  <c r="B82" i="16"/>
  <c r="B74" i="16"/>
  <c r="B37" i="16"/>
  <c r="B85" i="16"/>
  <c r="B48" i="16"/>
  <c r="B36" i="16"/>
  <c r="B73" i="16"/>
  <c r="B79" i="16"/>
  <c r="B42" i="16"/>
  <c r="B44" i="16"/>
  <c r="B81" i="16"/>
  <c r="B43" i="16"/>
  <c r="B80" i="16"/>
  <c r="C36" i="2"/>
  <c r="L32" i="2"/>
  <c r="BE32" i="2"/>
  <c r="B50" i="16" l="1"/>
  <c r="B87" i="16"/>
  <c r="B11" i="12" s="1"/>
  <c r="B72" i="25"/>
  <c r="D36" i="39" l="1"/>
  <c r="S108" i="4" l="1"/>
  <c r="N108" i="4"/>
  <c r="M108" i="4"/>
  <c r="O108" i="4"/>
  <c r="L108" i="4"/>
  <c r="H108" i="4"/>
  <c r="B108" i="4"/>
  <c r="S99" i="4" l="1"/>
  <c r="N99" i="4"/>
  <c r="O99" i="4"/>
  <c r="M99" i="4"/>
  <c r="L99" i="4"/>
  <c r="G99" i="4"/>
  <c r="B99" i="4"/>
  <c r="R97" i="4"/>
  <c r="S97" i="4" s="1"/>
  <c r="L98" i="4"/>
  <c r="B98" i="4"/>
  <c r="G98" i="4"/>
  <c r="H98" i="4" s="1"/>
  <c r="S98" i="4"/>
  <c r="O97" i="4"/>
  <c r="N97" i="4"/>
  <c r="M96" i="4"/>
  <c r="L97" i="4"/>
  <c r="G97" i="4"/>
  <c r="M97" i="4" s="1"/>
  <c r="H97" i="4"/>
  <c r="B97" i="4"/>
  <c r="S96" i="4"/>
  <c r="L96" i="4"/>
  <c r="R84" i="4"/>
  <c r="R85" i="4"/>
  <c r="L20" i="4"/>
  <c r="L29" i="4"/>
  <c r="G96" i="4"/>
  <c r="O96" i="4" s="1"/>
  <c r="B96" i="4"/>
  <c r="H96" i="4" l="1"/>
  <c r="N96" i="4"/>
  <c r="M98" i="4"/>
  <c r="N98" i="4"/>
  <c r="O98" i="4"/>
  <c r="B6" i="33"/>
  <c r="B12" i="33"/>
  <c r="B11" i="33"/>
  <c r="B16" i="33" s="1"/>
  <c r="B10" i="33"/>
  <c r="B15" i="33" l="1"/>
  <c r="D19" i="41"/>
  <c r="D18" i="41"/>
  <c r="D17" i="41"/>
  <c r="D16" i="41"/>
  <c r="D15" i="41"/>
  <c r="D14" i="41"/>
  <c r="D13" i="41"/>
  <c r="D12" i="41"/>
  <c r="D11" i="41"/>
  <c r="D10" i="41"/>
  <c r="D9" i="41"/>
  <c r="D8" i="41"/>
  <c r="D7" i="41"/>
  <c r="D6" i="41"/>
  <c r="D5" i="41"/>
  <c r="S114" i="4" l="1"/>
  <c r="B114" i="4" l="1"/>
  <c r="L114" i="4" s="1"/>
  <c r="C114" i="4"/>
  <c r="G114" i="4" s="1"/>
  <c r="H114" i="4" s="1"/>
  <c r="G93" i="4"/>
  <c r="F113" i="4"/>
  <c r="G109" i="4"/>
  <c r="B106" i="4" l="1"/>
  <c r="B77" i="25" l="1"/>
  <c r="B76" i="25"/>
  <c r="B8" i="26"/>
  <c r="B9" i="26" s="1"/>
  <c r="Q23" i="4" l="1"/>
  <c r="S18" i="2" l="1"/>
  <c r="S19" i="2"/>
  <c r="S20" i="2"/>
  <c r="S21" i="2"/>
  <c r="S22" i="2"/>
  <c r="AN22" i="2" s="1"/>
  <c r="S23" i="2"/>
  <c r="AT23" i="2" s="1"/>
  <c r="S24" i="2"/>
  <c r="AM24" i="2" s="1"/>
  <c r="S25" i="2"/>
  <c r="AT25" i="2" s="1"/>
  <c r="S26" i="2"/>
  <c r="S27" i="2"/>
  <c r="AM27" i="2" s="1"/>
  <c r="S28" i="2"/>
  <c r="AS28" i="2" s="1"/>
  <c r="S29" i="2"/>
  <c r="AU29" i="2" s="1"/>
  <c r="S30" i="2"/>
  <c r="AN30" i="2" s="1"/>
  <c r="S31" i="2"/>
  <c r="AT31" i="2" s="1"/>
  <c r="S17" i="2"/>
  <c r="V17" i="2" s="1"/>
  <c r="AV18" i="2" l="1"/>
  <c r="U18" i="2"/>
  <c r="AM17" i="2"/>
  <c r="D9" i="38"/>
  <c r="E9" i="38"/>
  <c r="G9" i="38"/>
  <c r="B9" i="38"/>
  <c r="C9" i="38"/>
  <c r="F9" i="38"/>
  <c r="AP22" i="2"/>
  <c r="AV27" i="2"/>
  <c r="V27" i="2"/>
  <c r="AA27" i="2"/>
  <c r="AG31" i="2"/>
  <c r="AO29" i="2"/>
  <c r="AP30" i="2"/>
  <c r="AQ22" i="2"/>
  <c r="W27" i="2"/>
  <c r="AB27" i="2"/>
  <c r="AJ17" i="2"/>
  <c r="AF27" i="2"/>
  <c r="AQ30" i="2"/>
  <c r="AL24" i="2"/>
  <c r="AW28" i="2"/>
  <c r="AF31" i="2"/>
  <c r="AU27" i="2"/>
  <c r="V31" i="2"/>
  <c r="X24" i="2"/>
  <c r="AA31" i="2"/>
  <c r="AC24" i="2"/>
  <c r="AK29" i="2"/>
  <c r="AN29" i="2"/>
  <c r="AV31" i="2"/>
  <c r="AW24" i="2"/>
  <c r="AE17" i="2"/>
  <c r="AK25" i="2"/>
  <c r="AB31" i="2"/>
  <c r="U30" i="2"/>
  <c r="W23" i="2"/>
  <c r="Z30" i="2"/>
  <c r="AB23" i="2"/>
  <c r="AJ29" i="2"/>
  <c r="AM28" i="2"/>
  <c r="AU31" i="2"/>
  <c r="AV23" i="2"/>
  <c r="T30" i="2"/>
  <c r="V23" i="2"/>
  <c r="AE29" i="2"/>
  <c r="AA23" i="2"/>
  <c r="AI28" i="2"/>
  <c r="AF23" i="2"/>
  <c r="AL28" i="2"/>
  <c r="AT30" i="2"/>
  <c r="AU23" i="2"/>
  <c r="Y28" i="2"/>
  <c r="U22" i="2"/>
  <c r="AD28" i="2"/>
  <c r="Z22" i="2"/>
  <c r="AO17" i="2"/>
  <c r="AO25" i="2"/>
  <c r="AS30" i="2"/>
  <c r="AT22" i="2"/>
  <c r="T17" i="2"/>
  <c r="W31" i="2"/>
  <c r="Y24" i="2"/>
  <c r="AD24" i="2"/>
  <c r="AI24" i="2"/>
  <c r="X28" i="2"/>
  <c r="T22" i="2"/>
  <c r="AC28" i="2"/>
  <c r="AK17" i="2"/>
  <c r="AR29" i="2"/>
  <c r="AS22" i="2"/>
  <c r="BA26" i="2"/>
  <c r="BC26" i="2"/>
  <c r="AX26" i="2"/>
  <c r="BB26" i="2"/>
  <c r="Z26" i="2"/>
  <c r="AK18" i="2"/>
  <c r="T26" i="2"/>
  <c r="AJ25" i="2"/>
  <c r="AP26" i="2"/>
  <c r="AN18" i="2"/>
  <c r="BB17" i="2"/>
  <c r="BC17" i="2"/>
  <c r="AX24" i="2"/>
  <c r="BA24" i="2"/>
  <c r="BB24" i="2"/>
  <c r="BC24" i="2"/>
  <c r="Y17" i="2"/>
  <c r="U31" i="2"/>
  <c r="Y29" i="2"/>
  <c r="W28" i="2"/>
  <c r="U27" i="2"/>
  <c r="Y25" i="2"/>
  <c r="W24" i="2"/>
  <c r="U23" i="2"/>
  <c r="Y18" i="2"/>
  <c r="AD17" i="2"/>
  <c r="Z31" i="2"/>
  <c r="AD29" i="2"/>
  <c r="AB28" i="2"/>
  <c r="Z27" i="2"/>
  <c r="AD25" i="2"/>
  <c r="AB24" i="2"/>
  <c r="Z23" i="2"/>
  <c r="AD18" i="2"/>
  <c r="AI17" i="2"/>
  <c r="AK30" i="2"/>
  <c r="AI29" i="2"/>
  <c r="AG28" i="2"/>
  <c r="AK26" i="2"/>
  <c r="AI25" i="2"/>
  <c r="AK22" i="2"/>
  <c r="AI18" i="2"/>
  <c r="AQ31" i="2"/>
  <c r="AO30" i="2"/>
  <c r="AM29" i="2"/>
  <c r="AQ27" i="2"/>
  <c r="AO26" i="2"/>
  <c r="AM25" i="2"/>
  <c r="AQ23" i="2"/>
  <c r="AO22" i="2"/>
  <c r="AM18" i="2"/>
  <c r="AR30" i="2"/>
  <c r="AV28" i="2"/>
  <c r="AT27" i="2"/>
  <c r="AR26" i="2"/>
  <c r="AV24" i="2"/>
  <c r="AR22" i="2"/>
  <c r="AO18" i="2"/>
  <c r="AR25" i="2"/>
  <c r="AE18" i="2"/>
  <c r="AJ18" i="2"/>
  <c r="BB31" i="2"/>
  <c r="AX31" i="2"/>
  <c r="AY31" i="2"/>
  <c r="BC31" i="2"/>
  <c r="BA31" i="2"/>
  <c r="BC23" i="2"/>
  <c r="BA23" i="2"/>
  <c r="BB23" i="2"/>
  <c r="X17" i="2"/>
  <c r="T31" i="2"/>
  <c r="X29" i="2"/>
  <c r="V28" i="2"/>
  <c r="T27" i="2"/>
  <c r="X25" i="2"/>
  <c r="V24" i="2"/>
  <c r="T23" i="2"/>
  <c r="X18" i="2"/>
  <c r="AC17" i="2"/>
  <c r="AE30" i="2"/>
  <c r="AC29" i="2"/>
  <c r="AA28" i="2"/>
  <c r="AE26" i="2"/>
  <c r="AC25" i="2"/>
  <c r="AA24" i="2"/>
  <c r="AE22" i="2"/>
  <c r="AC18" i="2"/>
  <c r="AJ30" i="2"/>
  <c r="AF28" i="2"/>
  <c r="AJ26" i="2"/>
  <c r="AF24" i="2"/>
  <c r="AJ22" i="2"/>
  <c r="AP31" i="2"/>
  <c r="AL29" i="2"/>
  <c r="AP27" i="2"/>
  <c r="AN26" i="2"/>
  <c r="AL25" i="2"/>
  <c r="AP23" i="2"/>
  <c r="AW17" i="2"/>
  <c r="AS31" i="2"/>
  <c r="AW29" i="2"/>
  <c r="AU28" i="2"/>
  <c r="AS27" i="2"/>
  <c r="AW25" i="2"/>
  <c r="AU24" i="2"/>
  <c r="AS23" i="2"/>
  <c r="AW18" i="2"/>
  <c r="AE25" i="2"/>
  <c r="AS26" i="2"/>
  <c r="BB30" i="2"/>
  <c r="BC30" i="2"/>
  <c r="BA30" i="2"/>
  <c r="AX30" i="2"/>
  <c r="AY30" i="2"/>
  <c r="BA22" i="2"/>
  <c r="BC22" i="2"/>
  <c r="BB22" i="2"/>
  <c r="AX22" i="2"/>
  <c r="W17" i="2"/>
  <c r="Y30" i="2"/>
  <c r="W29" i="2"/>
  <c r="U28" i="2"/>
  <c r="Y26" i="2"/>
  <c r="W25" i="2"/>
  <c r="U24" i="2"/>
  <c r="Y22" i="2"/>
  <c r="W18" i="2"/>
  <c r="AA17" i="2"/>
  <c r="AD30" i="2"/>
  <c r="AB29" i="2"/>
  <c r="Z28" i="2"/>
  <c r="AD26" i="2"/>
  <c r="AB25" i="2"/>
  <c r="Z24" i="2"/>
  <c r="AD22" i="2"/>
  <c r="AK31" i="2"/>
  <c r="AI30" i="2"/>
  <c r="AG29" i="2"/>
  <c r="AK27" i="2"/>
  <c r="AI26" i="2"/>
  <c r="AK23" i="2"/>
  <c r="AI22" i="2"/>
  <c r="AO31" i="2"/>
  <c r="AM30" i="2"/>
  <c r="AQ28" i="2"/>
  <c r="AO27" i="2"/>
  <c r="AM26" i="2"/>
  <c r="AQ24" i="2"/>
  <c r="AO23" i="2"/>
  <c r="AM22" i="2"/>
  <c r="AV17" i="2"/>
  <c r="AR31" i="2"/>
  <c r="AV29" i="2"/>
  <c r="AT28" i="2"/>
  <c r="AR27" i="2"/>
  <c r="AV25" i="2"/>
  <c r="AT24" i="2"/>
  <c r="AR23" i="2"/>
  <c r="BC18" i="2"/>
  <c r="BB18" i="2"/>
  <c r="AQ26" i="2"/>
  <c r="AT26" i="2"/>
  <c r="AN25" i="2"/>
  <c r="BB21" i="2"/>
  <c r="BC21" i="2"/>
  <c r="AX21" i="2"/>
  <c r="U17" i="2"/>
  <c r="X30" i="2"/>
  <c r="V29" i="2"/>
  <c r="T28" i="2"/>
  <c r="X26" i="2"/>
  <c r="V25" i="2"/>
  <c r="T24" i="2"/>
  <c r="X22" i="2"/>
  <c r="V18" i="2"/>
  <c r="AE31" i="2"/>
  <c r="AC30" i="2"/>
  <c r="AA29" i="2"/>
  <c r="AE27" i="2"/>
  <c r="AC26" i="2"/>
  <c r="AA25" i="2"/>
  <c r="AE23" i="2"/>
  <c r="AC22" i="2"/>
  <c r="AA18" i="2"/>
  <c r="AJ31" i="2"/>
  <c r="AF29" i="2"/>
  <c r="AJ27" i="2"/>
  <c r="AF25" i="2"/>
  <c r="AJ23" i="2"/>
  <c r="AL17" i="2"/>
  <c r="AN31" i="2"/>
  <c r="AL30" i="2"/>
  <c r="AP28" i="2"/>
  <c r="AN27" i="2"/>
  <c r="AL26" i="2"/>
  <c r="AP24" i="2"/>
  <c r="AN23" i="2"/>
  <c r="AL22" i="2"/>
  <c r="AU17" i="2"/>
  <c r="AW30" i="2"/>
  <c r="AW26" i="2"/>
  <c r="AU25" i="2"/>
  <c r="AS24" i="2"/>
  <c r="AW22" i="2"/>
  <c r="AU18" i="2"/>
  <c r="AY29" i="2"/>
  <c r="BA29" i="2"/>
  <c r="BB29" i="2"/>
  <c r="BC29" i="2"/>
  <c r="AX29" i="2"/>
  <c r="AX28" i="2"/>
  <c r="BA28" i="2"/>
  <c r="BB28" i="2"/>
  <c r="BC28" i="2"/>
  <c r="AY28" i="2"/>
  <c r="AU20" i="2"/>
  <c r="BB20" i="2"/>
  <c r="BC20" i="2"/>
  <c r="Y31" i="2"/>
  <c r="W30" i="2"/>
  <c r="U29" i="2"/>
  <c r="Y27" i="2"/>
  <c r="W26" i="2"/>
  <c r="U25" i="2"/>
  <c r="Y23" i="2"/>
  <c r="W22" i="2"/>
  <c r="AD31" i="2"/>
  <c r="AB30" i="2"/>
  <c r="Z29" i="2"/>
  <c r="AD27" i="2"/>
  <c r="AB26" i="2"/>
  <c r="Z25" i="2"/>
  <c r="AD23" i="2"/>
  <c r="AB22" i="2"/>
  <c r="AI31" i="2"/>
  <c r="AG30" i="2"/>
  <c r="AK28" i="2"/>
  <c r="AI27" i="2"/>
  <c r="AK24" i="2"/>
  <c r="AI23" i="2"/>
  <c r="AQ17" i="2"/>
  <c r="AM31" i="2"/>
  <c r="AQ29" i="2"/>
  <c r="AO28" i="2"/>
  <c r="AQ25" i="2"/>
  <c r="AO24" i="2"/>
  <c r="AM23" i="2"/>
  <c r="AQ18" i="2"/>
  <c r="AS17" i="2"/>
  <c r="AV30" i="2"/>
  <c r="AT29" i="2"/>
  <c r="AR28" i="2"/>
  <c r="AV26" i="2"/>
  <c r="AR24" i="2"/>
  <c r="AV22" i="2"/>
  <c r="U26" i="2"/>
  <c r="BB25" i="2"/>
  <c r="BC25" i="2"/>
  <c r="BA25" i="2"/>
  <c r="AX25" i="2"/>
  <c r="AX27" i="2"/>
  <c r="BA27" i="2"/>
  <c r="BB27" i="2"/>
  <c r="BC27" i="2"/>
  <c r="AX19" i="2"/>
  <c r="BC19" i="2"/>
  <c r="X31" i="2"/>
  <c r="V30" i="2"/>
  <c r="T29" i="2"/>
  <c r="X27" i="2"/>
  <c r="V26" i="2"/>
  <c r="T25" i="2"/>
  <c r="X23" i="2"/>
  <c r="V22" i="2"/>
  <c r="T18" i="2"/>
  <c r="AC31" i="2"/>
  <c r="AA30" i="2"/>
  <c r="AE28" i="2"/>
  <c r="AC27" i="2"/>
  <c r="AA26" i="2"/>
  <c r="AE24" i="2"/>
  <c r="AC23" i="2"/>
  <c r="AF30" i="2"/>
  <c r="AJ28" i="2"/>
  <c r="AF26" i="2"/>
  <c r="AJ24" i="2"/>
  <c r="AF22" i="2"/>
  <c r="AP17" i="2"/>
  <c r="AL31" i="2"/>
  <c r="AP29" i="2"/>
  <c r="AN28" i="2"/>
  <c r="AL27" i="2"/>
  <c r="AP25" i="2"/>
  <c r="AN24" i="2"/>
  <c r="AL23" i="2"/>
  <c r="AP18" i="2"/>
  <c r="AW31" i="2"/>
  <c r="AU30" i="2"/>
  <c r="AS29" i="2"/>
  <c r="AW27" i="2"/>
  <c r="AU26" i="2"/>
  <c r="AS25" i="2"/>
  <c r="AW23" i="2"/>
  <c r="AU22" i="2"/>
  <c r="AS18" i="2"/>
  <c r="Y21" i="2"/>
  <c r="AL21" i="2"/>
  <c r="X21" i="2"/>
  <c r="AB21" i="2"/>
  <c r="AW21" i="2"/>
  <c r="W21" i="2"/>
  <c r="AF21" i="2"/>
  <c r="AV21" i="2"/>
  <c r="U21" i="2"/>
  <c r="AP21" i="2"/>
  <c r="AT21" i="2"/>
  <c r="T21" i="2"/>
  <c r="AK21" i="2"/>
  <c r="AS21" i="2"/>
  <c r="AE21" i="2"/>
  <c r="AJ21" i="2"/>
  <c r="AN21" i="2"/>
  <c r="AR21" i="2"/>
  <c r="AD21" i="2"/>
  <c r="AM21" i="2"/>
  <c r="V21" i="2"/>
  <c r="Z21" i="2"/>
  <c r="AQ21" i="2"/>
  <c r="AE20" i="2"/>
  <c r="AT20" i="2"/>
  <c r="T20" i="2"/>
  <c r="AD20" i="2"/>
  <c r="AQ20" i="2"/>
  <c r="AP20" i="2"/>
  <c r="Y20" i="2"/>
  <c r="AN20" i="2"/>
  <c r="AC20" i="2"/>
  <c r="AB20" i="2"/>
  <c r="X20" i="2"/>
  <c r="AK20" i="2"/>
  <c r="AW20" i="2"/>
  <c r="U20" i="2"/>
  <c r="AR20" i="2"/>
  <c r="AO20" i="2"/>
  <c r="W20" i="2"/>
  <c r="AJ20" i="2"/>
  <c r="AL20" i="2"/>
  <c r="AV20" i="2"/>
  <c r="V20" i="2"/>
  <c r="AI20" i="2"/>
  <c r="W19" i="2"/>
  <c r="AE19" i="2"/>
  <c r="AF19" i="2"/>
  <c r="AS19" i="2"/>
  <c r="T19" i="2"/>
  <c r="AK19" i="2"/>
  <c r="AW19" i="2"/>
  <c r="Z19" i="2"/>
  <c r="AO19" i="2"/>
  <c r="Y19" i="2"/>
  <c r="AN19" i="2"/>
  <c r="AU19" i="2"/>
  <c r="AL19" i="2"/>
  <c r="AQ19" i="2"/>
  <c r="X19" i="2"/>
  <c r="AM19" i="2"/>
  <c r="V19" i="2"/>
  <c r="AR19" i="2"/>
  <c r="U19" i="2"/>
  <c r="G19" i="38" l="1"/>
  <c r="G11" i="38"/>
  <c r="G16" i="38" s="1"/>
  <c r="G13" i="38"/>
  <c r="G17" i="38" s="1"/>
  <c r="G12" i="38"/>
  <c r="G14" i="38"/>
  <c r="G18" i="38" s="1"/>
  <c r="G10" i="38" l="1"/>
  <c r="G15" i="38" s="1"/>
  <c r="B8" i="33" l="1"/>
  <c r="B17" i="33" s="1"/>
  <c r="F25" i="33"/>
  <c r="B21" i="39" l="1"/>
  <c r="B34" i="39" s="1"/>
  <c r="C21" i="39" l="1"/>
  <c r="F36" i="33"/>
  <c r="F50" i="33"/>
  <c r="F23" i="33"/>
  <c r="F33" i="33"/>
  <c r="F42" i="33"/>
  <c r="F28" i="33"/>
  <c r="F32" i="33"/>
  <c r="F37" i="33"/>
  <c r="F38" i="33"/>
  <c r="F43" i="33"/>
  <c r="F46" i="33"/>
  <c r="F49" i="33"/>
  <c r="F34" i="33"/>
  <c r="F39" i="33"/>
  <c r="F47" i="33"/>
  <c r="F27" i="33"/>
  <c r="F41" i="33"/>
  <c r="F29" i="33"/>
  <c r="F30" i="33"/>
  <c r="F35" i="33"/>
  <c r="F44" i="33"/>
  <c r="F45" i="33"/>
  <c r="F51" i="33"/>
  <c r="F26" i="33"/>
  <c r="F22" i="33"/>
  <c r="F24" i="33"/>
  <c r="F31" i="33"/>
  <c r="F40" i="33"/>
  <c r="F48" i="33"/>
  <c r="B13" i="37" l="1"/>
  <c r="D13" i="37"/>
  <c r="D6" i="37"/>
  <c r="D15" i="37"/>
  <c r="D16" i="37"/>
  <c r="D12" i="37"/>
  <c r="D5" i="37"/>
  <c r="D14" i="37"/>
  <c r="D7" i="37"/>
  <c r="D9" i="37"/>
  <c r="D17" i="37"/>
  <c r="D10" i="37"/>
  <c r="D18" i="37"/>
  <c r="C18" i="37"/>
  <c r="D11" i="37"/>
  <c r="D19" i="37"/>
  <c r="B19" i="37"/>
  <c r="C19" i="37" s="1"/>
  <c r="B16" i="37"/>
  <c r="C16" i="37" s="1"/>
  <c r="B12" i="37"/>
  <c r="F12" i="37" s="1"/>
  <c r="B11" i="37"/>
  <c r="B18" i="37"/>
  <c r="F18" i="37" s="1"/>
  <c r="B10" i="37"/>
  <c r="B17" i="37"/>
  <c r="C17" i="37" s="1"/>
  <c r="B15" i="37"/>
  <c r="F15" i="37" s="1"/>
  <c r="B14" i="37"/>
  <c r="F14" i="37" s="1"/>
  <c r="A18" i="35"/>
  <c r="A19" i="35"/>
  <c r="A6" i="35"/>
  <c r="A7" i="35"/>
  <c r="A8" i="35"/>
  <c r="A9" i="35"/>
  <c r="A10" i="35"/>
  <c r="A11" i="35"/>
  <c r="A12" i="35"/>
  <c r="A13" i="35"/>
  <c r="A14" i="35"/>
  <c r="A15" i="35"/>
  <c r="A16" i="35"/>
  <c r="A17" i="35"/>
  <c r="A5" i="35"/>
  <c r="D5" i="35" s="1"/>
  <c r="E18" i="37" l="1"/>
  <c r="E11" i="37"/>
  <c r="F11" i="37" s="1"/>
  <c r="E12" i="37"/>
  <c r="E16" i="37"/>
  <c r="F16" i="37" s="1"/>
  <c r="E14" i="37"/>
  <c r="E19" i="37"/>
  <c r="F19" i="37" s="1"/>
  <c r="E15" i="37"/>
  <c r="E17" i="37"/>
  <c r="F17" i="37" s="1"/>
  <c r="E10" i="37"/>
  <c r="F10" i="37" s="1"/>
  <c r="E13" i="37"/>
  <c r="F13" i="37" s="1"/>
  <c r="C15" i="37"/>
  <c r="C14" i="37"/>
  <c r="C13" i="37"/>
  <c r="C12" i="37"/>
  <c r="C11" i="37"/>
  <c r="C10" i="37"/>
  <c r="D18" i="35"/>
  <c r="B18" i="35"/>
  <c r="D11" i="35"/>
  <c r="B11" i="35"/>
  <c r="F11" i="35" s="1"/>
  <c r="D6" i="35"/>
  <c r="D10" i="35"/>
  <c r="B10" i="35"/>
  <c r="B15" i="35"/>
  <c r="D15" i="35"/>
  <c r="D7" i="35"/>
  <c r="B14" i="35"/>
  <c r="D14" i="35"/>
  <c r="D13" i="35"/>
  <c r="B13" i="35"/>
  <c r="F13" i="35" s="1"/>
  <c r="D19" i="35"/>
  <c r="B19" i="35"/>
  <c r="F19" i="35" s="1"/>
  <c r="D12" i="35"/>
  <c r="B12" i="35"/>
  <c r="B17" i="35"/>
  <c r="F17" i="35" s="1"/>
  <c r="D17" i="35"/>
  <c r="B9" i="35"/>
  <c r="D9" i="35"/>
  <c r="B16" i="35"/>
  <c r="D16" i="35"/>
  <c r="B8" i="35"/>
  <c r="F8" i="35" s="1"/>
  <c r="D8" i="35"/>
  <c r="C16" i="35" l="1"/>
  <c r="C12" i="35"/>
  <c r="E11" i="35"/>
  <c r="E17" i="35"/>
  <c r="E14" i="35"/>
  <c r="F14" i="35" s="1"/>
  <c r="E12" i="35"/>
  <c r="F12" i="35" s="1"/>
  <c r="E18" i="35"/>
  <c r="F18" i="35" s="1"/>
  <c r="E8" i="35"/>
  <c r="E19" i="35"/>
  <c r="E15" i="35"/>
  <c r="F15" i="35" s="1"/>
  <c r="E16" i="35"/>
  <c r="F16" i="35" s="1"/>
  <c r="E10" i="35"/>
  <c r="F10" i="35" s="1"/>
  <c r="E13" i="35"/>
  <c r="E9" i="35"/>
  <c r="F9" i="35" s="1"/>
  <c r="C19" i="35"/>
  <c r="C13" i="35"/>
  <c r="C17" i="35"/>
  <c r="C11" i="35"/>
  <c r="C14" i="35"/>
  <c r="C9" i="35"/>
  <c r="C10" i="35"/>
  <c r="C18" i="35"/>
  <c r="C15" i="35"/>
  <c r="C8" i="35"/>
  <c r="D54" i="33" l="1"/>
  <c r="H50" i="33" s="1"/>
  <c r="D55" i="33"/>
  <c r="H29" i="33" s="1"/>
  <c r="H31" i="33" l="1"/>
  <c r="H41" i="33"/>
  <c r="H23" i="33"/>
  <c r="H46" i="33"/>
  <c r="H33" i="33"/>
  <c r="H25" i="33"/>
  <c r="H43" i="33"/>
  <c r="H38" i="33"/>
  <c r="H24" i="33"/>
  <c r="H22" i="33"/>
  <c r="H30" i="33"/>
  <c r="H36" i="33"/>
  <c r="C34" i="39"/>
  <c r="C36" i="39" s="1"/>
  <c r="B74" i="25"/>
  <c r="H26" i="33"/>
  <c r="H27" i="33"/>
  <c r="H37" i="33"/>
  <c r="H51" i="33"/>
  <c r="H47" i="33"/>
  <c r="H32" i="33"/>
  <c r="H45" i="33"/>
  <c r="H39" i="33"/>
  <c r="H28" i="33"/>
  <c r="H48" i="33"/>
  <c r="H44" i="33"/>
  <c r="H34" i="33"/>
  <c r="H42" i="33"/>
  <c r="H40" i="33"/>
  <c r="H35" i="33"/>
  <c r="H49" i="33"/>
  <c r="E34" i="39" l="1"/>
  <c r="B8" i="41" l="1"/>
  <c r="Q31" i="2"/>
  <c r="Q30" i="2"/>
  <c r="Q29" i="2"/>
  <c r="Q28" i="2"/>
  <c r="Q27" i="2"/>
  <c r="Q26" i="2"/>
  <c r="Q25" i="2"/>
  <c r="Q24" i="2"/>
  <c r="Q23" i="2"/>
  <c r="Q22" i="2"/>
  <c r="Q21" i="2"/>
  <c r="Q20" i="2"/>
  <c r="AA22" i="2"/>
  <c r="AL18" i="2"/>
  <c r="B13" i="38" s="1"/>
  <c r="B17" i="38" s="1"/>
  <c r="AN17" i="2"/>
  <c r="D13" i="38" s="1"/>
  <c r="D17" i="38" s="1"/>
  <c r="D151" i="2"/>
  <c r="C117" i="2"/>
  <c r="C118" i="2"/>
  <c r="C119" i="2"/>
  <c r="C120" i="2"/>
  <c r="C121" i="2"/>
  <c r="L121" i="2" s="1"/>
  <c r="C122" i="2"/>
  <c r="L122" i="2" s="1"/>
  <c r="C123" i="2"/>
  <c r="L123" i="2" s="1"/>
  <c r="C124" i="2"/>
  <c r="L124" i="2" s="1"/>
  <c r="C125" i="2"/>
  <c r="L125" i="2" s="1"/>
  <c r="C126" i="2"/>
  <c r="L126" i="2" s="1"/>
  <c r="C127" i="2"/>
  <c r="L127" i="2" s="1"/>
  <c r="C128" i="2"/>
  <c r="L128" i="2" s="1"/>
  <c r="C129" i="2"/>
  <c r="L129" i="2" s="1"/>
  <c r="C130" i="2"/>
  <c r="L130" i="2" s="1"/>
  <c r="C40" i="2"/>
  <c r="S117" i="4"/>
  <c r="S106" i="4"/>
  <c r="S107" i="4"/>
  <c r="S109" i="4"/>
  <c r="S110" i="4"/>
  <c r="S111" i="4"/>
  <c r="S112" i="4"/>
  <c r="S113" i="4"/>
  <c r="S102" i="4"/>
  <c r="S103" i="4"/>
  <c r="S101" i="4"/>
  <c r="S90" i="4"/>
  <c r="S91" i="4"/>
  <c r="S92" i="4"/>
  <c r="S94" i="4"/>
  <c r="S95" i="4"/>
  <c r="S89" i="4"/>
  <c r="S73" i="4"/>
  <c r="S74" i="4"/>
  <c r="S75" i="4"/>
  <c r="S76" i="4"/>
  <c r="S77" i="4"/>
  <c r="S78" i="4"/>
  <c r="S79" i="4"/>
  <c r="S80" i="4"/>
  <c r="S85" i="4"/>
  <c r="S86" i="4"/>
  <c r="S87" i="4"/>
  <c r="S72" i="4"/>
  <c r="S69" i="4"/>
  <c r="S70" i="4"/>
  <c r="S66" i="4"/>
  <c r="S63" i="4"/>
  <c r="S64" i="4"/>
  <c r="S62" i="4"/>
  <c r="S35" i="4"/>
  <c r="S37" i="4"/>
  <c r="S38" i="4"/>
  <c r="S40" i="4"/>
  <c r="S43" i="4"/>
  <c r="S46" i="4"/>
  <c r="S47" i="4"/>
  <c r="S49" i="4"/>
  <c r="S51" i="4"/>
  <c r="S52" i="4"/>
  <c r="S53" i="4"/>
  <c r="S57" i="4"/>
  <c r="S58" i="4"/>
  <c r="S59" i="4"/>
  <c r="S60" i="4"/>
  <c r="S33" i="4"/>
  <c r="T58" i="22"/>
  <c r="T7" i="22"/>
  <c r="T8" i="22"/>
  <c r="T9" i="22"/>
  <c r="T10" i="22"/>
  <c r="T11" i="22"/>
  <c r="T12" i="22"/>
  <c r="T13" i="22"/>
  <c r="T14" i="22"/>
  <c r="T15" i="22"/>
  <c r="T16" i="22"/>
  <c r="T17" i="22"/>
  <c r="T18" i="22"/>
  <c r="T19" i="22"/>
  <c r="T20" i="22"/>
  <c r="T21" i="22"/>
  <c r="T22" i="22"/>
  <c r="T23" i="22"/>
  <c r="T24" i="22"/>
  <c r="T25" i="22"/>
  <c r="T26" i="22"/>
  <c r="T27" i="22"/>
  <c r="T28" i="22"/>
  <c r="T29" i="22"/>
  <c r="T30" i="22"/>
  <c r="T31" i="22"/>
  <c r="T32" i="22"/>
  <c r="T33" i="22"/>
  <c r="T34" i="22"/>
  <c r="T35" i="22"/>
  <c r="T36" i="22"/>
  <c r="T37" i="22"/>
  <c r="T38" i="22"/>
  <c r="T39" i="22"/>
  <c r="T40" i="22"/>
  <c r="T41" i="22"/>
  <c r="T42" i="22"/>
  <c r="T43" i="22"/>
  <c r="T44" i="22"/>
  <c r="T45" i="22"/>
  <c r="T46" i="22"/>
  <c r="T47" i="22"/>
  <c r="T48" i="22"/>
  <c r="T49" i="22"/>
  <c r="T50" i="22"/>
  <c r="T51" i="22"/>
  <c r="T52" i="22"/>
  <c r="T53" i="22"/>
  <c r="T54" i="22"/>
  <c r="T55" i="22"/>
  <c r="T56" i="22"/>
  <c r="T57" i="22"/>
  <c r="T59" i="22"/>
  <c r="T60" i="22"/>
  <c r="T61" i="22"/>
  <c r="T62" i="22"/>
  <c r="T63" i="22"/>
  <c r="T64" i="22"/>
  <c r="T65" i="22"/>
  <c r="T66" i="22"/>
  <c r="T67" i="22"/>
  <c r="T68" i="22"/>
  <c r="T69" i="22"/>
  <c r="T70" i="22"/>
  <c r="T71" i="22"/>
  <c r="T72" i="22"/>
  <c r="T73" i="22"/>
  <c r="T74" i="22"/>
  <c r="T75" i="22"/>
  <c r="T76" i="22"/>
  <c r="T77" i="22"/>
  <c r="T78" i="22"/>
  <c r="T79" i="22"/>
  <c r="T80" i="22"/>
  <c r="T81" i="22"/>
  <c r="T82" i="22"/>
  <c r="T83" i="22"/>
  <c r="T84" i="22"/>
  <c r="T85" i="22"/>
  <c r="T86" i="22"/>
  <c r="T87" i="22"/>
  <c r="T88" i="22"/>
  <c r="T89" i="22"/>
  <c r="T90" i="22"/>
  <c r="T91" i="22"/>
  <c r="T96" i="22"/>
  <c r="T97" i="22"/>
  <c r="T98" i="22"/>
  <c r="T99" i="22"/>
  <c r="T100" i="22"/>
  <c r="T101" i="22"/>
  <c r="T102" i="22"/>
  <c r="T103" i="22"/>
  <c r="T104" i="22"/>
  <c r="T105" i="22"/>
  <c r="T106" i="22"/>
  <c r="T107" i="22"/>
  <c r="T108" i="22"/>
  <c r="T109" i="22"/>
  <c r="T112" i="22"/>
  <c r="T113" i="22"/>
  <c r="T114" i="22"/>
  <c r="L12" i="4"/>
  <c r="L13" i="4"/>
  <c r="L14" i="4"/>
  <c r="L15" i="4"/>
  <c r="L16" i="4"/>
  <c r="L17" i="4"/>
  <c r="L18" i="4"/>
  <c r="L19" i="4"/>
  <c r="L21" i="4"/>
  <c r="L22" i="4"/>
  <c r="L23" i="4"/>
  <c r="L24" i="4"/>
  <c r="L25" i="4"/>
  <c r="L26" i="4"/>
  <c r="L27" i="4"/>
  <c r="L28" i="4"/>
  <c r="L30" i="4"/>
  <c r="L31" i="4"/>
  <c r="L11" i="4"/>
  <c r="R67" i="4"/>
  <c r="S67" i="4" s="1"/>
  <c r="R68" i="4"/>
  <c r="S68" i="4" s="1"/>
  <c r="R105" i="4"/>
  <c r="S105" i="4" s="1"/>
  <c r="A31" i="12"/>
  <c r="E31" i="12" s="1"/>
  <c r="A32" i="12"/>
  <c r="D32" i="12" s="1"/>
  <c r="A33" i="12"/>
  <c r="E33" i="12" s="1"/>
  <c r="A34" i="12"/>
  <c r="E34" i="12" s="1"/>
  <c r="A35" i="12"/>
  <c r="B35" i="12" s="1"/>
  <c r="A36" i="12"/>
  <c r="E36" i="12" s="1"/>
  <c r="A37" i="12"/>
  <c r="C37" i="12" s="1"/>
  <c r="A38" i="12"/>
  <c r="B38" i="12" s="1"/>
  <c r="A39" i="12"/>
  <c r="D39" i="12" s="1"/>
  <c r="A40" i="12"/>
  <c r="A41" i="12"/>
  <c r="E41" i="12" s="1"/>
  <c r="A42" i="12"/>
  <c r="F42" i="12" s="1"/>
  <c r="A43" i="12"/>
  <c r="B43" i="12" s="1"/>
  <c r="A44" i="12"/>
  <c r="F44" i="12" s="1"/>
  <c r="A30" i="12"/>
  <c r="D30" i="12" s="1"/>
  <c r="M117" i="2"/>
  <c r="N117" i="2"/>
  <c r="M118" i="2"/>
  <c r="N118" i="2"/>
  <c r="M119" i="2"/>
  <c r="N119" i="2"/>
  <c r="M120" i="2"/>
  <c r="N120" i="2"/>
  <c r="G121" i="2"/>
  <c r="H121" i="2"/>
  <c r="I121" i="2"/>
  <c r="M121" i="2"/>
  <c r="N121" i="2"/>
  <c r="O121" i="2"/>
  <c r="M122" i="2"/>
  <c r="N122" i="2"/>
  <c r="G123" i="2"/>
  <c r="H123" i="2"/>
  <c r="I123" i="2"/>
  <c r="M123" i="2"/>
  <c r="N123" i="2"/>
  <c r="O123" i="2"/>
  <c r="G124" i="2"/>
  <c r="H124" i="2"/>
  <c r="I124" i="2"/>
  <c r="M124" i="2"/>
  <c r="N124" i="2"/>
  <c r="O124" i="2"/>
  <c r="M125" i="2"/>
  <c r="N125" i="2"/>
  <c r="M126" i="2"/>
  <c r="N126" i="2"/>
  <c r="G127" i="2"/>
  <c r="H127" i="2"/>
  <c r="I127" i="2"/>
  <c r="M127" i="2"/>
  <c r="N127" i="2"/>
  <c r="O127" i="2"/>
  <c r="G128" i="2"/>
  <c r="H128" i="2"/>
  <c r="I128" i="2"/>
  <c r="M128" i="2"/>
  <c r="N128" i="2"/>
  <c r="O128" i="2"/>
  <c r="G129" i="2"/>
  <c r="H129" i="2"/>
  <c r="I129" i="2"/>
  <c r="M129" i="2"/>
  <c r="N129" i="2"/>
  <c r="O129" i="2"/>
  <c r="M130" i="2"/>
  <c r="N130" i="2"/>
  <c r="N116" i="2"/>
  <c r="M116" i="2"/>
  <c r="F117" i="2"/>
  <c r="J117" i="2" s="1"/>
  <c r="F118" i="2"/>
  <c r="F119" i="2"/>
  <c r="J119" i="2" s="1"/>
  <c r="F120" i="2"/>
  <c r="J120" i="2" s="1"/>
  <c r="F121" i="2"/>
  <c r="J121" i="2" s="1"/>
  <c r="F122" i="2"/>
  <c r="J122" i="2" s="1"/>
  <c r="F123" i="2"/>
  <c r="F124" i="2"/>
  <c r="J124" i="2" s="1"/>
  <c r="F125" i="2"/>
  <c r="F126" i="2"/>
  <c r="J126" i="2" s="1"/>
  <c r="F127" i="2"/>
  <c r="F128" i="2"/>
  <c r="J128" i="2" s="1"/>
  <c r="F129" i="2"/>
  <c r="F130" i="2"/>
  <c r="J130" i="2" s="1"/>
  <c r="F116" i="2"/>
  <c r="B137" i="2"/>
  <c r="B138" i="2"/>
  <c r="B139" i="2"/>
  <c r="B140" i="2"/>
  <c r="B141" i="2"/>
  <c r="B142" i="2"/>
  <c r="B143" i="2"/>
  <c r="B144" i="2"/>
  <c r="B145" i="2"/>
  <c r="B146" i="2"/>
  <c r="B147" i="2"/>
  <c r="B148" i="2"/>
  <c r="B149" i="2"/>
  <c r="B150" i="2"/>
  <c r="B136" i="2"/>
  <c r="F105" i="4"/>
  <c r="C105" i="4"/>
  <c r="B85" i="4"/>
  <c r="F85" i="4"/>
  <c r="G60" i="4"/>
  <c r="H60" i="4" s="1"/>
  <c r="M60" i="4" s="1"/>
  <c r="B60" i="4"/>
  <c r="M34" i="4"/>
  <c r="M36" i="4"/>
  <c r="M38" i="4"/>
  <c r="M40" i="4"/>
  <c r="M41" i="4"/>
  <c r="M42" i="4"/>
  <c r="M43" i="4"/>
  <c r="M44" i="4"/>
  <c r="M45" i="4"/>
  <c r="M46" i="4"/>
  <c r="M48" i="4"/>
  <c r="M50" i="4"/>
  <c r="M51" i="4"/>
  <c r="M94" i="4"/>
  <c r="B107" i="4"/>
  <c r="F107" i="4"/>
  <c r="H107" i="4"/>
  <c r="M107" i="4" s="1"/>
  <c r="M87" i="4"/>
  <c r="M86" i="4"/>
  <c r="O87" i="4"/>
  <c r="O86" i="4"/>
  <c r="N87" i="4"/>
  <c r="N86" i="4"/>
  <c r="L87" i="4"/>
  <c r="L86" i="4"/>
  <c r="H87" i="4"/>
  <c r="H86" i="4"/>
  <c r="F86" i="4"/>
  <c r="F87" i="4"/>
  <c r="B87" i="4"/>
  <c r="B86" i="4"/>
  <c r="F34" i="4"/>
  <c r="F35" i="4"/>
  <c r="F36" i="4"/>
  <c r="F37" i="4"/>
  <c r="F57" i="4"/>
  <c r="F58" i="4"/>
  <c r="F59" i="4"/>
  <c r="F112" i="4"/>
  <c r="F111" i="4"/>
  <c r="F106" i="4"/>
  <c r="F103" i="4"/>
  <c r="F95" i="4"/>
  <c r="F94" i="4"/>
  <c r="F92" i="4"/>
  <c r="F91" i="4"/>
  <c r="M62" i="4"/>
  <c r="M95" i="4"/>
  <c r="M53" i="4"/>
  <c r="M52" i="4"/>
  <c r="R93" i="4"/>
  <c r="S93" i="4" s="1"/>
  <c r="H93" i="4"/>
  <c r="B93" i="4"/>
  <c r="M64" i="4"/>
  <c r="M63" i="4"/>
  <c r="N91" i="4"/>
  <c r="N92" i="4"/>
  <c r="O92" i="4"/>
  <c r="O91" i="4"/>
  <c r="O103" i="4"/>
  <c r="O102" i="4"/>
  <c r="O101" i="4"/>
  <c r="N103" i="4"/>
  <c r="N102" i="4"/>
  <c r="N101" i="4"/>
  <c r="H112" i="4"/>
  <c r="M112" i="4" s="1"/>
  <c r="H113" i="4"/>
  <c r="M113" i="4" s="1"/>
  <c r="H111" i="4"/>
  <c r="M111" i="4" s="1"/>
  <c r="B113" i="4"/>
  <c r="B112" i="4"/>
  <c r="B111" i="4"/>
  <c r="G110" i="4"/>
  <c r="H110" i="4" s="1"/>
  <c r="M110" i="4" s="1"/>
  <c r="B110" i="4"/>
  <c r="H109" i="4"/>
  <c r="B109" i="4"/>
  <c r="H106" i="4"/>
  <c r="M106" i="4"/>
  <c r="Q58" i="4"/>
  <c r="H58" i="4"/>
  <c r="M58" i="4" s="1"/>
  <c r="H57" i="4"/>
  <c r="B57" i="4"/>
  <c r="H49" i="4"/>
  <c r="M49" i="4" s="1"/>
  <c r="H35" i="4"/>
  <c r="M35" i="4" s="1"/>
  <c r="B35" i="4"/>
  <c r="H37" i="4"/>
  <c r="M37" i="4" s="1"/>
  <c r="B37" i="4"/>
  <c r="B47" i="4"/>
  <c r="G47" i="4" s="1"/>
  <c r="C66" i="4"/>
  <c r="G66" i="4" s="1"/>
  <c r="R83" i="4"/>
  <c r="S83" i="4" s="1"/>
  <c r="S84" i="4"/>
  <c r="R82" i="4"/>
  <c r="S82" i="4" s="1"/>
  <c r="R81" i="4"/>
  <c r="S81" i="4" s="1"/>
  <c r="C84" i="4"/>
  <c r="H84" i="4" s="1"/>
  <c r="C83" i="4"/>
  <c r="F83" i="4" s="1"/>
  <c r="C82" i="4"/>
  <c r="F82" i="4" s="1"/>
  <c r="F81" i="4"/>
  <c r="C81" i="4"/>
  <c r="G81" i="4" s="1"/>
  <c r="H81" i="4" s="1"/>
  <c r="H83" i="4"/>
  <c r="H59" i="4"/>
  <c r="M59" i="4" s="1"/>
  <c r="B59" i="4"/>
  <c r="F38" i="4"/>
  <c r="F22" i="4"/>
  <c r="R55" i="4"/>
  <c r="S55" i="4" s="1"/>
  <c r="R56" i="4"/>
  <c r="S56" i="4" s="1"/>
  <c r="L56" i="4"/>
  <c r="L55" i="4"/>
  <c r="L54" i="4"/>
  <c r="G56" i="4"/>
  <c r="H56" i="4" s="1"/>
  <c r="G54" i="4"/>
  <c r="F54" i="4" s="1"/>
  <c r="G55" i="4"/>
  <c r="H55" i="4" s="1"/>
  <c r="B55" i="4"/>
  <c r="B56" i="4"/>
  <c r="B54" i="4"/>
  <c r="B39" i="4"/>
  <c r="B58" i="4"/>
  <c r="Q24" i="4"/>
  <c r="H103" i="4"/>
  <c r="B103" i="4"/>
  <c r="G102" i="4"/>
  <c r="B102" i="4"/>
  <c r="G101" i="4"/>
  <c r="F101" i="4" s="1"/>
  <c r="B101" i="4"/>
  <c r="H92" i="4"/>
  <c r="B92" i="4"/>
  <c r="L92" i="4" s="1"/>
  <c r="H91" i="4"/>
  <c r="B91" i="4"/>
  <c r="L91" i="4" s="1"/>
  <c r="C90" i="4"/>
  <c r="C89" i="4"/>
  <c r="G89" i="4" s="1"/>
  <c r="H89" i="4" s="1"/>
  <c r="C80" i="4"/>
  <c r="G80" i="4" s="1"/>
  <c r="H80" i="4" s="1"/>
  <c r="M80" i="4" s="1"/>
  <c r="C79" i="4"/>
  <c r="G79" i="4" s="1"/>
  <c r="C78" i="4"/>
  <c r="G78" i="4"/>
  <c r="H78" i="4" s="1"/>
  <c r="M78" i="4" s="1"/>
  <c r="C77" i="4"/>
  <c r="C76" i="4"/>
  <c r="G76" i="4" s="1"/>
  <c r="H76" i="4" s="1"/>
  <c r="M76" i="4" s="1"/>
  <c r="C75" i="4"/>
  <c r="Q19" i="2" s="1"/>
  <c r="C74" i="4"/>
  <c r="C73" i="4"/>
  <c r="G73" i="4" s="1"/>
  <c r="H73" i="4" s="1"/>
  <c r="M73" i="4" s="1"/>
  <c r="C72" i="4"/>
  <c r="G72" i="4" s="1"/>
  <c r="H72" i="4" s="1"/>
  <c r="M72" i="4" s="1"/>
  <c r="C70" i="4"/>
  <c r="G70" i="4" s="1"/>
  <c r="C69" i="4"/>
  <c r="G69" i="4" s="1"/>
  <c r="H69" i="4" s="1"/>
  <c r="M69" i="4" s="1"/>
  <c r="C68" i="4"/>
  <c r="G68" i="4" s="1"/>
  <c r="C67" i="4"/>
  <c r="Q18" i="2" s="1"/>
  <c r="F64" i="4"/>
  <c r="F63" i="4"/>
  <c r="F62" i="4"/>
  <c r="R54" i="4"/>
  <c r="S54" i="4" s="1"/>
  <c r="C53" i="4"/>
  <c r="G53" i="4" s="1"/>
  <c r="F53" i="4" s="1"/>
  <c r="Q52" i="4"/>
  <c r="C52" i="4"/>
  <c r="G52" i="4"/>
  <c r="F52" i="4" s="1"/>
  <c r="F51" i="4"/>
  <c r="R50" i="4"/>
  <c r="S50" i="4" s="1"/>
  <c r="Q50" i="4"/>
  <c r="D8" i="37" s="1"/>
  <c r="F50" i="4"/>
  <c r="F49" i="4"/>
  <c r="R48" i="4"/>
  <c r="S48" i="4" s="1"/>
  <c r="F48" i="4"/>
  <c r="F46" i="4"/>
  <c r="R45" i="4"/>
  <c r="S45" i="4" s="1"/>
  <c r="F45" i="4"/>
  <c r="R44" i="4"/>
  <c r="S44" i="4" s="1"/>
  <c r="F44" i="4"/>
  <c r="Q43" i="4"/>
  <c r="F43" i="4"/>
  <c r="R42" i="4"/>
  <c r="S42" i="4" s="1"/>
  <c r="Q42" i="4"/>
  <c r="F42" i="4"/>
  <c r="R41" i="4"/>
  <c r="S41" i="4" s="1"/>
  <c r="Q41" i="4"/>
  <c r="F41" i="4"/>
  <c r="F40" i="4"/>
  <c r="R39" i="4"/>
  <c r="S39" i="4" s="1"/>
  <c r="H39" i="4"/>
  <c r="M39" i="4" s="1"/>
  <c r="F39" i="4"/>
  <c r="Q38" i="4"/>
  <c r="R36" i="4"/>
  <c r="S36" i="4" s="1"/>
  <c r="Q36" i="4"/>
  <c r="R34" i="4"/>
  <c r="S34" i="4" s="1"/>
  <c r="Q34" i="4"/>
  <c r="C33" i="4"/>
  <c r="G126" i="2" s="1"/>
  <c r="R31" i="4"/>
  <c r="S31" i="4" s="1"/>
  <c r="Q31" i="4"/>
  <c r="I31" i="4"/>
  <c r="C31" i="4"/>
  <c r="F31" i="4"/>
  <c r="R30" i="4"/>
  <c r="S30" i="4" s="1"/>
  <c r="I30" i="4"/>
  <c r="C30" i="4"/>
  <c r="G122" i="2" s="1"/>
  <c r="F30" i="4"/>
  <c r="R29" i="4"/>
  <c r="S29" i="4" s="1"/>
  <c r="Q29" i="4"/>
  <c r="I29" i="4"/>
  <c r="C29" i="4"/>
  <c r="F29" i="4"/>
  <c r="R28" i="4"/>
  <c r="S28" i="4" s="1"/>
  <c r="Q28" i="4"/>
  <c r="I28" i="4"/>
  <c r="C28" i="4"/>
  <c r="G120" i="2" s="1"/>
  <c r="F28" i="4"/>
  <c r="R27" i="4"/>
  <c r="S27" i="4" s="1"/>
  <c r="Q27" i="4"/>
  <c r="I27" i="4"/>
  <c r="C27" i="4"/>
  <c r="G119" i="2" s="1"/>
  <c r="F27" i="4"/>
  <c r="R26" i="4"/>
  <c r="S26" i="4" s="1"/>
  <c r="Q26" i="4"/>
  <c r="I26" i="4"/>
  <c r="C26" i="4"/>
  <c r="G118" i="2" s="1"/>
  <c r="F26" i="4"/>
  <c r="R25" i="4"/>
  <c r="S25" i="4" s="1"/>
  <c r="Q25" i="4"/>
  <c r="I25" i="4"/>
  <c r="C25" i="4"/>
  <c r="G117" i="2" s="1"/>
  <c r="F25" i="4"/>
  <c r="R24" i="4"/>
  <c r="S24" i="4" s="1"/>
  <c r="I24" i="4"/>
  <c r="C24" i="4"/>
  <c r="G116" i="2" s="1"/>
  <c r="F24" i="4"/>
  <c r="R23" i="4"/>
  <c r="S23" i="4" s="1"/>
  <c r="I23" i="4"/>
  <c r="C23" i="4"/>
  <c r="F23" i="4"/>
  <c r="R22" i="4"/>
  <c r="S22" i="4" s="1"/>
  <c r="Q22" i="4"/>
  <c r="I22" i="4"/>
  <c r="C22" i="4"/>
  <c r="G130" i="2" s="1"/>
  <c r="R21" i="4"/>
  <c r="S21" i="4" s="1"/>
  <c r="Q21" i="4"/>
  <c r="I21" i="4"/>
  <c r="C21" i="4"/>
  <c r="F21" i="4"/>
  <c r="R20" i="4"/>
  <c r="S20" i="4" s="1"/>
  <c r="Q20" i="4"/>
  <c r="I20" i="4"/>
  <c r="C20" i="4"/>
  <c r="F20" i="4"/>
  <c r="G20" i="4" s="1"/>
  <c r="H20" i="4" s="1"/>
  <c r="M20" i="4" s="1"/>
  <c r="R19" i="4"/>
  <c r="S19" i="4" s="1"/>
  <c r="Q19" i="4"/>
  <c r="I19" i="4"/>
  <c r="C19" i="4"/>
  <c r="F19" i="4"/>
  <c r="R18" i="4"/>
  <c r="S18" i="4" s="1"/>
  <c r="Q18" i="4"/>
  <c r="I18" i="4"/>
  <c r="C18" i="4"/>
  <c r="F18" i="4"/>
  <c r="R17" i="4"/>
  <c r="S17" i="4" s="1"/>
  <c r="Q17" i="4"/>
  <c r="I17" i="4"/>
  <c r="C17" i="4"/>
  <c r="F17" i="4"/>
  <c r="R16" i="4"/>
  <c r="S16" i="4" s="1"/>
  <c r="Q16" i="4"/>
  <c r="I16" i="4"/>
  <c r="C16" i="4"/>
  <c r="F16" i="4"/>
  <c r="R15" i="4"/>
  <c r="S15" i="4" s="1"/>
  <c r="Q15" i="4"/>
  <c r="I15" i="4"/>
  <c r="C15" i="4"/>
  <c r="F15" i="4"/>
  <c r="R14" i="4"/>
  <c r="S14" i="4" s="1"/>
  <c r="Q14" i="4"/>
  <c r="I14" i="4"/>
  <c r="C14" i="4"/>
  <c r="H14" i="4" s="1"/>
  <c r="M14" i="4" s="1"/>
  <c r="G14" i="4"/>
  <c r="R13" i="4"/>
  <c r="S13" i="4" s="1"/>
  <c r="Q13" i="4"/>
  <c r="I13" i="4"/>
  <c r="C13" i="4"/>
  <c r="G13" i="4"/>
  <c r="R12" i="4"/>
  <c r="S12" i="4" s="1"/>
  <c r="Q12" i="4"/>
  <c r="Q30" i="4" s="1"/>
  <c r="I12" i="4"/>
  <c r="C12" i="4"/>
  <c r="G12" i="4"/>
  <c r="F12" i="4" s="1"/>
  <c r="R11" i="4"/>
  <c r="S11" i="4" s="1"/>
  <c r="Q11" i="4"/>
  <c r="I11" i="4"/>
  <c r="C11" i="4"/>
  <c r="G11" i="4"/>
  <c r="F11" i="4" s="1"/>
  <c r="A2" i="4"/>
  <c r="B2" i="4"/>
  <c r="C2" i="4" s="1"/>
  <c r="D2" i="4" s="1"/>
  <c r="E2" i="4" s="1"/>
  <c r="F2" i="4" s="1"/>
  <c r="G2" i="4" s="1"/>
  <c r="H2" i="4" s="1"/>
  <c r="I2" i="4" s="1"/>
  <c r="J2" i="4" s="1"/>
  <c r="K2" i="4" s="1"/>
  <c r="L2" i="4" s="1"/>
  <c r="M2" i="4" s="1"/>
  <c r="N2" i="4" s="1"/>
  <c r="O2" i="4" s="1"/>
  <c r="P2" i="4" s="1"/>
  <c r="Q2" i="4" s="1"/>
  <c r="R2" i="4" s="1"/>
  <c r="V2" i="4" s="1"/>
  <c r="W2" i="4" s="1"/>
  <c r="AZ21" i="2"/>
  <c r="AX23" i="2"/>
  <c r="AZ28" i="2"/>
  <c r="AZ29" i="2"/>
  <c r="F102" i="4"/>
  <c r="H101" i="4"/>
  <c r="M101" i="4" s="1"/>
  <c r="B52" i="4"/>
  <c r="G77" i="4"/>
  <c r="H77" i="4" s="1"/>
  <c r="M77" i="4" s="1"/>
  <c r="G27" i="4"/>
  <c r="H27" i="4" s="1"/>
  <c r="H102" i="4"/>
  <c r="M102" i="4" s="1"/>
  <c r="H12" i="4"/>
  <c r="M12" i="4" s="1"/>
  <c r="AY18" i="2" l="1"/>
  <c r="BA18" i="2"/>
  <c r="D35" i="12"/>
  <c r="D44" i="12"/>
  <c r="E39" i="12"/>
  <c r="D40" i="12"/>
  <c r="F36" i="12"/>
  <c r="D36" i="12"/>
  <c r="AZ27" i="2"/>
  <c r="AY27" i="2"/>
  <c r="AZ26" i="2"/>
  <c r="AY26" i="2"/>
  <c r="B36" i="12"/>
  <c r="AZ25" i="2"/>
  <c r="AY25" i="2"/>
  <c r="E37" i="12"/>
  <c r="AZ24" i="2"/>
  <c r="AY24" i="2"/>
  <c r="AZ23" i="2"/>
  <c r="AY23" i="2"/>
  <c r="AY22" i="2"/>
  <c r="AZ22" i="2"/>
  <c r="C39" i="12"/>
  <c r="F43" i="12"/>
  <c r="C43" i="12"/>
  <c r="E43" i="12"/>
  <c r="G15" i="4"/>
  <c r="H15" i="4" s="1"/>
  <c r="G28" i="4"/>
  <c r="H120" i="2" s="1"/>
  <c r="K120" i="2" s="1"/>
  <c r="G105" i="4"/>
  <c r="H105" i="4" s="1"/>
  <c r="J118" i="2"/>
  <c r="G17" i="4"/>
  <c r="H17" i="4" s="1"/>
  <c r="M17" i="4" s="1"/>
  <c r="G90" i="4"/>
  <c r="H90" i="4" s="1"/>
  <c r="H54" i="4"/>
  <c r="F38" i="12"/>
  <c r="M103" i="4"/>
  <c r="G22" i="4"/>
  <c r="H22" i="4" s="1"/>
  <c r="H13" i="4"/>
  <c r="M13" i="4" s="1"/>
  <c r="G31" i="4"/>
  <c r="H31" i="4" s="1"/>
  <c r="M31" i="4" s="1"/>
  <c r="M92" i="4"/>
  <c r="F35" i="12"/>
  <c r="C35" i="12"/>
  <c r="BA21" i="2"/>
  <c r="AY21" i="2"/>
  <c r="B34" i="12"/>
  <c r="B41" i="12"/>
  <c r="B39" i="12"/>
  <c r="F39" i="12"/>
  <c r="E40" i="12"/>
  <c r="C44" i="12"/>
  <c r="F34" i="12"/>
  <c r="D42" i="12"/>
  <c r="C42" i="12"/>
  <c r="C34" i="12"/>
  <c r="E42" i="12"/>
  <c r="D34" i="12"/>
  <c r="B42" i="12"/>
  <c r="B33" i="12"/>
  <c r="BA19" i="2"/>
  <c r="AY19" i="2"/>
  <c r="C32" i="12"/>
  <c r="F32" i="12"/>
  <c r="BB19" i="2"/>
  <c r="F19" i="38" s="1"/>
  <c r="AZ19" i="2"/>
  <c r="F33" i="12"/>
  <c r="AX18" i="2"/>
  <c r="AZ18" i="2"/>
  <c r="C31" i="12"/>
  <c r="E8" i="41"/>
  <c r="F8" i="41" s="1"/>
  <c r="C8" i="41"/>
  <c r="P28" i="2"/>
  <c r="E9" i="41"/>
  <c r="F9" i="41" s="1"/>
  <c r="C9" i="41"/>
  <c r="E17" i="41"/>
  <c r="F17" i="41" s="1"/>
  <c r="C17" i="41"/>
  <c r="P27" i="2"/>
  <c r="P30" i="2"/>
  <c r="P23" i="2"/>
  <c r="P31" i="2"/>
  <c r="P22" i="2"/>
  <c r="E12" i="41"/>
  <c r="F12" i="41" s="1"/>
  <c r="C12" i="41"/>
  <c r="P25" i="2"/>
  <c r="P26" i="2"/>
  <c r="H70" i="4"/>
  <c r="M70" i="4" s="1"/>
  <c r="G125" i="2"/>
  <c r="H82" i="4"/>
  <c r="G67" i="4"/>
  <c r="H125" i="2" s="1"/>
  <c r="K125" i="2" s="1"/>
  <c r="G16" i="4"/>
  <c r="H16" i="4" s="1"/>
  <c r="M16" i="4" s="1"/>
  <c r="H119" i="2"/>
  <c r="K119" i="2" s="1"/>
  <c r="G29" i="4"/>
  <c r="H29" i="4" s="1"/>
  <c r="M29" i="4" s="1"/>
  <c r="H33" i="4"/>
  <c r="G18" i="4"/>
  <c r="H18" i="4" s="1"/>
  <c r="M18" i="4" s="1"/>
  <c r="G21" i="4"/>
  <c r="G23" i="4"/>
  <c r="H23" i="4" s="1"/>
  <c r="M23" i="4" s="1"/>
  <c r="G25" i="4"/>
  <c r="H117" i="2" s="1"/>
  <c r="K117" i="2" s="1"/>
  <c r="H66" i="4"/>
  <c r="G33" i="4"/>
  <c r="H126" i="2" s="1"/>
  <c r="K126" i="2" s="1"/>
  <c r="G19" i="4"/>
  <c r="H19" i="4" s="1"/>
  <c r="M19" i="4" s="1"/>
  <c r="G75" i="4"/>
  <c r="H75" i="4" s="1"/>
  <c r="M75" i="4" s="1"/>
  <c r="E35" i="12"/>
  <c r="D43" i="12"/>
  <c r="D37" i="12"/>
  <c r="C30" i="12"/>
  <c r="B30" i="12"/>
  <c r="E30" i="12"/>
  <c r="B37" i="12"/>
  <c r="F37" i="12"/>
  <c r="C38" i="12"/>
  <c r="D38" i="12"/>
  <c r="F30" i="12"/>
  <c r="E38" i="12"/>
  <c r="B44" i="12"/>
  <c r="C36" i="12"/>
  <c r="E44" i="12"/>
  <c r="M22" i="4"/>
  <c r="O130" i="2" s="1"/>
  <c r="I130" i="2"/>
  <c r="I119" i="2"/>
  <c r="M27" i="4"/>
  <c r="O119" i="2" s="1"/>
  <c r="H28" i="4"/>
  <c r="H79" i="4"/>
  <c r="M79" i="4" s="1"/>
  <c r="H130" i="2"/>
  <c r="K130" i="2" s="1"/>
  <c r="F14" i="4"/>
  <c r="H11" i="4"/>
  <c r="M11" i="4" s="1"/>
  <c r="F55" i="4"/>
  <c r="G30" i="4"/>
  <c r="H122" i="2" s="1"/>
  <c r="K122" i="2" s="1"/>
  <c r="M91" i="4"/>
  <c r="G74" i="4"/>
  <c r="H74" i="4" s="1"/>
  <c r="M74" i="4" s="1"/>
  <c r="G26" i="4"/>
  <c r="H118" i="2" s="1"/>
  <c r="K118" i="2" s="1"/>
  <c r="AZ31" i="2"/>
  <c r="L120" i="2"/>
  <c r="L119" i="2"/>
  <c r="L118" i="2"/>
  <c r="F41" i="12"/>
  <c r="C41" i="12"/>
  <c r="C33" i="12"/>
  <c r="D41" i="12"/>
  <c r="D33" i="12"/>
  <c r="AO21" i="2"/>
  <c r="E13" i="38" s="1"/>
  <c r="E17" i="38" s="1"/>
  <c r="AU21" i="2"/>
  <c r="E14" i="38" s="1"/>
  <c r="E18" i="38" s="1"/>
  <c r="B9" i="37"/>
  <c r="F9" i="37" s="1"/>
  <c r="AM20" i="2"/>
  <c r="C13" i="38" s="1"/>
  <c r="C17" i="38" s="1"/>
  <c r="P20" i="2"/>
  <c r="AS20" i="2"/>
  <c r="C14" i="38" s="1"/>
  <c r="C18" i="38" s="1"/>
  <c r="B8" i="37"/>
  <c r="AP19" i="2"/>
  <c r="F13" i="38" s="1"/>
  <c r="F17" i="38" s="1"/>
  <c r="E32" i="12"/>
  <c r="B32" i="12"/>
  <c r="B40" i="12"/>
  <c r="F40" i="12"/>
  <c r="AZ30" i="2"/>
  <c r="C40" i="12"/>
  <c r="H30" i="4"/>
  <c r="F47" i="4"/>
  <c r="H47" i="4"/>
  <c r="M47" i="4" s="1"/>
  <c r="M15" i="4"/>
  <c r="F13" i="4"/>
  <c r="H68" i="4"/>
  <c r="M68" i="4" s="1"/>
  <c r="L117" i="2"/>
  <c r="B53" i="4"/>
  <c r="H21" i="4"/>
  <c r="M21" i="4" s="1"/>
  <c r="F56" i="4"/>
  <c r="F84" i="4"/>
  <c r="G24" i="4"/>
  <c r="H116" i="2" s="1"/>
  <c r="K116" i="2" s="1"/>
  <c r="J116" i="2"/>
  <c r="L116" i="2"/>
  <c r="K129" i="2"/>
  <c r="B31" i="12"/>
  <c r="F31" i="12"/>
  <c r="D31" i="12"/>
  <c r="K121" i="2"/>
  <c r="K128" i="2"/>
  <c r="K123" i="2"/>
  <c r="J129" i="2"/>
  <c r="AH29" i="2"/>
  <c r="AH31" i="2"/>
  <c r="K127" i="2"/>
  <c r="AH30" i="2"/>
  <c r="J125" i="2"/>
  <c r="AH28" i="2"/>
  <c r="K124" i="2"/>
  <c r="P21" i="2"/>
  <c r="P29" i="2"/>
  <c r="J127" i="2"/>
  <c r="J123" i="2"/>
  <c r="P24" i="2"/>
  <c r="C35" i="2"/>
  <c r="Q17" i="2"/>
  <c r="N32" i="2" l="1"/>
  <c r="M32" i="2"/>
  <c r="O32" i="2"/>
  <c r="P66" i="7"/>
  <c r="R66" i="7" s="1"/>
  <c r="W66" i="7"/>
  <c r="B66" i="7"/>
  <c r="D66" i="7" s="1"/>
  <c r="I66" i="7"/>
  <c r="K66" i="7" s="1"/>
  <c r="P64" i="7"/>
  <c r="R64" i="7" s="1"/>
  <c r="W64" i="7"/>
  <c r="B64" i="7"/>
  <c r="D64" i="7" s="1"/>
  <c r="I64" i="7"/>
  <c r="K64" i="7" s="1"/>
  <c r="P61" i="7"/>
  <c r="W61" i="7"/>
  <c r="I61" i="7"/>
  <c r="K61" i="7" s="1"/>
  <c r="B61" i="7"/>
  <c r="D61" i="7" s="1"/>
  <c r="P71" i="7"/>
  <c r="R71" i="7" s="1"/>
  <c r="W71" i="7"/>
  <c r="B71" i="7"/>
  <c r="D71" i="7" s="1"/>
  <c r="I71" i="7"/>
  <c r="K71" i="7" s="1"/>
  <c r="P69" i="7"/>
  <c r="R69" i="7" s="1"/>
  <c r="W69" i="7"/>
  <c r="I69" i="7"/>
  <c r="K69" i="7" s="1"/>
  <c r="B69" i="7"/>
  <c r="D69" i="7" s="1"/>
  <c r="P62" i="7"/>
  <c r="R62" i="7" s="1"/>
  <c r="W62" i="7"/>
  <c r="I62" i="7"/>
  <c r="K62" i="7" s="1"/>
  <c r="B62" i="7"/>
  <c r="D62" i="7" s="1"/>
  <c r="P63" i="7"/>
  <c r="R63" i="7" s="1"/>
  <c r="W63" i="7"/>
  <c r="B63" i="7"/>
  <c r="D63" i="7" s="1"/>
  <c r="I63" i="7"/>
  <c r="K63" i="7" s="1"/>
  <c r="P68" i="7"/>
  <c r="R68" i="7" s="1"/>
  <c r="W68" i="7"/>
  <c r="I68" i="7"/>
  <c r="K68" i="7" s="1"/>
  <c r="B68" i="7"/>
  <c r="D68" i="7" s="1"/>
  <c r="D48" i="7" s="1"/>
  <c r="P67" i="7"/>
  <c r="R67" i="7" s="1"/>
  <c r="W67" i="7"/>
  <c r="B67" i="7"/>
  <c r="D67" i="7" s="1"/>
  <c r="I67" i="7"/>
  <c r="K67" i="7" s="1"/>
  <c r="P72" i="7"/>
  <c r="R72" i="7" s="1"/>
  <c r="W72" i="7"/>
  <c r="B72" i="7"/>
  <c r="D72" i="7" s="1"/>
  <c r="I72" i="7"/>
  <c r="K72" i="7" s="1"/>
  <c r="P70" i="7"/>
  <c r="R70" i="7" s="1"/>
  <c r="W70" i="7"/>
  <c r="I70" i="7"/>
  <c r="K70" i="7" s="1"/>
  <c r="B70" i="7"/>
  <c r="D70" i="7" s="1"/>
  <c r="P65" i="7"/>
  <c r="R65" i="7" s="1"/>
  <c r="W65" i="7"/>
  <c r="B65" i="7"/>
  <c r="D65" i="7" s="1"/>
  <c r="I65" i="7"/>
  <c r="K65" i="7" s="1"/>
  <c r="R61" i="7"/>
  <c r="B48" i="7"/>
  <c r="B45" i="7"/>
  <c r="B50" i="7"/>
  <c r="B47" i="7"/>
  <c r="B52" i="7"/>
  <c r="B43" i="7"/>
  <c r="B42" i="7"/>
  <c r="B46" i="7"/>
  <c r="B44" i="7"/>
  <c r="B41" i="7"/>
  <c r="B51" i="7"/>
  <c r="B49" i="7"/>
  <c r="AY17" i="2"/>
  <c r="BA17" i="2"/>
  <c r="AZ20" i="2"/>
  <c r="BA20" i="2"/>
  <c r="AH27" i="2"/>
  <c r="AG27" i="2"/>
  <c r="AH26" i="2"/>
  <c r="AG26" i="2"/>
  <c r="AH25" i="2"/>
  <c r="AG25" i="2"/>
  <c r="AH24" i="2"/>
  <c r="AG24" i="2"/>
  <c r="AH23" i="2"/>
  <c r="AG23" i="2"/>
  <c r="AG21" i="2"/>
  <c r="AH21" i="2"/>
  <c r="AG22" i="2"/>
  <c r="AH22" i="2"/>
  <c r="D44" i="2"/>
  <c r="E44" i="2" s="1"/>
  <c r="AF20" i="2"/>
  <c r="AH20" i="2"/>
  <c r="AC21" i="2"/>
  <c r="AA21" i="2"/>
  <c r="AA20" i="2"/>
  <c r="Z20" i="2"/>
  <c r="AY20" i="2"/>
  <c r="AX20" i="2"/>
  <c r="AC19" i="2"/>
  <c r="AA19" i="2"/>
  <c r="P19" i="2"/>
  <c r="AT19" i="2"/>
  <c r="B7" i="35"/>
  <c r="AD19" i="2"/>
  <c r="F11" i="38" s="1"/>
  <c r="F16" i="38" s="1"/>
  <c r="AB19" i="2"/>
  <c r="AB17" i="2"/>
  <c r="Z17" i="2"/>
  <c r="AZ17" i="2"/>
  <c r="AX17" i="2"/>
  <c r="B5" i="41"/>
  <c r="E5" i="41" s="1"/>
  <c r="AR17" i="2"/>
  <c r="Z18" i="2"/>
  <c r="AB18" i="2"/>
  <c r="C13" i="41"/>
  <c r="E13" i="41"/>
  <c r="F13" i="41" s="1"/>
  <c r="E11" i="41"/>
  <c r="F11" i="41" s="1"/>
  <c r="C11" i="41"/>
  <c r="E14" i="41"/>
  <c r="F14" i="41" s="1"/>
  <c r="C14" i="41"/>
  <c r="E18" i="41"/>
  <c r="F18" i="41" s="1"/>
  <c r="C18" i="41"/>
  <c r="E16" i="41"/>
  <c r="F16" i="41" s="1"/>
  <c r="C16" i="41"/>
  <c r="E19" i="41"/>
  <c r="F19" i="41" s="1"/>
  <c r="C19" i="41"/>
  <c r="E10" i="41"/>
  <c r="F10" i="41" s="1"/>
  <c r="C10" i="41"/>
  <c r="E15" i="41"/>
  <c r="F15" i="41" s="1"/>
  <c r="C15" i="41"/>
  <c r="AV19" i="2"/>
  <c r="F14" i="38" s="1"/>
  <c r="F18" i="38" s="1"/>
  <c r="B7" i="41"/>
  <c r="P17" i="2"/>
  <c r="H67" i="4"/>
  <c r="F33" i="4"/>
  <c r="H25" i="4"/>
  <c r="M33" i="4"/>
  <c r="O126" i="2" s="1"/>
  <c r="I126" i="2"/>
  <c r="B7" i="37"/>
  <c r="F7" i="37" s="1"/>
  <c r="M25" i="4"/>
  <c r="O117" i="2" s="1"/>
  <c r="I117" i="2"/>
  <c r="M28" i="4"/>
  <c r="O120" i="2" s="1"/>
  <c r="I120" i="2"/>
  <c r="H26" i="4"/>
  <c r="AI21" i="2"/>
  <c r="B5" i="35"/>
  <c r="E5" i="35" s="1"/>
  <c r="AT17" i="2"/>
  <c r="E9" i="37"/>
  <c r="C9" i="37"/>
  <c r="E8" i="37"/>
  <c r="F8" i="37" s="1"/>
  <c r="C8" i="37"/>
  <c r="AG20" i="2"/>
  <c r="AG17" i="2"/>
  <c r="H24" i="4"/>
  <c r="I122" i="2"/>
  <c r="M30" i="4"/>
  <c r="O122" i="2" s="1"/>
  <c r="D50" i="7" l="1"/>
  <c r="D41" i="7"/>
  <c r="D42" i="7"/>
  <c r="D49" i="7"/>
  <c r="D43" i="7"/>
  <c r="D52" i="7"/>
  <c r="D47" i="7"/>
  <c r="D45" i="7"/>
  <c r="D44" i="7"/>
  <c r="D51" i="7"/>
  <c r="Y66" i="7"/>
  <c r="D46" i="7"/>
  <c r="I97" i="2"/>
  <c r="C56" i="2" s="1"/>
  <c r="Y65" i="7"/>
  <c r="Y71" i="7"/>
  <c r="Y72" i="7"/>
  <c r="Y64" i="7"/>
  <c r="Y70" i="7"/>
  <c r="Y69" i="7"/>
  <c r="Y67" i="7"/>
  <c r="Y61" i="7"/>
  <c r="P60" i="7"/>
  <c r="R60" i="7" s="1"/>
  <c r="W60" i="7"/>
  <c r="I60" i="7"/>
  <c r="K60" i="7" s="1"/>
  <c r="B60" i="7"/>
  <c r="D60" i="7" s="1"/>
  <c r="Y68" i="7"/>
  <c r="Y62" i="7"/>
  <c r="Y63" i="7"/>
  <c r="P58" i="7"/>
  <c r="R58" i="7" s="1"/>
  <c r="F5" i="37" s="1"/>
  <c r="W58" i="7"/>
  <c r="I58" i="7"/>
  <c r="K58" i="7" s="1"/>
  <c r="B58" i="7"/>
  <c r="E19" i="38"/>
  <c r="D19" i="38"/>
  <c r="B38" i="7"/>
  <c r="B40" i="7"/>
  <c r="C7" i="37"/>
  <c r="N56" i="2"/>
  <c r="N60" i="2" s="1"/>
  <c r="C19" i="38"/>
  <c r="C5" i="41"/>
  <c r="C11" i="38"/>
  <c r="C16" i="38" s="1"/>
  <c r="B19" i="38"/>
  <c r="E11" i="38"/>
  <c r="E16" i="38" s="1"/>
  <c r="AI19" i="2"/>
  <c r="E12" i="38" s="1"/>
  <c r="AG19" i="2"/>
  <c r="B11" i="38"/>
  <c r="B16" i="38" s="1"/>
  <c r="D11" i="38"/>
  <c r="D16" i="38" s="1"/>
  <c r="AJ19" i="2"/>
  <c r="F12" i="38" s="1"/>
  <c r="F10" i="38" s="1"/>
  <c r="F15" i="38" s="1"/>
  <c r="AH19" i="2"/>
  <c r="E7" i="35"/>
  <c r="C7" i="35"/>
  <c r="C5" i="37"/>
  <c r="AH17" i="2"/>
  <c r="AF17" i="2"/>
  <c r="B6" i="41"/>
  <c r="C6" i="41" s="1"/>
  <c r="AT18" i="2"/>
  <c r="D14" i="38" s="1"/>
  <c r="D18" i="38" s="1"/>
  <c r="B6" i="35"/>
  <c r="C37" i="2"/>
  <c r="E7" i="41"/>
  <c r="C7" i="41"/>
  <c r="I125" i="2"/>
  <c r="M67" i="4"/>
  <c r="AR18" i="2"/>
  <c r="B14" i="38" s="1"/>
  <c r="B18" i="38" s="1"/>
  <c r="P18" i="2"/>
  <c r="B6" i="37"/>
  <c r="AG18" i="2"/>
  <c r="E7" i="37"/>
  <c r="I118" i="2"/>
  <c r="M26" i="4"/>
  <c r="O118" i="2" s="1"/>
  <c r="C5" i="35"/>
  <c r="M24" i="4"/>
  <c r="O116" i="2" s="1"/>
  <c r="I116" i="2"/>
  <c r="F7" i="41" l="1"/>
  <c r="F7" i="35"/>
  <c r="F5" i="35"/>
  <c r="F5" i="41"/>
  <c r="Y60" i="7"/>
  <c r="D40" i="7"/>
  <c r="J99" i="2"/>
  <c r="I99" i="2"/>
  <c r="C58" i="2" s="1"/>
  <c r="I100" i="2"/>
  <c r="C59" i="2" s="1"/>
  <c r="I102" i="2"/>
  <c r="C61" i="2" s="1"/>
  <c r="I101" i="2"/>
  <c r="C60" i="2" s="1"/>
  <c r="P59" i="7"/>
  <c r="R59" i="7" s="1"/>
  <c r="W59" i="7"/>
  <c r="X73" i="7" s="1"/>
  <c r="B59" i="7"/>
  <c r="D59" i="7" s="1"/>
  <c r="I59" i="7"/>
  <c r="K59" i="7" s="1"/>
  <c r="D58" i="7"/>
  <c r="B39" i="7"/>
  <c r="C53" i="7" s="1"/>
  <c r="N61" i="2"/>
  <c r="N58" i="2"/>
  <c r="N59" i="2"/>
  <c r="C12" i="38"/>
  <c r="C10" i="38" s="1"/>
  <c r="C15" i="38" s="1"/>
  <c r="E10" i="38"/>
  <c r="E15" i="38" s="1"/>
  <c r="E6" i="41"/>
  <c r="F6" i="41" s="1"/>
  <c r="E6" i="35"/>
  <c r="C6" i="35"/>
  <c r="AF18" i="2"/>
  <c r="B12" i="38" s="1"/>
  <c r="B10" i="38" s="1"/>
  <c r="B15" i="38" s="1"/>
  <c r="AH18" i="2"/>
  <c r="D12" i="38" s="1"/>
  <c r="D10" i="38" s="1"/>
  <c r="D15" i="38" s="1"/>
  <c r="C20" i="41"/>
  <c r="C6" i="37"/>
  <c r="E6" i="37"/>
  <c r="F6" i="37" s="1"/>
  <c r="O125" i="2"/>
  <c r="C38" i="2"/>
  <c r="F6" i="35" l="1"/>
  <c r="F20" i="35" s="1"/>
  <c r="B15" i="39" s="1"/>
  <c r="P73" i="7"/>
  <c r="F20" i="37"/>
  <c r="Y58" i="7"/>
  <c r="D38" i="7"/>
  <c r="F38" i="7" s="1"/>
  <c r="Y59" i="7"/>
  <c r="D39" i="7"/>
  <c r="Q73" i="7"/>
  <c r="C62" i="2"/>
  <c r="B73" i="7"/>
  <c r="C73" i="7"/>
  <c r="W73" i="7"/>
  <c r="I73" i="7"/>
  <c r="J73" i="7"/>
  <c r="M58" i="7"/>
  <c r="K73" i="7"/>
  <c r="M64" i="7"/>
  <c r="L64" i="7" s="1"/>
  <c r="F69" i="7"/>
  <c r="E69" i="7" s="1"/>
  <c r="M71" i="7"/>
  <c r="L71" i="7" s="1"/>
  <c r="M63" i="7"/>
  <c r="L63" i="7" s="1"/>
  <c r="F60" i="7"/>
  <c r="E60" i="7" s="1"/>
  <c r="F61" i="7"/>
  <c r="E61" i="7" s="1"/>
  <c r="F63" i="7"/>
  <c r="E63" i="7" s="1"/>
  <c r="M59" i="7"/>
  <c r="L59" i="7" s="1"/>
  <c r="F65" i="7"/>
  <c r="E65" i="7" s="1"/>
  <c r="F62" i="7"/>
  <c r="E62" i="7" s="1"/>
  <c r="F72" i="7"/>
  <c r="E72" i="7" s="1"/>
  <c r="F68" i="7"/>
  <c r="E68" i="7" s="1"/>
  <c r="M60" i="7"/>
  <c r="L60" i="7" s="1"/>
  <c r="M69" i="7"/>
  <c r="L69" i="7" s="1"/>
  <c r="M65" i="7"/>
  <c r="L65" i="7" s="1"/>
  <c r="M66" i="7"/>
  <c r="L66" i="7" s="1"/>
  <c r="F59" i="7"/>
  <c r="E59" i="7" s="1"/>
  <c r="M68" i="7"/>
  <c r="L68" i="7" s="1"/>
  <c r="M70" i="7"/>
  <c r="L70" i="7" s="1"/>
  <c r="AA63" i="7"/>
  <c r="M72" i="7"/>
  <c r="L72" i="7" s="1"/>
  <c r="F64" i="7"/>
  <c r="E64" i="7" s="1"/>
  <c r="F67" i="7"/>
  <c r="E67" i="7" s="1"/>
  <c r="M67" i="7"/>
  <c r="L67" i="7" s="1"/>
  <c r="F71" i="7"/>
  <c r="E71" i="7" s="1"/>
  <c r="M62" i="7"/>
  <c r="L62" i="7" s="1"/>
  <c r="AA64" i="7"/>
  <c r="F70" i="7"/>
  <c r="E70" i="7" s="1"/>
  <c r="M61" i="7"/>
  <c r="L61" i="7" s="1"/>
  <c r="F66" i="7"/>
  <c r="E66" i="7" s="1"/>
  <c r="AA61" i="7"/>
  <c r="AA71" i="7"/>
  <c r="AA65" i="7"/>
  <c r="AA72" i="7"/>
  <c r="AA60" i="7"/>
  <c r="AA69" i="7"/>
  <c r="AA66" i="7"/>
  <c r="AA68" i="7"/>
  <c r="AA67" i="7"/>
  <c r="AA62" i="7"/>
  <c r="AA70" i="7"/>
  <c r="T58" i="7"/>
  <c r="S58" i="7" s="1"/>
  <c r="D73" i="7"/>
  <c r="F58" i="7"/>
  <c r="T59" i="7"/>
  <c r="S59" i="7" s="1"/>
  <c r="F46" i="7"/>
  <c r="E46" i="7" s="1"/>
  <c r="T68" i="7"/>
  <c r="S68" i="7" s="1"/>
  <c r="T69" i="7"/>
  <c r="S69" i="7" s="1"/>
  <c r="T67" i="7"/>
  <c r="S67" i="7" s="1"/>
  <c r="T64" i="7"/>
  <c r="S64" i="7" s="1"/>
  <c r="T61" i="7"/>
  <c r="S61" i="7" s="1"/>
  <c r="T70" i="7"/>
  <c r="S70" i="7" s="1"/>
  <c r="T65" i="7"/>
  <c r="S65" i="7" s="1"/>
  <c r="T62" i="7"/>
  <c r="S62" i="7" s="1"/>
  <c r="T72" i="7"/>
  <c r="S72" i="7" s="1"/>
  <c r="T71" i="7"/>
  <c r="S71" i="7" s="1"/>
  <c r="T63" i="7"/>
  <c r="S63" i="7" s="1"/>
  <c r="T66" i="7"/>
  <c r="S66" i="7" s="1"/>
  <c r="B53" i="7"/>
  <c r="R73" i="7"/>
  <c r="T60" i="7"/>
  <c r="S60" i="7" s="1"/>
  <c r="F40" i="7"/>
  <c r="E40" i="7" s="1"/>
  <c r="F41" i="7"/>
  <c r="E41" i="7" s="1"/>
  <c r="F44" i="7"/>
  <c r="E44" i="7" s="1"/>
  <c r="F47" i="7"/>
  <c r="E47" i="7" s="1"/>
  <c r="F43" i="7"/>
  <c r="E43" i="7" s="1"/>
  <c r="F42" i="7"/>
  <c r="E42" i="7" s="1"/>
  <c r="F51" i="7"/>
  <c r="E51" i="7" s="1"/>
  <c r="F45" i="7"/>
  <c r="E45" i="7" s="1"/>
  <c r="F52" i="7"/>
  <c r="E52" i="7" s="1"/>
  <c r="F50" i="7"/>
  <c r="E50" i="7" s="1"/>
  <c r="F48" i="7"/>
  <c r="E48" i="7" s="1"/>
  <c r="F49" i="7"/>
  <c r="E49" i="7" s="1"/>
  <c r="F20" i="41"/>
  <c r="B22" i="39" s="1"/>
  <c r="C20" i="37"/>
  <c r="Z67" i="7" l="1"/>
  <c r="C81" i="16"/>
  <c r="Z68" i="7"/>
  <c r="C82" i="16"/>
  <c r="Z66" i="7"/>
  <c r="C80" i="16"/>
  <c r="Z61" i="7"/>
  <c r="C75" i="16"/>
  <c r="Z69" i="7"/>
  <c r="C83" i="16"/>
  <c r="Z63" i="7"/>
  <c r="C77" i="16"/>
  <c r="Z60" i="7"/>
  <c r="C74" i="16"/>
  <c r="Z64" i="7"/>
  <c r="C78" i="16"/>
  <c r="Z72" i="7"/>
  <c r="C86" i="16"/>
  <c r="Z70" i="7"/>
  <c r="C84" i="16"/>
  <c r="Z65" i="7"/>
  <c r="C79" i="16"/>
  <c r="Z62" i="7"/>
  <c r="C76" i="16"/>
  <c r="Z71" i="7"/>
  <c r="C85" i="16"/>
  <c r="D9" i="12"/>
  <c r="D78" i="7"/>
  <c r="B78" i="7" s="1"/>
  <c r="AA59" i="7"/>
  <c r="E58" i="7"/>
  <c r="F73" i="7"/>
  <c r="E73" i="7" s="1"/>
  <c r="AA58" i="7"/>
  <c r="C72" i="16" s="1"/>
  <c r="C35" i="16" s="1"/>
  <c r="E35" i="16" s="1"/>
  <c r="G35" i="16" s="1"/>
  <c r="Y73" i="7"/>
  <c r="L58" i="7"/>
  <c r="M73" i="7"/>
  <c r="L73" i="7" s="1"/>
  <c r="B28" i="39"/>
  <c r="T73" i="7"/>
  <c r="F39" i="7"/>
  <c r="F53" i="7" s="1"/>
  <c r="D53" i="7"/>
  <c r="B8" i="7" s="1"/>
  <c r="E38" i="7"/>
  <c r="B16" i="39"/>
  <c r="B29" i="39" s="1"/>
  <c r="E29" i="39" s="1"/>
  <c r="C22" i="39"/>
  <c r="B35" i="39"/>
  <c r="E35" i="39" s="1"/>
  <c r="E79" i="16" l="1"/>
  <c r="G79" i="16" s="1"/>
  <c r="C42" i="16"/>
  <c r="E42" i="16" s="1"/>
  <c r="G42" i="16" s="1"/>
  <c r="C37" i="16"/>
  <c r="E37" i="16" s="1"/>
  <c r="G37" i="16" s="1"/>
  <c r="E74" i="16"/>
  <c r="G74" i="16" s="1"/>
  <c r="Z59" i="7"/>
  <c r="C73" i="16"/>
  <c r="C87" i="16" s="1"/>
  <c r="B12" i="12" s="1"/>
  <c r="E80" i="16"/>
  <c r="G80" i="16" s="1"/>
  <c r="C43" i="16"/>
  <c r="E43" i="16" s="1"/>
  <c r="G43" i="16" s="1"/>
  <c r="C47" i="16"/>
  <c r="E47" i="16" s="1"/>
  <c r="G47" i="16" s="1"/>
  <c r="E84" i="16"/>
  <c r="G84" i="16" s="1"/>
  <c r="C40" i="16"/>
  <c r="E40" i="16" s="1"/>
  <c r="G40" i="16" s="1"/>
  <c r="E77" i="16"/>
  <c r="G77" i="16" s="1"/>
  <c r="C45" i="16"/>
  <c r="E45" i="16" s="1"/>
  <c r="G45" i="16" s="1"/>
  <c r="E82" i="16"/>
  <c r="G82" i="16" s="1"/>
  <c r="C49" i="16"/>
  <c r="E49" i="16" s="1"/>
  <c r="G49" i="16" s="1"/>
  <c r="E86" i="16"/>
  <c r="G86" i="16" s="1"/>
  <c r="E85" i="16"/>
  <c r="G85" i="16" s="1"/>
  <c r="C48" i="16"/>
  <c r="E48" i="16" s="1"/>
  <c r="G48" i="16" s="1"/>
  <c r="C46" i="16"/>
  <c r="E46" i="16" s="1"/>
  <c r="G46" i="16" s="1"/>
  <c r="E83" i="16"/>
  <c r="G83" i="16" s="1"/>
  <c r="C44" i="16"/>
  <c r="E44" i="16" s="1"/>
  <c r="G44" i="16" s="1"/>
  <c r="E81" i="16"/>
  <c r="G81" i="16" s="1"/>
  <c r="C39" i="16"/>
  <c r="E39" i="16" s="1"/>
  <c r="G39" i="16" s="1"/>
  <c r="E76" i="16"/>
  <c r="G76" i="16" s="1"/>
  <c r="C41" i="16"/>
  <c r="E41" i="16" s="1"/>
  <c r="G41" i="16" s="1"/>
  <c r="E78" i="16"/>
  <c r="G78" i="16" s="1"/>
  <c r="C38" i="16"/>
  <c r="E38" i="16" s="1"/>
  <c r="G38" i="16" s="1"/>
  <c r="E75" i="16"/>
  <c r="G75" i="16" s="1"/>
  <c r="B7" i="7"/>
  <c r="E53" i="7"/>
  <c r="D8" i="12"/>
  <c r="B8" i="12" s="1"/>
  <c r="D76" i="7"/>
  <c r="B76" i="7" s="1"/>
  <c r="E72" i="16"/>
  <c r="Z58" i="7"/>
  <c r="AA73" i="7"/>
  <c r="Z73" i="7" s="1"/>
  <c r="C9" i="12"/>
  <c r="B9" i="12"/>
  <c r="C78" i="7"/>
  <c r="C79" i="7" s="1"/>
  <c r="D79" i="7"/>
  <c r="S73" i="7"/>
  <c r="E39" i="7"/>
  <c r="C16" i="39"/>
  <c r="C15" i="39"/>
  <c r="E28" i="39"/>
  <c r="B8" i="39" s="1"/>
  <c r="C36" i="16" l="1"/>
  <c r="E73" i="16"/>
  <c r="G73" i="16" s="1"/>
  <c r="C8" i="12"/>
  <c r="G72" i="16"/>
  <c r="B79" i="7"/>
  <c r="F79" i="7" s="1"/>
  <c r="B15" i="32" s="1"/>
  <c r="B13" i="32" s="1"/>
  <c r="F78" i="7"/>
  <c r="C76" i="7"/>
  <c r="C77" i="7" s="1"/>
  <c r="D77" i="7"/>
  <c r="G87" i="16" l="1"/>
  <c r="B15" i="12" s="1"/>
  <c r="E87" i="16"/>
  <c r="B13" i="12" s="1"/>
  <c r="E36" i="16"/>
  <c r="C50" i="16"/>
  <c r="F76" i="7"/>
  <c r="G79" i="7"/>
  <c r="B16" i="26"/>
  <c r="B18" i="39" s="1"/>
  <c r="B19" i="26"/>
  <c r="B13" i="26" s="1"/>
  <c r="B19" i="39" s="1"/>
  <c r="B77" i="7"/>
  <c r="F77" i="7" s="1"/>
  <c r="G77" i="7" s="1"/>
  <c r="G36" i="16" l="1"/>
  <c r="G50" i="16" s="1"/>
  <c r="B6" i="16" s="1"/>
  <c r="E50" i="16"/>
  <c r="B20" i="39"/>
  <c r="B32" i="39"/>
  <c r="E32" i="39" s="1"/>
  <c r="B22" i="12"/>
  <c r="B21" i="12"/>
  <c r="B17" i="12"/>
  <c r="B20" i="12"/>
  <c r="B19" i="12"/>
  <c r="B18" i="12"/>
  <c r="B31" i="39"/>
  <c r="E31" i="39" s="1"/>
  <c r="C18" i="39"/>
  <c r="C19" i="39"/>
  <c r="B33" i="39" l="1"/>
  <c r="E33" i="39" s="1"/>
  <c r="B9" i="39" s="1"/>
  <c r="B10" i="39" s="1"/>
  <c r="B23" i="39"/>
  <c r="C20" i="39"/>
  <c r="C23" i="39" s="1"/>
  <c r="C42" i="2"/>
  <c r="Q32" i="2"/>
  <c r="B36" i="39" l="1"/>
  <c r="E36" i="39"/>
  <c r="C41" i="2"/>
  <c r="D45" i="2" s="1"/>
  <c r="E45" i="2" s="1"/>
  <c r="P32" i="2"/>
</calcChain>
</file>

<file path=xl/sharedStrings.xml><?xml version="1.0" encoding="utf-8"?>
<sst xmlns="http://schemas.openxmlformats.org/spreadsheetml/2006/main" count="1911" uniqueCount="776">
  <si>
    <t>V1.0</t>
  </si>
  <si>
    <t>Content</t>
  </si>
  <si>
    <t>Introduction</t>
  </si>
  <si>
    <t>Instructions</t>
  </si>
  <si>
    <t>Tool Concept Notes</t>
  </si>
  <si>
    <t>Default Feedstocks Inputs List</t>
  </si>
  <si>
    <t>Gas to Volume</t>
  </si>
  <si>
    <t>Digester Inputs</t>
  </si>
  <si>
    <t>Emissions Inputs</t>
  </si>
  <si>
    <t>Biogas Production</t>
  </si>
  <si>
    <t>Digestate Production</t>
  </si>
  <si>
    <t>Annual Summary</t>
  </si>
  <si>
    <t>Estimated Emissions Reductions</t>
  </si>
  <si>
    <t>Feedstocks Characteristics</t>
  </si>
  <si>
    <t>Feedstocks Toxicity Info</t>
  </si>
  <si>
    <t>OrganEcs Input Sheet</t>
  </si>
  <si>
    <t>MCF</t>
  </si>
  <si>
    <t>References</t>
  </si>
  <si>
    <t>Help</t>
  </si>
  <si>
    <t>Introduction to the Anaerobic Digestion (AD) Screening Tool</t>
  </si>
  <si>
    <t>Tool Instructions</t>
  </si>
  <si>
    <t xml:space="preserve">This sheet lists all default Feedstocks inputs available for the user to select.
</t>
  </si>
  <si>
    <t>Fruit and Vegetable Feedstocks</t>
  </si>
  <si>
    <t>Livestock Excreted Feedstocks</t>
  </si>
  <si>
    <t>Other Organic Municipal Feedstocks</t>
  </si>
  <si>
    <t>Kitchen Feedstocks and Food Scraps</t>
  </si>
  <si>
    <t>Energy and Cash Crops</t>
  </si>
  <si>
    <t>Garden Feedstock</t>
  </si>
  <si>
    <t>Dairy Feedstocks</t>
  </si>
  <si>
    <t>Seafood Feedstock Silages</t>
  </si>
  <si>
    <t>Other Inputs</t>
  </si>
  <si>
    <t>Alfalfa</t>
  </si>
  <si>
    <t>Adolescents Pigs</t>
  </si>
  <si>
    <t>Composite Wastewater</t>
  </si>
  <si>
    <t>Boiled Rice</t>
  </si>
  <si>
    <t>Agave (Agave sisalana)</t>
  </si>
  <si>
    <t>Water Hyacinths</t>
  </si>
  <si>
    <t>Dairy Wastewater</t>
  </si>
  <si>
    <t>Cuttle Fish Waste Silage</t>
  </si>
  <si>
    <t>Added Water</t>
  </si>
  <si>
    <t>Bananas</t>
  </si>
  <si>
    <t>Boar (200 kg.)</t>
  </si>
  <si>
    <t>Corrugated Cardboard</t>
  </si>
  <si>
    <t>Bread Feedstocks</t>
  </si>
  <si>
    <t>De-oiled Cake</t>
  </si>
  <si>
    <t>Branches</t>
  </si>
  <si>
    <t>Whey - Acid Cheese</t>
  </si>
  <si>
    <t>Mackerel Fish Waste Silage</t>
  </si>
  <si>
    <t>Broccoli</t>
  </si>
  <si>
    <t>Broiler Chicken</t>
  </si>
  <si>
    <t>Diverted Municipal Waste (All Organics)</t>
  </si>
  <si>
    <t>Brewery Grain Feedstocks</t>
  </si>
  <si>
    <t>Palms (Decanter Cake)</t>
  </si>
  <si>
    <t>Grass</t>
  </si>
  <si>
    <t>Whey - Sweet Cheese</t>
  </si>
  <si>
    <t>Pacific Saury Fish Waste Silage</t>
  </si>
  <si>
    <t>Cabbage</t>
  </si>
  <si>
    <t>Calf</t>
  </si>
  <si>
    <t>Diverted Municipal Waste (Food Only)</t>
  </si>
  <si>
    <t>Cooked Meat</t>
  </si>
  <si>
    <t>Palms (Empty Fruit)</t>
  </si>
  <si>
    <t>Leaves</t>
  </si>
  <si>
    <t>Carrot Root</t>
  </si>
  <si>
    <t>Calf In Shelter (200 -350 kg.)</t>
  </si>
  <si>
    <t>Folding Cartons</t>
  </si>
  <si>
    <t>Mixed Cafeteria or Canteen Waste</t>
  </si>
  <si>
    <t>Palms (Pressed Fibers)</t>
  </si>
  <si>
    <t>Wood</t>
  </si>
  <si>
    <t>Cauliflower</t>
  </si>
  <si>
    <t>Cattle With Corn Supplement to Diet</t>
  </si>
  <si>
    <t>Graywater</t>
  </si>
  <si>
    <t>Mixed Food Waste With Non‐Veg.</t>
  </si>
  <si>
    <t>Pressmud</t>
  </si>
  <si>
    <t>Chinese Cabbage (Pak-Choi)</t>
  </si>
  <si>
    <t>Cattle With Other Diet Supplements</t>
  </si>
  <si>
    <t>Human Waste</t>
  </si>
  <si>
    <t>Mixed Vegetable Waste Only</t>
  </si>
  <si>
    <t>Rapeseed Meal</t>
  </si>
  <si>
    <t>Coffee Grounds</t>
  </si>
  <si>
    <t>Cattle with Primarily Grain/Grass Diet</t>
  </si>
  <si>
    <t>Junk Mail &amp; Paper</t>
  </si>
  <si>
    <t>Sugar Beet Tops</t>
  </si>
  <si>
    <t>Kale</t>
  </si>
  <si>
    <t>Dry Dairy Cow</t>
  </si>
  <si>
    <t>Magazines</t>
  </si>
  <si>
    <t>Sugarcane Pretreated (Bagasse)</t>
  </si>
  <si>
    <t>Lettuce</t>
  </si>
  <si>
    <t>Duck</t>
  </si>
  <si>
    <t>Newsprint</t>
  </si>
  <si>
    <t>Sugarcane Untreated (Bagasse)</t>
  </si>
  <si>
    <t>Maize (Early Harvest Or Milk Ripeness)</t>
  </si>
  <si>
    <t>Heifer</t>
  </si>
  <si>
    <t>Office Paper</t>
  </si>
  <si>
    <t>Sunflower Meal</t>
  </si>
  <si>
    <t xml:space="preserve">Maize (Middle Harvest Or Wax Ripeness) </t>
  </si>
  <si>
    <t>Horse</t>
  </si>
  <si>
    <t>Paper Bags And Sacks</t>
  </si>
  <si>
    <t>Maize Cob</t>
  </si>
  <si>
    <t>Lactating Cow</t>
  </si>
  <si>
    <t>Paper Non‐Recyclable</t>
  </si>
  <si>
    <t>Onions</t>
  </si>
  <si>
    <t>Lamb/Sheep/Goat</t>
  </si>
  <si>
    <t>Raw Sewage Sludge</t>
  </si>
  <si>
    <t>Orange Pulp</t>
  </si>
  <si>
    <t>Piglets</t>
  </si>
  <si>
    <t>Septage Tank Wastewater</t>
  </si>
  <si>
    <t>Orange, Flesh</t>
  </si>
  <si>
    <t>Poultry Chicken</t>
  </si>
  <si>
    <t>Textiles</t>
  </si>
  <si>
    <t>Potato Peel</t>
  </si>
  <si>
    <t>Swine - Gestating (190 kg.)</t>
  </si>
  <si>
    <t>Potato, Top, Mature</t>
  </si>
  <si>
    <t>Swine - Lactating (190 kg.)</t>
  </si>
  <si>
    <t>Pumpkins</t>
  </si>
  <si>
    <t>Turkey Female</t>
  </si>
  <si>
    <t>Rice Husk</t>
  </si>
  <si>
    <t>Turkey Male</t>
  </si>
  <si>
    <t>Rice Residue (Dried)</t>
  </si>
  <si>
    <t>Veal</t>
  </si>
  <si>
    <t>Rice Straw</t>
  </si>
  <si>
    <t>Spinach</t>
  </si>
  <si>
    <t>Sweet Corn</t>
  </si>
  <si>
    <t>Tea Leaves</t>
  </si>
  <si>
    <t>Tomatoes</t>
  </si>
  <si>
    <t>Tomatoes (Solid Waste)</t>
  </si>
  <si>
    <t>Wheat Straw</t>
  </si>
  <si>
    <t>Anaerobic Digester Feedstock Inputs</t>
  </si>
  <si>
    <t>Project Name</t>
  </si>
  <si>
    <t>City/Municipality</t>
  </si>
  <si>
    <t>Country</t>
  </si>
  <si>
    <t>General Information &amp; Questions</t>
  </si>
  <si>
    <t>Answer</t>
  </si>
  <si>
    <t xml:space="preserve">Is the planned AD a wet or dry system? </t>
  </si>
  <si>
    <t>Wet</t>
  </si>
  <si>
    <t xml:space="preserve">What will the reactor temperature be? </t>
  </si>
  <si>
    <t>Mesophilic</t>
  </si>
  <si>
    <t>Will the system installation include post-digestion dewatering equipment?</t>
  </si>
  <si>
    <t>If "Yes", what is the solid capture efficiency of the dewatering equipment?</t>
  </si>
  <si>
    <r>
      <t xml:space="preserve">Note: </t>
    </r>
    <r>
      <rPr>
        <sz val="11"/>
        <rFont val="Arial"/>
        <family val="2"/>
      </rPr>
      <t xml:space="preserve">In the Feedstock List column, select from either </t>
    </r>
    <r>
      <rPr>
        <b/>
        <sz val="11"/>
        <rFont val="Arial"/>
        <family val="2"/>
      </rPr>
      <t xml:space="preserve">General </t>
    </r>
    <r>
      <rPr>
        <i/>
        <sz val="11"/>
        <rFont val="Arial"/>
        <family val="2"/>
      </rPr>
      <t xml:space="preserve">or </t>
    </r>
    <r>
      <rPr>
        <b/>
        <sz val="11"/>
        <rFont val="Arial"/>
        <family val="2"/>
      </rPr>
      <t xml:space="preserve">Specific. </t>
    </r>
    <r>
      <rPr>
        <sz val="11"/>
        <rFont val="Arial"/>
        <family val="2"/>
      </rPr>
      <t xml:space="preserve">Select </t>
    </r>
    <r>
      <rPr>
        <b/>
        <sz val="11"/>
        <rFont val="Arial"/>
        <family val="2"/>
      </rPr>
      <t>General</t>
    </r>
    <r>
      <rPr>
        <sz val="11"/>
        <rFont val="Arial"/>
        <family val="2"/>
      </rPr>
      <t xml:space="preserve"> from the Feedstock list to show general categories in the Feedstock Type column to streamline data entry. If the user knows specific animal waste or food products, select </t>
    </r>
    <r>
      <rPr>
        <b/>
        <sz val="11"/>
        <rFont val="Arial"/>
        <family val="2"/>
      </rPr>
      <t xml:space="preserve">Specific </t>
    </r>
    <r>
      <rPr>
        <sz val="11"/>
        <rFont val="Arial"/>
        <family val="2"/>
      </rPr>
      <t>from the Feedstock List to show the full list of option in the Feedstock Type column.</t>
    </r>
  </si>
  <si>
    <r>
      <t xml:space="preserve">Note:  </t>
    </r>
    <r>
      <rPr>
        <sz val="11"/>
        <rFont val="Arial"/>
        <family val="2"/>
      </rPr>
      <t xml:space="preserve">For more accurate results, the user may wish to override the default assumptions with site-specific information, if known. Type over any value in a yellow cell to override the default value. The RESET buttons below each category reset the original default values for that category. </t>
    </r>
  </si>
  <si>
    <t>Feedstock Stream Information</t>
  </si>
  <si>
    <t>Feedstock Characteristics</t>
  </si>
  <si>
    <t>Mass</t>
  </si>
  <si>
    <t>Nitrogen</t>
  </si>
  <si>
    <t>C/N ratio</t>
  </si>
  <si>
    <t>Moisture</t>
  </si>
  <si>
    <t>VS</t>
  </si>
  <si>
    <t>Methane Yield</t>
  </si>
  <si>
    <t>Feedstock List</t>
  </si>
  <si>
    <t>Feedstock Type</t>
  </si>
  <si>
    <t>Feedstock Totals</t>
  </si>
  <si>
    <t>Units</t>
  </si>
  <si>
    <t>User Notes</t>
  </si>
  <si>
    <t>Moisture Content (% w.b.)</t>
  </si>
  <si>
    <t>Total Solids (% w.b)</t>
  </si>
  <si>
    <t>Volatile Solids (% w.b)</t>
  </si>
  <si>
    <t>Inert Material and Ash (% w.b.)</t>
  </si>
  <si>
    <t>Nitrogen Content (d.w.)</t>
  </si>
  <si>
    <t>Carbon Content (d.w.)</t>
  </si>
  <si>
    <t>Feedstock Density (kg/m3)</t>
  </si>
  <si>
    <t>Proteins (% of TS)</t>
  </si>
  <si>
    <t>Fats (% of TS)</t>
  </si>
  <si>
    <t>Sugars and Starches (% of TS)</t>
  </si>
  <si>
    <t>VS (kg)</t>
  </si>
  <si>
    <t>TS (kg)</t>
  </si>
  <si>
    <t>Category</t>
  </si>
  <si>
    <t>Yard Waste</t>
  </si>
  <si>
    <t>Food Waste</t>
  </si>
  <si>
    <t>Manure</t>
  </si>
  <si>
    <t>Sewage Sludge</t>
  </si>
  <si>
    <t>Mixed Paper</t>
  </si>
  <si>
    <t>Corrugated
Cardboard</t>
  </si>
  <si>
    <t>Feedstock Totals (kg/day)</t>
  </si>
  <si>
    <t>Specific</t>
  </si>
  <si>
    <t>short tons/day</t>
  </si>
  <si>
    <t>General</t>
  </si>
  <si>
    <t>kg/day</t>
  </si>
  <si>
    <t>AD Waste Substrate Summary Information</t>
  </si>
  <si>
    <t>Percent</t>
  </si>
  <si>
    <t xml:space="preserve">Unit </t>
  </si>
  <si>
    <t>Notes</t>
  </si>
  <si>
    <t>Moisture Content</t>
  </si>
  <si>
    <t>% w.b.</t>
  </si>
  <si>
    <t>Total Solids (TS)</t>
  </si>
  <si>
    <t>Volatile Solids (VS)</t>
  </si>
  <si>
    <t>Inserts or Ash</t>
  </si>
  <si>
    <t>Bioreactor Design Summary Information</t>
  </si>
  <si>
    <t>Value</t>
  </si>
  <si>
    <t>Unit</t>
  </si>
  <si>
    <t>Solid Retention Time</t>
  </si>
  <si>
    <t>days</t>
  </si>
  <si>
    <t>Waste Stream C:N ratio</t>
  </si>
  <si>
    <t>ratio</t>
  </si>
  <si>
    <t>Reccomendation Bioreactor Type</t>
  </si>
  <si>
    <t xml:space="preserve">Note: this reccomendation is not definitive. Most waste streams can be converted to a liquid, slurry, or dry solids reactor with additional processing. </t>
  </si>
  <si>
    <t>Science &amp; Error Check Box</t>
  </si>
  <si>
    <t>Results</t>
  </si>
  <si>
    <t>Error Explanation</t>
  </si>
  <si>
    <t>Does the reactor have the optimal mix of Total Solids based on system design?</t>
  </si>
  <si>
    <t>Is the C:N ratio optimal for Anaerobic Digestion?</t>
  </si>
  <si>
    <r>
      <t xml:space="preserve">Instructions: </t>
    </r>
    <r>
      <rPr>
        <sz val="11"/>
        <color theme="1"/>
        <rFont val="Arial"/>
        <family val="2"/>
      </rPr>
      <t xml:space="preserve">The model automatically recommends a default gas composition.  However, if the user desires, they may override AD Screening Tool's recommended default gas composition. The button to the right of the table resets the formulas for the default values. </t>
    </r>
  </si>
  <si>
    <t>Biogas Composition</t>
  </si>
  <si>
    <t>What will the composition of the planned AD System Substrate be composed of?</t>
  </si>
  <si>
    <t>%</t>
  </si>
  <si>
    <t>Total</t>
  </si>
  <si>
    <t>Biogas Density</t>
  </si>
  <si>
    <r>
      <t>kg/m</t>
    </r>
    <r>
      <rPr>
        <vertAlign val="superscript"/>
        <sz val="11"/>
        <color theme="1"/>
        <rFont val="Arial"/>
        <family val="2"/>
      </rPr>
      <t>3</t>
    </r>
  </si>
  <si>
    <t>Other Default Assumptions</t>
  </si>
  <si>
    <t>Energy Content Methane</t>
  </si>
  <si>
    <r>
      <t>kWh/m</t>
    </r>
    <r>
      <rPr>
        <vertAlign val="superscript"/>
        <sz val="11"/>
        <color theme="1"/>
        <rFont val="Arial"/>
        <family val="2"/>
      </rPr>
      <t>3</t>
    </r>
  </si>
  <si>
    <t>Energy Content Biogas</t>
  </si>
  <si>
    <t>Home Cooking Consumption</t>
  </si>
  <si>
    <t>liters/day</t>
  </si>
  <si>
    <t>Home Heating Consumption</t>
  </si>
  <si>
    <t>Substrate Composition Includes</t>
  </si>
  <si>
    <t>Methane</t>
  </si>
  <si>
    <t>Carbon Dioxide</t>
  </si>
  <si>
    <r>
      <t>Hydrogen Sulfide (H</t>
    </r>
    <r>
      <rPr>
        <vertAlign val="subscript"/>
        <sz val="11"/>
        <color theme="1"/>
        <rFont val="Arial"/>
        <family val="2"/>
      </rPr>
      <t>2</t>
    </r>
    <r>
      <rPr>
        <sz val="11"/>
        <color theme="1"/>
        <rFont val="Arial"/>
        <family val="2"/>
      </rPr>
      <t>S), Ammonia (NH3), Carbon Monoxide (CO)</t>
    </r>
  </si>
  <si>
    <t>Mostly Sugars &amp; Starches</t>
  </si>
  <si>
    <t>Equal Parts Sugars, Starches, Proteins, &amp; Fats</t>
  </si>
  <si>
    <t>Equal Parts Proteins, Fats, Sugars, Starches, &amp; Oils</t>
  </si>
  <si>
    <t>Mostly Proteins &amp; Oils</t>
  </si>
  <si>
    <t>Biogas Composition Assumptions</t>
  </si>
  <si>
    <t>Macro Formulas do not edit or delete will be hidden with final publication of the tool</t>
  </si>
  <si>
    <t>Turkey male</t>
  </si>
  <si>
    <t>Turkey female</t>
  </si>
  <si>
    <t>Lamb/Sheep</t>
  </si>
  <si>
    <t>Horse - Active</t>
  </si>
  <si>
    <t>Horse - Inactive</t>
  </si>
  <si>
    <t>Banana, fresh</t>
  </si>
  <si>
    <t>Broccoli, leaf</t>
  </si>
  <si>
    <t>Cabbage, leaf</t>
  </si>
  <si>
    <t>Reset Table for Macro</t>
  </si>
  <si>
    <t>Anaerobic Digester Emissions Calculation Inputs</t>
  </si>
  <si>
    <r>
      <rPr>
        <b/>
        <sz val="14"/>
        <rFont val="Arial"/>
        <family val="2"/>
      </rPr>
      <t xml:space="preserve">Waste Management and Storage Emission Reduction Instructions: </t>
    </r>
    <r>
      <rPr>
        <sz val="14"/>
        <rFont val="Arial"/>
        <family val="2"/>
      </rPr>
      <t xml:space="preserve">
Baseline emissions are determined based on the management systems in place for manure and co-digested wastes prior to the use of the AD system. Users should select a primary management system for the waste and an average reporting temperature. These factors determine the Methane Conversion Factor (MCF) used in subsequent calculations. MCF values can be viewed in the MCF tab of this workbook.</t>
    </r>
  </si>
  <si>
    <t xml:space="preserve"> Waste Management and Storage Emission Reductions</t>
  </si>
  <si>
    <t xml:space="preserve">Value </t>
  </si>
  <si>
    <t xml:space="preserve"> </t>
  </si>
  <si>
    <t>Primary Previous Management System for Manure</t>
  </si>
  <si>
    <t>Pit storage below animal confinements &gt;1 mo.</t>
  </si>
  <si>
    <t>(select one)</t>
  </si>
  <si>
    <t>Primary Previous Management System for Other Waste</t>
  </si>
  <si>
    <t>Uncovered anaerobic lagoon</t>
  </si>
  <si>
    <t>Average Reporting Period Temperature</t>
  </si>
  <si>
    <t>Storage</t>
  </si>
  <si>
    <t>Does the facility temporarily store any organic Feedstocks on-site?</t>
  </si>
  <si>
    <t>(Yes/No)</t>
  </si>
  <si>
    <t>If Yes, please choose a storage system</t>
  </si>
  <si>
    <t>Total Days Waste Stored Temporarily per Year</t>
  </si>
  <si>
    <t xml:space="preserve"> days per year</t>
  </si>
  <si>
    <t xml:space="preserve">Methane Utilization </t>
  </si>
  <si>
    <t>Methane Utilization Percent</t>
  </si>
  <si>
    <t>percent</t>
  </si>
  <si>
    <t>Combustion Process</t>
  </si>
  <si>
    <t>Boiler or Furnace</t>
  </si>
  <si>
    <r>
      <rPr>
        <b/>
        <sz val="14"/>
        <color theme="1"/>
        <rFont val="Arial"/>
        <family val="2"/>
      </rPr>
      <t xml:space="preserve">Flaring Instructions: </t>
    </r>
    <r>
      <rPr>
        <sz val="14"/>
        <color theme="1"/>
        <rFont val="Arial"/>
        <family val="2"/>
      </rPr>
      <t xml:space="preserve">
Methane sent to a flare is combusted, but this process is not 100 percent efficient. Some methane is released to the environment due to incomplete combustion, or flaring may take place if the generator is offline. Additionally, some projects may flare all methane instead of utilizing it on-site. The measured methane sent to flaring is calculated using the percentage entered above in cell B22. The sum of methane utilization and methane sent to flare should equal 100 percent.
To calculate methane released due to flaring, the amount of methane sent to flare is multiplied by the combustion process efficiency. Default combustion efficiencies are from the UNFCCC CDM (2017) and are based on the type of flare used. If more specific information about a flare's efficiency is known, users may override the recommended default. The button to the right resets the flaring default value.</t>
    </r>
  </si>
  <si>
    <t>Flaring</t>
  </si>
  <si>
    <t>Percentage of Methane sent to Flare</t>
  </si>
  <si>
    <t xml:space="preserve">percent </t>
  </si>
  <si>
    <t>Flare Type</t>
  </si>
  <si>
    <t>Enclosed Flare</t>
  </si>
  <si>
    <t>Use Default Efficiency?</t>
  </si>
  <si>
    <t>Combustion Process Efficiency</t>
  </si>
  <si>
    <t>Electricity Consumption and Generation</t>
  </si>
  <si>
    <t>United States</t>
  </si>
  <si>
    <t>Electricity Generation</t>
  </si>
  <si>
    <t>Is electricity generated and used onsite?</t>
  </si>
  <si>
    <t>How much onsite generation is consumed?</t>
  </si>
  <si>
    <t>kWh per day</t>
  </si>
  <si>
    <r>
      <t>Project Biogas CO</t>
    </r>
    <r>
      <rPr>
        <vertAlign val="subscript"/>
        <sz val="12"/>
        <color theme="1"/>
        <rFont val="Arial"/>
        <family val="2"/>
      </rPr>
      <t>2</t>
    </r>
    <r>
      <rPr>
        <sz val="12"/>
        <color theme="1"/>
        <rFont val="Arial"/>
        <family val="2"/>
      </rPr>
      <t xml:space="preserve"> Emissions Factor</t>
    </r>
  </si>
  <si>
    <t>kg/MMBtu</t>
  </si>
  <si>
    <r>
      <t>Project Biogas CH</t>
    </r>
    <r>
      <rPr>
        <vertAlign val="subscript"/>
        <sz val="12"/>
        <color theme="1"/>
        <rFont val="Arial"/>
        <family val="2"/>
      </rPr>
      <t>4</t>
    </r>
    <r>
      <rPr>
        <sz val="12"/>
        <color theme="1"/>
        <rFont val="Arial"/>
        <family val="2"/>
      </rPr>
      <t xml:space="preserve"> Emissions Factor</t>
    </r>
  </si>
  <si>
    <t>g/MMBtu</t>
  </si>
  <si>
    <t>Direct Electricity Use</t>
  </si>
  <si>
    <t>How much Electricity is consumed from the grid?</t>
  </si>
  <si>
    <t>Use Default Grid Data?</t>
  </si>
  <si>
    <t>Default Grid Emissions Rate</t>
  </si>
  <si>
    <r>
      <t>kgCO</t>
    </r>
    <r>
      <rPr>
        <vertAlign val="subscript"/>
        <sz val="12"/>
        <color theme="1"/>
        <rFont val="Arial"/>
        <family val="2"/>
      </rPr>
      <t>2</t>
    </r>
    <r>
      <rPr>
        <sz val="12"/>
        <color theme="1"/>
        <rFont val="Arial"/>
        <family val="2"/>
      </rPr>
      <t>/kWh</t>
    </r>
  </si>
  <si>
    <t>If no, what is your Grid Emissions factor?</t>
  </si>
  <si>
    <t>Grid Gross Loss</t>
  </si>
  <si>
    <r>
      <rPr>
        <b/>
        <sz val="14"/>
        <color theme="1"/>
        <rFont val="Arial"/>
        <family val="2"/>
      </rPr>
      <t xml:space="preserve">Leakage Instructions: </t>
    </r>
    <r>
      <rPr>
        <sz val="14"/>
        <color theme="1"/>
        <rFont val="Arial"/>
        <family val="2"/>
      </rPr>
      <t xml:space="preserve">
Some degree of leakage occurs from all Anaerobic Digesters. Leakage is the methane released through pipes, equipment, and other apparatuses used to generate biogas. This tool uses the UNFCCC CDM (2017) default leakage rate of 10% of methane production, but the user may override the recommended defaults. The tool using the previously entered waste and equipment inputs calculates methane production. The button to the right resets the leakage default values.</t>
    </r>
  </si>
  <si>
    <t>Leakage</t>
  </si>
  <si>
    <t>Assumed Fraction of Methane Leakage</t>
  </si>
  <si>
    <t>Defaults -hide</t>
  </si>
  <si>
    <r>
      <t>CO</t>
    </r>
    <r>
      <rPr>
        <vertAlign val="subscript"/>
        <sz val="12"/>
        <color theme="1"/>
        <rFont val="Arial"/>
        <family val="2"/>
      </rPr>
      <t>2</t>
    </r>
    <r>
      <rPr>
        <sz val="12"/>
        <color theme="1"/>
        <rFont val="Arial"/>
        <family val="2"/>
      </rPr>
      <t xml:space="preserve"> Emissions Factor</t>
    </r>
  </si>
  <si>
    <r>
      <t>CH</t>
    </r>
    <r>
      <rPr>
        <vertAlign val="subscript"/>
        <sz val="12"/>
        <color theme="1"/>
        <rFont val="Arial"/>
        <family val="2"/>
      </rPr>
      <t>4</t>
    </r>
    <r>
      <rPr>
        <sz val="12"/>
        <color theme="1"/>
        <rFont val="Arial"/>
        <family val="2"/>
      </rPr>
      <t xml:space="preserve"> Emissions Factor</t>
    </r>
  </si>
  <si>
    <t>Default methane sent to flare</t>
  </si>
  <si>
    <t>Annual Output Summary Information</t>
  </si>
  <si>
    <t xml:space="preserve">The table below shows the planned Anaerobic Digester’s annual digestate and biogas production and options for energy recovery based on the user’s inputs, calculated by taking the daily production and multiplying it by 365 days per year. This should be considered a first-order estimate. In reality, anaerobic digester production may vary based on waste characteristics, reactor temperature, system design limitations, and daily operations. </t>
  </si>
  <si>
    <r>
      <t xml:space="preserve">Biogas Production - 
</t>
    </r>
    <r>
      <rPr>
        <sz val="10"/>
        <color theme="0"/>
        <rFont val="Arial"/>
        <family val="2"/>
      </rPr>
      <t xml:space="preserve">The estimated low and high production values use calibration factors from actual observations that represent the 25th and 75th percentile values of the ratio between measured and modeled data. These values are used to adjust the maximum potential biogas generation values to estimate the likely biogas generation potential values. </t>
    </r>
  </si>
  <si>
    <t>Estimated Value (low)</t>
  </si>
  <si>
    <t>Estimated Value (high)</t>
  </si>
  <si>
    <t>Theoretical Maximum Potential</t>
  </si>
  <si>
    <t>Estimated Biogas Production - low (m3/year)</t>
  </si>
  <si>
    <t>Estimated Biogas Production - high (m3/year)</t>
  </si>
  <si>
    <t>Maximum Potential (m3/year)</t>
  </si>
  <si>
    <t>Annual Biogas Production</t>
  </si>
  <si>
    <t>scf/year</t>
  </si>
  <si>
    <t>Annual Methane Production</t>
  </si>
  <si>
    <t>Total Non- Biodegradable Solids</t>
  </si>
  <si>
    <t>kg/year</t>
  </si>
  <si>
    <t>Remaining Volatile Solids</t>
  </si>
  <si>
    <t>Digester Solids</t>
  </si>
  <si>
    <t>Dry Sludge</t>
  </si>
  <si>
    <t>Liquid Effluent</t>
  </si>
  <si>
    <t>lb/year</t>
  </si>
  <si>
    <r>
      <t xml:space="preserve">Energy Recovery Options - </t>
    </r>
    <r>
      <rPr>
        <sz val="10"/>
        <color theme="0"/>
        <rFont val="Arial"/>
        <family val="2"/>
      </rPr>
      <t>Each energy recovery option is an "or" estimate (i.e., the plant will not be capable of producing both X kWh of electricity and Y m3/year natural gas, but is capable of producing either X kWh of electricity hours or Y m3/year of natural gas).</t>
    </r>
  </si>
  <si>
    <t>Electricity Production (cleaned biogas to natural gas quality)</t>
  </si>
  <si>
    <t>MWh</t>
  </si>
  <si>
    <t>Electricity Production (biogas only)</t>
  </si>
  <si>
    <t>Renewable Natural Gas (RNG) Production</t>
  </si>
  <si>
    <t>Cooking Gas Potential</t>
  </si>
  <si>
    <t>homes/year</t>
  </si>
  <si>
    <t>Home Heating Potential</t>
  </si>
  <si>
    <t>Gas Lamps Powered</t>
  </si>
  <si>
    <t>lamps/year</t>
  </si>
  <si>
    <r>
      <rPr>
        <b/>
        <sz val="11"/>
        <color theme="1"/>
        <rFont val="Arial"/>
        <family val="2"/>
      </rPr>
      <t>Additional Operational Notes on Bioreactor Toxicity:</t>
    </r>
    <r>
      <rPr>
        <sz val="11"/>
        <color theme="1"/>
        <rFont val="Calibri"/>
        <family val="2"/>
        <scheme val="minor"/>
      </rPr>
      <t xml:space="preserve">
</t>
    </r>
    <r>
      <rPr>
        <sz val="11"/>
        <color theme="1"/>
        <rFont val="Arial"/>
        <family val="2"/>
      </rPr>
      <t>The first table below lists additional information about your modeled waste stream's possible Anaerobic Inhibitors to consider while designing your project. The definitions list below shows design and process solutions to consider to address those toxic inhibitors or ensure the stay at a manageable level. For further reading and sources see Chen et al. 2007 and Arinbaatar et al. 2014. Light metal include sodium, potassium, magnesium, calcium and aluminum. Heavy Metals includes chromium, iron, cobalt, copper, zinc, cadmium and nickel. Organic Components includes Chlorophenols, Halogenated Alophatics, N-substituted aromatics, LCFAs, and Lignin. For important definitions see the green box below.</t>
    </r>
  </si>
  <si>
    <t>Which waste stream inhibitors may impact the digester?</t>
  </si>
  <si>
    <t>Ammonia</t>
  </si>
  <si>
    <t>Sulfides</t>
  </si>
  <si>
    <t>Light Metals</t>
  </si>
  <si>
    <t>Heavy Metals</t>
  </si>
  <si>
    <t>Organic Components</t>
  </si>
  <si>
    <t>Pretreatment or Design Options to Address Inhibitors</t>
  </si>
  <si>
    <t>Biogas Production Summary Information</t>
  </si>
  <si>
    <t>Volatile Solids (kg / day)</t>
  </si>
  <si>
    <r>
      <t>Methane Yields (m</t>
    </r>
    <r>
      <rPr>
        <b/>
        <vertAlign val="superscript"/>
        <sz val="11"/>
        <color theme="0"/>
        <rFont val="Arial"/>
        <family val="2"/>
      </rPr>
      <t>3</t>
    </r>
    <r>
      <rPr>
        <b/>
        <sz val="11"/>
        <color theme="0"/>
        <rFont val="Arial"/>
        <family val="2"/>
      </rPr>
      <t>/kg of VS)</t>
    </r>
  </si>
  <si>
    <r>
      <t>Methane Production (m</t>
    </r>
    <r>
      <rPr>
        <b/>
        <vertAlign val="superscript"/>
        <sz val="11"/>
        <color theme="0"/>
        <rFont val="Arial"/>
        <family val="2"/>
      </rPr>
      <t>3</t>
    </r>
    <r>
      <rPr>
        <b/>
        <sz val="11"/>
        <color theme="0"/>
        <rFont val="Arial"/>
        <family val="2"/>
      </rPr>
      <t>/day)</t>
    </r>
  </si>
  <si>
    <r>
      <t>Other Gases (m</t>
    </r>
    <r>
      <rPr>
        <b/>
        <vertAlign val="superscript"/>
        <sz val="11"/>
        <color theme="0"/>
        <rFont val="Arial"/>
        <family val="2"/>
      </rPr>
      <t>3</t>
    </r>
    <r>
      <rPr>
        <b/>
        <sz val="11"/>
        <color theme="0"/>
        <rFont val="Arial"/>
        <family val="2"/>
      </rPr>
      <t>/day)</t>
    </r>
  </si>
  <si>
    <r>
      <t>Total Biogas Production (m</t>
    </r>
    <r>
      <rPr>
        <b/>
        <vertAlign val="superscript"/>
        <sz val="11"/>
        <color theme="0"/>
        <rFont val="Arial"/>
        <family val="2"/>
      </rPr>
      <t>3</t>
    </r>
    <r>
      <rPr>
        <b/>
        <sz val="11"/>
        <color theme="0"/>
        <rFont val="Arial"/>
        <family val="2"/>
      </rPr>
      <t>/day)</t>
    </r>
  </si>
  <si>
    <t>Digestate Production Summary Information</t>
  </si>
  <si>
    <t>Digestate Production (kg / day)</t>
  </si>
  <si>
    <t>Waste Type</t>
  </si>
  <si>
    <t xml:space="preserve">Non biodegradable solids </t>
  </si>
  <si>
    <t>Annual Project Net Emissions</t>
  </si>
  <si>
    <r>
      <t>Annual Baseline Emissions (MtCO</t>
    </r>
    <r>
      <rPr>
        <b/>
        <vertAlign val="subscript"/>
        <sz val="14"/>
        <color theme="0"/>
        <rFont val="Arial"/>
        <family val="2"/>
      </rPr>
      <t>2</t>
    </r>
    <r>
      <rPr>
        <b/>
        <sz val="14"/>
        <color theme="0"/>
        <rFont val="Arial"/>
        <family val="2"/>
      </rPr>
      <t>e)</t>
    </r>
  </si>
  <si>
    <r>
      <t>Annual Project  Emissions (MtCO</t>
    </r>
    <r>
      <rPr>
        <b/>
        <vertAlign val="subscript"/>
        <sz val="14"/>
        <color theme="0"/>
        <rFont val="Arial"/>
        <family val="2"/>
      </rPr>
      <t>2</t>
    </r>
    <r>
      <rPr>
        <b/>
        <sz val="14"/>
        <color theme="0"/>
        <rFont val="Arial"/>
        <family val="2"/>
      </rPr>
      <t>e)</t>
    </r>
  </si>
  <si>
    <r>
      <t>Annual Projected Net Emissions Reductions (MtCO</t>
    </r>
    <r>
      <rPr>
        <b/>
        <vertAlign val="subscript"/>
        <sz val="14"/>
        <color theme="0"/>
        <rFont val="Arial"/>
        <family val="2"/>
      </rPr>
      <t>2</t>
    </r>
    <r>
      <rPr>
        <b/>
        <sz val="14"/>
        <color theme="0"/>
        <rFont val="Arial"/>
        <family val="2"/>
      </rPr>
      <t>e)</t>
    </r>
  </si>
  <si>
    <t>Annual Project Net Emissions (Methane only)</t>
  </si>
  <si>
    <t>Emissions Category</t>
  </si>
  <si>
    <r>
      <t>kg CH</t>
    </r>
    <r>
      <rPr>
        <vertAlign val="subscript"/>
        <sz val="11"/>
        <color theme="0"/>
        <rFont val="Arial"/>
        <family val="2"/>
      </rPr>
      <t>4</t>
    </r>
    <r>
      <rPr>
        <sz val="11"/>
        <color theme="0"/>
        <rFont val="Arial"/>
        <family val="2"/>
      </rPr>
      <t xml:space="preserve"> per year</t>
    </r>
  </si>
  <si>
    <r>
      <t>metric tons CH</t>
    </r>
    <r>
      <rPr>
        <vertAlign val="subscript"/>
        <sz val="11"/>
        <color theme="0"/>
        <rFont val="Arial"/>
        <family val="2"/>
      </rPr>
      <t>4</t>
    </r>
    <r>
      <rPr>
        <sz val="11"/>
        <color theme="0"/>
        <rFont val="Arial"/>
        <family val="2"/>
      </rPr>
      <t xml:space="preserve"> per year</t>
    </r>
  </si>
  <si>
    <t>Baseline Emissions</t>
  </si>
  <si>
    <t>Gross Methane Emissions from Manure</t>
  </si>
  <si>
    <t>Gross Methane Emissions from Co-Digested Waste</t>
  </si>
  <si>
    <t>Project Emissions</t>
  </si>
  <si>
    <t>Methane Leakage</t>
  </si>
  <si>
    <t>Flare-Related Emissions</t>
  </si>
  <si>
    <t>Methane Utilization</t>
  </si>
  <si>
    <t>Electricity Generation (Biogas Consumption only)</t>
  </si>
  <si>
    <t>Temporary Storage</t>
  </si>
  <si>
    <t>Annual Projected Net Methane Emissions Reduction</t>
  </si>
  <si>
    <r>
      <t>Annual Project Net Emissions  (MtCO</t>
    </r>
    <r>
      <rPr>
        <vertAlign val="subscript"/>
        <sz val="11"/>
        <color theme="0"/>
        <rFont val="Arial"/>
        <family val="2"/>
      </rPr>
      <t>2</t>
    </r>
    <r>
      <rPr>
        <sz val="11"/>
        <color theme="0"/>
        <rFont val="Arial"/>
        <family val="2"/>
      </rPr>
      <t>e per year)</t>
    </r>
  </si>
  <si>
    <t>Black Carbon</t>
  </si>
  <si>
    <t>All GHG Pollutants</t>
  </si>
  <si>
    <t>Electricity Use (including Biogas Consumption)</t>
  </si>
  <si>
    <t>Annual Projected Net Emissions Reduction</t>
  </si>
  <si>
    <t>SLCP Global Warming Potentials</t>
  </si>
  <si>
    <t>SLCP</t>
  </si>
  <si>
    <t>Information Source</t>
  </si>
  <si>
    <t>Based on total climate forcing (all effects). This GWP is cited in the IPCC AR5 (Myhre et al., 2013).</t>
  </si>
  <si>
    <t>Myhre et al., 2013; Bond et al., 2013</t>
  </si>
  <si>
    <t>Methane (bio)</t>
  </si>
  <si>
    <t>Forster et al., 2007</t>
  </si>
  <si>
    <t>Methane (fossil)</t>
  </si>
  <si>
    <t>Waste Characteristics</t>
  </si>
  <si>
    <t xml:space="preserve">lb./d/1000 lb. </t>
  </si>
  <si>
    <t>% of TS</t>
  </si>
  <si>
    <r>
      <t>m</t>
    </r>
    <r>
      <rPr>
        <b/>
        <vertAlign val="superscript"/>
        <sz val="11"/>
        <color theme="0"/>
        <rFont val="Arial"/>
        <family val="2"/>
      </rPr>
      <t>3</t>
    </r>
    <r>
      <rPr>
        <b/>
        <sz val="11"/>
        <color theme="0"/>
        <rFont val="Arial"/>
        <family val="2"/>
      </rPr>
      <t xml:space="preserve"> / Mg of VS</t>
    </r>
  </si>
  <si>
    <r>
      <t>kg/m</t>
    </r>
    <r>
      <rPr>
        <b/>
        <vertAlign val="superscript"/>
        <sz val="11"/>
        <color theme="0"/>
        <rFont val="Arial"/>
        <family val="2"/>
      </rPr>
      <t>3</t>
    </r>
  </si>
  <si>
    <t>Waste Item</t>
  </si>
  <si>
    <t>Total Solids</t>
  </si>
  <si>
    <t>Volatile Solids</t>
  </si>
  <si>
    <t>Fixed Solids (Ash)</t>
  </si>
  <si>
    <t>Fixed Solids</t>
  </si>
  <si>
    <t>BOD</t>
  </si>
  <si>
    <t>N</t>
  </si>
  <si>
    <t>Sugars &amp; Starches</t>
  </si>
  <si>
    <t>Fats</t>
  </si>
  <si>
    <t>Proteins</t>
  </si>
  <si>
    <t>Bulk Density</t>
  </si>
  <si>
    <t>Specific Gravity</t>
  </si>
  <si>
    <t>Manure?</t>
  </si>
  <si>
    <t>Type</t>
  </si>
  <si>
    <t>Source:</t>
  </si>
  <si>
    <t>Y</t>
  </si>
  <si>
    <t>Methane Yields from Ward et al. All other waste characteristics derived from USDA 2008. Protein and Fat percent taken from Table 1 in Fen et al. 2017. It was assumed remaining material Volatile Solid Material is sugars and starches</t>
  </si>
  <si>
    <t>USDA 2008; Ward et. al 2008; Fen et al. 2017</t>
  </si>
  <si>
    <t>Calculated methane yields from biogas yields and assumption that biogas is 60% CH4 (IAEA 2008). All other waste characteristics derived from USDA 2008. In cases where information for veal was missing assumptions for calf were used. Protein, Sugar, Starch, and Fat content derived from Fen et al. 2017. It was assumed Duck and Turkey manure protein and fat content were similar to chicken.</t>
  </si>
  <si>
    <t>USDA 2008; IAEA 2008; Fen et al. 2017</t>
  </si>
  <si>
    <t>USDA 2008; IAEA 2008</t>
  </si>
  <si>
    <t>USDA 2008; IAEA 2008; Fen et al. 2017; Mönch-Tegeder et al. 2013</t>
  </si>
  <si>
    <t>Fruit And Vegetable Feedstocks</t>
  </si>
  <si>
    <t>Salman et al. 2011; Oklahoma Cooperative Extension Service BAE-1762; FAO 2012</t>
  </si>
  <si>
    <t>Methane yield for just peel; Density for 1 cup mashed banana</t>
  </si>
  <si>
    <t>USDA 2008; USDA 2016</t>
  </si>
  <si>
    <t>USDA 2008; Yan et al. 2017; USDA 2016</t>
  </si>
  <si>
    <t>Density of shredded cabbage</t>
  </si>
  <si>
    <t>USDA 2008; Rittenschober et al. 2012; USDA 2016</t>
  </si>
  <si>
    <t>Density for 1 cup raw Cauliflower, chopped in 1/2" pieces</t>
  </si>
  <si>
    <t>FAO 2017; Yan et al. 2017; USDA 2016</t>
  </si>
  <si>
    <t>USDA 2008; Salter 2007; USDA 2016</t>
  </si>
  <si>
    <t>Density for 1 cup Kale, cooked, boiled, and drained</t>
  </si>
  <si>
    <t>USDA 2008; USDA 2016; IEA Bioenergy 2010</t>
  </si>
  <si>
    <t>Density for shredded lettuce</t>
  </si>
  <si>
    <t>Orange Flesh</t>
  </si>
  <si>
    <t>Density for orange peel. Raw</t>
  </si>
  <si>
    <t>USDA 2008; USDA 2016; Wikandari et al. 2015</t>
  </si>
  <si>
    <t>Density cup of orange sections without membranes</t>
  </si>
  <si>
    <t>USDA 2008; Hamilton; Salter 2007</t>
  </si>
  <si>
    <t>Methane yield is laboratory results for pumpkin flesh mixed with cow manure.</t>
  </si>
  <si>
    <t>USDA 2008; USDA 2016; Dubrovskis 2017</t>
  </si>
  <si>
    <t>Methane yield for whole spinach</t>
  </si>
  <si>
    <t>USDA 2008; FAO 2012; Yan et al. 2017; USDA 2016</t>
  </si>
  <si>
    <t>Density for cup chopped or sliced</t>
  </si>
  <si>
    <t xml:space="preserve">Protein, Fat, Sugar and Starch content taken from Gao et al. 2012. </t>
  </si>
  <si>
    <t>Gao et al. 2012; USDA 2008</t>
  </si>
  <si>
    <t>Maize (Middle Harvest Or Wax Ripeness)</t>
  </si>
  <si>
    <t>Density average of range in Liu et al. 2011. Rice waste characteristics taken from Contreras et al. 2012. Methane yield average of estimates from first-order method. A value for protein and fat content of rice husk, straw and residue, could not be identified so these values were assumed to be zero</t>
  </si>
  <si>
    <t>Liu et al. 2011; Contreras et al. 2012</t>
  </si>
  <si>
    <t>Read from graph for Wheat</t>
  </si>
  <si>
    <t>IRENA 2016; Salter 2007; Xi et al. 2015</t>
  </si>
  <si>
    <t>"The average bulk density was 282.38, 81.61 and 127.32 kg m−3 for the corn cobs, leaves and stalks, respectively." (Zhang et al. 2012)</t>
  </si>
  <si>
    <t>Yavini et al. 2014; Salter 2007; Leke et al. 2013</t>
  </si>
  <si>
    <t>Vitez et al. 2016</t>
  </si>
  <si>
    <t>Zheng et al. 2013; Goel et al. 2001</t>
  </si>
  <si>
    <t>The waste characteristics are taken from USDA 2008. The density is taken from Rittenschober 2012, and the methane yield from Mes et al. 2003.</t>
  </si>
  <si>
    <t>USDA 2008; Mes et al. 2003; Rittenschober 2012</t>
  </si>
  <si>
    <t>USDA 2008; Mes et al. 2003; Antonopoulou et al. 2008; Rittenschober 2012</t>
  </si>
  <si>
    <t>Garden Feedstocks</t>
  </si>
  <si>
    <t>Salman et al. 2011; Barua et al. 2016; Tiwari 2005</t>
  </si>
  <si>
    <t>Wood and tree branch density can range from 400 - 1000 kg/m3. The methane yield and density of leaves and grasses may also vary depending on the waste’s characteristics. The user is encourages to enter more specific information more reflective of their respective waste stream for this waste category.</t>
  </si>
  <si>
    <t>Levis et al. 2013; Cornell Waste Management 1990; Carolinas Composting Council; Zheng et al. 2013</t>
  </si>
  <si>
    <t>Density is the bulk density of wool fiber.</t>
  </si>
  <si>
    <t>Levis et al. 2013; Priadi et al. 2014; Merrick 1998; WRAP 2009</t>
  </si>
  <si>
    <t>Levis et al. 2013; Priadi et al. 2014; Zheng et al. 2013; WRAP 2009</t>
  </si>
  <si>
    <t xml:space="preserve">These characteristics are mostly derived from USDA 2008. However, the USDA did not provide methane yields. Methane yields for primary sludge from general wastewater treatment facilities and converted from their original values into cubic meters per dry Mg from Bachmann 2015. They original range in Bachmann 2015 suggested methane yields range from 315 – 400 cubic meters per Mg of TS. Using USDA information, these values were converted into the values presented on the left. The presented value is an average of the range 315 - 400 cubic meters  per Mg range. </t>
  </si>
  <si>
    <t>USDA 2008; Bachmann 2015; Rose et al. 2015; WRAP 2009</t>
  </si>
  <si>
    <t>USDA 2008; Bachmann 2015; WRAP 2009</t>
  </si>
  <si>
    <t>Bulk densities taken from WRAP 2009</t>
  </si>
  <si>
    <t>Zhang et al. 2012; Zhang et al. 2015; WRAP 2009</t>
  </si>
  <si>
    <t>Kitchen Feedstocks And Food Scraps</t>
  </si>
  <si>
    <t>Levis et al did not provide batch densities or nitrogen contents. Li et al values were used to determine bulk density and nitrogen content. These assumptions are based on a generic kitchen waste stream in China. Protein, Fat, and Sugar content taken from Browne and Murphy 2013.</t>
  </si>
  <si>
    <t>Levis et al. 2013; Li et al. 2009; Browne and Murphy 2013</t>
  </si>
  <si>
    <t xml:space="preserve">The waste density is estimated by the experiment design. Samples 200 grams in mass were stored in 1 Liter containers. Nitrogen content came from Mathias et al. 2011. The "Hot trub" was used as Brewery Grains Waste and "Brewer's spent grain" as the Bread Wastes nitrogen content. </t>
  </si>
  <si>
    <t>Kafle et al. 2013; Mathias et al. 2011</t>
  </si>
  <si>
    <t>Mixed Cafeteria Or Canteen Waste</t>
  </si>
  <si>
    <t>Browne and Murphy 2013; Li et al. 2009</t>
  </si>
  <si>
    <t xml:space="preserve">Density values taken from Rittenschober et al. 2012. Cooked meat is the value for "Beef and noodles in gravy." Protein, Fat and Sugar content taken from USDA 2016. Values are for ground beef and boiled wild rice. </t>
  </si>
  <si>
    <t>Rittenschober et al. 2012; Cho et al. 1995; USDA 2016</t>
  </si>
  <si>
    <t>Slaughterhouse Waste (Raw waste)</t>
  </si>
  <si>
    <t>measurements were derived from swine slaughterhouse waste</t>
  </si>
  <si>
    <t>Hejnfelt et al. 2009</t>
  </si>
  <si>
    <t>Slaughterhouse Waste (Animal Hair)</t>
  </si>
  <si>
    <t>some values read from Figure 1</t>
  </si>
  <si>
    <t>Hejnfelt et al. 2009; Hapman 2019</t>
  </si>
  <si>
    <t>Slaughterhouse Waste (Blood)</t>
  </si>
  <si>
    <t>Slaughterhouse Waste (Carcass/Paunch)</t>
  </si>
  <si>
    <t>Ware et al. 2016; Hapman 2019</t>
  </si>
  <si>
    <t>Seafood Waste Silages</t>
  </si>
  <si>
    <t xml:space="preserve">Fish silage are defined as a liquid product made from whole fish or parts of fish that are liquefied. Often this waste is generated from fish canning operations. The waste density is estimated by the experiment design. Samples 200 grams in mass were stored in 1 Liter containers. </t>
  </si>
  <si>
    <t>Kafle et al. 2013; Ramirez et al. 2013</t>
  </si>
  <si>
    <t>Energy And Cash Crops</t>
  </si>
  <si>
    <r>
      <t xml:space="preserve">Agave </t>
    </r>
    <r>
      <rPr>
        <i/>
        <sz val="11"/>
        <color theme="1"/>
        <rFont val="Arial"/>
        <family val="2"/>
      </rPr>
      <t>(Agave sisalana)</t>
    </r>
  </si>
  <si>
    <t xml:space="preserve">Values used are for sisal leaf decortications waste (fresh). This type of agave is traditonally used for making textiles. </t>
  </si>
  <si>
    <t>Maik et al. 2016; Muthangya et al. 2013</t>
  </si>
  <si>
    <t>Sumardiono et al. 2017; Inyang 2010</t>
  </si>
  <si>
    <t>Lehtomäki et al. 2008; Kythreotou et al. 2014; Hapman 2019</t>
  </si>
  <si>
    <t>A value for protein and fat content of Rapeseed could not be identified so these values were assumed to be zero. A source for nitrogen content could not be identified so the value was assumed to be 0.9%, the same as the general grass default.</t>
  </si>
  <si>
    <t>Antonopoulou et al. 2010; Petersson et al. 2007</t>
  </si>
  <si>
    <t>Antonopoulou et al. 2010; USDA 2016</t>
  </si>
  <si>
    <t xml:space="preserve">Empty fruit density is taken from Alucilja et al. 2013. Due to lack of available substitutes, this bulk density is assumed for pressed fibers and decanter cake as well. </t>
  </si>
  <si>
    <t>Chaikitkaew et al. 2015; Alucilja et al. 2013</t>
  </si>
  <si>
    <t>Agrawal et al. 2009; Sundaranayagi et al. 2017</t>
  </si>
  <si>
    <t>Suresh et al. 2017; Jimoh et al. 2018</t>
  </si>
  <si>
    <t>CHOOSE AT LEAST ONE</t>
  </si>
  <si>
    <t>Waste Toxicity Characteristics</t>
  </si>
  <si>
    <t>The table below lists waste category and the anaerobic digestion inhibitors commonly associated with that type of waste. Sources for this table include Chen et al. 2007, Lefebvre et al. 2007, and Arinbaatar et al. 2014. Some information was also sourced from the sources listed on the Default Waste Assumptions tab for individual waste types.</t>
  </si>
  <si>
    <t>Inhibitor Category</t>
  </si>
  <si>
    <t>Organic Contaminants</t>
  </si>
  <si>
    <t>Inhibitor Name or Example</t>
  </si>
  <si>
    <t>Ammonia Ions, free Ammonia</t>
  </si>
  <si>
    <t>Aluminum</t>
  </si>
  <si>
    <t>Calcium</t>
  </si>
  <si>
    <t>Magnesium</t>
  </si>
  <si>
    <t>Potassium</t>
  </si>
  <si>
    <t>Sodium</t>
  </si>
  <si>
    <t>e.g. Fe, Co, Cu, Zn, Pb, etc.</t>
  </si>
  <si>
    <t>e.g. Chlorophenols, Halogenated, Alophatics, N-substituted aromatics, LCFAs, and Lignins</t>
  </si>
  <si>
    <t>Lactating Cow (100 Lb./Day)</t>
  </si>
  <si>
    <t>✔</t>
  </si>
  <si>
    <t>Beef Cattle In Confinement</t>
  </si>
  <si>
    <t>Calf In Confinement (450 -750 Lbs.)</t>
  </si>
  <si>
    <t>Finishing Cattle With Corn Supplement</t>
  </si>
  <si>
    <t>Finishing Cattle Without Corn Supplement</t>
  </si>
  <si>
    <t>Swine - Gestating (423 Lb.)</t>
  </si>
  <si>
    <t>Swine - Lactating (423 Lb.)</t>
  </si>
  <si>
    <t>Boar (440 Lb.)</t>
  </si>
  <si>
    <r>
      <t xml:space="preserve">Agave </t>
    </r>
    <r>
      <rPr>
        <i/>
        <sz val="10"/>
        <color theme="1"/>
        <rFont val="Arial"/>
        <family val="2"/>
      </rPr>
      <t>(Agave sisalana)</t>
    </r>
  </si>
  <si>
    <t>Tequila Vinasses</t>
  </si>
  <si>
    <t>Calibration Factors</t>
  </si>
  <si>
    <t>System Type</t>
  </si>
  <si>
    <t>Calibration Factor  - low</t>
  </si>
  <si>
    <t>Calibration Factor  - high</t>
  </si>
  <si>
    <t>Wet_Mesophilic</t>
  </si>
  <si>
    <t>Wet_Thermophilic</t>
  </si>
  <si>
    <t>Wet_Unheated/Ambient</t>
  </si>
  <si>
    <t>Dry_Mesophilic</t>
  </si>
  <si>
    <t>Dry_Thermophilic</t>
  </si>
  <si>
    <t>Dry_Unheated/Ambient</t>
  </si>
  <si>
    <t>Tonnes Per Year</t>
  </si>
  <si>
    <t>Carbon (% dry weight)</t>
  </si>
  <si>
    <t>Nitrogen (% dry weight)</t>
  </si>
  <si>
    <t>C:N Ratio (parts carbon to 1 part nitrogen)</t>
  </si>
  <si>
    <t>Moisture %</t>
  </si>
  <si>
    <t xml:space="preserve">Volatile Solids </t>
  </si>
  <si>
    <t>Tonnes Carbon</t>
  </si>
  <si>
    <t>Tonnes Nitrogen</t>
  </si>
  <si>
    <t>Tonnes of Moisture</t>
  </si>
  <si>
    <t>Tonnes of Volatile Solids</t>
  </si>
  <si>
    <r>
      <t>Methane Yield (m</t>
    </r>
    <r>
      <rPr>
        <vertAlign val="superscript"/>
        <sz val="10"/>
        <color theme="1"/>
        <rFont val="Arial"/>
        <family val="2"/>
      </rPr>
      <t>3</t>
    </r>
    <r>
      <rPr>
        <sz val="10"/>
        <color theme="1"/>
        <rFont val="Arial"/>
        <family val="2"/>
      </rPr>
      <t xml:space="preserve"> CH</t>
    </r>
    <r>
      <rPr>
        <vertAlign val="subscript"/>
        <sz val="10"/>
        <color theme="1"/>
        <rFont val="Arial"/>
        <family val="2"/>
      </rPr>
      <t>4</t>
    </r>
    <r>
      <rPr>
        <sz val="10"/>
        <color theme="1"/>
        <rFont val="Arial"/>
        <family val="2"/>
      </rPr>
      <t>/dry metric tonne)</t>
    </r>
  </si>
  <si>
    <t>Methane Conversion Factors (MCF)</t>
  </si>
  <si>
    <t>MCF Values By Temperature for Manure Management Systems</t>
  </si>
  <si>
    <t>Temperature (°C)</t>
  </si>
  <si>
    <t>Cool</t>
  </si>
  <si>
    <t>Temperate</t>
  </si>
  <si>
    <t>Warm</t>
  </si>
  <si>
    <t>System</t>
  </si>
  <si>
    <t>Aerobic Treatment</t>
  </si>
  <si>
    <t>Alternative Anaerobic Digester</t>
  </si>
  <si>
    <t>Cattle and Swine deep bedding &lt;1 mo.</t>
  </si>
  <si>
    <t>Dry lot</t>
  </si>
  <si>
    <t>Cattle and Swine deep bedding &gt;1 mo.</t>
  </si>
  <si>
    <t>Liquid Slurry w/ natural crust cover</t>
  </si>
  <si>
    <t>Composting in Vessel</t>
  </si>
  <si>
    <t>Liquid Slurry w/o natural crust cover</t>
  </si>
  <si>
    <t>Composting Intensive windrow</t>
  </si>
  <si>
    <t>Pit storage below animal confinements &lt;1 mo.</t>
  </si>
  <si>
    <t>Composting Passive window</t>
  </si>
  <si>
    <t>Composting Static Pile</t>
  </si>
  <si>
    <t>Solid Storage</t>
  </si>
  <si>
    <t>Daily Spread</t>
  </si>
  <si>
    <t>Landfill</t>
  </si>
  <si>
    <t xml:space="preserve">Landfill (semi-aerobic) </t>
  </si>
  <si>
    <t>Open Burning or Burned for Fuel</t>
  </si>
  <si>
    <t>Pasture/Range/Paddock</t>
  </si>
  <si>
    <t>Uncategoizable Dumpsite</t>
  </si>
  <si>
    <t>Unmanaged Dumpsite ( &lt;5 m deep)</t>
  </si>
  <si>
    <t xml:space="preserve">Unmanaged Dumpsite ( &gt;5 m deep) and /or high water table </t>
  </si>
  <si>
    <t xml:space="preserve">Sources: 
</t>
  </si>
  <si>
    <t>(1) California Air Resources Board. “Compliance Offset Protocol Livestock Projects Capturing and Destroying Methane FromManure Management Systems,” November 14, 2014. https://www.arb.ca.gov/regact/2014/capandtrade14/ctlivestockprotocol.pdf.</t>
  </si>
  <si>
    <t xml:space="preserve">(2) Pipatti, Ritta, et al. “Chapter 3: Solid Waste Disposal.” In 2006 IPCC Guidelines for National Greenhouse Gas Inventories, 2006. https://www.ipcc-nggip.iges.or.jp/public/2006gl/pdf/5_Volume5/V5_3_Ch3_SWDS.pdf.
</t>
  </si>
  <si>
    <t>References and Background Information</t>
  </si>
  <si>
    <t>Agrawal, Karan, B. R. Barbe, and Shareena Khan. 2009. “Biogas from Pressmud.” IOSR Journal of Mechanical and Civil Engineering, 37–41.</t>
  </si>
  <si>
    <t>Alucilja, Renel M., Pepito M. Bato, Delfin S. Suministrado, and Engelbert K. Peralta. “Determination of Some Physical and Mechanical Properties of Oil Palm Fruit.” USM R&amp;D Journal 21, no. 2 (December 31, 2013): 61–70.</t>
  </si>
  <si>
    <t>Antonopoulou, Georgia, Katerina Stamatelatou, Nikolaos Venetsaneas, Michael Kornaros, and Gerasimos Lyberatos. “Biohydrogen and Methane Production from Cheese Whey in a Two-Stage Anaerobic Process.” Industrial &amp; Engineering Chemistry Research 47, no. 15 (August 1, 2008): 5227–33. https://doi.org/10.1021/ie071622x.</t>
  </si>
  <si>
    <t>Antonopoulou, G, Katerina Stamatelatou, and Gerasimos Lyberatos. Exploitation of Rapeseed and Sunflower Residues for Methane Generation through Anaerobic Digestion: The Effect of Pretreatment. Vol. 20, 2010. https://doi.org/10.3303/CET1020043.</t>
  </si>
  <si>
    <t xml:space="preserve">Ariunbaatar, Javkhlan, Antonio Panico, Giovanni Esposito, Francesco Pirozzi, and Piet N. L. Lens. “Pretreatment Methods to Enhance Anaerobic Digestion of Organic Solid Waste.” Applied Energy 123 (June 15, 2014): 143–56. https://doi.org/10.1016/j.apenergy.2014.02.035.
</t>
  </si>
  <si>
    <t>Bachmann, Nathalie. “Sustainable Biogas Production in Municipal Wastewater Treatment Plants.” IEA Bioenergy, n.d. https://ec.europa.eu/jrc/en/publication/sustainable-biogas-production-municipal-wastewater-treatment-plants.</t>
  </si>
  <si>
    <t>Barua, Visva, and Ajay Kalamdhad. “Water Hyacinth to Biogas: A Review.” Pollution Research 35 (May 15, 2016): 491–501.</t>
  </si>
  <si>
    <t>BP. "Statistical Review of World Energy," June 2018. https://www.bp.com/en/global/corporate/energy-economics/statistical-review-of-world-energy.html</t>
  </si>
  <si>
    <t>Browne, James D., and Jerry D. Murphy. “Assessment of the Resource Associated with Biomethane from Food Waste.” Applied Energy 104, no. Supplement C (April 1, 2013): 170–77. https://doi.org/10.1016/j.apenergy.2012.11.017.</t>
  </si>
  <si>
    <t>Carolinas Composting Council, and Carolina Recycling Association. “Yes You Can! (Compost and Naturescape),” n.d. www.carolinascompostingcouncil.org.</t>
  </si>
  <si>
    <t>California Air Resources Board. “Compliance Offset Protocol Livestock Projects Capturing and Destroying Methane FromManure Management Systems,” November 14, 2014. https://www.arb.ca.gov/regact/2014/capandtrade14/ctlivestockprotocol.pdf.</t>
  </si>
  <si>
    <t>Chaikitkaew, Srisuda, Prawit Kongjan, and Sompong O-Thong. “Biogas Production from Biomass Residues of Palm Oil Mill by Solid State Anaerobic Digestion.” Energy Procedia, 2015 International Conference on Alternative Energy in Developing Countries and Emerging Economies, 79 (November 1, 2015): 838–44. https://doi.org/10.1016/j.egypro.2015.11.575.</t>
  </si>
  <si>
    <t>Chavez-Vazquez, Mariana, and David M. Bagley. 2002. “Evaluation Of The Performance Of Different Anaerobic Digestion Technologies For Solid Waste Treatment.” In . Niagara.</t>
  </si>
  <si>
    <t xml:space="preserve">Chen, Ye, Jay J. Cheng, and Kurt S. Creamer. “Inhibition of Anaerobic Digestion Process: A Review.” Bioresource Technology 99, no. 10 (July 1, 2008): 4044–64. https://doi.org/10.1016/j.biortech.2007.01.057.
</t>
  </si>
  <si>
    <t>Contreras, L. M., H. Schelle, C. R. Sebrango, and I. Pereda. “Methane Potential and Biodegradability of Rice Straw, Rice Husk and Rice Residues from the Drying Process.” Water Science and Technology 65, no. 6 (February 1, 2012): 1142–49. https://doi.org/10.2166/wst.2012.951.</t>
  </si>
  <si>
    <t>Cornell Waste Management Institute. “Yard Waste Composting.” Cornell University, 1990.</t>
  </si>
  <si>
    <t>Dubrovskis, V., and I. Plume. “Biogas from Wastes of Pumpkin, Marrow and Apple.” Agronomy Research 15, no. 1 (2017): 69–78.</t>
  </si>
  <si>
    <t>Food and Agriculture Orginization of the United Nations (FAO). “Table 32. Description of Major Feedstuffs Available in the Philippines.” Aquaculture Feed and Fertilizer Resource Atlas of the Philippines, 1997. http://www.fao.org/docrep/003/W6928E/w6928e17.htm.</t>
  </si>
  <si>
    <t>Fen, Chen, Yu Gao, Li Wei, Liu Fenwu, Zhang Wuping, Bu Yushan, and Li Xiaomei. “Maximal Methane Potential of Different Animal Manures Collected in Northwest Region of China.” International Journal of Agricultural and Biological Engineering 10, no. 1 (January 23, 2017): 202–8. https://doi.org/10.3965/ijabe.v10i1.2469.</t>
  </si>
  <si>
    <r>
      <t xml:space="preserve">Gao, Ruifang, Xufeng Yuan, Wanbin Zhu, Xiaofen Wang, Shaojiang Chen, Xu Cheng, and Zongjun Cui. “Methane Yield through Anaerobic Digestion for Various Maize Varieties in China.” </t>
    </r>
    <r>
      <rPr>
        <i/>
        <sz val="11"/>
        <color theme="1"/>
        <rFont val="Arial"/>
        <family val="2"/>
      </rPr>
      <t>Bioresource Technology</t>
    </r>
    <r>
      <rPr>
        <sz val="11"/>
        <color theme="1"/>
        <rFont val="Arial"/>
        <family val="2"/>
      </rPr>
      <t xml:space="preserve"> 118, no. Supplement C (August 1, 2012): 611–14. https://doi.org/10.1016/j.biortech.2012.05.051.</t>
    </r>
  </si>
  <si>
    <t>Gautam, Dhan Prasad, Shafiqur Rahman, Md Saidul Borhan, and Chanda Engel. “The Effect of Feeding High Fat Diet to Beef Cattle on Manure Composition and Gaseous Emission from a Feedlot Pen Surface.” Journal of Animal Science and Technology 58 (June 10, 2016). https://doi.org/10.1186/s40781-016-0104-6.</t>
  </si>
  <si>
    <t>Goel, B, D. C Pant, and V. V. N Kishore. “Two-Phase Anaerobic Digestion of Spent Tea Leaves for Biogas and Manure Generation.” Bioresource Technology 80, no. 2 (November 1, 2001): 153–56. https://doi.org/10.1016/S0960-8524(01)00083-9.</t>
  </si>
  <si>
    <t>Hamilton, Douglas. “Methane Production Potential of Waste Materials.” Oklahoma State University, n.d. pods.dasnr.okstate.edu/docushare/dsweb/Get/Document-8544/BAE-1762web.pdf.</t>
  </si>
  <si>
    <t xml:space="preserve">Hapman. 2019. “Bulk Material Density Guide.” Hapman. 2019. https://www.hapman.com/education-support/bulk-material-density-guide/.
</t>
  </si>
  <si>
    <t xml:space="preserve">Hejnfelt, Anette, and Irini Angelidaki. 2009. “Anaerobic Digestion of Slaughterhouse By-Products.” Biomass and Bioenergy 33 (8): 1046–54. https://doi.org/10.1016/j.biombioe.2009.03.004.
</t>
  </si>
  <si>
    <r>
      <t>International Energy Agency (IEA). "CO</t>
    </r>
    <r>
      <rPr>
        <vertAlign val="subscript"/>
        <sz val="11"/>
        <color theme="1"/>
        <rFont val="Arial"/>
        <family val="2"/>
      </rPr>
      <t>2</t>
    </r>
    <r>
      <rPr>
        <sz val="11"/>
        <color theme="1"/>
        <rFont val="Arial"/>
        <family val="2"/>
      </rPr>
      <t xml:space="preserve"> Emissions from Fuel Combustion (2018 Edition)." OECD/IEA, Paris, 2018. https://webstore.iea.org/co2-emissions-from-fuel-combustion-2018-highlights</t>
    </r>
  </si>
  <si>
    <t>International Renewable Energy Agency (IRENA). “Measuring Small-Scale Biogas Capacity and Production.” Abu Dhabi: IRENA, 2016. http://www.irena.org/menu/index.aspx?mnu=Subcat&amp;PriMenuID=36&amp;CatID=141&amp;SubcatID=3798.</t>
  </si>
  <si>
    <t>Inyang, Mandu, Bin Gao, Pratap Pullammanappallil, Wenchuan Ding, and Andrew R. Zimmerman. “Biochar from Anaerobically Digested Sugarcane Bagasse.” Bioresource Technology 101, no. 22 (November 1, 2010): 8868–72. https://doi.org/10.1016/j.biortech.2010.06.088.</t>
  </si>
  <si>
    <t>Intergovernmental Panel on Climate Change (IPCC). "2006 IPCC Guidelines for National Greenhouse Has Inventories, Volume 2: Energy, Chapter 2: Stationary Combustion." https://www.ipcc-nggip.iges.or.jp/public/2006gl/pdf/2_Volume2/V2_2_Ch2_Stationary_Combustion.pdf</t>
  </si>
  <si>
    <t>Jimoh, M. O., and J. O. Babatola. 2018. “Investigative Study on the Use of De-Oiled Palm Kernel Cake for Biogas Production.” Nigerian Journal of Technological Development 15 (3): 72. https://doi.org/10.4314/njtd.v15i3.1.</t>
  </si>
  <si>
    <t>Kafle, Gopi Krishna, Sang Hun Kim, and Kyung Ill Sung. “Ensiling of Fish Industry Waste for Biogas Production: A Lab Scale Evaluation of Biochemical Methane Potential (BMP) and Kinetics.” Bioresource Technology 127, no. Supplement C (January 1, 2013): 326–36. https://doi.org/10.1016/j.biortech.2012.09.032.</t>
  </si>
  <si>
    <t>Kryvoruchko, Vitaliy, Andrea Machmüller, Vitomir Bodiroza, Barbara Amon, and Thomas Amon. 2009. “Anaerobic Digestion of By-Products of Sugar Beet and Starch Potato Processing.” Biomass and Bioenergy 33 (4): 620–27. https://doi.org/10.1016/j.biombioe.2008.10.003.</t>
  </si>
  <si>
    <t xml:space="preserve">Lefebvre, O., S. Quentin, M. Torrijos, J. J. Godon, J. P. Delgenès, and R. Moletta. “Impact of Increasing NaCl Concentrations on the Performance and Community Composition of Two Anaerobic Reactors.” Applied Microbiology and Biotechnology 75, no. 1 (May 1, 2007): 61–69. https://doi.org/10.1007/s00253-006-0799-2.
</t>
  </si>
  <si>
    <t xml:space="preserve">Lehtomäki, A., T. A. Viinikainen, and J. A. Rintala. 2008. “Screening Boreal Energy Crops and Crop Residues for Methane Biofuel Production.” Biomass and Bioenergy 32 (6): 541–50. https://doi.org/10.1016/j.biombioe.2007.11.013.
</t>
  </si>
  <si>
    <t>Leke, Luter, Anne Ada Ogbanje, Dekaa Henry Terfa, and Tyoalumun Ikyaagba. “Production of Bio-Gas from Maize Cobs.” International Journal of Energy and Environment 4, no. 1 (2013): 153–60.</t>
  </si>
  <si>
    <t>Levis, James, and Morton Barlaz. “Anaerobic Digestion Process Model Documentation.” Raleigh, NC: North Carolina State University, 2013.</t>
  </si>
  <si>
    <t>Liu, Z., Xu, A., &amp; Long, B. (2011). Energy from combustion of rice straw: status and challenges to China. Energy and Power Engineering, 3(03), 325.</t>
  </si>
  <si>
    <t>Mathias, Thiago Rocha dos Santos, Verônica Marinho Fontes Alexandre, Magali Christe Cammarota, Pedro Paulo Moretzsohn de Mello, and Eliana Flávia Camporese Sérvulo. “Characterization and Determination of Brewer’s Solid Wastes Composition.” Journal of the Institute of Brewing 121, no. 3 (July 1, 2015): 400–404. https://doi.org/10.1002/jib.229.</t>
  </si>
  <si>
    <t>Merrick, Norma C. “Measurement of Density and Medullation in Wool.” Thesis, Lincoln University, 1998. https://researcharchive.lincoln.ac.nz/handle/10182/3014.</t>
  </si>
  <si>
    <t>Mes, T.Z.D. de, A.J.M. Stams, J.H. Reith, and G. Zeeman. “Chapter 4. Methane Production by Anaerobic Digestion of Wastewater and Solid Wastes.” In Biomethane and Biohydrogen. Status and Perspectives of Biological Methane and Hydrogen Production. Netherlands Agency for Energy and the Environment, 2003.</t>
  </si>
  <si>
    <t>Mönch-Tegeder, Matthias, Andreas Lemmer, Hans Oechsner, and Thomas Jungbluth. “Investigation of the Methane Potential of Horse Manure.” Agricultural Engineering International: CIGR Journal 15, no. 2 (July 1, 2013): 161–72.</t>
  </si>
  <si>
    <t>Muthangya, M, S.O. Hashim, J.M Amana, A.M. Mshandete, and A.K. Kivasi. “Auditing and Characteristics of Sisal Processing Waste: A Bioresource for Value Addition.” ARPN Journal of Agricultural and Biological Science 8, no. 7 (July 2013): 518–24.</t>
  </si>
  <si>
    <t>Naik, R.K, R.C. Dash, D Behera, and A.K. Goel. “Studies On Physical Properties Of Sisal (Agave Sisalana) Plant Leaves.” International Journal of Agriculture Sciences 8, no. 48 (2016): 2004–7.</t>
  </si>
  <si>
    <t>Petersson, Anneli, Mette H. Thomsen, Henrik Hauggaard-Nielsen, and Anne-Belinda Thomsen. “Potential Bioethanol and Biogas Production Using Lignocellulosic Biomass from Winter Rye, Oilseed Rape and Faba Bean.” Biomass and Bioenergy 31, no. 11 (November 1, 2007): 812–19. https://doi.org/10.1016/j.biombioe.2007.06.001.</t>
  </si>
  <si>
    <t>Pipatti, Ritta, and et al. “Chapter 3: Solid Waste Disposal.” In 2006 IPCC Guidelines for National Greenhouse Gas Inventories, 2006. https://www.ipcc-nggip.iges.or.jp/public/2006gl/pdf/5_Volume5/V5_3_Ch3_SWDS.pdf.</t>
  </si>
  <si>
    <t>Priadi, Cindy, Dwica Wulandari, Iftita Rahmatika, and Setyo Sarwanto Moersidik. “Biogas Production in the Anaerobic Digestion of Paper Sludge.” APCBEE Procedia, 5th International Conference on Chemical, Biological and Environmental Engineering - ICBEE 2013 &amp; 2nd International Conference on Civil Engineering - ICCEN 2013, 9, no. Supplement C (January 1, 2014): 65–69. https://doi.org/10.1016/j.apcbee.2014.01.012.</t>
  </si>
  <si>
    <t>Ramírez, José Carmen Ramírez, José Inés Ibarra, Francisco Arce Romero, Petra Rosas Ulloa, José Armando Ulloa, Keiko Shirai Matsumoto, Belinda Vallejo Cordoba, and Miguel Ángel Mazorra Manzano. “Preparation of Biological Fish Silage and Its Effect on the Performance and Meat Quality Characteristics of Quails (Coturnix Coturnix Japonica).” Brazilian Archives of Biology and Technology 56, no. 6 (December 2013): 1002–10. https://doi.org/10.1590/S1516-89132013000600016.</t>
  </si>
  <si>
    <t>Rittenschober, Doris, Barbara Stadlmayr, Ruth Charrondiere, Diedelinde Persijn, and Verena Nowak. 2012. “FAO/INFOODS Databases Density Database Version 2.0.” Food and Agriculture Organization of the United Nations.</t>
  </si>
  <si>
    <t>Sacher, Niels, Maria Isabel R. Dumlao, Robert Gensch, and Swiss Federal Institute of Aquatic Science and Technology. 2014. “Direct Use of Biogas.” Sustainable Sanitation and Water Management Toolbox. 2014. https://www.sswm.info/category/implementation-tools/reuse-and-recharge/hardware/energy-products-sludge/direct-use-biogas#reference_book7934.</t>
  </si>
  <si>
    <t>Salman, A. Kh., M. A. E. Al- Rajhi, A. I. El-Rayes, and A. F. Abd El-Mottaleb. “Rapid Composting Of Rice Straw With Some Agriculture Green Residues And Animal Waste Under Full Control Systems.” J.Soil Sci. and Agric. Eng 2, no. 12 (2011): 1229–42.</t>
  </si>
  <si>
    <t>Salter, Andrew. “Crops for Biogas Production; Yields, Suitability and Energy Balances.” presented at the 15th European Biomass Conference, Berlin, Germany, 2007.</t>
  </si>
  <si>
    <t>Sumardiono, Siswo, Aldi Budi Riyanta, Hashfi Hawali Abdul Matin, Tutuk Djoko Kusworo, and Bakti Jos. “Increasing Biogas Production from Sugar Cane Baggase by Anaerobic Co-Digestion with Animal Manure.” MATEC Web of Conferences 101 (2017): 02014. https://doi.org/10.1051/matecconf/201710102014.</t>
  </si>
  <si>
    <t>Sundaranayagi, S., A. Sirajunnisa, and V. Ramasamy. 2017. “Production Of Biogas By Anaerobic Digestion Of Press Mud Using Iron, Cobalt And Nickel.” Indian Journal of Scientific Research 14 (1): 374–77.</t>
  </si>
  <si>
    <t>Suresh, R, and S Vivekanandan. 2017. “Investigation On Edible De-Oiled And Non Edible De-Oiled Cakes In Anaerobic Co- Digestion For Biogas Production.” International Journal of Mechanical Engineering and Technology 8 (1): 7.</t>
  </si>
  <si>
    <t>Tiwari, Ghanshyam, Ajay Kumar Sharma, and Pratap Singh. “Short Communication: Volume-Weight Relationship of Water Hyacinth Plant (Eichhornia Crassipes) Under Axial Loading.” Annals of Arid Zone 44, no. 1 (2005): 101–3.</t>
  </si>
  <si>
    <t>United Nations Framework Convention on Climate Change/Clean Development Mechanism (UNFCCC CDM). "AMS-III.D. Small-scale Methodology: Methane recovery in animal manure management systems v21," September 2017. https://cdm.unfccc.int/filestorage/1/A/W/1AWXEKHVTYF423LCN56Z9GIMQOS8JR/EB96_repan09_AMS-III.Dv21.pdf?t=N1d8cG8wY3ZmfDDEJvUs6CfSuwO8P4-bPZ2h</t>
  </si>
  <si>
    <t>United States Dept. of Agriculture (USDA). “Chapter 4: Agricultural Waste Characteristics.” In Agricultural Waste Management Field Handbook. Washington D.C.: USDA, 2008.</t>
  </si>
  <si>
    <t>United States Dept. of Agriculture (USDA). “National Nutrient Database for Standard Reference Release 28.” United States Dept. of Agriculture, May 2016. https://www.ars.usda.gov/northeast-area/beltsville-md/beltsville-human-nutrition-research-center/nutrient-data-laboratory/.</t>
  </si>
  <si>
    <t xml:space="preserve">United States Environmental Protection Agency AgSTAR Program. "Protocol for Quantifying and Reporting the Performance of Anaerobic Digestion Systems for Livestock Manures, March 2011. https://www.epa.gov/sites/production/files/2014-12/documents/protocol.pdf </t>
  </si>
  <si>
    <t>Vitez, Tomas, Tomas Koutny, Martin Sotnar, and Jan Chovanec. “On The Spent Coffee Grounds Biogas Production.” ACTA UNIVERSITATIS AGRICULTURAE ET SILVICULTURAE MENDELIANAE BRUNENSIS 64 (November 4, 2016). https://doi.org/http://dx.doi.org/10.11118/actaun201664041279.</t>
  </si>
  <si>
    <t>Ward, Alastair J., Phil J. Hobbs, Peter J. Holliman, and David L. Jones. “Optimisation of the Anaerobic Digestion of Agricultural Resources.” Bioresource Technology 99, no. 17 (November 1, 2008): 7928–40. https://doi.org/10.1016/j.biortech.2008.02.044.</t>
  </si>
  <si>
    <t>Ware, Aidan, and Niamh Power. 2016. “Biogas from Cattle Slaughterhouse Waste: Energy Recovery towards an Energy Self-Sufficient Industry in Ireland.” Renewable Energy 97 (November): 541–49. https://doi.org/10.1016/j.renene.2016.05.068.</t>
  </si>
  <si>
    <t>Wikandari, Rachma, Huong Nguyen, Ria Millati, Claes Niklasson, and Mohammad J. Taherzadeh. “Improvement of Biogas Production from Orange Peel Waste by Leaching of Limonene.” BioMed Research International 2015 (2015). https://doi.org/http://dx.doi.org/10.1155/2015/494182.</t>
  </si>
  <si>
    <t xml:space="preserve">Wisconsin Department of Natural Resources Bureau of Science Services. “Advanced Anaerobic Digestion Study Guide.” Wisconsin Department of Natural Resources Bureau of Science Services, June 1992.
</t>
  </si>
  <si>
    <t xml:space="preserve">The Waste and Resources Action Programme. “Summary Report – Material Bulk Densities,” 2009.
</t>
  </si>
  <si>
    <t>Yan, Hu, Chen Zhao, Jiafu Zhang, Ruihong Zhang, Chunyu Xue, Guangqing Liu, and Chang Chen. “Study on Biomethane Production and Biodegradability of Different Leafy Vegetables in Anaerobic Digestion.” AMB Express 7 (January 25, 2017). https://doi.org/10.1186/s13568-017-0325-1.</t>
  </si>
  <si>
    <t>Yavini, Tsunatu, Kiman Silas, Mustapha Grema, and Jang Luria. “Kinetic Study of Agricultural Wastes Conversion to Biogas Using Cow Dung/Poultry Droppings as Inoculums.” IOSR Journal Of Environmental Science, Toxicology And Food Technology 8, no. 1 (February 2014): 46–51.</t>
  </si>
  <si>
    <t>Zhang, Yue, Charles J. Banks, and Sonia Heaven. “Anaerobic Digestion of Two Biodegradable Municipal Waste Streams.” Journal of Environmental Management 104, no. Supplement C (August 15, 2012): 166–74. https://doi.org/10.1016/j.jenvman.2012.03.043.</t>
  </si>
  <si>
    <r>
      <t xml:space="preserve">Zhang, Hai-long, Xiang-ping Li, Jian-ying Qi, Yong-heng Chen, and Jian-de Fang. “Analysis of composition characteristics of municipal solid waste in south China.” </t>
    </r>
    <r>
      <rPr>
        <i/>
        <sz val="12"/>
        <color theme="1"/>
        <rFont val="Calibri"/>
        <family val="2"/>
        <scheme val="minor"/>
      </rPr>
      <t>Huan Jing Ke Xue Huanjing Kexue</t>
    </r>
    <r>
      <rPr>
        <sz val="12"/>
        <color theme="1"/>
        <rFont val="Calibri"/>
        <family val="2"/>
        <scheme val="minor"/>
      </rPr>
      <t xml:space="preserve"> 36, no. 1 (January 2015): 325–32.</t>
    </r>
  </si>
  <si>
    <t>Zheng, Wei, Khamphe Phoungthong, Fan Lü, Li-Ming Shao, and Pin-Jing He. “Evaluation of a Classification Method for Biodegradable Solid Wastes Using Anaerobic Degradation Parameters.” Waste Management 33, no. 12 (December 1, 2013): 2632–40. https://doi.org/10.1016/j.wasman.2013.08.015.</t>
  </si>
  <si>
    <t>Baseline Emissions from Manure</t>
  </si>
  <si>
    <t>Annual Manure Volatile Solids</t>
  </si>
  <si>
    <t>Annual Methane Emissions from Manure</t>
  </si>
  <si>
    <t>Waste Category</t>
  </si>
  <si>
    <t>Volatile Solids (% d.w.)</t>
  </si>
  <si>
    <t>Total Volatile Solids (Mg/year)</t>
  </si>
  <si>
    <t>Methane Conversion Factor</t>
  </si>
  <si>
    <t>na</t>
  </si>
  <si>
    <t>Baseline Emissions from Co-Digested Waste</t>
  </si>
  <si>
    <t>Temporary Storage Emissions from all Wastes</t>
  </si>
  <si>
    <t>Annual Methane Emissions from Storage</t>
  </si>
  <si>
    <t>Total Volatile Solids (Mg/day)</t>
  </si>
  <si>
    <t>Methane Generation and Utilization</t>
  </si>
  <si>
    <t>none</t>
  </si>
  <si>
    <t>Lean Burn internal combustion engine</t>
  </si>
  <si>
    <t>Rich Burn internal combustion engine</t>
  </si>
  <si>
    <t>Other Assumptions</t>
  </si>
  <si>
    <t xml:space="preserve">Conversion Factor </t>
  </si>
  <si>
    <t>Methane Utilization Related Emissions</t>
  </si>
  <si>
    <t>Electricity Use Emissions</t>
  </si>
  <si>
    <t>Electricity Use</t>
  </si>
  <si>
    <t>Emissions Factor s</t>
  </si>
  <si>
    <t>Default Grid Emisisons Factor</t>
  </si>
  <si>
    <r>
      <t>kgCO</t>
    </r>
    <r>
      <rPr>
        <vertAlign val="subscript"/>
        <sz val="11"/>
        <color theme="1"/>
        <rFont val="Arial"/>
        <family val="2"/>
      </rPr>
      <t>2</t>
    </r>
    <r>
      <rPr>
        <sz val="11"/>
        <color theme="1"/>
        <rFont val="Arial"/>
        <family val="2"/>
      </rPr>
      <t>/kWh</t>
    </r>
  </si>
  <si>
    <t>User Grid Emissions Factor</t>
  </si>
  <si>
    <r>
      <t>CO</t>
    </r>
    <r>
      <rPr>
        <vertAlign val="subscript"/>
        <sz val="12"/>
        <color theme="1"/>
        <rFont val="Arial"/>
        <family val="2"/>
      </rPr>
      <t>2</t>
    </r>
    <r>
      <rPr>
        <sz val="12"/>
        <color theme="1"/>
        <rFont val="Arial"/>
        <family val="2"/>
      </rPr>
      <t xml:space="preserve"> Emissions Factor for Biogas</t>
    </r>
  </si>
  <si>
    <r>
      <t>CH</t>
    </r>
    <r>
      <rPr>
        <vertAlign val="subscript"/>
        <sz val="12"/>
        <color theme="1"/>
        <rFont val="Arial"/>
        <family val="2"/>
      </rPr>
      <t>4</t>
    </r>
    <r>
      <rPr>
        <sz val="12"/>
        <color theme="1"/>
        <rFont val="Arial"/>
        <family val="2"/>
      </rPr>
      <t xml:space="preserve"> Emissions Factor for Biogas</t>
    </r>
  </si>
  <si>
    <t>Grid Electricity Use Per Year</t>
  </si>
  <si>
    <t>kWh</t>
  </si>
  <si>
    <t>Electricity Generated and Used Onsite Per Year</t>
  </si>
  <si>
    <t>MMBtu to kWh</t>
  </si>
  <si>
    <t>Electricity Related Carbon Emissions</t>
  </si>
  <si>
    <r>
      <t>CO</t>
    </r>
    <r>
      <rPr>
        <vertAlign val="subscript"/>
        <sz val="12"/>
        <color theme="1"/>
        <rFont val="Arial"/>
        <family val="2"/>
      </rPr>
      <t>2</t>
    </r>
    <r>
      <rPr>
        <sz val="12"/>
        <color theme="1"/>
        <rFont val="Arial"/>
        <family val="2"/>
      </rPr>
      <t xml:space="preserve"> Emissions from Grid Electricity Use</t>
    </r>
  </si>
  <si>
    <r>
      <t>kgCO</t>
    </r>
    <r>
      <rPr>
        <vertAlign val="subscript"/>
        <sz val="11"/>
        <color theme="1"/>
        <rFont val="Arial"/>
        <family val="2"/>
      </rPr>
      <t>2</t>
    </r>
  </si>
  <si>
    <r>
      <t>CO</t>
    </r>
    <r>
      <rPr>
        <vertAlign val="subscript"/>
        <sz val="12"/>
        <color theme="1"/>
        <rFont val="Arial"/>
        <family val="2"/>
      </rPr>
      <t>2</t>
    </r>
    <r>
      <rPr>
        <sz val="12"/>
        <color theme="1"/>
        <rFont val="Arial"/>
        <family val="2"/>
      </rPr>
      <t xml:space="preserve"> Emissions from Generation Used Onsite</t>
    </r>
  </si>
  <si>
    <r>
      <t>CH</t>
    </r>
    <r>
      <rPr>
        <vertAlign val="subscript"/>
        <sz val="12"/>
        <color theme="1"/>
        <rFont val="Arial"/>
        <family val="2"/>
      </rPr>
      <t>4</t>
    </r>
    <r>
      <rPr>
        <sz val="12"/>
        <color theme="1"/>
        <rFont val="Arial"/>
        <family val="2"/>
      </rPr>
      <t xml:space="preserve"> Emissions from Generation Used Onsite</t>
    </r>
  </si>
  <si>
    <r>
      <t>kgCH</t>
    </r>
    <r>
      <rPr>
        <vertAlign val="subscript"/>
        <sz val="12"/>
        <color theme="1"/>
        <rFont val="Arial"/>
        <family val="2"/>
      </rPr>
      <t>4</t>
    </r>
  </si>
  <si>
    <t>CO2 Emissions from Electricity and Heat Production</t>
  </si>
  <si>
    <t>Emissions Factor</t>
  </si>
  <si>
    <t xml:space="preserve">Emissions Factor </t>
  </si>
  <si>
    <t>Argentina</t>
  </si>
  <si>
    <r>
      <t>Tonnes CO</t>
    </r>
    <r>
      <rPr>
        <vertAlign val="subscript"/>
        <sz val="12"/>
        <color theme="1"/>
        <rFont val="Arial"/>
        <family val="2"/>
      </rPr>
      <t>2</t>
    </r>
  </si>
  <si>
    <t>TWh</t>
  </si>
  <si>
    <r>
      <t>TCO</t>
    </r>
    <r>
      <rPr>
        <vertAlign val="subscript"/>
        <sz val="12"/>
        <color theme="1"/>
        <rFont val="Arial"/>
        <family val="2"/>
      </rPr>
      <t>2</t>
    </r>
    <r>
      <rPr>
        <sz val="12"/>
        <color theme="1"/>
        <rFont val="Arial"/>
        <family val="2"/>
      </rPr>
      <t>/TWh</t>
    </r>
  </si>
  <si>
    <r>
      <t>kg CO</t>
    </r>
    <r>
      <rPr>
        <vertAlign val="subscript"/>
        <sz val="12"/>
        <color theme="1"/>
        <rFont val="Arial"/>
        <family val="2"/>
      </rPr>
      <t>2</t>
    </r>
    <r>
      <rPr>
        <sz val="12"/>
        <color theme="1"/>
        <rFont val="Arial"/>
        <family val="2"/>
      </rPr>
      <t>/kWh</t>
    </r>
  </si>
  <si>
    <t>Australia</t>
  </si>
  <si>
    <t>Brazil</t>
  </si>
  <si>
    <t>Canada</t>
  </si>
  <si>
    <t>China</t>
  </si>
  <si>
    <t>Egypt</t>
  </si>
  <si>
    <t>Germany</t>
  </si>
  <si>
    <t>India</t>
  </si>
  <si>
    <t>Indonesia</t>
  </si>
  <si>
    <t>Iran</t>
  </si>
  <si>
    <t>Italy</t>
  </si>
  <si>
    <t>Japan</t>
  </si>
  <si>
    <t>Kazakhstan</t>
  </si>
  <si>
    <t>Malaysia</t>
  </si>
  <si>
    <t>Mexico</t>
  </si>
  <si>
    <t>Netherlands</t>
  </si>
  <si>
    <t>Poland</t>
  </si>
  <si>
    <t>Russian Federation</t>
  </si>
  <si>
    <t>Saudi Arabia</t>
  </si>
  <si>
    <t>South Africa</t>
  </si>
  <si>
    <t>South Korea</t>
  </si>
  <si>
    <t>Spain</t>
  </si>
  <si>
    <t>Taiwan</t>
  </si>
  <si>
    <t>Thailand</t>
  </si>
  <si>
    <t>Turkey</t>
  </si>
  <si>
    <t>Ukraine</t>
  </si>
  <si>
    <t>United Arab Emirates</t>
  </si>
  <si>
    <t>United Kingdom</t>
  </si>
  <si>
    <t>Vietnam</t>
  </si>
  <si>
    <t>Emissions Data Source: OECD/IEA, Paris, 2018</t>
  </si>
  <si>
    <t>Conversions</t>
  </si>
  <si>
    <t>Electricity Generation Data Source: BP Statistical Review of World Energy, 2018</t>
  </si>
  <si>
    <t>TWh to kWh</t>
  </si>
  <si>
    <t>Tonnes to kg</t>
  </si>
  <si>
    <t>Flaring &amp; Leakage Emissions</t>
  </si>
  <si>
    <r>
      <t>Combustion Process (C</t>
    </r>
    <r>
      <rPr>
        <vertAlign val="subscript"/>
        <sz val="11"/>
        <color theme="0"/>
        <rFont val="Arial"/>
        <family val="2"/>
      </rPr>
      <t>eff</t>
    </r>
    <r>
      <rPr>
        <sz val="11"/>
        <color theme="0"/>
        <rFont val="Arial"/>
        <family val="2"/>
      </rPr>
      <t>)</t>
    </r>
  </si>
  <si>
    <t>Open Flare Continuous</t>
  </si>
  <si>
    <t>Open Flare Non-continuous</t>
  </si>
  <si>
    <t>User Value</t>
  </si>
  <si>
    <t>Flare Analysis Value</t>
  </si>
  <si>
    <t>Conversion Factor</t>
  </si>
  <si>
    <t>Flare Related Methane Emissions</t>
  </si>
  <si>
    <r>
      <t>kg CH</t>
    </r>
    <r>
      <rPr>
        <vertAlign val="subscript"/>
        <sz val="11"/>
        <color theme="1"/>
        <rFont val="Arial"/>
        <family val="2"/>
      </rPr>
      <t>4</t>
    </r>
    <r>
      <rPr>
        <sz val="11"/>
        <color theme="1"/>
        <rFont val="Arial"/>
        <family val="2"/>
      </rPr>
      <t xml:space="preserve"> per year</t>
    </r>
  </si>
  <si>
    <t>Project Methane Leakage</t>
  </si>
  <si>
    <t>Lookup Values</t>
  </si>
  <si>
    <t>Input Units</t>
  </si>
  <si>
    <t>Conversion</t>
  </si>
  <si>
    <t>lb/day</t>
  </si>
  <si>
    <t>metric tons/day</t>
  </si>
  <si>
    <t>gallons/day</t>
  </si>
  <si>
    <t>Biogas Output Units</t>
  </si>
  <si>
    <t>Digestate Output Units</t>
  </si>
  <si>
    <t>metric tons/year</t>
  </si>
  <si>
    <t>short tons/year</t>
  </si>
  <si>
    <t>Open Flare Non-Continuous</t>
  </si>
  <si>
    <t>Destruction Efficiency</t>
  </si>
  <si>
    <t>m3/year</t>
  </si>
  <si>
    <r>
      <rPr>
        <b/>
        <sz val="14"/>
        <color theme="1"/>
        <rFont val="Arial"/>
        <family val="2"/>
      </rPr>
      <t xml:space="preserve">Onsite Methane Utilization Instructions: </t>
    </r>
    <r>
      <rPr>
        <sz val="14"/>
        <color theme="1"/>
        <rFont val="Arial"/>
        <family val="2"/>
      </rPr>
      <t xml:space="preserve">
Biogas produced onsite sometimes can be combusted to generate electricity, used as boiler, furnace, or combustion engine fuel onsite. If gas is burned onsite, enter the estimated percentage of gas per day that will be combusted. The default for methane utilization is set at 90 percent. The user can enter their own methane utilization percent by typing in a whole number percent in cell B22 below). Emissions factors for the combustion processes are based on IPCC (2006) values. 
If gas is not utilized onsite and will only be flared, enter 0 for utilization percentage and choose "none" for combustion process. If the utilization percent is 0, the total flare percentage in cell B27 below will be 100% </t>
    </r>
  </si>
  <si>
    <t>Mesophilic_Wet</t>
  </si>
  <si>
    <t>Thermophilic_Wet</t>
  </si>
  <si>
    <t>Unheated/Ambient_Wet</t>
  </si>
  <si>
    <t>Mesophilic_Dry</t>
  </si>
  <si>
    <t>Thermophilic_Dry</t>
  </si>
  <si>
    <t>Unheated/Ambient_Dry</t>
  </si>
  <si>
    <t>scf/day</t>
  </si>
  <si>
    <t>Total Methane Production</t>
  </si>
  <si>
    <t>Total Digestate Production</t>
  </si>
  <si>
    <t>m3/day</t>
  </si>
  <si>
    <t xml:space="preserve">Average Temperature </t>
  </si>
  <si>
    <t>Temperature conversion</t>
  </si>
  <si>
    <r>
      <t>m</t>
    </r>
    <r>
      <rPr>
        <vertAlign val="superscript"/>
        <sz val="12"/>
        <color theme="1"/>
        <rFont val="Arial Nova"/>
        <family val="2"/>
      </rPr>
      <t>3</t>
    </r>
    <r>
      <rPr>
        <sz val="12"/>
        <color theme="1"/>
        <rFont val="Arial Nova"/>
        <family val="2"/>
      </rPr>
      <t>/year</t>
    </r>
  </si>
  <si>
    <r>
      <t>m</t>
    </r>
    <r>
      <rPr>
        <vertAlign val="superscript"/>
        <sz val="12"/>
        <color theme="1"/>
        <rFont val="Arial Nova"/>
        <family val="2"/>
      </rPr>
      <t>3</t>
    </r>
    <r>
      <rPr>
        <sz val="12"/>
        <color theme="1"/>
        <rFont val="Arial Nova"/>
        <family val="2"/>
      </rPr>
      <t>/day</t>
    </r>
  </si>
  <si>
    <t>Volatile Solids (kg/day)</t>
  </si>
  <si>
    <t>Average</t>
  </si>
  <si>
    <t xml:space="preserve">Average Methane Emissions (average of the high and low calibration values) </t>
  </si>
  <si>
    <t>Average daily methane emissions</t>
  </si>
  <si>
    <t xml:space="preserve">Daily Methane Utilization </t>
  </si>
  <si>
    <t>Daily Methane Utilization (methane utilization*utilization %)</t>
  </si>
  <si>
    <t>The estimated low and high production values use calibration factors from actual observations that represent the 25th and 75th percentile values of the ratio between measured and modeled data. These values are used to adjust the maximum potential biogas generation values to estimate the likely biogas generation potential values. The total daily biogas and methane production estimates below are an average of the low and high production values.</t>
  </si>
  <si>
    <t xml:space="preserve">Total Biogas Production </t>
  </si>
  <si>
    <t xml:space="preserve">Biogas Production Per Retention Period (m3/day)- High Production </t>
  </si>
  <si>
    <t xml:space="preserve">Biogas Production Per Retention Period (m3/day) - Low Production </t>
  </si>
  <si>
    <t>Biogas Production Per Retention Period (m3/day) - Theoretical Maximum Production</t>
  </si>
  <si>
    <t>Biogas Production Per Retention Period (m3/day) - Average of Low and High Production</t>
  </si>
  <si>
    <t>Anaerobic Digestion Screening Tool History</t>
  </si>
  <si>
    <r>
      <t>Max. Methane Production (B</t>
    </r>
    <r>
      <rPr>
        <vertAlign val="subscript"/>
        <sz val="12"/>
        <color theme="0"/>
        <rFont val="Arial"/>
        <family val="2"/>
      </rPr>
      <t>0</t>
    </r>
    <r>
      <rPr>
        <sz val="12"/>
        <color theme="0"/>
        <rFont val="Arial"/>
        <family val="2"/>
      </rPr>
      <t>)  m</t>
    </r>
    <r>
      <rPr>
        <vertAlign val="superscript"/>
        <sz val="12"/>
        <color theme="0"/>
        <rFont val="Arial"/>
        <family val="2"/>
      </rPr>
      <t>3</t>
    </r>
    <r>
      <rPr>
        <sz val="12"/>
        <color theme="0"/>
        <rFont val="Arial"/>
        <family val="2"/>
      </rPr>
      <t xml:space="preserve"> / Mg of VS</t>
    </r>
  </si>
  <si>
    <r>
      <t>kg CH</t>
    </r>
    <r>
      <rPr>
        <vertAlign val="subscript"/>
        <sz val="12"/>
        <color theme="0"/>
        <rFont val="Arial"/>
        <family val="2"/>
      </rPr>
      <t xml:space="preserve">4 </t>
    </r>
    <r>
      <rPr>
        <sz val="12"/>
        <color theme="0"/>
        <rFont val="Arial"/>
        <family val="2"/>
      </rPr>
      <t>per year</t>
    </r>
  </si>
  <si>
    <r>
      <t>Nitrogen (N</t>
    </r>
    <r>
      <rPr>
        <vertAlign val="subscript"/>
        <sz val="11"/>
        <rFont val="Arial"/>
        <family val="2"/>
      </rPr>
      <t>2</t>
    </r>
    <r>
      <rPr>
        <sz val="11"/>
        <rFont val="Arial"/>
        <family val="2"/>
      </rPr>
      <t>)</t>
    </r>
  </si>
  <si>
    <r>
      <t>Hydrogen Sulfide (H</t>
    </r>
    <r>
      <rPr>
        <vertAlign val="subscript"/>
        <sz val="11"/>
        <rFont val="Arial"/>
        <family val="2"/>
      </rPr>
      <t>2</t>
    </r>
    <r>
      <rPr>
        <sz val="11"/>
        <rFont val="Arial"/>
        <family val="2"/>
      </rPr>
      <t>S), Ammonia (NH3), Carbon Monoxide (CO)</t>
    </r>
  </si>
  <si>
    <t>DO NOT DELETE TEXT</t>
  </si>
  <si>
    <t>Assumption</t>
  </si>
  <si>
    <t>Gas Lamp Consumption</t>
  </si>
  <si>
    <r>
      <rPr>
        <b/>
        <u/>
        <sz val="10"/>
        <color theme="1"/>
        <rFont val="Arial"/>
        <family val="2"/>
      </rPr>
      <t>Instructions:</t>
    </r>
    <r>
      <rPr>
        <sz val="10"/>
        <color theme="1"/>
        <rFont val="Arial"/>
        <family val="2"/>
      </rPr>
      <t xml:space="preserve">
T</t>
    </r>
    <r>
      <rPr>
        <sz val="10"/>
        <rFont val="Arial"/>
        <family val="2"/>
      </rPr>
      <t xml:space="preserve">he OrganEcs is a tool for estimating the costs associated with an organic waste management project. It provides planning-level assistance to local governments, waste professionals, policymakers, facility operators, and project developers to help them make financial decisions about their potential organic waste management projects.This sheet allows you the ability to directly copy the results from AD Screening Tool to OrganEcs - Anaerobic Digestion Version 3.1. You may manually enter the results generated in the yellow/blue cells into the “Waste Inputs” tab in OrganEcs. More information about OrganEcs can be accessed at https://www.globalmethane.org/resources/details.aspx?resourceid=5175
</t>
    </r>
  </si>
  <si>
    <t>No</t>
  </si>
  <si>
    <t>Annual Methane Emissions from Waste</t>
  </si>
  <si>
    <t>Methane Conversion Factor (MCF)</t>
  </si>
  <si>
    <t>Celsius</t>
  </si>
  <si>
    <r>
      <t>kg of CH</t>
    </r>
    <r>
      <rPr>
        <vertAlign val="subscript"/>
        <sz val="11"/>
        <color theme="1"/>
        <rFont val="Arial"/>
        <family val="2"/>
      </rPr>
      <t>4</t>
    </r>
    <r>
      <rPr>
        <sz val="11"/>
        <color theme="1"/>
        <rFont val="Arial"/>
        <family val="2"/>
      </rPr>
      <t xml:space="preserve"> per m</t>
    </r>
    <r>
      <rPr>
        <vertAlign val="superscript"/>
        <sz val="11"/>
        <color theme="1"/>
        <rFont val="Arial"/>
        <family val="2"/>
      </rPr>
      <t>3</t>
    </r>
    <r>
      <rPr>
        <sz val="11"/>
        <color theme="1"/>
        <rFont val="Arial"/>
        <family val="2"/>
      </rPr>
      <t xml:space="preserve"> (density of methane, 1 atm, 60 deg F)</t>
    </r>
  </si>
  <si>
    <r>
      <t>kg of CH</t>
    </r>
    <r>
      <rPr>
        <vertAlign val="subscript"/>
        <sz val="12"/>
        <color theme="1"/>
        <rFont val="Arial"/>
        <family val="2"/>
      </rPr>
      <t>4</t>
    </r>
    <r>
      <rPr>
        <sz val="12"/>
        <color theme="1"/>
        <rFont val="Arial"/>
        <family val="2"/>
      </rPr>
      <t xml:space="preserve"> per m</t>
    </r>
    <r>
      <rPr>
        <vertAlign val="superscript"/>
        <sz val="12"/>
        <color theme="1"/>
        <rFont val="Arial"/>
        <family val="2"/>
      </rPr>
      <t>3</t>
    </r>
    <r>
      <rPr>
        <sz val="12"/>
        <color theme="1"/>
        <rFont val="Arial"/>
        <family val="2"/>
      </rPr>
      <t xml:space="preserve"> (density of methane, 1 atm, 60 deg F)</t>
    </r>
  </si>
  <si>
    <t>The IPCC AR5 report (Forster et al., 2007) does not differentiate between biogenic and fossil methane.</t>
  </si>
  <si>
    <r>
      <t>kg of CH</t>
    </r>
    <r>
      <rPr>
        <vertAlign val="subscript"/>
        <sz val="12"/>
        <color theme="1"/>
        <rFont val="Arial"/>
        <family val="2"/>
      </rPr>
      <t>4</t>
    </r>
    <r>
      <rPr>
        <sz val="12"/>
        <color theme="1"/>
        <rFont val="Arial"/>
        <family val="2"/>
      </rPr>
      <t xml:space="preserve"> per year</t>
    </r>
  </si>
  <si>
    <r>
      <t>m</t>
    </r>
    <r>
      <rPr>
        <vertAlign val="superscript"/>
        <sz val="11"/>
        <color theme="1"/>
        <rFont val="Arial"/>
        <family val="2"/>
      </rPr>
      <t>3</t>
    </r>
    <r>
      <rPr>
        <sz val="11"/>
        <color theme="1"/>
        <rFont val="Arial"/>
        <family val="2"/>
      </rPr>
      <t xml:space="preserve"> CH</t>
    </r>
    <r>
      <rPr>
        <vertAlign val="subscript"/>
        <sz val="11"/>
        <color theme="1"/>
        <rFont val="Arial"/>
        <family val="2"/>
      </rPr>
      <t>4</t>
    </r>
    <r>
      <rPr>
        <sz val="11"/>
        <color theme="1"/>
        <rFont val="Arial"/>
        <family val="2"/>
      </rPr>
      <t xml:space="preserve"> per day </t>
    </r>
  </si>
  <si>
    <r>
      <t>Methane (CH</t>
    </r>
    <r>
      <rPr>
        <vertAlign val="subscript"/>
        <sz val="11"/>
        <color theme="1"/>
        <rFont val="Arial"/>
        <family val="2"/>
      </rPr>
      <t>4</t>
    </r>
    <r>
      <rPr>
        <sz val="11"/>
        <color theme="1"/>
        <rFont val="Arial"/>
        <family val="2"/>
      </rPr>
      <t>)</t>
    </r>
  </si>
  <si>
    <r>
      <t>Carbon Dioxide (CO</t>
    </r>
    <r>
      <rPr>
        <vertAlign val="subscript"/>
        <sz val="11"/>
        <color theme="1"/>
        <rFont val="Arial"/>
        <family val="2"/>
      </rPr>
      <t>2</t>
    </r>
    <r>
      <rPr>
        <sz val="11"/>
        <color theme="1"/>
        <rFont val="Arial"/>
        <family val="2"/>
      </rPr>
      <t>)</t>
    </r>
  </si>
  <si>
    <r>
      <t>Nitrogen (N</t>
    </r>
    <r>
      <rPr>
        <vertAlign val="subscript"/>
        <sz val="11"/>
        <color theme="1"/>
        <rFont val="Arial"/>
        <family val="2"/>
      </rPr>
      <t>2</t>
    </r>
    <r>
      <rPr>
        <sz val="11"/>
        <color theme="1"/>
        <rFont val="Arial"/>
        <family val="2"/>
      </rPr>
      <t>)</t>
    </r>
  </si>
  <si>
    <r>
      <t>Hydrogen Sulfide (H</t>
    </r>
    <r>
      <rPr>
        <vertAlign val="subscript"/>
        <sz val="11"/>
        <color theme="1"/>
        <rFont val="Arial"/>
        <family val="2"/>
      </rPr>
      <t>2</t>
    </r>
    <r>
      <rPr>
        <sz val="11"/>
        <color theme="1"/>
        <rFont val="Arial"/>
        <family val="2"/>
      </rPr>
      <t>S), Ammonia (NH</t>
    </r>
    <r>
      <rPr>
        <vertAlign val="subscript"/>
        <sz val="11"/>
        <color theme="1"/>
        <rFont val="Arial"/>
        <family val="2"/>
      </rPr>
      <t>3</t>
    </r>
    <r>
      <rPr>
        <sz val="11"/>
        <color theme="1"/>
        <rFont val="Arial"/>
        <family val="2"/>
      </rPr>
      <t>), Carbon Monoxide (CO)</t>
    </r>
  </si>
  <si>
    <r>
      <rPr>
        <b/>
        <sz val="14"/>
        <color theme="1"/>
        <rFont val="Arial"/>
        <family val="2"/>
      </rPr>
      <t xml:space="preserve">Electricity Consumption and Generation Instructions: </t>
    </r>
    <r>
      <rPr>
        <sz val="14"/>
        <color theme="1"/>
        <rFont val="Arial"/>
        <family val="2"/>
      </rPr>
      <t xml:space="preserve">
AD projects can source electricity from the grid or use electricity generated to power their own operations. Grid emissions estimates are derived from country-level emissions data from IEA (2018) and generation data from BP (2018). Users may override default emissions rates with more specific information if it is available. Users can also indicate grid gross loss - the amount of electricity lost due to transmission as a percent of total generation - or the default based on US values for 2021 will be used (eGRID 2021).
If electricity is generated onsite and consumed by the project, the tool subtracts this amount of consumption from the total electricity consumption. Biogas specific emissions factors from IPCC (2006) are then applied to the onsite generation. The user can supply more specific emissions factors for biogas if available. The button to the right resets the leakage default values.</t>
    </r>
  </si>
  <si>
    <t>Environmental Protection Agency (EPA)."eGRID Summary Tables 2021." 2023. https://www.epa.gov/system/files/documents/2023-01/eGRID2021_summary_tables.pdf</t>
  </si>
  <si>
    <t>Yes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</si>
</sst>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0.0%"/>
    <numFmt numFmtId="165" formatCode="_(* #,##0_);_(* \(#,##0\);_(* &quot;-&quot;??_);_(@_)"/>
    <numFmt numFmtId="166" formatCode="0.0"/>
    <numFmt numFmtId="167" formatCode="0.000%"/>
    <numFmt numFmtId="168" formatCode="0.000"/>
    <numFmt numFmtId="169" formatCode="0.0000"/>
    <numFmt numFmtId="170" formatCode="_-* #,##0.00\ _€_-;\-* #,##0.00\ _€_-;_-* &quot;-&quot;??\ _€_-;_-@_-"/>
    <numFmt numFmtId="171" formatCode="#,##0.000"/>
    <numFmt numFmtId="172" formatCode="#,##0.0"/>
  </numFmts>
  <fonts count="7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1"/>
      <color theme="1"/>
      <name val="Arial"/>
      <family val="2"/>
    </font>
    <font>
      <sz val="11"/>
      <color theme="0"/>
      <name val="Arial"/>
      <family val="2"/>
    </font>
    <font>
      <b/>
      <sz val="11"/>
      <color theme="0"/>
      <name val="Arial"/>
      <family val="2"/>
    </font>
    <font>
      <vertAlign val="superscript"/>
      <sz val="11"/>
      <color theme="1"/>
      <name val="Arial"/>
      <family val="2"/>
    </font>
    <font>
      <vertAlign val="subscript"/>
      <sz val="11"/>
      <color theme="1"/>
      <name val="Arial"/>
      <family val="2"/>
    </font>
    <font>
      <b/>
      <u/>
      <sz val="11"/>
      <color theme="1"/>
      <name val="Arial"/>
      <family val="2"/>
    </font>
    <font>
      <b/>
      <sz val="14"/>
      <color theme="0"/>
      <name val="Arial"/>
      <family val="2"/>
    </font>
    <font>
      <sz val="14"/>
      <color theme="0"/>
      <name val="Arial"/>
      <family val="2"/>
    </font>
    <font>
      <sz val="12"/>
      <color theme="1"/>
      <name val="Arial"/>
      <family val="2"/>
    </font>
    <font>
      <u/>
      <sz val="11"/>
      <color theme="10"/>
      <name val="Calibri"/>
      <family val="2"/>
      <scheme val="minor"/>
    </font>
    <font>
      <sz val="14"/>
      <color theme="1"/>
      <name val="Arial"/>
      <family val="2"/>
    </font>
    <font>
      <i/>
      <sz val="11"/>
      <color theme="1"/>
      <name val="Arial"/>
      <family val="2"/>
    </font>
    <font>
      <sz val="11"/>
      <color rgb="FF000000"/>
      <name val="Arial"/>
      <family val="2"/>
    </font>
    <font>
      <sz val="11"/>
      <name val="Arial"/>
      <family val="2"/>
    </font>
    <font>
      <i/>
      <sz val="12"/>
      <color theme="1"/>
      <name val="Calibri"/>
      <family val="2"/>
      <scheme val="minor"/>
    </font>
    <font>
      <sz val="11"/>
      <color theme="0" tint="-0.249977111117893"/>
      <name val="Arial"/>
      <family val="2"/>
    </font>
    <font>
      <b/>
      <sz val="11"/>
      <color theme="0" tint="-0.249977111117893"/>
      <name val="Arial"/>
      <family val="2"/>
    </font>
    <font>
      <b/>
      <sz val="11"/>
      <color theme="1"/>
      <name val="Arial"/>
      <family val="2"/>
    </font>
    <font>
      <u/>
      <sz val="11"/>
      <color theme="10"/>
      <name val="Arial"/>
      <family val="2"/>
    </font>
    <font>
      <b/>
      <sz val="11"/>
      <name val="Arial"/>
      <family val="2"/>
    </font>
    <font>
      <b/>
      <vertAlign val="superscript"/>
      <sz val="11"/>
      <color theme="0"/>
      <name val="Arial"/>
      <family val="2"/>
    </font>
    <font>
      <b/>
      <sz val="14"/>
      <color theme="1"/>
      <name val="Arial"/>
      <family val="2"/>
    </font>
    <font>
      <b/>
      <sz val="10"/>
      <color theme="0"/>
      <name val="Arial"/>
      <family val="2"/>
    </font>
    <font>
      <sz val="10"/>
      <color theme="0"/>
      <name val="Arial"/>
      <family val="2"/>
    </font>
    <font>
      <sz val="10"/>
      <color theme="1"/>
      <name val="Arial"/>
      <family val="2"/>
    </font>
    <font>
      <i/>
      <sz val="10"/>
      <color theme="1"/>
      <name val="Arial"/>
      <family val="2"/>
    </font>
    <font>
      <b/>
      <sz val="12"/>
      <color theme="1"/>
      <name val="Arial"/>
      <family val="2"/>
    </font>
    <font>
      <sz val="12"/>
      <color theme="0"/>
      <name val="Calibri"/>
      <family val="2"/>
      <scheme val="minor"/>
    </font>
    <font>
      <u/>
      <sz val="16"/>
      <color rgb="FF2D5CA3"/>
      <name val="Arial"/>
      <family val="2"/>
    </font>
    <font>
      <sz val="14"/>
      <color rgb="FFFF0000"/>
      <name val="Arial"/>
      <family val="2"/>
    </font>
    <font>
      <vertAlign val="subscript"/>
      <sz val="11"/>
      <color theme="0"/>
      <name val="Arial"/>
      <family val="2"/>
    </font>
    <font>
      <sz val="12"/>
      <color theme="0"/>
      <name val="Arial"/>
      <family val="2"/>
    </font>
    <font>
      <vertAlign val="subscript"/>
      <sz val="12"/>
      <color theme="1"/>
      <name val="Arial"/>
      <family val="2"/>
    </font>
    <font>
      <sz val="12"/>
      <name val="Arial"/>
      <family val="2"/>
    </font>
    <font>
      <sz val="8"/>
      <color theme="1"/>
      <name val="Arial"/>
      <family val="2"/>
    </font>
    <font>
      <u/>
      <sz val="12"/>
      <color theme="10"/>
      <name val="Calibri"/>
      <family val="2"/>
      <scheme val="minor"/>
    </font>
    <font>
      <sz val="10"/>
      <name val="Arial"/>
      <family val="2"/>
    </font>
    <font>
      <sz val="9"/>
      <color theme="1"/>
      <name val="Arial"/>
      <family val="2"/>
    </font>
    <font>
      <vertAlign val="superscript"/>
      <sz val="10"/>
      <color theme="1"/>
      <name val="Arial"/>
      <family val="2"/>
    </font>
    <font>
      <vertAlign val="subscript"/>
      <sz val="10"/>
      <color theme="1"/>
      <name val="Arial"/>
      <family val="2"/>
    </font>
    <font>
      <sz val="16"/>
      <color theme="0"/>
      <name val="Calibri"/>
      <family val="2"/>
      <scheme val="minor"/>
    </font>
    <font>
      <sz val="16"/>
      <color rgb="FFFF0000"/>
      <name val="Arial"/>
      <family val="2"/>
    </font>
    <font>
      <b/>
      <vertAlign val="subscript"/>
      <sz val="14"/>
      <color theme="0"/>
      <name val="Arial"/>
      <family val="2"/>
    </font>
    <font>
      <i/>
      <sz val="11"/>
      <name val="Arial"/>
      <family val="2"/>
    </font>
    <font>
      <b/>
      <u/>
      <sz val="10"/>
      <color theme="1"/>
      <name val="Arial"/>
      <family val="2"/>
    </font>
    <font>
      <sz val="14"/>
      <name val="Arial"/>
      <family val="2"/>
    </font>
    <font>
      <b/>
      <sz val="14"/>
      <name val="Arial"/>
      <family val="2"/>
    </font>
    <font>
      <sz val="12"/>
      <color rgb="FFFFFFFF"/>
      <name val="Arial"/>
      <family val="2"/>
    </font>
    <font>
      <sz val="12"/>
      <color rgb="FF000000"/>
      <name val="Calibri"/>
      <family val="2"/>
    </font>
    <font>
      <sz val="10"/>
      <color rgb="FF000000"/>
      <name val="Calibri"/>
      <family val="2"/>
    </font>
    <font>
      <sz val="14"/>
      <color theme="0"/>
      <name val="Arial Nova"/>
      <family val="2"/>
    </font>
    <font>
      <sz val="12"/>
      <color theme="1"/>
      <name val="Arial Nova"/>
      <family val="2"/>
    </font>
    <font>
      <b/>
      <sz val="11"/>
      <color theme="0"/>
      <name val="Arial Nova"/>
      <family val="2"/>
    </font>
    <font>
      <vertAlign val="superscript"/>
      <sz val="12"/>
      <color theme="1"/>
      <name val="Arial Nova"/>
      <family val="2"/>
    </font>
    <font>
      <b/>
      <sz val="16"/>
      <color theme="0"/>
      <name val="Arial"/>
      <family val="2"/>
    </font>
    <font>
      <sz val="16"/>
      <color theme="0"/>
      <name val="Arial"/>
      <family val="2"/>
    </font>
    <font>
      <vertAlign val="subscript"/>
      <sz val="12"/>
      <color theme="0"/>
      <name val="Arial"/>
      <family val="2"/>
    </font>
    <font>
      <vertAlign val="superscript"/>
      <sz val="12"/>
      <color theme="0"/>
      <name val="Arial"/>
      <family val="2"/>
    </font>
    <font>
      <vertAlign val="subscript"/>
      <sz val="11"/>
      <name val="Arial"/>
      <family val="2"/>
    </font>
    <font>
      <sz val="11"/>
      <color rgb="FFFF0000"/>
      <name val="Arial"/>
      <family val="2"/>
    </font>
    <font>
      <b/>
      <sz val="12"/>
      <color rgb="FFFF0000"/>
      <name val="Arial"/>
      <family val="2"/>
    </font>
    <font>
      <vertAlign val="superscript"/>
      <sz val="12"/>
      <color theme="1"/>
      <name val="Arial"/>
      <family val="2"/>
    </font>
  </fonts>
  <fills count="16">
    <fill>
      <patternFill patternType="none"/>
    </fill>
    <fill>
      <patternFill patternType="gray125"/>
    </fill>
    <fill>
      <patternFill patternType="solid">
        <fgColor theme="1"/>
        <bgColor indexed="64"/>
      </patternFill>
    </fill>
    <fill>
      <patternFill patternType="solid">
        <fgColor rgb="FF25C6FF"/>
        <bgColor indexed="64"/>
      </patternFill>
    </fill>
    <fill>
      <patternFill patternType="solid">
        <fgColor rgb="FFF2F2F2"/>
        <bgColor indexed="64"/>
      </patternFill>
    </fill>
    <fill>
      <patternFill patternType="solid">
        <fgColor theme="0"/>
        <bgColor indexed="64"/>
      </patternFill>
    </fill>
    <fill>
      <patternFill patternType="solid">
        <fgColor rgb="FFE8D548"/>
        <bgColor indexed="64"/>
      </patternFill>
    </fill>
    <fill>
      <patternFill patternType="solid">
        <fgColor rgb="FFD0E37D"/>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A5A5A5"/>
        <bgColor indexed="64"/>
      </patternFill>
    </fill>
    <fill>
      <patternFill patternType="solid">
        <fgColor rgb="FF007AC3"/>
        <bgColor indexed="64"/>
      </patternFill>
    </fill>
    <fill>
      <patternFill patternType="solid">
        <fgColor rgb="FFFCB041"/>
        <bgColor indexed="64"/>
      </patternFill>
    </fill>
    <fill>
      <patternFill patternType="solid">
        <fgColor theme="0" tint="-0.14999847407452621"/>
        <bgColor indexed="64"/>
      </patternFill>
    </fill>
    <fill>
      <patternFill patternType="solid">
        <fgColor rgb="FF000000"/>
        <bgColor rgb="FF000000"/>
      </patternFill>
    </fill>
    <fill>
      <patternFill patternType="solid">
        <fgColor theme="2"/>
        <bgColor indexed="64"/>
      </patternFill>
    </fill>
  </fills>
  <borders count="61">
    <border>
      <left/>
      <right/>
      <top/>
      <bottom/>
      <diagonal/>
    </border>
    <border>
      <left style="thin">
        <color auto="1"/>
      </left>
      <right/>
      <top style="thin">
        <color auto="1"/>
      </top>
      <bottom/>
      <diagonal/>
    </border>
    <border>
      <left/>
      <right/>
      <top/>
      <bottom style="thin">
        <color auto="1"/>
      </bottom>
      <diagonal/>
    </border>
    <border>
      <left/>
      <right/>
      <top style="thin">
        <color theme="0"/>
      </top>
      <bottom style="thin">
        <color theme="0"/>
      </bottom>
      <diagonal/>
    </border>
    <border>
      <left/>
      <right/>
      <top/>
      <bottom style="thin">
        <color theme="0"/>
      </bottom>
      <diagonal/>
    </border>
    <border>
      <left/>
      <right/>
      <top style="thin">
        <color theme="0"/>
      </top>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left>
      <right/>
      <top/>
      <bottom/>
      <diagonal/>
    </border>
    <border>
      <left style="thin">
        <color theme="0"/>
      </left>
      <right/>
      <top/>
      <bottom style="thin">
        <color theme="0"/>
      </bottom>
      <diagonal/>
    </border>
    <border>
      <left style="medium">
        <color indexed="64"/>
      </left>
      <right style="thin">
        <color indexed="64"/>
      </right>
      <top style="medium">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thin">
        <color auto="1"/>
      </top>
      <bottom style="thin">
        <color auto="1"/>
      </bottom>
      <diagonal/>
    </border>
    <border>
      <left style="thin">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auto="1"/>
      </left>
      <right/>
      <top/>
      <bottom style="thin">
        <color auto="1"/>
      </bottom>
      <diagonal/>
    </border>
    <border>
      <left/>
      <right style="thin">
        <color auto="1"/>
      </right>
      <top/>
      <bottom style="thin">
        <color auto="1"/>
      </bottom>
      <diagonal/>
    </border>
    <border>
      <left/>
      <right style="thin">
        <color auto="1"/>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thin">
        <color theme="0"/>
      </top>
      <bottom style="thin">
        <color indexed="64"/>
      </bottom>
      <diagonal/>
    </border>
    <border>
      <left/>
      <right style="thin">
        <color theme="0"/>
      </right>
      <top/>
      <bottom style="thin">
        <color theme="0"/>
      </bottom>
      <diagonal/>
    </border>
    <border>
      <left/>
      <right/>
      <top style="thin">
        <color theme="0"/>
      </top>
      <bottom style="medium">
        <color indexed="64"/>
      </bottom>
      <diagonal/>
    </border>
    <border>
      <left style="medium">
        <color indexed="64"/>
      </left>
      <right/>
      <top/>
      <bottom style="thin">
        <color theme="0"/>
      </bottom>
      <diagonal/>
    </border>
    <border>
      <left/>
      <right style="medium">
        <color indexed="64"/>
      </right>
      <top/>
      <bottom style="thin">
        <color theme="0"/>
      </bottom>
      <diagonal/>
    </border>
    <border>
      <left/>
      <right style="medium">
        <color indexed="64"/>
      </right>
      <top style="thin">
        <color theme="0"/>
      </top>
      <bottom style="thin">
        <color theme="0"/>
      </bottom>
      <diagonal/>
    </border>
    <border>
      <left style="medium">
        <color indexed="64"/>
      </left>
      <right/>
      <top style="thin">
        <color theme="0"/>
      </top>
      <bottom style="thin">
        <color theme="0"/>
      </bottom>
      <diagonal/>
    </border>
    <border>
      <left style="medium">
        <color indexed="64"/>
      </left>
      <right/>
      <top style="thin">
        <color theme="0"/>
      </top>
      <bottom style="medium">
        <color indexed="64"/>
      </bottom>
      <diagonal/>
    </border>
    <border>
      <left/>
      <right style="medium">
        <color indexed="64"/>
      </right>
      <top style="thin">
        <color theme="0"/>
      </top>
      <bottom style="medium">
        <color indexed="64"/>
      </bottom>
      <diagonal/>
    </border>
    <border>
      <left style="medium">
        <color indexed="64"/>
      </left>
      <right/>
      <top style="thin">
        <color theme="0"/>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theme="0"/>
      </bottom>
      <diagonal/>
    </border>
    <border>
      <left style="medium">
        <color indexed="64"/>
      </left>
      <right style="medium">
        <color indexed="64"/>
      </right>
      <top style="thin">
        <color theme="0"/>
      </top>
      <bottom style="thin">
        <color theme="0"/>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style="medium">
        <color indexed="64"/>
      </right>
      <top style="thin">
        <color theme="0"/>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9" fontId="7" fillId="0" borderId="0" applyFont="0" applyFill="0" applyBorder="0" applyAlignment="0" applyProtection="0"/>
    <xf numFmtId="0" fontId="5" fillId="0" borderId="0"/>
    <xf numFmtId="9" fontId="5" fillId="0" borderId="0" applyFont="0" applyFill="0" applyBorder="0" applyAlignment="0" applyProtection="0"/>
    <xf numFmtId="43" fontId="7" fillId="0" borderId="0" applyFont="0" applyFill="0" applyBorder="0" applyAlignment="0" applyProtection="0"/>
    <xf numFmtId="0" fontId="17" fillId="0" borderId="0" applyNumberFormat="0" applyFill="0" applyBorder="0" applyAlignment="0" applyProtection="0"/>
    <xf numFmtId="0" fontId="4" fillId="0" borderId="0"/>
    <xf numFmtId="9" fontId="4" fillId="0" borderId="0" applyFont="0" applyFill="0" applyBorder="0" applyAlignment="0" applyProtection="0"/>
    <xf numFmtId="43" fontId="4" fillId="0" borderId="0" applyFont="0" applyFill="0" applyBorder="0" applyAlignment="0" applyProtection="0"/>
    <xf numFmtId="0" fontId="43" fillId="0" borderId="0" applyNumberFormat="0" applyFill="0" applyBorder="0" applyAlignment="0" applyProtection="0"/>
    <xf numFmtId="0" fontId="3" fillId="0" borderId="0"/>
    <xf numFmtId="170" fontId="44" fillId="0" borderId="0" applyFont="0" applyFill="0" applyBorder="0" applyAlignment="0" applyProtection="0"/>
  </cellStyleXfs>
  <cellXfs count="667">
    <xf numFmtId="0" fontId="0" fillId="0" borderId="0" xfId="0"/>
    <xf numFmtId="0" fontId="8" fillId="0" borderId="0" xfId="0" applyFont="1"/>
    <xf numFmtId="0" fontId="10" fillId="0" borderId="0" xfId="0" applyFont="1"/>
    <xf numFmtId="0" fontId="8" fillId="4" borderId="3" xfId="0" applyFont="1" applyFill="1" applyBorder="1"/>
    <xf numFmtId="0" fontId="8" fillId="0" borderId="0" xfId="2" applyFont="1"/>
    <xf numFmtId="0" fontId="8" fillId="0" borderId="0" xfId="2" applyFont="1" applyAlignment="1">
      <alignment horizontal="left" indent="1"/>
    </xf>
    <xf numFmtId="0" fontId="9" fillId="2" borderId="2" xfId="2" applyFont="1" applyFill="1" applyBorder="1" applyAlignment="1">
      <alignment horizontal="left"/>
    </xf>
    <xf numFmtId="0" fontId="9" fillId="2" borderId="0" xfId="2" applyFont="1" applyFill="1" applyAlignment="1">
      <alignment horizontal="left"/>
    </xf>
    <xf numFmtId="0" fontId="0" fillId="0" borderId="0" xfId="0" applyAlignment="1">
      <alignment vertical="center"/>
    </xf>
    <xf numFmtId="0" fontId="16" fillId="0" borderId="0" xfId="0" applyFont="1"/>
    <xf numFmtId="0" fontId="18" fillId="0" borderId="0" xfId="0" applyFont="1"/>
    <xf numFmtId="0" fontId="10" fillId="0" borderId="0" xfId="0" applyFont="1" applyAlignment="1">
      <alignment wrapText="1"/>
    </xf>
    <xf numFmtId="3" fontId="8" fillId="4" borderId="3" xfId="0" applyNumberFormat="1" applyFont="1" applyFill="1" applyBorder="1" applyAlignment="1">
      <alignment horizontal="center" vertical="center"/>
    </xf>
    <xf numFmtId="1" fontId="8" fillId="0" borderId="0" xfId="0" applyNumberFormat="1" applyFont="1" applyAlignment="1">
      <alignment horizontal="center" vertical="center"/>
    </xf>
    <xf numFmtId="2" fontId="8" fillId="0" borderId="0" xfId="0" applyNumberFormat="1" applyFont="1" applyAlignment="1">
      <alignment horizontal="center" vertical="center"/>
    </xf>
    <xf numFmtId="0" fontId="9" fillId="2" borderId="6" xfId="2" applyFont="1" applyFill="1" applyBorder="1" applyAlignment="1">
      <alignment horizontal="left"/>
    </xf>
    <xf numFmtId="0" fontId="21" fillId="0" borderId="0" xfId="0" applyFont="1"/>
    <xf numFmtId="0" fontId="9" fillId="0" borderId="0" xfId="0" applyFont="1"/>
    <xf numFmtId="0" fontId="14" fillId="0" borderId="0" xfId="0" applyFont="1"/>
    <xf numFmtId="0" fontId="24" fillId="0" borderId="0" xfId="0" applyFont="1"/>
    <xf numFmtId="0" fontId="23" fillId="0" borderId="0" xfId="0" applyFont="1"/>
    <xf numFmtId="2" fontId="8" fillId="0" borderId="0" xfId="2" applyNumberFormat="1" applyFont="1"/>
    <xf numFmtId="0" fontId="0" fillId="0" borderId="0" xfId="0" applyAlignment="1">
      <alignment horizontal="center" vertical="center"/>
    </xf>
    <xf numFmtId="0" fontId="25" fillId="4" borderId="3" xfId="0" applyFont="1" applyFill="1" applyBorder="1"/>
    <xf numFmtId="0" fontId="26" fillId="0" borderId="0" xfId="5" applyFont="1"/>
    <xf numFmtId="0" fontId="10" fillId="2" borderId="1" xfId="2" applyFont="1" applyFill="1" applyBorder="1" applyAlignment="1">
      <alignment horizontal="left" vertical="top"/>
    </xf>
    <xf numFmtId="0" fontId="0" fillId="8" borderId="3" xfId="0" applyFill="1" applyBorder="1" applyAlignment="1">
      <alignment horizontal="left" vertical="center"/>
    </xf>
    <xf numFmtId="0" fontId="0" fillId="8" borderId="5" xfId="0" applyFill="1" applyBorder="1" applyAlignment="1">
      <alignment horizontal="left" vertical="center"/>
    </xf>
    <xf numFmtId="0" fontId="8" fillId="8" borderId="5" xfId="2" applyFont="1" applyFill="1" applyBorder="1" applyAlignment="1">
      <alignment horizontal="left" vertical="center"/>
    </xf>
    <xf numFmtId="0" fontId="8" fillId="4" borderId="3" xfId="0" applyFont="1" applyFill="1" applyBorder="1" applyAlignment="1">
      <alignment horizontal="left" vertical="center"/>
    </xf>
    <xf numFmtId="1" fontId="8" fillId="4" borderId="0" xfId="0" applyNumberFormat="1" applyFont="1" applyFill="1" applyAlignment="1">
      <alignment horizontal="center" vertical="center"/>
    </xf>
    <xf numFmtId="9" fontId="8" fillId="4" borderId="0" xfId="1" applyFont="1" applyFill="1" applyBorder="1" applyAlignment="1" applyProtection="1">
      <alignment horizontal="center" vertical="center"/>
    </xf>
    <xf numFmtId="0" fontId="25" fillId="4" borderId="3" xfId="0" applyFont="1" applyFill="1" applyBorder="1" applyAlignment="1">
      <alignment horizontal="left" vertical="center"/>
    </xf>
    <xf numFmtId="0" fontId="10" fillId="2" borderId="0" xfId="0" applyFont="1" applyFill="1" applyAlignment="1">
      <alignment horizontal="center" vertical="center" wrapText="1"/>
    </xf>
    <xf numFmtId="0" fontId="16" fillId="0" borderId="0" xfId="0" applyFont="1" applyAlignment="1">
      <alignment vertical="center"/>
    </xf>
    <xf numFmtId="0" fontId="10" fillId="2" borderId="7" xfId="0" applyFont="1" applyFill="1" applyBorder="1" applyAlignment="1">
      <alignment horizontal="center" vertical="center"/>
    </xf>
    <xf numFmtId="0" fontId="8" fillId="8" borderId="4" xfId="0" applyFont="1" applyFill="1" applyBorder="1" applyAlignment="1">
      <alignment horizontal="center" vertical="center"/>
    </xf>
    <xf numFmtId="0" fontId="8" fillId="8" borderId="3" xfId="0" applyFont="1" applyFill="1" applyBorder="1" applyAlignment="1">
      <alignment horizontal="center" vertical="center"/>
    </xf>
    <xf numFmtId="0" fontId="10" fillId="2" borderId="0" xfId="2" applyFont="1" applyFill="1" applyAlignment="1">
      <alignment horizontal="center" vertical="center"/>
    </xf>
    <xf numFmtId="0" fontId="27" fillId="2" borderId="0" xfId="2" applyFont="1" applyFill="1" applyAlignment="1">
      <alignment horizontal="center" vertical="center"/>
    </xf>
    <xf numFmtId="0" fontId="10" fillId="2" borderId="0" xfId="2" applyFont="1" applyFill="1" applyAlignment="1">
      <alignment vertical="center"/>
    </xf>
    <xf numFmtId="0" fontId="8" fillId="0" borderId="0" xfId="2" applyFont="1" applyAlignment="1">
      <alignment vertical="center"/>
    </xf>
    <xf numFmtId="0" fontId="9" fillId="2" borderId="5" xfId="2" applyFont="1" applyFill="1" applyBorder="1" applyAlignment="1">
      <alignment vertical="center"/>
    </xf>
    <xf numFmtId="9" fontId="10" fillId="2" borderId="0" xfId="1" applyFont="1" applyFill="1" applyBorder="1" applyAlignment="1">
      <alignment horizontal="center" vertical="center"/>
    </xf>
    <xf numFmtId="0" fontId="8" fillId="2" borderId="0" xfId="2" applyFont="1" applyFill="1" applyAlignment="1">
      <alignment vertical="center"/>
    </xf>
    <xf numFmtId="0" fontId="9" fillId="2" borderId="0" xfId="2" applyFont="1" applyFill="1" applyAlignment="1">
      <alignment vertical="center"/>
    </xf>
    <xf numFmtId="9" fontId="10" fillId="2" borderId="0" xfId="3" applyFont="1" applyFill="1" applyBorder="1" applyAlignment="1">
      <alignment vertical="center"/>
    </xf>
    <xf numFmtId="0" fontId="9" fillId="0" borderId="0" xfId="2" applyFont="1" applyAlignment="1">
      <alignment vertical="center"/>
    </xf>
    <xf numFmtId="0" fontId="8" fillId="2" borderId="0" xfId="2" applyFont="1" applyFill="1" applyAlignment="1">
      <alignment horizontal="left" vertical="center" wrapText="1"/>
    </xf>
    <xf numFmtId="0" fontId="8" fillId="4" borderId="4" xfId="2" applyFont="1" applyFill="1" applyBorder="1" applyAlignment="1">
      <alignment vertical="center" wrapText="1"/>
    </xf>
    <xf numFmtId="0" fontId="10" fillId="0" borderId="0" xfId="0" applyFont="1" applyAlignment="1">
      <alignment vertical="center" wrapText="1"/>
    </xf>
    <xf numFmtId="0" fontId="8" fillId="4" borderId="3" xfId="2" applyFont="1" applyFill="1" applyBorder="1" applyAlignment="1">
      <alignment vertical="center" wrapText="1"/>
    </xf>
    <xf numFmtId="0" fontId="8" fillId="4" borderId="3" xfId="2" applyFont="1" applyFill="1" applyBorder="1" applyAlignment="1">
      <alignment horizontal="left" vertical="center" wrapText="1"/>
    </xf>
    <xf numFmtId="0" fontId="8" fillId="4" borderId="5" xfId="2" applyFont="1" applyFill="1" applyBorder="1" applyAlignment="1">
      <alignment horizontal="left" vertical="center" wrapText="1"/>
    </xf>
    <xf numFmtId="0" fontId="8" fillId="8" borderId="3" xfId="2" applyFont="1" applyFill="1" applyBorder="1" applyAlignment="1">
      <alignment horizontal="left" vertical="center" wrapText="1"/>
    </xf>
    <xf numFmtId="0" fontId="6" fillId="0" borderId="0" xfId="0" applyFont="1"/>
    <xf numFmtId="0" fontId="15" fillId="0" borderId="0" xfId="0" applyFont="1"/>
    <xf numFmtId="165" fontId="8" fillId="7" borderId="4" xfId="0" applyNumberFormat="1" applyFont="1" applyFill="1" applyBorder="1" applyAlignment="1">
      <alignment horizontal="left" vertical="center"/>
    </xf>
    <xf numFmtId="2" fontId="8" fillId="7" borderId="4" xfId="0" applyNumberFormat="1" applyFont="1" applyFill="1" applyBorder="1" applyAlignment="1">
      <alignment horizontal="center" vertical="center"/>
    </xf>
    <xf numFmtId="0" fontId="30" fillId="2" borderId="0" xfId="2" applyFont="1" applyFill="1" applyAlignment="1">
      <alignment vertical="center"/>
    </xf>
    <xf numFmtId="9" fontId="30" fillId="2" borderId="0" xfId="3" applyFont="1" applyFill="1" applyBorder="1" applyAlignment="1">
      <alignment vertical="center"/>
    </xf>
    <xf numFmtId="0" fontId="30" fillId="2" borderId="22" xfId="2" applyFont="1" applyFill="1" applyBorder="1" applyAlignment="1">
      <alignment vertical="center"/>
    </xf>
    <xf numFmtId="9" fontId="32" fillId="6" borderId="4" xfId="1" applyFont="1" applyFill="1" applyBorder="1" applyAlignment="1">
      <alignment horizontal="center" vertical="center"/>
    </xf>
    <xf numFmtId="0" fontId="32" fillId="6" borderId="4" xfId="2" applyFont="1" applyFill="1" applyBorder="1" applyAlignment="1">
      <alignment horizontal="center" vertical="center"/>
    </xf>
    <xf numFmtId="9" fontId="32" fillId="6" borderId="4" xfId="2" applyNumberFormat="1" applyFont="1" applyFill="1" applyBorder="1" applyAlignment="1">
      <alignment horizontal="center" vertical="center"/>
    </xf>
    <xf numFmtId="9" fontId="32" fillId="6" borderId="3" xfId="3" applyFont="1" applyFill="1" applyBorder="1" applyAlignment="1">
      <alignment horizontal="center" vertical="center"/>
    </xf>
    <xf numFmtId="9" fontId="32" fillId="6" borderId="3" xfId="1" applyFont="1" applyFill="1" applyBorder="1" applyAlignment="1">
      <alignment horizontal="center" vertical="center"/>
    </xf>
    <xf numFmtId="0" fontId="32" fillId="6" borderId="3" xfId="2" applyFont="1" applyFill="1" applyBorder="1" applyAlignment="1">
      <alignment horizontal="center" vertical="center"/>
    </xf>
    <xf numFmtId="9" fontId="32" fillId="6" borderId="3" xfId="2" applyNumberFormat="1" applyFont="1" applyFill="1" applyBorder="1" applyAlignment="1">
      <alignment horizontal="center" vertical="center"/>
    </xf>
    <xf numFmtId="2" fontId="32" fillId="6" borderId="3" xfId="3" applyNumberFormat="1" applyFont="1" applyFill="1" applyBorder="1" applyAlignment="1">
      <alignment horizontal="center" vertical="center"/>
    </xf>
    <xf numFmtId="9" fontId="32" fillId="6" borderId="5" xfId="3" applyFont="1" applyFill="1" applyBorder="1" applyAlignment="1">
      <alignment horizontal="center" vertical="center"/>
    </xf>
    <xf numFmtId="0" fontId="32" fillId="6" borderId="5" xfId="2" applyFont="1" applyFill="1" applyBorder="1" applyAlignment="1">
      <alignment horizontal="center" vertical="center"/>
    </xf>
    <xf numFmtId="9" fontId="32" fillId="6" borderId="5" xfId="1" applyFont="1" applyFill="1" applyBorder="1" applyAlignment="1">
      <alignment horizontal="center" vertical="center"/>
    </xf>
    <xf numFmtId="10" fontId="32" fillId="6" borderId="3" xfId="3" applyNumberFormat="1" applyFont="1" applyFill="1" applyBorder="1" applyAlignment="1">
      <alignment horizontal="center" vertical="center"/>
    </xf>
    <xf numFmtId="9" fontId="32" fillId="6" borderId="4" xfId="3" applyFont="1" applyFill="1" applyBorder="1" applyAlignment="1">
      <alignment horizontal="center" vertical="center"/>
    </xf>
    <xf numFmtId="0" fontId="31" fillId="2" borderId="0" xfId="2" applyFont="1" applyFill="1" applyAlignment="1">
      <alignment horizontal="center" vertical="center"/>
    </xf>
    <xf numFmtId="9" fontId="31" fillId="2" borderId="0" xfId="1" applyFont="1" applyFill="1" applyBorder="1" applyAlignment="1">
      <alignment horizontal="center" vertical="center"/>
    </xf>
    <xf numFmtId="164" fontId="32" fillId="6" borderId="3" xfId="2" applyNumberFormat="1" applyFont="1" applyFill="1" applyBorder="1" applyAlignment="1">
      <alignment horizontal="center" vertical="center"/>
    </xf>
    <xf numFmtId="10" fontId="32" fillId="6" borderId="5" xfId="3" applyNumberFormat="1" applyFont="1" applyFill="1" applyBorder="1" applyAlignment="1">
      <alignment horizontal="center" vertical="center"/>
    </xf>
    <xf numFmtId="9" fontId="32" fillId="6" borderId="5" xfId="2" applyNumberFormat="1" applyFont="1" applyFill="1" applyBorder="1" applyAlignment="1">
      <alignment horizontal="center" vertical="center"/>
    </xf>
    <xf numFmtId="9" fontId="32" fillId="6" borderId="0" xfId="3" applyFont="1" applyFill="1" applyBorder="1" applyAlignment="1">
      <alignment horizontal="center" vertical="center"/>
    </xf>
    <xf numFmtId="9" fontId="32" fillId="6" borderId="0" xfId="1" applyFont="1" applyFill="1" applyBorder="1" applyAlignment="1">
      <alignment horizontal="center" vertical="center"/>
    </xf>
    <xf numFmtId="2" fontId="10" fillId="2" borderId="0" xfId="2" applyNumberFormat="1" applyFont="1" applyFill="1" applyAlignment="1">
      <alignment horizontal="center" vertical="center"/>
    </xf>
    <xf numFmtId="2" fontId="15" fillId="2" borderId="0" xfId="2" applyNumberFormat="1" applyFont="1" applyFill="1" applyAlignment="1">
      <alignment horizontal="center" vertical="center"/>
    </xf>
    <xf numFmtId="0" fontId="8" fillId="5" borderId="0" xfId="0" applyFont="1" applyFill="1"/>
    <xf numFmtId="0" fontId="8" fillId="5" borderId="0" xfId="0" applyFont="1" applyFill="1" applyAlignment="1">
      <alignment wrapText="1"/>
    </xf>
    <xf numFmtId="0" fontId="20" fillId="0" borderId="0" xfId="0" applyFont="1"/>
    <xf numFmtId="0" fontId="9" fillId="0" borderId="0" xfId="2" applyFont="1"/>
    <xf numFmtId="3" fontId="25" fillId="4" borderId="3" xfId="0" applyNumberFormat="1" applyFont="1" applyFill="1" applyBorder="1" applyAlignment="1">
      <alignment horizontal="center" vertical="center"/>
    </xf>
    <xf numFmtId="3" fontId="8" fillId="4" borderId="8" xfId="0" applyNumberFormat="1" applyFont="1" applyFill="1" applyBorder="1" applyAlignment="1">
      <alignment horizontal="center" vertical="center"/>
    </xf>
    <xf numFmtId="3" fontId="25" fillId="4" borderId="8" xfId="0" applyNumberFormat="1" applyFont="1" applyFill="1" applyBorder="1" applyAlignment="1">
      <alignment horizontal="center" vertical="center"/>
    </xf>
    <xf numFmtId="0" fontId="25" fillId="0" borderId="0" xfId="0" applyFont="1"/>
    <xf numFmtId="0" fontId="8" fillId="0" borderId="0" xfId="0" applyFont="1" applyAlignment="1">
      <alignment vertical="center"/>
    </xf>
    <xf numFmtId="9" fontId="0" fillId="0" borderId="0" xfId="0" applyNumberFormat="1"/>
    <xf numFmtId="168" fontId="8" fillId="0" borderId="0" xfId="0" applyNumberFormat="1" applyFont="1" applyAlignment="1">
      <alignment vertical="center"/>
    </xf>
    <xf numFmtId="3" fontId="0" fillId="0" borderId="0" xfId="0" applyNumberFormat="1"/>
    <xf numFmtId="9" fontId="8" fillId="0" borderId="0" xfId="0" applyNumberFormat="1" applyFont="1" applyAlignment="1">
      <alignment vertical="center"/>
    </xf>
    <xf numFmtId="1" fontId="8" fillId="6" borderId="4" xfId="1" applyNumberFormat="1" applyFont="1" applyFill="1" applyBorder="1" applyAlignment="1" applyProtection="1">
      <alignment horizontal="center" vertical="center"/>
    </xf>
    <xf numFmtId="166" fontId="8" fillId="6" borderId="3" xfId="1" applyNumberFormat="1" applyFont="1" applyFill="1" applyBorder="1" applyAlignment="1" applyProtection="1">
      <alignment horizontal="center" vertical="center"/>
    </xf>
    <xf numFmtId="1" fontId="8" fillId="6" borderId="3" xfId="1" applyNumberFormat="1" applyFont="1" applyFill="1" applyBorder="1" applyAlignment="1" applyProtection="1">
      <alignment horizontal="center" vertical="center"/>
    </xf>
    <xf numFmtId="43" fontId="8" fillId="0" borderId="0" xfId="0" applyNumberFormat="1" applyFont="1" applyAlignment="1">
      <alignment vertical="center"/>
    </xf>
    <xf numFmtId="165" fontId="8" fillId="3" borderId="4" xfId="0" applyNumberFormat="1" applyFont="1" applyFill="1" applyBorder="1" applyAlignment="1">
      <alignment horizontal="left" vertical="center"/>
    </xf>
    <xf numFmtId="9" fontId="8" fillId="6" borderId="4" xfId="1" applyFont="1" applyFill="1" applyBorder="1" applyAlignment="1" applyProtection="1">
      <alignment horizontal="center" vertical="center"/>
    </xf>
    <xf numFmtId="10" fontId="8" fillId="6" borderId="4" xfId="1" applyNumberFormat="1" applyFont="1" applyFill="1" applyBorder="1" applyAlignment="1" applyProtection="1">
      <alignment horizontal="center" vertical="center"/>
    </xf>
    <xf numFmtId="2" fontId="8" fillId="6" borderId="4" xfId="1" applyNumberFormat="1" applyFont="1" applyFill="1" applyBorder="1" applyAlignment="1" applyProtection="1">
      <alignment horizontal="center" vertical="center"/>
    </xf>
    <xf numFmtId="2" fontId="8" fillId="4" borderId="4" xfId="1" applyNumberFormat="1" applyFont="1" applyFill="1" applyBorder="1" applyAlignment="1" applyProtection="1">
      <alignment horizontal="center" vertical="center"/>
    </xf>
    <xf numFmtId="9" fontId="8" fillId="6" borderId="3" xfId="1" applyFont="1" applyFill="1" applyBorder="1" applyAlignment="1" applyProtection="1">
      <alignment horizontal="center" vertical="center"/>
    </xf>
    <xf numFmtId="10" fontId="8" fillId="6" borderId="3" xfId="1" applyNumberFormat="1" applyFont="1" applyFill="1" applyBorder="1" applyAlignment="1" applyProtection="1">
      <alignment horizontal="center" vertical="center"/>
    </xf>
    <xf numFmtId="2" fontId="8" fillId="4" borderId="3" xfId="1" applyNumberFormat="1" applyFont="1" applyFill="1" applyBorder="1" applyAlignment="1" applyProtection="1">
      <alignment horizontal="center" vertical="center"/>
    </xf>
    <xf numFmtId="165" fontId="8" fillId="4" borderId="0" xfId="0" applyNumberFormat="1" applyFont="1" applyFill="1" applyAlignment="1">
      <alignment horizontal="left" vertical="center"/>
    </xf>
    <xf numFmtId="165" fontId="8" fillId="4" borderId="0" xfId="0" applyNumberFormat="1" applyFont="1" applyFill="1" applyAlignment="1">
      <alignment horizontal="center" vertical="center"/>
    </xf>
    <xf numFmtId="164" fontId="8" fillId="4" borderId="0" xfId="1" applyNumberFormat="1" applyFont="1" applyFill="1" applyBorder="1" applyAlignment="1" applyProtection="1">
      <alignment horizontal="center" vertical="center"/>
    </xf>
    <xf numFmtId="165" fontId="8" fillId="0" borderId="0" xfId="0" applyNumberFormat="1" applyFont="1" applyAlignment="1">
      <alignment horizontal="center" vertical="center"/>
    </xf>
    <xf numFmtId="9" fontId="8" fillId="0" borderId="0" xfId="0" applyNumberFormat="1" applyFont="1" applyAlignment="1">
      <alignment horizontal="center" vertical="center"/>
    </xf>
    <xf numFmtId="164" fontId="8" fillId="0" borderId="0" xfId="1" applyNumberFormat="1" applyFont="1" applyFill="1" applyBorder="1" applyAlignment="1" applyProtection="1">
      <alignment horizontal="center" vertical="center"/>
    </xf>
    <xf numFmtId="9" fontId="8" fillId="4" borderId="3" xfId="1" applyFont="1" applyFill="1" applyBorder="1" applyAlignment="1" applyProtection="1">
      <alignment horizontal="center" vertical="center"/>
    </xf>
    <xf numFmtId="1" fontId="8" fillId="4" borderId="3" xfId="1" applyNumberFormat="1" applyFont="1" applyFill="1" applyBorder="1" applyAlignment="1" applyProtection="1">
      <alignment horizontal="center" vertical="center"/>
    </xf>
    <xf numFmtId="3" fontId="8" fillId="4" borderId="3" xfId="1" applyNumberFormat="1" applyFont="1" applyFill="1" applyBorder="1" applyAlignment="1" applyProtection="1">
      <alignment horizontal="center" vertical="center"/>
    </xf>
    <xf numFmtId="3" fontId="8" fillId="4" borderId="5" xfId="1" applyNumberFormat="1" applyFont="1" applyFill="1" applyBorder="1" applyAlignment="1" applyProtection="1">
      <alignment horizontal="center" vertical="center"/>
    </xf>
    <xf numFmtId="9" fontId="8" fillId="4" borderId="5" xfId="1" applyFont="1" applyFill="1" applyBorder="1" applyAlignment="1" applyProtection="1">
      <alignment horizontal="center" vertical="center"/>
    </xf>
    <xf numFmtId="9" fontId="8" fillId="4" borderId="4" xfId="1" applyFont="1" applyFill="1" applyBorder="1" applyAlignment="1" applyProtection="1">
      <alignment horizontal="center" vertical="center"/>
    </xf>
    <xf numFmtId="0" fontId="23" fillId="0" borderId="0" xfId="0" applyFont="1" applyAlignment="1">
      <alignment vertical="center"/>
    </xf>
    <xf numFmtId="9" fontId="8" fillId="0" borderId="0" xfId="1" applyFont="1" applyFill="1" applyBorder="1" applyAlignment="1" applyProtection="1">
      <alignment horizontal="right" vertical="center"/>
    </xf>
    <xf numFmtId="9" fontId="21" fillId="6" borderId="4" xfId="1" applyFont="1" applyFill="1" applyBorder="1" applyAlignment="1" applyProtection="1">
      <alignment horizontal="center" vertical="center"/>
    </xf>
    <xf numFmtId="0" fontId="9" fillId="4" borderId="3" xfId="0" applyFont="1" applyFill="1" applyBorder="1" applyAlignment="1">
      <alignment horizontal="center" vertical="center"/>
    </xf>
    <xf numFmtId="9" fontId="8" fillId="6" borderId="3" xfId="1" applyFont="1" applyFill="1" applyBorder="1" applyAlignment="1" applyProtection="1">
      <alignment vertical="center"/>
    </xf>
    <xf numFmtId="2" fontId="8" fillId="6" borderId="3" xfId="2" applyNumberFormat="1" applyFont="1" applyFill="1" applyBorder="1" applyAlignment="1">
      <alignment horizontal="right" vertical="center"/>
    </xf>
    <xf numFmtId="0" fontId="8" fillId="4" borderId="0" xfId="0" applyFont="1" applyFill="1" applyAlignment="1">
      <alignment horizontal="left" indent="1"/>
    </xf>
    <xf numFmtId="9" fontId="8" fillId="4" borderId="0" xfId="0" applyNumberFormat="1" applyFont="1" applyFill="1"/>
    <xf numFmtId="164" fontId="8" fillId="4" borderId="0" xfId="1" applyNumberFormat="1" applyFont="1" applyFill="1" applyProtection="1"/>
    <xf numFmtId="0" fontId="13" fillId="0" borderId="0" xfId="0" applyFont="1"/>
    <xf numFmtId="0" fontId="37" fillId="0" borderId="0" xfId="0" applyFont="1"/>
    <xf numFmtId="0" fontId="8" fillId="0" borderId="12" xfId="2" applyFont="1" applyBorder="1" applyAlignment="1">
      <alignment horizontal="left" indent="1"/>
    </xf>
    <xf numFmtId="0" fontId="8" fillId="0" borderId="13" xfId="0" applyFont="1" applyBorder="1"/>
    <xf numFmtId="2" fontId="8" fillId="0" borderId="19" xfId="0" applyNumberFormat="1" applyFont="1" applyBorder="1"/>
    <xf numFmtId="0" fontId="8" fillId="0" borderId="19" xfId="0" applyFont="1" applyBorder="1"/>
    <xf numFmtId="0" fontId="8" fillId="0" borderId="20" xfId="0" applyFont="1" applyBorder="1"/>
    <xf numFmtId="0" fontId="8" fillId="0" borderId="14" xfId="2" applyFont="1" applyBorder="1" applyAlignment="1">
      <alignment horizontal="left" indent="1"/>
    </xf>
    <xf numFmtId="2" fontId="8" fillId="0" borderId="9" xfId="0" applyNumberFormat="1" applyFont="1" applyBorder="1"/>
    <xf numFmtId="0" fontId="8" fillId="0" borderId="9" xfId="0" applyFont="1" applyBorder="1"/>
    <xf numFmtId="0" fontId="8" fillId="0" borderId="15" xfId="0" applyFont="1" applyBorder="1"/>
    <xf numFmtId="0" fontId="8" fillId="0" borderId="21" xfId="2" applyFont="1" applyBorder="1" applyAlignment="1">
      <alignment horizontal="left" indent="1"/>
    </xf>
    <xf numFmtId="0" fontId="8" fillId="0" borderId="16" xfId="0" applyFont="1" applyBorder="1"/>
    <xf numFmtId="2" fontId="8" fillId="0" borderId="17" xfId="0" applyNumberFormat="1" applyFont="1" applyBorder="1"/>
    <xf numFmtId="0" fontId="8" fillId="0" borderId="17" xfId="0" applyFont="1" applyBorder="1"/>
    <xf numFmtId="0" fontId="8" fillId="0" borderId="18" xfId="0" applyFont="1" applyBorder="1"/>
    <xf numFmtId="0" fontId="34" fillId="0" borderId="0" xfId="0" applyFont="1"/>
    <xf numFmtId="0" fontId="8" fillId="0" borderId="0" xfId="0" applyFont="1" applyAlignment="1">
      <alignment horizontal="center"/>
    </xf>
    <xf numFmtId="2" fontId="8" fillId="0" borderId="0" xfId="0" applyNumberFormat="1" applyFont="1"/>
    <xf numFmtId="4" fontId="8" fillId="3" borderId="4" xfId="0" applyNumberFormat="1" applyFont="1" applyFill="1" applyBorder="1" applyAlignment="1">
      <alignment horizontal="center" vertical="center"/>
    </xf>
    <xf numFmtId="9" fontId="8" fillId="6" borderId="4" xfId="3" applyFont="1" applyFill="1" applyBorder="1" applyAlignment="1">
      <alignment horizontal="center" vertical="center"/>
    </xf>
    <xf numFmtId="9" fontId="8" fillId="6" borderId="4" xfId="1" applyFont="1" applyFill="1" applyBorder="1" applyAlignment="1">
      <alignment horizontal="center" vertical="center"/>
    </xf>
    <xf numFmtId="0" fontId="8" fillId="8" borderId="4" xfId="2" applyFont="1" applyFill="1" applyBorder="1" applyAlignment="1">
      <alignment horizontal="center" vertical="center"/>
    </xf>
    <xf numFmtId="9" fontId="8" fillId="8" borderId="4" xfId="1" applyFont="1" applyFill="1" applyBorder="1" applyAlignment="1">
      <alignment horizontal="center" vertical="center"/>
    </xf>
    <xf numFmtId="9" fontId="8" fillId="6" borderId="4" xfId="2" applyNumberFormat="1" applyFont="1" applyFill="1" applyBorder="1" applyAlignment="1">
      <alignment horizontal="center" vertical="center"/>
    </xf>
    <xf numFmtId="0" fontId="8" fillId="6" borderId="4" xfId="2" applyFont="1" applyFill="1" applyBorder="1" applyAlignment="1">
      <alignment horizontal="center" vertical="center"/>
    </xf>
    <xf numFmtId="1" fontId="8" fillId="6" borderId="4" xfId="2" applyNumberFormat="1" applyFont="1" applyFill="1" applyBorder="1" applyAlignment="1">
      <alignment horizontal="center" vertical="center"/>
    </xf>
    <xf numFmtId="2" fontId="8" fillId="6" borderId="4" xfId="2" applyNumberFormat="1" applyFont="1" applyFill="1" applyBorder="1" applyAlignment="1">
      <alignment horizontal="center" vertical="center"/>
    </xf>
    <xf numFmtId="9" fontId="8" fillId="6" borderId="3" xfId="3" applyFont="1" applyFill="1" applyBorder="1" applyAlignment="1">
      <alignment horizontal="center" vertical="center"/>
    </xf>
    <xf numFmtId="9" fontId="8" fillId="6" borderId="3" xfId="1" applyFont="1" applyFill="1" applyBorder="1" applyAlignment="1">
      <alignment horizontal="center" vertical="center"/>
    </xf>
    <xf numFmtId="0" fontId="8" fillId="8" borderId="3" xfId="2" applyFont="1" applyFill="1" applyBorder="1" applyAlignment="1">
      <alignment horizontal="center" vertical="center"/>
    </xf>
    <xf numFmtId="9" fontId="8" fillId="6" borderId="3" xfId="2" applyNumberFormat="1" applyFont="1" applyFill="1" applyBorder="1" applyAlignment="1">
      <alignment horizontal="center" vertical="center"/>
    </xf>
    <xf numFmtId="0" fontId="8" fillId="6" borderId="3" xfId="2" applyFont="1" applyFill="1" applyBorder="1" applyAlignment="1">
      <alignment horizontal="center" vertical="center"/>
    </xf>
    <xf numFmtId="1" fontId="8" fillId="6" borderId="3" xfId="2" applyNumberFormat="1" applyFont="1" applyFill="1" applyBorder="1" applyAlignment="1">
      <alignment horizontal="center" vertical="center"/>
    </xf>
    <xf numFmtId="2" fontId="8" fillId="8" borderId="3" xfId="3" applyNumberFormat="1" applyFont="1" applyFill="1" applyBorder="1" applyAlignment="1">
      <alignment horizontal="center" vertical="center"/>
    </xf>
    <xf numFmtId="9" fontId="8" fillId="6" borderId="5" xfId="3" applyFont="1" applyFill="1" applyBorder="1" applyAlignment="1">
      <alignment horizontal="center" vertical="center"/>
    </xf>
    <xf numFmtId="0" fontId="8" fillId="8" borderId="5" xfId="2" applyFont="1" applyFill="1" applyBorder="1" applyAlignment="1">
      <alignment horizontal="center" vertical="center"/>
    </xf>
    <xf numFmtId="9" fontId="8" fillId="6" borderId="5" xfId="1" applyFont="1" applyFill="1" applyBorder="1" applyAlignment="1">
      <alignment horizontal="center" vertical="center"/>
    </xf>
    <xf numFmtId="0" fontId="8" fillId="6" borderId="5" xfId="2" applyFont="1" applyFill="1" applyBorder="1" applyAlignment="1">
      <alignment horizontal="center" vertical="center"/>
    </xf>
    <xf numFmtId="1" fontId="8" fillId="6" borderId="5" xfId="2" applyNumberFormat="1" applyFont="1" applyFill="1" applyBorder="1" applyAlignment="1">
      <alignment horizontal="center" vertical="center"/>
    </xf>
    <xf numFmtId="2" fontId="8" fillId="6" borderId="5" xfId="2" applyNumberFormat="1" applyFont="1" applyFill="1" applyBorder="1" applyAlignment="1">
      <alignment horizontal="center" vertical="center"/>
    </xf>
    <xf numFmtId="9" fontId="8" fillId="8" borderId="4" xfId="2" applyNumberFormat="1" applyFont="1" applyFill="1" applyBorder="1" applyAlignment="1">
      <alignment horizontal="center" vertical="center"/>
    </xf>
    <xf numFmtId="9" fontId="8" fillId="8" borderId="4" xfId="3" applyFont="1" applyFill="1" applyBorder="1" applyAlignment="1">
      <alignment horizontal="center" vertical="center"/>
    </xf>
    <xf numFmtId="164" fontId="8" fillId="6" borderId="4" xfId="3" applyNumberFormat="1" applyFont="1" applyFill="1" applyBorder="1" applyAlignment="1">
      <alignment horizontal="center" vertical="center"/>
    </xf>
    <xf numFmtId="9" fontId="8" fillId="8" borderId="3" xfId="2" applyNumberFormat="1" applyFont="1" applyFill="1" applyBorder="1" applyAlignment="1">
      <alignment horizontal="center" vertical="center"/>
    </xf>
    <xf numFmtId="9" fontId="8" fillId="8" borderId="3" xfId="3" applyFont="1" applyFill="1" applyBorder="1" applyAlignment="1">
      <alignment horizontal="center" vertical="center"/>
    </xf>
    <xf numFmtId="164" fontId="8" fillId="6" borderId="3" xfId="3" applyNumberFormat="1" applyFont="1" applyFill="1" applyBorder="1" applyAlignment="1">
      <alignment horizontal="center" vertical="center"/>
    </xf>
    <xf numFmtId="167" fontId="8" fillId="8" borderId="3" xfId="2" applyNumberFormat="1" applyFont="1" applyFill="1" applyBorder="1" applyAlignment="1">
      <alignment horizontal="center" vertical="center"/>
    </xf>
    <xf numFmtId="164" fontId="21" fillId="6" borderId="3" xfId="3" applyNumberFormat="1" applyFont="1" applyFill="1" applyBorder="1" applyAlignment="1">
      <alignment horizontal="center" vertical="center"/>
    </xf>
    <xf numFmtId="1" fontId="21" fillId="6" borderId="3" xfId="2" applyNumberFormat="1" applyFont="1" applyFill="1" applyBorder="1" applyAlignment="1">
      <alignment horizontal="center" vertical="center"/>
    </xf>
    <xf numFmtId="10" fontId="8" fillId="6" borderId="3" xfId="3" applyNumberFormat="1" applyFont="1" applyFill="1" applyBorder="1" applyAlignment="1">
      <alignment horizontal="center" vertical="center"/>
    </xf>
    <xf numFmtId="9" fontId="8" fillId="8" borderId="5" xfId="2" applyNumberFormat="1" applyFont="1" applyFill="1" applyBorder="1" applyAlignment="1">
      <alignment horizontal="center" vertical="center"/>
    </xf>
    <xf numFmtId="9" fontId="8" fillId="8" borderId="5" xfId="3" applyFont="1" applyFill="1" applyBorder="1" applyAlignment="1">
      <alignment horizontal="center" vertical="center"/>
    </xf>
    <xf numFmtId="164" fontId="8" fillId="6" borderId="5" xfId="3" applyNumberFormat="1" applyFont="1" applyFill="1" applyBorder="1" applyAlignment="1">
      <alignment horizontal="center" vertical="center"/>
    </xf>
    <xf numFmtId="0" fontId="8" fillId="8" borderId="0" xfId="2" applyFont="1" applyFill="1" applyAlignment="1">
      <alignment horizontal="center" vertical="center"/>
    </xf>
    <xf numFmtId="164" fontId="8" fillId="8" borderId="4" xfId="3" applyNumberFormat="1" applyFont="1" applyFill="1" applyBorder="1" applyAlignment="1">
      <alignment horizontal="center" vertical="center"/>
    </xf>
    <xf numFmtId="164" fontId="8" fillId="8" borderId="3" xfId="3" applyNumberFormat="1" applyFont="1" applyFill="1" applyBorder="1" applyAlignment="1">
      <alignment horizontal="center" vertical="center"/>
    </xf>
    <xf numFmtId="164" fontId="8" fillId="8" borderId="5" xfId="3" applyNumberFormat="1" applyFont="1" applyFill="1" applyBorder="1" applyAlignment="1">
      <alignment horizontal="center" vertical="center"/>
    </xf>
    <xf numFmtId="0" fontId="9" fillId="8" borderId="4" xfId="2" applyFont="1" applyFill="1" applyBorder="1" applyAlignment="1">
      <alignment horizontal="center" vertical="center"/>
    </xf>
    <xf numFmtId="164" fontId="8" fillId="6" borderId="4" xfId="2" applyNumberFormat="1" applyFont="1" applyFill="1" applyBorder="1" applyAlignment="1">
      <alignment horizontal="center" vertical="center"/>
    </xf>
    <xf numFmtId="164" fontId="8" fillId="6" borderId="3" xfId="2" applyNumberFormat="1" applyFont="1" applyFill="1" applyBorder="1" applyAlignment="1">
      <alignment horizontal="center" vertical="center"/>
    </xf>
    <xf numFmtId="164" fontId="8" fillId="6" borderId="5" xfId="2" applyNumberFormat="1" applyFont="1" applyFill="1" applyBorder="1" applyAlignment="1">
      <alignment horizontal="center" vertical="center"/>
    </xf>
    <xf numFmtId="10" fontId="8" fillId="6" borderId="5" xfId="3" applyNumberFormat="1" applyFont="1" applyFill="1" applyBorder="1" applyAlignment="1">
      <alignment horizontal="center" vertical="center"/>
    </xf>
    <xf numFmtId="9" fontId="8" fillId="6" borderId="5" xfId="2" applyNumberFormat="1" applyFont="1" applyFill="1" applyBorder="1" applyAlignment="1">
      <alignment horizontal="center" vertical="center"/>
    </xf>
    <xf numFmtId="164" fontId="8" fillId="6" borderId="4" xfId="1" applyNumberFormat="1" applyFont="1" applyFill="1" applyBorder="1" applyAlignment="1">
      <alignment horizontal="center" vertical="center"/>
    </xf>
    <xf numFmtId="9" fontId="8" fillId="6" borderId="0" xfId="1" applyFont="1" applyFill="1" applyBorder="1" applyAlignment="1">
      <alignment horizontal="center" vertical="center"/>
    </xf>
    <xf numFmtId="2" fontId="8" fillId="6" borderId="0" xfId="2" applyNumberFormat="1" applyFont="1" applyFill="1" applyAlignment="1">
      <alignment horizontal="center" vertical="center"/>
    </xf>
    <xf numFmtId="4" fontId="8" fillId="4" borderId="0" xfId="0" applyNumberFormat="1" applyFont="1" applyFill="1" applyAlignment="1">
      <alignment horizontal="center" vertical="center"/>
    </xf>
    <xf numFmtId="0" fontId="8" fillId="0" borderId="0" xfId="6" applyFont="1"/>
    <xf numFmtId="0" fontId="9" fillId="2" borderId="0" xfId="6" applyFont="1" applyFill="1"/>
    <xf numFmtId="0" fontId="8" fillId="8" borderId="0" xfId="6" applyFont="1" applyFill="1"/>
    <xf numFmtId="0" fontId="8" fillId="4" borderId="0" xfId="6" applyFont="1" applyFill="1"/>
    <xf numFmtId="0" fontId="8" fillId="0" borderId="0" xfId="6" quotePrefix="1" applyFont="1"/>
    <xf numFmtId="0" fontId="9" fillId="2" borderId="0" xfId="6" applyFont="1" applyFill="1" applyProtection="1">
      <protection hidden="1"/>
    </xf>
    <xf numFmtId="0" fontId="9" fillId="2" borderId="0" xfId="6" applyFont="1" applyFill="1" applyAlignment="1" applyProtection="1">
      <alignment wrapText="1"/>
      <protection hidden="1"/>
    </xf>
    <xf numFmtId="4" fontId="8" fillId="4" borderId="3" xfId="0" applyNumberFormat="1" applyFont="1" applyFill="1" applyBorder="1" applyAlignment="1">
      <alignment horizontal="center" vertical="center"/>
    </xf>
    <xf numFmtId="0" fontId="39" fillId="0" borderId="0" xfId="6" applyFont="1"/>
    <xf numFmtId="0" fontId="16" fillId="0" borderId="0" xfId="6" applyFont="1"/>
    <xf numFmtId="0" fontId="39" fillId="2" borderId="0" xfId="6" applyFont="1" applyFill="1"/>
    <xf numFmtId="0" fontId="16" fillId="4" borderId="0" xfId="6" applyFont="1" applyFill="1"/>
    <xf numFmtId="0" fontId="39" fillId="2" borderId="0" xfId="0" applyFont="1" applyFill="1"/>
    <xf numFmtId="0" fontId="16" fillId="4" borderId="0" xfId="0" applyFont="1" applyFill="1"/>
    <xf numFmtId="0" fontId="16" fillId="2" borderId="0" xfId="0" applyFont="1" applyFill="1"/>
    <xf numFmtId="0" fontId="41" fillId="4" borderId="0" xfId="6" applyFont="1" applyFill="1"/>
    <xf numFmtId="165" fontId="41" fillId="4" borderId="0" xfId="4" applyNumberFormat="1" applyFont="1" applyFill="1"/>
    <xf numFmtId="0" fontId="8" fillId="0" borderId="0" xfId="0" applyFont="1" applyAlignment="1">
      <alignment wrapText="1"/>
    </xf>
    <xf numFmtId="11" fontId="8" fillId="0" borderId="0" xfId="0" applyNumberFormat="1" applyFont="1" applyAlignment="1">
      <alignment wrapText="1"/>
    </xf>
    <xf numFmtId="0" fontId="8" fillId="0" borderId="0" xfId="0" applyFont="1" applyAlignment="1">
      <alignment horizontal="left"/>
    </xf>
    <xf numFmtId="11" fontId="8" fillId="0" borderId="0" xfId="0" applyNumberFormat="1" applyFont="1"/>
    <xf numFmtId="0" fontId="8" fillId="8" borderId="0" xfId="6" quotePrefix="1" applyFont="1" applyFill="1"/>
    <xf numFmtId="0" fontId="10" fillId="2" borderId="0" xfId="6" applyFont="1" applyFill="1"/>
    <xf numFmtId="2" fontId="16" fillId="4" borderId="0" xfId="6" applyNumberFormat="1" applyFont="1" applyFill="1"/>
    <xf numFmtId="43" fontId="16" fillId="4" borderId="0" xfId="4" applyFont="1" applyFill="1"/>
    <xf numFmtId="0" fontId="9" fillId="2" borderId="0" xfId="0" applyFont="1" applyFill="1" applyAlignment="1">
      <alignment horizontal="left"/>
    </xf>
    <xf numFmtId="0" fontId="21" fillId="6" borderId="0" xfId="2" applyFont="1" applyFill="1" applyAlignment="1">
      <alignment horizontal="left" vertical="center"/>
    </xf>
    <xf numFmtId="43" fontId="16" fillId="6" borderId="0" xfId="4" applyFont="1" applyFill="1"/>
    <xf numFmtId="0" fontId="16" fillId="6" borderId="0" xfId="0" applyFont="1" applyFill="1"/>
    <xf numFmtId="43" fontId="16" fillId="6" borderId="0" xfId="0" applyNumberFormat="1" applyFont="1" applyFill="1"/>
    <xf numFmtId="2" fontId="16" fillId="6" borderId="0" xfId="0" applyNumberFormat="1" applyFont="1" applyFill="1"/>
    <xf numFmtId="0" fontId="21" fillId="6" borderId="0" xfId="2" quotePrefix="1" applyFont="1" applyFill="1" applyAlignment="1">
      <alignment horizontal="left" vertical="center"/>
    </xf>
    <xf numFmtId="0" fontId="39" fillId="9" borderId="4" xfId="6" applyFont="1" applyFill="1" applyBorder="1" applyAlignment="1" applyProtection="1">
      <alignment horizontal="left" vertical="center"/>
      <protection hidden="1"/>
    </xf>
    <xf numFmtId="0" fontId="39" fillId="9" borderId="0" xfId="6" applyFont="1" applyFill="1" applyAlignment="1" applyProtection="1">
      <alignment horizontal="left" vertical="center"/>
      <protection hidden="1"/>
    </xf>
    <xf numFmtId="0" fontId="42" fillId="4" borderId="4" xfId="6" applyFont="1" applyFill="1" applyBorder="1" applyAlignment="1" applyProtection="1">
      <alignment horizontal="left" vertical="center" wrapText="1"/>
      <protection hidden="1"/>
    </xf>
    <xf numFmtId="0" fontId="42" fillId="4" borderId="3" xfId="6" applyFont="1" applyFill="1" applyBorder="1" applyAlignment="1" applyProtection="1">
      <alignment horizontal="left" vertical="center" wrapText="1"/>
      <protection hidden="1"/>
    </xf>
    <xf numFmtId="0" fontId="39" fillId="2" borderId="26" xfId="0" applyFont="1" applyFill="1" applyBorder="1"/>
    <xf numFmtId="0" fontId="39" fillId="2" borderId="28" xfId="0" applyFont="1" applyFill="1" applyBorder="1" applyAlignment="1">
      <alignment horizontal="center"/>
    </xf>
    <xf numFmtId="0" fontId="39" fillId="2" borderId="0" xfId="0" applyFont="1" applyFill="1" applyAlignment="1">
      <alignment horizontal="center"/>
    </xf>
    <xf numFmtId="0" fontId="39" fillId="2" borderId="29" xfId="0" applyFont="1" applyFill="1" applyBorder="1" applyAlignment="1">
      <alignment horizontal="center"/>
    </xf>
    <xf numFmtId="0" fontId="16" fillId="6" borderId="28" xfId="0" applyFont="1" applyFill="1" applyBorder="1"/>
    <xf numFmtId="0" fontId="16" fillId="6" borderId="29" xfId="0" applyFont="1" applyFill="1" applyBorder="1"/>
    <xf numFmtId="0" fontId="16" fillId="6" borderId="30" xfId="0" applyFont="1" applyFill="1" applyBorder="1"/>
    <xf numFmtId="0" fontId="16" fillId="6" borderId="16" xfId="0" applyFont="1" applyFill="1" applyBorder="1"/>
    <xf numFmtId="0" fontId="16" fillId="6" borderId="31" xfId="0" applyFont="1" applyFill="1" applyBorder="1"/>
    <xf numFmtId="2" fontId="8" fillId="0" borderId="0" xfId="0" applyNumberFormat="1" applyFont="1" applyAlignment="1">
      <alignment wrapText="1"/>
    </xf>
    <xf numFmtId="169" fontId="16" fillId="4" borderId="0" xfId="1" applyNumberFormat="1" applyFont="1" applyFill="1"/>
    <xf numFmtId="9" fontId="8" fillId="0" borderId="34" xfId="1" applyFont="1" applyBorder="1" applyAlignment="1" applyProtection="1">
      <alignment vertical="center"/>
    </xf>
    <xf numFmtId="9" fontId="8" fillId="0" borderId="2" xfId="1" applyFont="1" applyBorder="1" applyAlignment="1" applyProtection="1">
      <alignment vertical="center"/>
    </xf>
    <xf numFmtId="9" fontId="8" fillId="0" borderId="33" xfId="1" applyFont="1" applyBorder="1" applyAlignment="1" applyProtection="1">
      <alignment vertical="center"/>
    </xf>
    <xf numFmtId="9" fontId="8" fillId="0" borderId="7" xfId="1" applyFont="1" applyBorder="1" applyAlignment="1" applyProtection="1">
      <alignment vertical="center"/>
    </xf>
    <xf numFmtId="9" fontId="8" fillId="0" borderId="0" xfId="1" applyFont="1" applyBorder="1" applyAlignment="1" applyProtection="1">
      <alignment vertical="center"/>
    </xf>
    <xf numFmtId="9" fontId="8" fillId="0" borderId="25" xfId="1" applyFont="1" applyBorder="1" applyAlignment="1" applyProtection="1">
      <alignment vertical="center"/>
    </xf>
    <xf numFmtId="2" fontId="44" fillId="6" borderId="3" xfId="1" applyNumberFormat="1" applyFont="1" applyFill="1" applyBorder="1" applyAlignment="1" applyProtection="1">
      <alignment vertical="center"/>
      <protection locked="0"/>
    </xf>
    <xf numFmtId="9" fontId="44" fillId="6" borderId="3" xfId="1" applyFont="1" applyFill="1" applyBorder="1" applyAlignment="1" applyProtection="1">
      <alignment vertical="center"/>
      <protection locked="0"/>
    </xf>
    <xf numFmtId="166" fontId="44" fillId="6" borderId="3" xfId="1" applyNumberFormat="1" applyFont="1" applyFill="1" applyBorder="1" applyAlignment="1" applyProtection="1">
      <alignment vertical="center"/>
      <protection locked="0"/>
    </xf>
    <xf numFmtId="10" fontId="44" fillId="6" borderId="3" xfId="1" applyNumberFormat="1" applyFont="1" applyFill="1" applyBorder="1" applyAlignment="1" applyProtection="1">
      <alignment vertical="center"/>
      <protection locked="0"/>
    </xf>
    <xf numFmtId="165" fontId="44" fillId="3" borderId="4" xfId="4" applyNumberFormat="1" applyFont="1" applyFill="1" applyBorder="1" applyAlignment="1" applyProtection="1">
      <alignment vertical="center"/>
      <protection locked="0"/>
    </xf>
    <xf numFmtId="0" fontId="30" fillId="2" borderId="0" xfId="0" applyFont="1" applyFill="1" applyAlignment="1">
      <alignment horizontal="right" wrapText="1"/>
    </xf>
    <xf numFmtId="0" fontId="32" fillId="0" borderId="0" xfId="0" applyFont="1"/>
    <xf numFmtId="0" fontId="42" fillId="0" borderId="33" xfId="0" applyFont="1" applyBorder="1" applyAlignment="1">
      <alignment vertical="center"/>
    </xf>
    <xf numFmtId="0" fontId="42" fillId="0" borderId="25" xfId="0" applyFont="1" applyBorder="1" applyAlignment="1">
      <alignment vertical="center"/>
    </xf>
    <xf numFmtId="0" fontId="8" fillId="0" borderId="34" xfId="0" applyFont="1" applyBorder="1" applyAlignment="1">
      <alignment vertical="center"/>
    </xf>
    <xf numFmtId="0" fontId="8" fillId="0" borderId="2" xfId="0" applyFont="1" applyBorder="1" applyAlignment="1">
      <alignment vertical="center"/>
    </xf>
    <xf numFmtId="0" fontId="8" fillId="0" borderId="33" xfId="0" applyFont="1" applyBorder="1" applyAlignment="1">
      <alignment vertical="center"/>
    </xf>
    <xf numFmtId="0" fontId="8" fillId="0" borderId="7" xfId="0" applyFont="1" applyBorder="1" applyAlignment="1">
      <alignment vertical="center"/>
    </xf>
    <xf numFmtId="0" fontId="8" fillId="0" borderId="25" xfId="0" applyFont="1" applyBorder="1" applyAlignment="1">
      <alignment vertical="center"/>
    </xf>
    <xf numFmtId="0" fontId="45" fillId="0" borderId="0" xfId="0" applyFont="1" applyAlignment="1">
      <alignment vertical="center"/>
    </xf>
    <xf numFmtId="2" fontId="16" fillId="4" borderId="0" xfId="4" applyNumberFormat="1" applyFont="1" applyFill="1"/>
    <xf numFmtId="0" fontId="9" fillId="2" borderId="0" xfId="6" applyFont="1" applyFill="1" applyAlignment="1">
      <alignment horizontal="left"/>
    </xf>
    <xf numFmtId="0" fontId="16" fillId="0" borderId="0" xfId="0" applyFont="1" applyAlignment="1">
      <alignment wrapText="1"/>
    </xf>
    <xf numFmtId="0" fontId="8" fillId="0" borderId="1" xfId="0" applyFont="1" applyBorder="1" applyAlignment="1">
      <alignment vertical="center"/>
    </xf>
    <xf numFmtId="0" fontId="8" fillId="0" borderId="36" xfId="0" applyFont="1" applyBorder="1" applyAlignment="1">
      <alignment vertical="center"/>
    </xf>
    <xf numFmtId="0" fontId="8" fillId="0" borderId="37" xfId="0" applyFont="1" applyBorder="1" applyAlignment="1">
      <alignment vertical="center"/>
    </xf>
    <xf numFmtId="166" fontId="8" fillId="4" borderId="0" xfId="6" applyNumberFormat="1" applyFont="1" applyFill="1"/>
    <xf numFmtId="165" fontId="16" fillId="4" borderId="0" xfId="4" applyNumberFormat="1" applyFont="1" applyFill="1"/>
    <xf numFmtId="0" fontId="16" fillId="4" borderId="5" xfId="6" applyFont="1" applyFill="1" applyBorder="1" applyAlignment="1">
      <alignment horizontal="center"/>
    </xf>
    <xf numFmtId="0" fontId="16" fillId="3" borderId="5" xfId="6" applyFont="1" applyFill="1" applyBorder="1" applyAlignment="1">
      <alignment horizontal="center"/>
    </xf>
    <xf numFmtId="2" fontId="16" fillId="6" borderId="5" xfId="7" applyNumberFormat="1" applyFont="1" applyFill="1" applyBorder="1" applyAlignment="1">
      <alignment horizontal="center"/>
    </xf>
    <xf numFmtId="0" fontId="16" fillId="4" borderId="0" xfId="6" applyFont="1" applyFill="1" applyAlignment="1">
      <alignment horizontal="center"/>
    </xf>
    <xf numFmtId="0" fontId="16" fillId="6" borderId="0" xfId="6" quotePrefix="1" applyFont="1" applyFill="1" applyAlignment="1">
      <alignment horizontal="center"/>
    </xf>
    <xf numFmtId="2" fontId="16" fillId="6" borderId="0" xfId="7" applyNumberFormat="1" applyFont="1" applyFill="1" applyBorder="1" applyAlignment="1">
      <alignment horizontal="center"/>
    </xf>
    <xf numFmtId="4" fontId="25" fillId="4" borderId="3" xfId="0" applyNumberFormat="1" applyFont="1" applyFill="1" applyBorder="1" applyAlignment="1">
      <alignment horizontal="center" vertical="center"/>
    </xf>
    <xf numFmtId="0" fontId="14" fillId="2" borderId="0" xfId="0" applyFont="1" applyFill="1"/>
    <xf numFmtId="0" fontId="8" fillId="6" borderId="4" xfId="6" applyFont="1" applyFill="1" applyBorder="1" applyAlignment="1" applyProtection="1">
      <alignment horizontal="center" vertical="center"/>
      <protection hidden="1"/>
    </xf>
    <xf numFmtId="0" fontId="8" fillId="6" borderId="3" xfId="6" applyFont="1" applyFill="1" applyBorder="1" applyAlignment="1" applyProtection="1">
      <alignment horizontal="center" vertical="center"/>
      <protection hidden="1"/>
    </xf>
    <xf numFmtId="2" fontId="8" fillId="6" borderId="3" xfId="2" applyNumberFormat="1" applyFont="1" applyFill="1" applyBorder="1" applyAlignment="1">
      <alignment horizontal="center" vertical="center"/>
    </xf>
    <xf numFmtId="1" fontId="16" fillId="3" borderId="5" xfId="6" applyNumberFormat="1" applyFont="1" applyFill="1" applyBorder="1" applyAlignment="1">
      <alignment horizontal="center"/>
    </xf>
    <xf numFmtId="0" fontId="0" fillId="11" borderId="0" xfId="0" applyFill="1"/>
    <xf numFmtId="0" fontId="14" fillId="11" borderId="0" xfId="0" applyFont="1" applyFill="1"/>
    <xf numFmtId="0" fontId="16" fillId="11" borderId="0" xfId="0" applyFont="1" applyFill="1"/>
    <xf numFmtId="0" fontId="6" fillId="11" borderId="0" xfId="0" applyFont="1" applyFill="1"/>
    <xf numFmtId="0" fontId="15" fillId="11" borderId="0" xfId="0" applyFont="1" applyFill="1"/>
    <xf numFmtId="0" fontId="8" fillId="11" borderId="0" xfId="0" applyFont="1" applyFill="1"/>
    <xf numFmtId="0" fontId="18" fillId="11" borderId="0" xfId="0" applyFont="1" applyFill="1"/>
    <xf numFmtId="0" fontId="0" fillId="11" borderId="0" xfId="0" applyFill="1" applyAlignment="1">
      <alignment horizontal="center" vertical="center"/>
    </xf>
    <xf numFmtId="0" fontId="31" fillId="11" borderId="0" xfId="0" applyFont="1" applyFill="1"/>
    <xf numFmtId="0" fontId="32" fillId="11" borderId="0" xfId="0" applyFont="1" applyFill="1"/>
    <xf numFmtId="0" fontId="18" fillId="11" borderId="0" xfId="2" applyFont="1" applyFill="1"/>
    <xf numFmtId="0" fontId="15" fillId="11" borderId="0" xfId="6" applyFont="1" applyFill="1"/>
    <xf numFmtId="0" fontId="18" fillId="11" borderId="0" xfId="6" applyFont="1" applyFill="1"/>
    <xf numFmtId="9" fontId="8" fillId="6" borderId="0" xfId="2" applyNumberFormat="1" applyFont="1" applyFill="1" applyAlignment="1">
      <alignment horizontal="center" vertical="center"/>
    </xf>
    <xf numFmtId="0" fontId="8" fillId="6" borderId="0" xfId="2" applyFont="1" applyFill="1" applyAlignment="1">
      <alignment horizontal="center" vertical="center"/>
    </xf>
    <xf numFmtId="1" fontId="8" fillId="6" borderId="3" xfId="1" applyNumberFormat="1" applyFont="1" applyFill="1" applyBorder="1" applyAlignment="1">
      <alignment horizontal="center" vertical="center"/>
    </xf>
    <xf numFmtId="164" fontId="8" fillId="6" borderId="5" xfId="1" applyNumberFormat="1" applyFont="1" applyFill="1" applyBorder="1" applyAlignment="1">
      <alignment horizontal="center" vertical="center"/>
    </xf>
    <xf numFmtId="9" fontId="8" fillId="6" borderId="0" xfId="3" applyFont="1" applyFill="1" applyBorder="1" applyAlignment="1">
      <alignment horizontal="center" vertical="center"/>
    </xf>
    <xf numFmtId="1" fontId="8" fillId="6" borderId="0" xfId="2" applyNumberFormat="1" applyFont="1" applyFill="1" applyAlignment="1">
      <alignment horizontal="center" vertical="center"/>
    </xf>
    <xf numFmtId="164" fontId="8" fillId="6" borderId="3" xfId="1" applyNumberFormat="1" applyFont="1" applyFill="1" applyBorder="1" applyAlignment="1">
      <alignment horizontal="center" vertical="center"/>
    </xf>
    <xf numFmtId="0" fontId="25" fillId="0" borderId="0" xfId="0" applyFont="1" applyAlignment="1">
      <alignment horizontal="center" vertical="center"/>
    </xf>
    <xf numFmtId="0" fontId="9" fillId="0" borderId="0" xfId="0" applyFont="1" applyAlignment="1">
      <alignment vertical="center"/>
    </xf>
    <xf numFmtId="0" fontId="14" fillId="2" borderId="4" xfId="6" applyFont="1" applyFill="1" applyBorder="1"/>
    <xf numFmtId="0" fontId="14" fillId="2" borderId="3" xfId="6" applyFont="1" applyFill="1" applyBorder="1"/>
    <xf numFmtId="0" fontId="14" fillId="2" borderId="0" xfId="6" applyFont="1" applyFill="1"/>
    <xf numFmtId="0" fontId="8" fillId="8" borderId="3" xfId="2" applyFont="1" applyFill="1" applyBorder="1" applyAlignment="1">
      <alignment horizontal="left" vertical="center"/>
    </xf>
    <xf numFmtId="3" fontId="8" fillId="0" borderId="0" xfId="6" applyNumberFormat="1" applyFont="1"/>
    <xf numFmtId="9" fontId="8" fillId="6" borderId="38" xfId="3" applyFont="1" applyFill="1" applyBorder="1" applyAlignment="1">
      <alignment horizontal="center" vertical="center"/>
    </xf>
    <xf numFmtId="0" fontId="8" fillId="8" borderId="38" xfId="2" applyFont="1" applyFill="1" applyBorder="1" applyAlignment="1">
      <alignment horizontal="center" vertical="center"/>
    </xf>
    <xf numFmtId="2" fontId="8" fillId="8" borderId="38" xfId="3" applyNumberFormat="1" applyFont="1" applyFill="1" applyBorder="1" applyAlignment="1">
      <alignment horizontal="center" vertical="center"/>
    </xf>
    <xf numFmtId="9" fontId="8" fillId="6" borderId="38" xfId="1" applyFont="1" applyFill="1" applyBorder="1" applyAlignment="1">
      <alignment horizontal="center" vertical="center"/>
    </xf>
    <xf numFmtId="0" fontId="8" fillId="6" borderId="38" xfId="2" applyFont="1" applyFill="1" applyBorder="1" applyAlignment="1">
      <alignment horizontal="center" vertical="center"/>
    </xf>
    <xf numFmtId="1" fontId="8" fillId="6" borderId="38" xfId="2" applyNumberFormat="1" applyFont="1" applyFill="1" applyBorder="1" applyAlignment="1">
      <alignment horizontal="center" vertical="center"/>
    </xf>
    <xf numFmtId="2" fontId="8" fillId="6" borderId="38" xfId="2" applyNumberFormat="1" applyFont="1" applyFill="1" applyBorder="1" applyAlignment="1">
      <alignment horizontal="center" vertical="center"/>
    </xf>
    <xf numFmtId="9" fontId="8" fillId="13" borderId="4" xfId="1" applyFont="1" applyFill="1" applyBorder="1" applyAlignment="1">
      <alignment horizontal="center" vertical="center"/>
    </xf>
    <xf numFmtId="9" fontId="8" fillId="13" borderId="3" xfId="1" applyFont="1" applyFill="1" applyBorder="1" applyAlignment="1">
      <alignment horizontal="center" vertical="center"/>
    </xf>
    <xf numFmtId="9" fontId="8" fillId="13" borderId="38" xfId="1" applyFont="1" applyFill="1" applyBorder="1" applyAlignment="1">
      <alignment horizontal="center" vertical="center"/>
    </xf>
    <xf numFmtId="9" fontId="8" fillId="13" borderId="5" xfId="1" applyFont="1" applyFill="1" applyBorder="1" applyAlignment="1">
      <alignment horizontal="center" vertical="center"/>
    </xf>
    <xf numFmtId="9" fontId="8" fillId="13" borderId="0" xfId="1" applyFont="1" applyFill="1" applyBorder="1" applyAlignment="1">
      <alignment horizontal="center" vertical="center"/>
    </xf>
    <xf numFmtId="0" fontId="8" fillId="13" borderId="4" xfId="2" applyFont="1" applyFill="1" applyBorder="1" applyAlignment="1">
      <alignment vertical="center"/>
    </xf>
    <xf numFmtId="0" fontId="8" fillId="13" borderId="3" xfId="2" applyFont="1" applyFill="1" applyBorder="1" applyAlignment="1">
      <alignment vertical="center"/>
    </xf>
    <xf numFmtId="0" fontId="8" fillId="13" borderId="5" xfId="2" applyFont="1" applyFill="1" applyBorder="1" applyAlignment="1">
      <alignment vertical="center"/>
    </xf>
    <xf numFmtId="0" fontId="9" fillId="13" borderId="4" xfId="2" applyFont="1" applyFill="1" applyBorder="1" applyAlignment="1">
      <alignment vertical="center"/>
    </xf>
    <xf numFmtId="0" fontId="21" fillId="13" borderId="4" xfId="2" applyFont="1" applyFill="1" applyBorder="1" applyAlignment="1">
      <alignment vertical="center"/>
    </xf>
    <xf numFmtId="0" fontId="8" fillId="13" borderId="0" xfId="2" applyFont="1" applyFill="1" applyAlignment="1">
      <alignment horizontal="left" vertical="center" wrapText="1"/>
    </xf>
    <xf numFmtId="0" fontId="8" fillId="13" borderId="0" xfId="2" applyFont="1" applyFill="1" applyAlignment="1">
      <alignment vertical="center"/>
    </xf>
    <xf numFmtId="0" fontId="8" fillId="13" borderId="0" xfId="2" applyFont="1" applyFill="1" applyAlignment="1">
      <alignment vertical="center" wrapText="1"/>
    </xf>
    <xf numFmtId="0" fontId="32" fillId="13" borderId="0" xfId="2" applyFont="1" applyFill="1" applyAlignment="1">
      <alignment vertical="center"/>
    </xf>
    <xf numFmtId="0" fontId="32" fillId="13" borderId="0" xfId="2" applyFont="1" applyFill="1" applyAlignment="1">
      <alignment vertical="center" wrapText="1"/>
    </xf>
    <xf numFmtId="0" fontId="32" fillId="13" borderId="4" xfId="0" applyFont="1" applyFill="1" applyBorder="1" applyAlignment="1">
      <alignment vertical="center"/>
    </xf>
    <xf numFmtId="0" fontId="32" fillId="13" borderId="3" xfId="0" applyFont="1" applyFill="1" applyBorder="1" applyAlignment="1">
      <alignment vertical="center"/>
    </xf>
    <xf numFmtId="9" fontId="44" fillId="13" borderId="3" xfId="1" applyFont="1" applyFill="1" applyBorder="1" applyAlignment="1">
      <alignment vertical="center"/>
    </xf>
    <xf numFmtId="165" fontId="44" fillId="13" borderId="3" xfId="4" applyNumberFormat="1" applyFont="1" applyFill="1" applyBorder="1" applyAlignment="1">
      <alignment vertical="center"/>
    </xf>
    <xf numFmtId="165" fontId="8" fillId="3" borderId="3" xfId="0" applyNumberFormat="1" applyFont="1" applyFill="1" applyBorder="1" applyAlignment="1">
      <alignment horizontal="center" vertical="center"/>
    </xf>
    <xf numFmtId="165" fontId="8" fillId="3" borderId="3" xfId="0" applyNumberFormat="1" applyFont="1" applyFill="1" applyBorder="1" applyAlignment="1">
      <alignment vertical="center"/>
    </xf>
    <xf numFmtId="4" fontId="8" fillId="8" borderId="4" xfId="0" applyNumberFormat="1" applyFont="1" applyFill="1" applyBorder="1" applyAlignment="1">
      <alignment horizontal="center" vertical="center"/>
    </xf>
    <xf numFmtId="171" fontId="8" fillId="4" borderId="3" xfId="0" applyNumberFormat="1" applyFont="1" applyFill="1" applyBorder="1" applyAlignment="1">
      <alignment horizontal="center" vertical="center"/>
    </xf>
    <xf numFmtId="0" fontId="10" fillId="2" borderId="3" xfId="0" applyFont="1" applyFill="1" applyBorder="1" applyAlignment="1">
      <alignment horizontal="center" vertical="center" wrapText="1"/>
    </xf>
    <xf numFmtId="4" fontId="8" fillId="0" borderId="13" xfId="0" applyNumberFormat="1" applyFont="1" applyBorder="1"/>
    <xf numFmtId="0" fontId="10" fillId="2" borderId="10" xfId="0" applyFont="1" applyFill="1" applyBorder="1" applyAlignment="1">
      <alignment horizontal="center" vertical="center" wrapText="1"/>
    </xf>
    <xf numFmtId="0" fontId="8" fillId="0" borderId="0" xfId="0" applyFont="1" applyAlignment="1">
      <alignment vertical="center" wrapText="1"/>
    </xf>
    <xf numFmtId="0" fontId="45" fillId="0" borderId="6" xfId="0" applyFont="1" applyBorder="1" applyAlignment="1">
      <alignment vertical="center" wrapText="1"/>
    </xf>
    <xf numFmtId="0" fontId="45" fillId="0" borderId="24" xfId="0" applyFont="1" applyBorder="1" applyAlignment="1">
      <alignment vertical="center" wrapText="1"/>
    </xf>
    <xf numFmtId="0" fontId="45" fillId="0" borderId="35" xfId="0" applyFont="1" applyBorder="1" applyAlignment="1">
      <alignment vertical="center" wrapText="1"/>
    </xf>
    <xf numFmtId="0" fontId="39" fillId="2" borderId="28" xfId="6" applyFont="1" applyFill="1" applyBorder="1" applyAlignment="1">
      <alignment horizontal="center"/>
    </xf>
    <xf numFmtId="0" fontId="39" fillId="2" borderId="0" xfId="6" applyFont="1" applyFill="1" applyAlignment="1">
      <alignment horizontal="center"/>
    </xf>
    <xf numFmtId="0" fontId="39" fillId="2" borderId="29" xfId="6" applyFont="1" applyFill="1" applyBorder="1" applyAlignment="1">
      <alignment horizontal="center"/>
    </xf>
    <xf numFmtId="0" fontId="16" fillId="4" borderId="28" xfId="6" applyFont="1" applyFill="1" applyBorder="1"/>
    <xf numFmtId="0" fontId="39" fillId="9" borderId="28" xfId="6" applyFont="1" applyFill="1" applyBorder="1" applyAlignment="1" applyProtection="1">
      <alignment horizontal="left" vertical="center"/>
      <protection hidden="1"/>
    </xf>
    <xf numFmtId="0" fontId="39" fillId="9" borderId="29" xfId="6" applyFont="1" applyFill="1" applyBorder="1" applyAlignment="1" applyProtection="1">
      <alignment horizontal="left" vertical="center"/>
      <protection hidden="1"/>
    </xf>
    <xf numFmtId="0" fontId="16" fillId="4" borderId="28" xfId="6" applyFont="1" applyFill="1" applyBorder="1" applyAlignment="1">
      <alignment horizontal="left" indent="1"/>
    </xf>
    <xf numFmtId="0" fontId="16" fillId="4" borderId="30" xfId="6" applyFont="1" applyFill="1" applyBorder="1" applyAlignment="1">
      <alignment horizontal="left" indent="1"/>
    </xf>
    <xf numFmtId="0" fontId="16" fillId="4" borderId="40" xfId="6" applyFont="1" applyFill="1" applyBorder="1" applyAlignment="1">
      <alignment horizontal="center"/>
    </xf>
    <xf numFmtId="0" fontId="16" fillId="4" borderId="16" xfId="6" applyFont="1" applyFill="1" applyBorder="1"/>
    <xf numFmtId="0" fontId="16" fillId="4" borderId="30" xfId="6" applyFont="1" applyFill="1" applyBorder="1"/>
    <xf numFmtId="0" fontId="16" fillId="3" borderId="16" xfId="6" applyFont="1" applyFill="1" applyBorder="1" applyAlignment="1">
      <alignment horizontal="center"/>
    </xf>
    <xf numFmtId="0" fontId="16" fillId="4" borderId="29" xfId="6" applyFont="1" applyFill="1" applyBorder="1"/>
    <xf numFmtId="0" fontId="39" fillId="9" borderId="41" xfId="6" applyFont="1" applyFill="1" applyBorder="1" applyAlignment="1" applyProtection="1">
      <alignment horizontal="left" vertical="center"/>
      <protection hidden="1"/>
    </xf>
    <xf numFmtId="0" fontId="39" fillId="9" borderId="42" xfId="6" applyFont="1" applyFill="1" applyBorder="1" applyAlignment="1" applyProtection="1">
      <alignment horizontal="left" vertical="center"/>
      <protection hidden="1"/>
    </xf>
    <xf numFmtId="166" fontId="16" fillId="4" borderId="0" xfId="6" applyNumberFormat="1" applyFont="1" applyFill="1" applyAlignment="1">
      <alignment horizontal="center"/>
    </xf>
    <xf numFmtId="0" fontId="16" fillId="4" borderId="31" xfId="6" applyFont="1" applyFill="1" applyBorder="1"/>
    <xf numFmtId="9" fontId="16" fillId="6" borderId="40" xfId="1" quotePrefix="1" applyFont="1" applyFill="1" applyBorder="1" applyAlignment="1">
      <alignment horizontal="center"/>
    </xf>
    <xf numFmtId="9" fontId="16" fillId="6" borderId="40" xfId="7" applyFont="1" applyFill="1" applyBorder="1" applyAlignment="1">
      <alignment horizontal="center"/>
    </xf>
    <xf numFmtId="0" fontId="16" fillId="8" borderId="16" xfId="6" applyFont="1" applyFill="1" applyBorder="1"/>
    <xf numFmtId="0" fontId="18" fillId="0" borderId="0" xfId="2" applyFont="1" applyAlignment="1">
      <alignment wrapText="1"/>
    </xf>
    <xf numFmtId="0" fontId="18" fillId="0" borderId="0" xfId="2" applyFont="1"/>
    <xf numFmtId="0" fontId="8" fillId="0" borderId="0" xfId="2" applyFont="1" applyAlignment="1">
      <alignment vertical="center" wrapText="1"/>
    </xf>
    <xf numFmtId="0" fontId="8" fillId="0" borderId="0" xfId="2" applyFont="1" applyAlignment="1">
      <alignment wrapText="1"/>
    </xf>
    <xf numFmtId="0" fontId="36" fillId="0" borderId="0" xfId="0" applyFont="1"/>
    <xf numFmtId="0" fontId="34" fillId="0" borderId="0" xfId="6" applyFont="1"/>
    <xf numFmtId="0" fontId="10" fillId="2" borderId="28" xfId="2" applyFont="1" applyFill="1" applyBorder="1" applyAlignment="1">
      <alignment horizontal="left" vertical="center"/>
    </xf>
    <xf numFmtId="0" fontId="8" fillId="8" borderId="41" xfId="0" applyFont="1" applyFill="1" applyBorder="1" applyAlignment="1">
      <alignment horizontal="left" vertical="center"/>
    </xf>
    <xf numFmtId="0" fontId="8" fillId="8" borderId="42" xfId="0" applyFont="1" applyFill="1" applyBorder="1" applyAlignment="1">
      <alignment horizontal="center" vertical="center"/>
    </xf>
    <xf numFmtId="0" fontId="8" fillId="8" borderId="43" xfId="0" applyFont="1" applyFill="1" applyBorder="1" applyAlignment="1">
      <alignment horizontal="center" vertical="center"/>
    </xf>
    <xf numFmtId="0" fontId="10" fillId="2" borderId="28" xfId="0" applyFont="1" applyFill="1" applyBorder="1" applyAlignment="1">
      <alignment vertical="center"/>
    </xf>
    <xf numFmtId="0" fontId="8" fillId="8" borderId="28" xfId="0" applyFont="1" applyFill="1" applyBorder="1" applyAlignment="1">
      <alignment vertical="center"/>
    </xf>
    <xf numFmtId="37" fontId="8" fillId="8" borderId="0" xfId="4" applyNumberFormat="1" applyFont="1" applyFill="1" applyBorder="1" applyAlignment="1">
      <alignment vertical="center"/>
    </xf>
    <xf numFmtId="3" fontId="8" fillId="0" borderId="0" xfId="0" applyNumberFormat="1" applyFont="1" applyAlignment="1">
      <alignment horizontal="center" vertical="center"/>
    </xf>
    <xf numFmtId="0" fontId="8" fillId="0" borderId="0" xfId="0" applyFont="1" applyAlignment="1">
      <alignment horizontal="center" vertical="center"/>
    </xf>
    <xf numFmtId="0" fontId="10" fillId="2" borderId="28" xfId="0" applyFont="1" applyFill="1" applyBorder="1" applyAlignment="1">
      <alignment vertical="center" wrapText="1"/>
    </xf>
    <xf numFmtId="2" fontId="8" fillId="4" borderId="0" xfId="0" applyNumberFormat="1" applyFont="1" applyFill="1" applyAlignment="1">
      <alignment horizontal="center" vertical="center"/>
    </xf>
    <xf numFmtId="3" fontId="18" fillId="4" borderId="49" xfId="6" applyNumberFormat="1" applyFont="1" applyFill="1" applyBorder="1" applyAlignment="1">
      <alignment horizontal="right"/>
    </xf>
    <xf numFmtId="3" fontId="18" fillId="4" borderId="50" xfId="6" applyNumberFormat="1" applyFont="1" applyFill="1" applyBorder="1" applyAlignment="1">
      <alignment horizontal="right"/>
    </xf>
    <xf numFmtId="3" fontId="18" fillId="4" borderId="48" xfId="6" applyNumberFormat="1" applyFont="1" applyFill="1" applyBorder="1" applyAlignment="1">
      <alignment horizontal="right"/>
    </xf>
    <xf numFmtId="0" fontId="10" fillId="2" borderId="0" xfId="0" applyFont="1" applyFill="1" applyAlignment="1">
      <alignment horizontal="center" vertical="center"/>
    </xf>
    <xf numFmtId="0" fontId="10" fillId="2" borderId="29" xfId="0" applyFont="1" applyFill="1" applyBorder="1" applyAlignment="1">
      <alignment horizontal="center" vertical="center"/>
    </xf>
    <xf numFmtId="0" fontId="8" fillId="4" borderId="41" xfId="0" applyFont="1" applyFill="1" applyBorder="1" applyAlignment="1">
      <alignment horizontal="left" vertical="center" wrapText="1"/>
    </xf>
    <xf numFmtId="0" fontId="8" fillId="4" borderId="42" xfId="0" applyFont="1" applyFill="1" applyBorder="1" applyAlignment="1">
      <alignment horizontal="center" vertical="center"/>
    </xf>
    <xf numFmtId="0" fontId="21" fillId="4" borderId="44" xfId="0" applyFont="1" applyFill="1" applyBorder="1" applyAlignment="1">
      <alignment vertical="center"/>
    </xf>
    <xf numFmtId="0" fontId="9" fillId="4" borderId="43" xfId="0" applyFont="1" applyFill="1" applyBorder="1" applyAlignment="1">
      <alignment horizontal="center" vertical="center"/>
    </xf>
    <xf numFmtId="0" fontId="8" fillId="4" borderId="41" xfId="0" applyFont="1" applyFill="1" applyBorder="1" applyAlignment="1">
      <alignment horizontal="left" vertical="center"/>
    </xf>
    <xf numFmtId="0" fontId="8" fillId="4" borderId="44" xfId="0" applyFont="1" applyFill="1" applyBorder="1" applyAlignment="1">
      <alignment horizontal="left" vertical="center"/>
    </xf>
    <xf numFmtId="0" fontId="8" fillId="4" borderId="43" xfId="0" applyFont="1" applyFill="1" applyBorder="1" applyAlignment="1">
      <alignment horizontal="center" vertical="center"/>
    </xf>
    <xf numFmtId="0" fontId="8" fillId="4" borderId="44" xfId="0" applyFont="1" applyFill="1" applyBorder="1" applyAlignment="1">
      <alignment horizontal="left" vertical="center" wrapText="1"/>
    </xf>
    <xf numFmtId="0" fontId="8" fillId="4" borderId="44" xfId="0" applyFont="1" applyFill="1" applyBorder="1" applyAlignment="1">
      <alignment horizontal="right" vertical="center"/>
    </xf>
    <xf numFmtId="0" fontId="8" fillId="4" borderId="43" xfId="0" applyFont="1" applyFill="1" applyBorder="1" applyAlignment="1">
      <alignment horizontal="left" vertical="center"/>
    </xf>
    <xf numFmtId="0" fontId="8" fillId="4" borderId="47" xfId="2" applyFont="1" applyFill="1" applyBorder="1" applyAlignment="1">
      <alignment horizontal="left" vertical="center"/>
    </xf>
    <xf numFmtId="0" fontId="8" fillId="4" borderId="43" xfId="2" applyFont="1" applyFill="1" applyBorder="1" applyAlignment="1">
      <alignment horizontal="center" vertical="center"/>
    </xf>
    <xf numFmtId="0" fontId="8" fillId="0" borderId="28" xfId="0" applyFont="1" applyBorder="1" applyAlignment="1">
      <alignment vertical="center"/>
    </xf>
    <xf numFmtId="0" fontId="8" fillId="0" borderId="29" xfId="0" applyFont="1" applyBorder="1" applyAlignment="1">
      <alignment vertical="center"/>
    </xf>
    <xf numFmtId="0" fontId="8" fillId="4" borderId="45" xfId="0" applyFont="1" applyFill="1" applyBorder="1" applyAlignment="1">
      <alignment horizontal="left" vertical="center"/>
    </xf>
    <xf numFmtId="1" fontId="8" fillId="6" borderId="40" xfId="1" applyNumberFormat="1" applyFont="1" applyFill="1" applyBorder="1" applyAlignment="1" applyProtection="1">
      <alignment horizontal="center" vertical="center"/>
    </xf>
    <xf numFmtId="0" fontId="10" fillId="2" borderId="51" xfId="0" applyFont="1" applyFill="1" applyBorder="1" applyAlignment="1">
      <alignment vertical="center"/>
    </xf>
    <xf numFmtId="9" fontId="8" fillId="4" borderId="44" xfId="1" applyFont="1" applyFill="1" applyBorder="1" applyAlignment="1" applyProtection="1">
      <alignment horizontal="left" vertical="center"/>
    </xf>
    <xf numFmtId="0" fontId="10" fillId="2" borderId="44" xfId="0" applyFont="1" applyFill="1" applyBorder="1" applyAlignment="1">
      <alignment horizontal="left" vertical="center"/>
    </xf>
    <xf numFmtId="9" fontId="8" fillId="4" borderId="47" xfId="1" applyFont="1" applyFill="1" applyBorder="1" applyAlignment="1" applyProtection="1">
      <alignment horizontal="left" vertical="center"/>
    </xf>
    <xf numFmtId="9" fontId="8" fillId="4" borderId="30" xfId="1" applyFont="1" applyFill="1" applyBorder="1" applyAlignment="1" applyProtection="1">
      <alignment horizontal="left" vertical="center"/>
    </xf>
    <xf numFmtId="3" fontId="8" fillId="4" borderId="16" xfId="1" applyNumberFormat="1" applyFont="1" applyFill="1" applyBorder="1" applyAlignment="1" applyProtection="1">
      <alignment horizontal="center" vertical="center"/>
    </xf>
    <xf numFmtId="0" fontId="10" fillId="2" borderId="26" xfId="0" applyFont="1" applyFill="1" applyBorder="1" applyAlignment="1">
      <alignment vertical="center"/>
    </xf>
    <xf numFmtId="0" fontId="10" fillId="2" borderId="13" xfId="0" applyFont="1" applyFill="1" applyBorder="1" applyAlignment="1">
      <alignment vertical="center"/>
    </xf>
    <xf numFmtId="9" fontId="8" fillId="4" borderId="40" xfId="1" applyFont="1" applyFill="1" applyBorder="1" applyAlignment="1" applyProtection="1">
      <alignment horizontal="center" vertical="center"/>
    </xf>
    <xf numFmtId="0" fontId="10" fillId="2" borderId="26" xfId="0" applyFont="1" applyFill="1" applyBorder="1" applyAlignment="1">
      <alignment horizontal="left" vertical="center"/>
    </xf>
    <xf numFmtId="0" fontId="8" fillId="4" borderId="41" xfId="0" applyFont="1" applyFill="1" applyBorder="1" applyAlignment="1">
      <alignment vertical="center" wrapText="1"/>
    </xf>
    <xf numFmtId="0" fontId="8" fillId="4" borderId="44" xfId="0" applyFont="1" applyFill="1" applyBorder="1" applyAlignment="1">
      <alignment vertical="center" wrapText="1"/>
    </xf>
    <xf numFmtId="0" fontId="8" fillId="6" borderId="43" xfId="0" applyFont="1" applyFill="1" applyBorder="1" applyAlignment="1">
      <alignment horizontal="center" vertical="center"/>
    </xf>
    <xf numFmtId="0" fontId="8" fillId="3" borderId="43" xfId="0" applyFont="1" applyFill="1" applyBorder="1" applyAlignment="1">
      <alignment horizontal="center" vertical="center"/>
    </xf>
    <xf numFmtId="0" fontId="8" fillId="4" borderId="45" xfId="0" applyFont="1" applyFill="1" applyBorder="1" applyAlignment="1">
      <alignment horizontal="left" vertical="center" wrapText="1"/>
    </xf>
    <xf numFmtId="9" fontId="8" fillId="3" borderId="46" xfId="1" applyFont="1" applyFill="1" applyBorder="1" applyAlignment="1" applyProtection="1">
      <alignment horizontal="center" vertical="center"/>
    </xf>
    <xf numFmtId="0" fontId="10" fillId="2" borderId="51" xfId="0" applyFont="1" applyFill="1" applyBorder="1" applyAlignment="1">
      <alignment horizontal="left" vertical="center"/>
    </xf>
    <xf numFmtId="0" fontId="8" fillId="3" borderId="53" xfId="0" applyFont="1" applyFill="1" applyBorder="1" applyAlignment="1">
      <alignment horizontal="center" vertical="center"/>
    </xf>
    <xf numFmtId="0" fontId="10" fillId="2" borderId="45" xfId="0" applyFont="1" applyFill="1" applyBorder="1" applyAlignment="1">
      <alignment horizontal="left"/>
    </xf>
    <xf numFmtId="0" fontId="8" fillId="3" borderId="46" xfId="0" applyFont="1" applyFill="1" applyBorder="1" applyAlignment="1">
      <alignment horizontal="center"/>
    </xf>
    <xf numFmtId="0" fontId="8" fillId="2" borderId="0" xfId="0" applyFont="1" applyFill="1" applyAlignment="1">
      <alignment vertical="center"/>
    </xf>
    <xf numFmtId="164" fontId="16" fillId="6" borderId="40" xfId="1" applyNumberFormat="1" applyFont="1" applyFill="1" applyBorder="1" applyAlignment="1" applyProtection="1">
      <alignment horizontal="center" vertical="center" wrapText="1"/>
      <protection locked="0"/>
    </xf>
    <xf numFmtId="0" fontId="9" fillId="2" borderId="26" xfId="6" applyFont="1" applyFill="1" applyBorder="1"/>
    <xf numFmtId="0" fontId="9" fillId="2" borderId="13" xfId="6" applyFont="1" applyFill="1" applyBorder="1" applyAlignment="1">
      <alignment horizontal="center"/>
    </xf>
    <xf numFmtId="0" fontId="9" fillId="2" borderId="27" xfId="6" applyFont="1" applyFill="1" applyBorder="1" applyAlignment="1">
      <alignment horizontal="center"/>
    </xf>
    <xf numFmtId="0" fontId="9" fillId="2" borderId="28" xfId="6" applyFont="1" applyFill="1" applyBorder="1" applyAlignment="1">
      <alignment horizontal="center"/>
    </xf>
    <xf numFmtId="0" fontId="9" fillId="2" borderId="0" xfId="6" applyFont="1" applyFill="1" applyAlignment="1">
      <alignment horizontal="center"/>
    </xf>
    <xf numFmtId="0" fontId="9" fillId="2" borderId="29" xfId="6" applyFont="1" applyFill="1" applyBorder="1" applyAlignment="1">
      <alignment horizontal="center"/>
    </xf>
    <xf numFmtId="0" fontId="51" fillId="10" borderId="28" xfId="6" applyFont="1" applyFill="1" applyBorder="1" applyAlignment="1">
      <alignment horizontal="left"/>
    </xf>
    <xf numFmtId="0" fontId="21" fillId="10" borderId="0" xfId="6" applyFont="1" applyFill="1" applyAlignment="1">
      <alignment horizontal="left"/>
    </xf>
    <xf numFmtId="0" fontId="21" fillId="10" borderId="29" xfId="6" applyFont="1" applyFill="1" applyBorder="1" applyAlignment="1">
      <alignment horizontal="left"/>
    </xf>
    <xf numFmtId="0" fontId="8" fillId="4" borderId="28" xfId="6" applyFont="1" applyFill="1" applyBorder="1"/>
    <xf numFmtId="3" fontId="8" fillId="4" borderId="0" xfId="6" applyNumberFormat="1" applyFont="1" applyFill="1"/>
    <xf numFmtId="3" fontId="8" fillId="4" borderId="29" xfId="6" applyNumberFormat="1" applyFont="1" applyFill="1" applyBorder="1"/>
    <xf numFmtId="0" fontId="19" fillId="10" borderId="28" xfId="6" applyFont="1" applyFill="1" applyBorder="1"/>
    <xf numFmtId="3" fontId="8" fillId="10" borderId="0" xfId="6" applyNumberFormat="1" applyFont="1" applyFill="1"/>
    <xf numFmtId="3" fontId="8" fillId="10" borderId="29" xfId="6" applyNumberFormat="1" applyFont="1" applyFill="1" applyBorder="1"/>
    <xf numFmtId="4" fontId="8" fillId="4" borderId="0" xfId="6" applyNumberFormat="1" applyFont="1" applyFill="1"/>
    <xf numFmtId="0" fontId="8" fillId="4" borderId="55" xfId="6" applyFont="1" applyFill="1" applyBorder="1"/>
    <xf numFmtId="3" fontId="8" fillId="4" borderId="56" xfId="6" applyNumberFormat="1" applyFont="1" applyFill="1" applyBorder="1"/>
    <xf numFmtId="3" fontId="8" fillId="4" borderId="57" xfId="6" applyNumberFormat="1" applyFont="1" applyFill="1" applyBorder="1"/>
    <xf numFmtId="3" fontId="9" fillId="2" borderId="13" xfId="6" applyNumberFormat="1" applyFont="1" applyFill="1" applyBorder="1"/>
    <xf numFmtId="0" fontId="8" fillId="2" borderId="13" xfId="6" applyFont="1" applyFill="1" applyBorder="1"/>
    <xf numFmtId="0" fontId="8" fillId="2" borderId="27" xfId="6" applyFont="1" applyFill="1" applyBorder="1"/>
    <xf numFmtId="0" fontId="9" fillId="2" borderId="0" xfId="6" applyFont="1" applyFill="1" applyAlignment="1">
      <alignment horizontal="center" vertical="center"/>
    </xf>
    <xf numFmtId="0" fontId="9" fillId="2" borderId="29" xfId="6" applyFont="1" applyFill="1" applyBorder="1" applyAlignment="1">
      <alignment horizontal="center" vertical="center"/>
    </xf>
    <xf numFmtId="0" fontId="9" fillId="10" borderId="0" xfId="6" applyFont="1" applyFill="1" applyAlignment="1">
      <alignment horizontal="center" vertical="center"/>
    </xf>
    <xf numFmtId="0" fontId="9" fillId="10" borderId="29" xfId="6" applyFont="1" applyFill="1" applyBorder="1" applyAlignment="1">
      <alignment horizontal="center" vertical="center"/>
    </xf>
    <xf numFmtId="3" fontId="21" fillId="4" borderId="0" xfId="6" applyNumberFormat="1" applyFont="1" applyFill="1"/>
    <xf numFmtId="3" fontId="8" fillId="4" borderId="0" xfId="6" quotePrefix="1" applyNumberFormat="1" applyFont="1" applyFill="1" applyAlignment="1">
      <alignment horizontal="right"/>
    </xf>
    <xf numFmtId="3" fontId="21" fillId="10" borderId="0" xfId="6" applyNumberFormat="1" applyFont="1" applyFill="1"/>
    <xf numFmtId="0" fontId="9" fillId="2" borderId="26" xfId="6" applyFont="1" applyFill="1" applyBorder="1" applyAlignment="1" applyProtection="1">
      <alignment horizontal="left" vertical="center"/>
      <protection hidden="1"/>
    </xf>
    <xf numFmtId="0" fontId="9" fillId="2" borderId="13" xfId="6" applyFont="1" applyFill="1" applyBorder="1" applyAlignment="1" applyProtection="1">
      <alignment horizontal="center" vertical="center"/>
      <protection hidden="1"/>
    </xf>
    <xf numFmtId="0" fontId="9" fillId="2" borderId="13" xfId="6" applyFont="1" applyFill="1" applyBorder="1" applyAlignment="1" applyProtection="1">
      <alignment horizontal="center" vertical="center" wrapText="1"/>
      <protection hidden="1"/>
    </xf>
    <xf numFmtId="0" fontId="9" fillId="2" borderId="27" xfId="6" applyFont="1" applyFill="1" applyBorder="1" applyAlignment="1" applyProtection="1">
      <alignment horizontal="center" vertical="center"/>
      <protection hidden="1"/>
    </xf>
    <xf numFmtId="0" fontId="8" fillId="4" borderId="41" xfId="6" applyFont="1" applyFill="1" applyBorder="1" applyAlignment="1" applyProtection="1">
      <alignment horizontal="left" vertical="center"/>
      <protection hidden="1"/>
    </xf>
    <xf numFmtId="0" fontId="42" fillId="4" borderId="42" xfId="6" applyFont="1" applyFill="1" applyBorder="1" applyAlignment="1" applyProtection="1">
      <alignment horizontal="center" vertical="center" wrapText="1"/>
      <protection hidden="1"/>
    </xf>
    <xf numFmtId="0" fontId="8" fillId="4" borderId="44" xfId="6" applyFont="1" applyFill="1" applyBorder="1" applyAlignment="1" applyProtection="1">
      <alignment horizontal="left" vertical="center"/>
      <protection hidden="1"/>
    </xf>
    <xf numFmtId="0" fontId="42" fillId="4" borderId="43" xfId="6" applyFont="1" applyFill="1" applyBorder="1" applyAlignment="1" applyProtection="1">
      <alignment horizontal="center" vertical="center" wrapText="1"/>
      <protection hidden="1"/>
    </xf>
    <xf numFmtId="0" fontId="8" fillId="4" borderId="45" xfId="6" applyFont="1" applyFill="1" applyBorder="1" applyAlignment="1" applyProtection="1">
      <alignment horizontal="left" vertical="center"/>
      <protection hidden="1"/>
    </xf>
    <xf numFmtId="0" fontId="8" fillId="6" borderId="40" xfId="6" applyFont="1" applyFill="1" applyBorder="1" applyAlignment="1" applyProtection="1">
      <alignment horizontal="center" vertical="center"/>
      <protection hidden="1"/>
    </xf>
    <xf numFmtId="0" fontId="42" fillId="4" borderId="40" xfId="6" applyFont="1" applyFill="1" applyBorder="1" applyAlignment="1" applyProtection="1">
      <alignment horizontal="left" vertical="center" wrapText="1"/>
      <protection hidden="1"/>
    </xf>
    <xf numFmtId="0" fontId="42" fillId="4" borderId="46" xfId="6" applyFont="1" applyFill="1" applyBorder="1" applyAlignment="1" applyProtection="1">
      <alignment horizontal="center" vertical="center" wrapText="1"/>
      <protection hidden="1"/>
    </xf>
    <xf numFmtId="169" fontId="8" fillId="0" borderId="0" xfId="0" applyNumberFormat="1" applyFont="1"/>
    <xf numFmtId="0" fontId="16" fillId="0" borderId="0" xfId="0" applyFont="1" applyAlignment="1">
      <alignment horizontal="left"/>
    </xf>
    <xf numFmtId="9" fontId="8" fillId="0" borderId="0" xfId="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0" fontId="8" fillId="0" borderId="0" xfId="0" applyFont="1" applyAlignment="1">
      <alignment horizontal="left" vertical="center"/>
    </xf>
    <xf numFmtId="9" fontId="8" fillId="0" borderId="0" xfId="1" applyFont="1" applyFill="1" applyBorder="1" applyAlignment="1" applyProtection="1">
      <alignment vertical="center"/>
    </xf>
    <xf numFmtId="9" fontId="8" fillId="0" borderId="0" xfId="1" applyFont="1" applyFill="1" applyBorder="1" applyAlignment="1" applyProtection="1">
      <alignment horizontal="center" vertical="center"/>
    </xf>
    <xf numFmtId="0" fontId="18" fillId="0" borderId="0" xfId="6" applyFont="1"/>
    <xf numFmtId="0" fontId="15" fillId="0" borderId="0" xfId="6" applyFont="1"/>
    <xf numFmtId="0" fontId="48" fillId="0" borderId="0" xfId="0" applyFont="1"/>
    <xf numFmtId="0" fontId="39" fillId="0" borderId="0" xfId="0" applyFont="1"/>
    <xf numFmtId="0" fontId="55" fillId="14" borderId="28" xfId="0" applyFont="1" applyFill="1" applyBorder="1"/>
    <xf numFmtId="0" fontId="55" fillId="14" borderId="30" xfId="0" applyFont="1" applyFill="1" applyBorder="1"/>
    <xf numFmtId="0" fontId="10" fillId="0" borderId="0" xfId="0" applyFont="1" applyAlignment="1">
      <alignment horizontal="center" vertical="center" wrapText="1"/>
    </xf>
    <xf numFmtId="37" fontId="8" fillId="0" borderId="0" xfId="4" applyNumberFormat="1" applyFont="1" applyFill="1" applyAlignment="1">
      <alignment vertical="center"/>
    </xf>
    <xf numFmtId="0" fontId="25" fillId="0" borderId="0" xfId="2" applyFont="1" applyAlignment="1">
      <alignment vertical="center"/>
    </xf>
    <xf numFmtId="0" fontId="0" fillId="0" borderId="0" xfId="0" applyAlignment="1">
      <alignment horizontal="center"/>
    </xf>
    <xf numFmtId="0" fontId="35" fillId="0" borderId="0" xfId="0" applyFont="1"/>
    <xf numFmtId="0" fontId="35" fillId="0" borderId="0" xfId="0" applyFont="1" applyAlignment="1">
      <alignment horizontal="center"/>
    </xf>
    <xf numFmtId="0" fontId="21" fillId="0" borderId="0" xfId="0" applyFont="1" applyAlignment="1">
      <alignment vertical="center"/>
    </xf>
    <xf numFmtId="0" fontId="21" fillId="0" borderId="19" xfId="0" applyFont="1" applyBorder="1"/>
    <xf numFmtId="0" fontId="21" fillId="0" borderId="9" xfId="0" applyFont="1" applyBorder="1"/>
    <xf numFmtId="0" fontId="21" fillId="0" borderId="17" xfId="0" applyFont="1" applyBorder="1"/>
    <xf numFmtId="3" fontId="21" fillId="4" borderId="0" xfId="6" applyNumberFormat="1" applyFont="1" applyFill="1" applyAlignment="1">
      <alignment horizontal="right"/>
    </xf>
    <xf numFmtId="3" fontId="8" fillId="4" borderId="56" xfId="6" applyNumberFormat="1" applyFont="1" applyFill="1" applyBorder="1" applyAlignment="1">
      <alignment horizontal="right"/>
    </xf>
    <xf numFmtId="3" fontId="8" fillId="4" borderId="57" xfId="6" applyNumberFormat="1" applyFont="1" applyFill="1" applyBorder="1" applyAlignment="1">
      <alignment horizontal="right"/>
    </xf>
    <xf numFmtId="3" fontId="8" fillId="4" borderId="0" xfId="6" applyNumberFormat="1" applyFont="1" applyFill="1" applyAlignment="1">
      <alignment horizontal="right"/>
    </xf>
    <xf numFmtId="3" fontId="8" fillId="4" borderId="29" xfId="6" applyNumberFormat="1" applyFont="1" applyFill="1" applyBorder="1" applyAlignment="1">
      <alignment horizontal="right"/>
    </xf>
    <xf numFmtId="2" fontId="8" fillId="4" borderId="0" xfId="6" applyNumberFormat="1" applyFont="1" applyFill="1" applyAlignment="1">
      <alignment horizontal="right"/>
    </xf>
    <xf numFmtId="0" fontId="8" fillId="6" borderId="42" xfId="0" applyFont="1" applyFill="1" applyBorder="1" applyAlignment="1">
      <alignment horizontal="center" vertical="center"/>
    </xf>
    <xf numFmtId="49" fontId="16" fillId="3" borderId="3" xfId="1" applyNumberFormat="1" applyFont="1" applyFill="1" applyBorder="1" applyAlignment="1" applyProtection="1">
      <alignment horizontal="center" vertical="center" wrapText="1"/>
      <protection locked="0"/>
    </xf>
    <xf numFmtId="9" fontId="16" fillId="6" borderId="0" xfId="1" applyFont="1" applyFill="1" applyAlignment="1">
      <alignment horizontal="center"/>
    </xf>
    <xf numFmtId="0" fontId="10" fillId="2" borderId="52" xfId="0" applyFont="1" applyFill="1" applyBorder="1" applyAlignment="1">
      <alignment horizontal="center" vertical="center"/>
    </xf>
    <xf numFmtId="0" fontId="8" fillId="4" borderId="46"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27" xfId="0" applyFont="1" applyFill="1" applyBorder="1" applyAlignment="1">
      <alignment horizontal="center" vertical="center"/>
    </xf>
    <xf numFmtId="0" fontId="10" fillId="2" borderId="3" xfId="0" applyFont="1" applyFill="1" applyBorder="1" applyAlignment="1">
      <alignment horizontal="center" vertical="center"/>
    </xf>
    <xf numFmtId="0" fontId="8" fillId="8" borderId="0" xfId="0" applyFont="1" applyFill="1" applyAlignment="1">
      <alignment horizontal="center" vertical="center"/>
    </xf>
    <xf numFmtId="0" fontId="8" fillId="13" borderId="3" xfId="2" applyFont="1" applyFill="1" applyBorder="1" applyAlignment="1">
      <alignment horizontal="left" vertical="center" wrapText="1"/>
    </xf>
    <xf numFmtId="0" fontId="8" fillId="13" borderId="4" xfId="2" applyFont="1" applyFill="1" applyBorder="1" applyAlignment="1">
      <alignment horizontal="left" vertical="center" wrapText="1"/>
    </xf>
    <xf numFmtId="0" fontId="10" fillId="2" borderId="0" xfId="6" applyFont="1" applyFill="1" applyAlignment="1">
      <alignment horizontal="left"/>
    </xf>
    <xf numFmtId="0" fontId="16" fillId="3" borderId="0" xfId="6" applyFont="1" applyFill="1" applyAlignment="1">
      <alignment horizontal="center"/>
    </xf>
    <xf numFmtId="165" fontId="0" fillId="0" borderId="0" xfId="4" applyNumberFormat="1" applyFont="1"/>
    <xf numFmtId="165" fontId="29" fillId="4" borderId="33" xfId="4" applyNumberFormat="1" applyFont="1" applyFill="1" applyBorder="1" applyAlignment="1">
      <alignment horizontal="left" vertical="center"/>
    </xf>
    <xf numFmtId="0" fontId="29" fillId="0" borderId="35" xfId="0" applyFont="1" applyBorder="1"/>
    <xf numFmtId="165" fontId="29" fillId="4" borderId="6" xfId="4" applyNumberFormat="1" applyFont="1" applyFill="1" applyBorder="1" applyAlignment="1">
      <alignment horizontal="left" vertical="center"/>
    </xf>
    <xf numFmtId="0" fontId="16" fillId="8" borderId="31" xfId="6" applyFont="1" applyFill="1" applyBorder="1" applyAlignment="1">
      <alignment horizontal="center"/>
    </xf>
    <xf numFmtId="0" fontId="8" fillId="8" borderId="16" xfId="0" applyFont="1" applyFill="1" applyBorder="1" applyAlignment="1">
      <alignment horizontal="center" vertical="center"/>
    </xf>
    <xf numFmtId="43" fontId="0" fillId="0" borderId="0" xfId="4" applyFont="1" applyFill="1" applyAlignment="1">
      <alignment vertical="center"/>
    </xf>
    <xf numFmtId="0" fontId="58" fillId="11" borderId="0" xfId="6" applyFont="1" applyFill="1"/>
    <xf numFmtId="0" fontId="59" fillId="0" borderId="0" xfId="0" applyFont="1"/>
    <xf numFmtId="0" fontId="60" fillId="2" borderId="0" xfId="6" applyFont="1" applyFill="1"/>
    <xf numFmtId="0" fontId="59" fillId="0" borderId="0" xfId="6" applyFont="1" applyAlignment="1">
      <alignment horizontal="center"/>
    </xf>
    <xf numFmtId="0" fontId="59" fillId="2" borderId="0" xfId="0" applyFont="1" applyFill="1"/>
    <xf numFmtId="0" fontId="10" fillId="2" borderId="0" xfId="0" applyFont="1" applyFill="1" applyAlignment="1">
      <alignment horizontal="left" vertical="center" wrapText="1"/>
    </xf>
    <xf numFmtId="4" fontId="16" fillId="0" borderId="0" xfId="6" applyNumberFormat="1" applyFont="1" applyAlignment="1">
      <alignment horizontal="center"/>
    </xf>
    <xf numFmtId="0" fontId="34" fillId="0" borderId="0" xfId="6" applyFont="1" applyAlignment="1">
      <alignment horizontal="left" vertical="center" wrapText="1"/>
    </xf>
    <xf numFmtId="172" fontId="8" fillId="4" borderId="3" xfId="0" applyNumberFormat="1" applyFont="1" applyFill="1" applyBorder="1" applyAlignment="1">
      <alignment horizontal="center" vertical="center"/>
    </xf>
    <xf numFmtId="172" fontId="8" fillId="4" borderId="3" xfId="0" applyNumberFormat="1" applyFont="1" applyFill="1" applyBorder="1" applyAlignment="1">
      <alignment horizontal="left" vertical="center"/>
    </xf>
    <xf numFmtId="172" fontId="16" fillId="0" borderId="0" xfId="0" applyNumberFormat="1" applyFont="1"/>
    <xf numFmtId="172" fontId="25" fillId="4" borderId="3" xfId="0" applyNumberFormat="1" applyFont="1" applyFill="1" applyBorder="1" applyAlignment="1">
      <alignment horizontal="left" vertical="center"/>
    </xf>
    <xf numFmtId="172" fontId="25" fillId="4" borderId="3" xfId="0" applyNumberFormat="1" applyFont="1" applyFill="1" applyBorder="1" applyAlignment="1">
      <alignment horizontal="center" vertical="center"/>
    </xf>
    <xf numFmtId="0" fontId="10" fillId="2" borderId="0" xfId="6" applyFont="1" applyFill="1" applyAlignment="1">
      <alignment wrapText="1"/>
    </xf>
    <xf numFmtId="0" fontId="8" fillId="8" borderId="26" xfId="0" applyFont="1" applyFill="1" applyBorder="1" applyAlignment="1">
      <alignment vertical="center"/>
    </xf>
    <xf numFmtId="0" fontId="8" fillId="8" borderId="30" xfId="0" applyFont="1" applyFill="1" applyBorder="1" applyAlignment="1">
      <alignment vertical="center"/>
    </xf>
    <xf numFmtId="0" fontId="8" fillId="8" borderId="13" xfId="0" applyFont="1" applyFill="1" applyBorder="1" applyAlignment="1">
      <alignment horizontal="center" vertical="center"/>
    </xf>
    <xf numFmtId="165" fontId="29" fillId="4" borderId="25" xfId="4" applyNumberFormat="1" applyFont="1" applyFill="1" applyBorder="1" applyAlignment="1">
      <alignment horizontal="left" vertical="center"/>
    </xf>
    <xf numFmtId="43" fontId="16" fillId="0" borderId="0" xfId="0" applyNumberFormat="1" applyFont="1"/>
    <xf numFmtId="0" fontId="63" fillId="11" borderId="0" xfId="0" applyFont="1" applyFill="1"/>
    <xf numFmtId="2" fontId="16" fillId="4" borderId="0" xfId="0" applyNumberFormat="1" applyFont="1" applyFill="1" applyAlignment="1">
      <alignment horizontal="center"/>
    </xf>
    <xf numFmtId="165" fontId="16" fillId="4" borderId="0" xfId="4" applyNumberFormat="1" applyFont="1" applyFill="1" applyAlignment="1">
      <alignment horizontal="center"/>
    </xf>
    <xf numFmtId="0" fontId="16" fillId="4" borderId="0" xfId="0" applyFont="1" applyFill="1" applyAlignment="1">
      <alignment horizontal="left"/>
    </xf>
    <xf numFmtId="0" fontId="16" fillId="4" borderId="24" xfId="0" applyFont="1" applyFill="1" applyBorder="1"/>
    <xf numFmtId="0" fontId="16" fillId="4" borderId="24" xfId="0" applyFont="1" applyFill="1" applyBorder="1" applyAlignment="1">
      <alignment horizontal="center"/>
    </xf>
    <xf numFmtId="165" fontId="16" fillId="4" borderId="24" xfId="4" applyNumberFormat="1" applyFont="1" applyFill="1" applyBorder="1"/>
    <xf numFmtId="168" fontId="16" fillId="4" borderId="24" xfId="0" applyNumberFormat="1" applyFont="1" applyFill="1" applyBorder="1" applyAlignment="1">
      <alignment horizontal="center"/>
    </xf>
    <xf numFmtId="2" fontId="16" fillId="4" borderId="24" xfId="0" applyNumberFormat="1" applyFont="1" applyFill="1" applyBorder="1"/>
    <xf numFmtId="43" fontId="16" fillId="4" borderId="0" xfId="4" applyFont="1" applyFill="1" applyAlignment="1">
      <alignment horizontal="center"/>
    </xf>
    <xf numFmtId="0" fontId="21" fillId="4" borderId="0" xfId="0" applyFont="1" applyFill="1" applyAlignment="1">
      <alignment horizontal="right"/>
    </xf>
    <xf numFmtId="0" fontId="21" fillId="4" borderId="0" xfId="0" applyFont="1" applyFill="1"/>
    <xf numFmtId="0" fontId="21" fillId="4" borderId="0" xfId="0" applyFont="1" applyFill="1" applyAlignment="1">
      <alignment horizontal="left" indent="1"/>
    </xf>
    <xf numFmtId="0" fontId="67" fillId="0" borderId="0" xfId="0" applyFont="1"/>
    <xf numFmtId="0" fontId="21" fillId="0" borderId="58" xfId="0" applyFont="1" applyBorder="1" applyAlignment="1">
      <alignment vertical="center"/>
    </xf>
    <xf numFmtId="0" fontId="21" fillId="0" borderId="59" xfId="0" applyFont="1" applyBorder="1" applyAlignment="1">
      <alignment vertical="center"/>
    </xf>
    <xf numFmtId="9" fontId="21" fillId="0" borderId="59" xfId="1" applyFont="1" applyBorder="1" applyAlignment="1">
      <alignment horizontal="right" vertical="center"/>
    </xf>
    <xf numFmtId="9" fontId="21" fillId="0" borderId="60" xfId="1" applyFont="1" applyBorder="1" applyAlignment="1">
      <alignment horizontal="right" vertical="center"/>
    </xf>
    <xf numFmtId="9" fontId="8" fillId="6" borderId="4" xfId="1" quotePrefix="1" applyFont="1" applyFill="1" applyBorder="1" applyAlignment="1" applyProtection="1">
      <alignment vertical="center"/>
    </xf>
    <xf numFmtId="0" fontId="68" fillId="0" borderId="0" xfId="0" applyFont="1"/>
    <xf numFmtId="43" fontId="0" fillId="0" borderId="0" xfId="0" applyNumberFormat="1"/>
    <xf numFmtId="164" fontId="16" fillId="4" borderId="0" xfId="1" applyNumberFormat="1" applyFont="1" applyFill="1"/>
    <xf numFmtId="164" fontId="16" fillId="6" borderId="0" xfId="1" applyNumberFormat="1" applyFont="1" applyFill="1" applyBorder="1" applyAlignment="1" applyProtection="1">
      <alignment horizontal="center" vertical="center" wrapText="1"/>
      <protection locked="0"/>
    </xf>
    <xf numFmtId="0" fontId="21" fillId="12" borderId="2" xfId="0" applyFont="1" applyFill="1" applyBorder="1" applyAlignment="1">
      <alignment horizontal="left" vertical="top" wrapText="1"/>
    </xf>
    <xf numFmtId="0" fontId="21" fillId="12" borderId="2" xfId="0" applyFont="1" applyFill="1" applyBorder="1" applyAlignment="1">
      <alignment horizontal="left" vertical="top"/>
    </xf>
    <xf numFmtId="0" fontId="27" fillId="8" borderId="22" xfId="0" applyFont="1" applyFill="1" applyBorder="1" applyAlignment="1">
      <alignment horizontal="left" vertical="top" wrapText="1"/>
    </xf>
    <xf numFmtId="0" fontId="27" fillId="8" borderId="23" xfId="0" applyFont="1" applyFill="1" applyBorder="1" applyAlignment="1">
      <alignment horizontal="left" vertical="top" wrapText="1"/>
    </xf>
    <xf numFmtId="0" fontId="27" fillId="8" borderId="32" xfId="0" applyFont="1" applyFill="1" applyBorder="1" applyAlignment="1">
      <alignment horizontal="left" vertical="top" wrapText="1"/>
    </xf>
    <xf numFmtId="0" fontId="10" fillId="2" borderId="4" xfId="0" applyFont="1" applyFill="1" applyBorder="1" applyAlignment="1">
      <alignment horizontal="center" vertical="center"/>
    </xf>
    <xf numFmtId="0" fontId="10" fillId="2" borderId="39" xfId="0" applyFont="1" applyFill="1" applyBorder="1" applyAlignment="1">
      <alignment horizontal="center" vertical="center"/>
    </xf>
    <xf numFmtId="9" fontId="19" fillId="4" borderId="3" xfId="1" applyFont="1" applyFill="1" applyBorder="1" applyAlignment="1" applyProtection="1">
      <alignment vertical="center"/>
    </xf>
    <xf numFmtId="9" fontId="19" fillId="4" borderId="43" xfId="1" applyFont="1" applyFill="1" applyBorder="1" applyAlignment="1" applyProtection="1">
      <alignment vertical="center"/>
    </xf>
    <xf numFmtId="165" fontId="8" fillId="4" borderId="3" xfId="4" applyNumberFormat="1" applyFont="1" applyFill="1" applyBorder="1" applyAlignment="1" applyProtection="1">
      <alignment horizontal="left" vertical="center"/>
    </xf>
    <xf numFmtId="165" fontId="8" fillId="4" borderId="43" xfId="4" applyNumberFormat="1" applyFont="1" applyFill="1" applyBorder="1" applyAlignment="1" applyProtection="1">
      <alignment horizontal="left" vertical="center"/>
    </xf>
    <xf numFmtId="0" fontId="10" fillId="2" borderId="3" xfId="0" applyFont="1" applyFill="1" applyBorder="1" applyAlignment="1">
      <alignment horizontal="center" vertical="center"/>
    </xf>
    <xf numFmtId="0" fontId="10" fillId="2" borderId="43" xfId="0" applyFont="1" applyFill="1" applyBorder="1" applyAlignment="1">
      <alignment horizontal="center" vertical="center"/>
    </xf>
    <xf numFmtId="0" fontId="27" fillId="8" borderId="22" xfId="0" applyFont="1" applyFill="1" applyBorder="1" applyAlignment="1">
      <alignment horizontal="left" vertical="center" wrapText="1"/>
    </xf>
    <xf numFmtId="0" fontId="27" fillId="8" borderId="23" xfId="0" applyFont="1" applyFill="1" applyBorder="1" applyAlignment="1">
      <alignment horizontal="left" vertical="center" wrapText="1"/>
    </xf>
    <xf numFmtId="0" fontId="27" fillId="8" borderId="32" xfId="0" applyFont="1" applyFill="1" applyBorder="1" applyAlignment="1">
      <alignment horizontal="left" vertical="center" wrapText="1"/>
    </xf>
    <xf numFmtId="0" fontId="29" fillId="0" borderId="0" xfId="0" applyFont="1" applyAlignment="1">
      <alignment horizontal="center"/>
    </xf>
    <xf numFmtId="0" fontId="10" fillId="2" borderId="11" xfId="0" applyFont="1" applyFill="1" applyBorder="1" applyAlignment="1">
      <alignment horizontal="center" vertical="center"/>
    </xf>
    <xf numFmtId="0" fontId="25" fillId="8" borderId="22" xfId="0" applyFont="1" applyFill="1" applyBorder="1" applyAlignment="1">
      <alignment horizontal="left" vertical="center" wrapText="1"/>
    </xf>
    <xf numFmtId="0" fontId="25" fillId="8" borderId="23" xfId="0" applyFont="1" applyFill="1" applyBorder="1" applyAlignment="1">
      <alignment horizontal="left" vertical="center" wrapText="1"/>
    </xf>
    <xf numFmtId="0" fontId="25" fillId="8" borderId="32" xfId="0" applyFont="1" applyFill="1" applyBorder="1" applyAlignment="1">
      <alignment horizontal="left" vertical="center" wrapText="1"/>
    </xf>
    <xf numFmtId="9" fontId="8" fillId="4" borderId="45" xfId="1" applyFont="1" applyFill="1" applyBorder="1" applyAlignment="1" applyProtection="1">
      <alignment horizontal="left" vertical="center"/>
    </xf>
    <xf numFmtId="9" fontId="8" fillId="4" borderId="40" xfId="1" applyFont="1" applyFill="1" applyBorder="1" applyAlignment="1" applyProtection="1">
      <alignment horizontal="left" vertical="center"/>
    </xf>
    <xf numFmtId="9" fontId="8" fillId="4" borderId="41" xfId="1" applyFont="1" applyFill="1" applyBorder="1" applyAlignment="1" applyProtection="1">
      <alignment horizontal="left" vertical="center"/>
    </xf>
    <xf numFmtId="9" fontId="8" fillId="4" borderId="4" xfId="1" applyFont="1" applyFill="1" applyBorder="1" applyAlignment="1" applyProtection="1">
      <alignment horizontal="left" vertical="center"/>
    </xf>
    <xf numFmtId="9" fontId="8" fillId="4" borderId="16" xfId="1" applyFont="1" applyFill="1" applyBorder="1" applyAlignment="1" applyProtection="1">
      <alignment horizontal="left" vertical="center" wrapText="1"/>
    </xf>
    <xf numFmtId="9" fontId="8" fillId="4" borderId="31" xfId="1" applyFont="1" applyFill="1" applyBorder="1" applyAlignment="1" applyProtection="1">
      <alignment horizontal="left" vertical="center" wrapText="1"/>
    </xf>
    <xf numFmtId="0" fontId="10" fillId="2" borderId="52" xfId="0" applyFont="1" applyFill="1" applyBorder="1" applyAlignment="1">
      <alignment horizontal="center" vertical="center"/>
    </xf>
    <xf numFmtId="0" fontId="10" fillId="2" borderId="53" xfId="0" applyFont="1" applyFill="1" applyBorder="1" applyAlignment="1">
      <alignment horizontal="center" vertical="center"/>
    </xf>
    <xf numFmtId="9" fontId="19" fillId="4" borderId="5" xfId="1" applyFont="1" applyFill="1" applyBorder="1" applyAlignment="1" applyProtection="1">
      <alignment vertical="center"/>
    </xf>
    <xf numFmtId="9" fontId="19" fillId="4" borderId="54" xfId="1" applyFont="1" applyFill="1" applyBorder="1" applyAlignment="1" applyProtection="1">
      <alignment vertical="center"/>
    </xf>
    <xf numFmtId="0" fontId="8" fillId="4" borderId="4" xfId="0" applyFont="1" applyFill="1" applyBorder="1" applyAlignment="1">
      <alignment horizontal="center" vertical="center" wrapText="1"/>
    </xf>
    <xf numFmtId="0" fontId="8" fillId="4" borderId="42" xfId="0" applyFont="1" applyFill="1" applyBorder="1" applyAlignment="1">
      <alignment horizontal="center" vertical="center" wrapText="1"/>
    </xf>
    <xf numFmtId="0" fontId="8" fillId="4" borderId="40" xfId="0" applyFont="1" applyFill="1" applyBorder="1" applyAlignment="1">
      <alignment horizontal="center" vertical="center"/>
    </xf>
    <xf numFmtId="0" fontId="8" fillId="4" borderId="46"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27" xfId="0" applyFont="1" applyFill="1" applyBorder="1" applyAlignment="1">
      <alignment horizontal="center" vertical="center"/>
    </xf>
    <xf numFmtId="0" fontId="53" fillId="8" borderId="26" xfId="6" applyFont="1" applyFill="1" applyBorder="1" applyAlignment="1">
      <alignment horizontal="left" vertical="center" wrapText="1"/>
    </xf>
    <xf numFmtId="0" fontId="53" fillId="8" borderId="13" xfId="6" applyFont="1" applyFill="1" applyBorder="1" applyAlignment="1">
      <alignment horizontal="left" vertical="center" wrapText="1"/>
    </xf>
    <xf numFmtId="0" fontId="53" fillId="8" borderId="27" xfId="6" applyFont="1" applyFill="1" applyBorder="1" applyAlignment="1">
      <alignment horizontal="left" vertical="center" wrapText="1"/>
    </xf>
    <xf numFmtId="0" fontId="18" fillId="8" borderId="22" xfId="6" applyFont="1" applyFill="1" applyBorder="1" applyAlignment="1">
      <alignment horizontal="left" vertical="center" wrapText="1"/>
    </xf>
    <xf numFmtId="0" fontId="18" fillId="8" borderId="23" xfId="6" applyFont="1" applyFill="1" applyBorder="1" applyAlignment="1">
      <alignment horizontal="left" vertical="center" wrapText="1"/>
    </xf>
    <xf numFmtId="0" fontId="18" fillId="8" borderId="32" xfId="6" applyFont="1" applyFill="1" applyBorder="1" applyAlignment="1">
      <alignment horizontal="left" vertical="center" wrapText="1"/>
    </xf>
    <xf numFmtId="0" fontId="18" fillId="8" borderId="26" xfId="6" applyFont="1" applyFill="1" applyBorder="1" applyAlignment="1">
      <alignment horizontal="left" vertical="center" wrapText="1"/>
    </xf>
    <xf numFmtId="0" fontId="18" fillId="8" borderId="13" xfId="6" applyFont="1" applyFill="1" applyBorder="1" applyAlignment="1">
      <alignment horizontal="left" vertical="center" wrapText="1"/>
    </xf>
    <xf numFmtId="0" fontId="18" fillId="8" borderId="27" xfId="6" applyFont="1" applyFill="1" applyBorder="1" applyAlignment="1">
      <alignment horizontal="left" vertical="center" wrapText="1"/>
    </xf>
    <xf numFmtId="0" fontId="16" fillId="4" borderId="29" xfId="6" applyFont="1" applyFill="1" applyBorder="1" applyAlignment="1">
      <alignment horizontal="center"/>
    </xf>
    <xf numFmtId="0" fontId="16" fillId="4" borderId="31" xfId="6" applyFont="1" applyFill="1" applyBorder="1" applyAlignment="1">
      <alignment horizontal="center"/>
    </xf>
    <xf numFmtId="0" fontId="49" fillId="8" borderId="29" xfId="6" applyFont="1" applyFill="1" applyBorder="1" applyAlignment="1">
      <alignment horizontal="center"/>
    </xf>
    <xf numFmtId="0" fontId="49" fillId="8" borderId="31" xfId="6" applyFont="1" applyFill="1" applyBorder="1" applyAlignment="1">
      <alignment horizontal="center"/>
    </xf>
    <xf numFmtId="0" fontId="8" fillId="8" borderId="0" xfId="0" applyFont="1" applyFill="1" applyAlignment="1">
      <alignment horizontal="center" vertical="center"/>
    </xf>
    <xf numFmtId="0" fontId="8" fillId="8" borderId="29" xfId="0" applyFont="1" applyFill="1" applyBorder="1" applyAlignment="1">
      <alignment horizontal="center" vertical="center"/>
    </xf>
    <xf numFmtId="0" fontId="8" fillId="8" borderId="16" xfId="0" applyFont="1" applyFill="1" applyBorder="1" applyAlignment="1">
      <alignment horizontal="center" vertical="center"/>
    </xf>
    <xf numFmtId="0" fontId="8" fillId="8" borderId="31" xfId="0" applyFont="1" applyFill="1" applyBorder="1" applyAlignment="1">
      <alignment horizontal="center" vertical="center"/>
    </xf>
    <xf numFmtId="3" fontId="8" fillId="8" borderId="0" xfId="0" applyNumberFormat="1" applyFont="1" applyFill="1" applyAlignment="1">
      <alignment horizontal="center" vertical="center"/>
    </xf>
    <xf numFmtId="3" fontId="8" fillId="8" borderId="16" xfId="0" applyNumberFormat="1" applyFont="1" applyFill="1" applyBorder="1" applyAlignment="1">
      <alignment horizontal="center" vertical="center"/>
    </xf>
    <xf numFmtId="0" fontId="10" fillId="2" borderId="0" xfId="0" applyFont="1" applyFill="1" applyAlignment="1">
      <alignment horizontal="center" vertical="center"/>
    </xf>
    <xf numFmtId="0" fontId="10" fillId="2" borderId="29" xfId="0" applyFont="1" applyFill="1" applyBorder="1" applyAlignment="1">
      <alignment horizontal="center" vertical="center"/>
    </xf>
    <xf numFmtId="0" fontId="21" fillId="8" borderId="26" xfId="0" applyFont="1" applyFill="1" applyBorder="1" applyAlignment="1">
      <alignment vertical="center" wrapText="1"/>
    </xf>
    <xf numFmtId="0" fontId="21" fillId="8" borderId="13" xfId="0" applyFont="1" applyFill="1" applyBorder="1" applyAlignment="1">
      <alignment vertical="center"/>
    </xf>
    <xf numFmtId="0" fontId="21" fillId="8" borderId="27" xfId="0" applyFont="1" applyFill="1" applyBorder="1" applyAlignment="1">
      <alignment vertical="center"/>
    </xf>
    <xf numFmtId="0" fontId="21" fillId="8" borderId="28" xfId="0" applyFont="1" applyFill="1" applyBorder="1" applyAlignment="1">
      <alignment vertical="center"/>
    </xf>
    <xf numFmtId="0" fontId="21" fillId="8" borderId="0" xfId="0" applyFont="1" applyFill="1" applyAlignment="1">
      <alignment vertical="center"/>
    </xf>
    <xf numFmtId="0" fontId="21" fillId="8" borderId="29" xfId="0" applyFont="1" applyFill="1" applyBorder="1" applyAlignment="1">
      <alignment vertical="center"/>
    </xf>
    <xf numFmtId="0" fontId="21" fillId="8" borderId="30" xfId="0" applyFont="1" applyFill="1" applyBorder="1" applyAlignment="1">
      <alignment vertical="center"/>
    </xf>
    <xf numFmtId="0" fontId="21" fillId="8" borderId="16" xfId="0" applyFont="1" applyFill="1" applyBorder="1" applyAlignment="1">
      <alignment vertical="center"/>
    </xf>
    <xf numFmtId="0" fontId="21" fillId="8" borderId="31" xfId="0" applyFont="1" applyFill="1" applyBorder="1" applyAlignment="1">
      <alignment vertical="center"/>
    </xf>
    <xf numFmtId="0" fontId="2" fillId="8" borderId="2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27" xfId="0" applyFont="1" applyFill="1" applyBorder="1" applyAlignment="1">
      <alignment horizontal="left" vertical="center" wrapText="1"/>
    </xf>
    <xf numFmtId="0" fontId="2" fillId="8" borderId="28" xfId="0" applyFont="1" applyFill="1" applyBorder="1" applyAlignment="1">
      <alignment horizontal="left" vertical="center" wrapText="1"/>
    </xf>
    <xf numFmtId="0" fontId="2" fillId="8" borderId="0" xfId="0" applyFont="1" applyFill="1" applyAlignment="1">
      <alignment horizontal="left" vertical="center" wrapText="1"/>
    </xf>
    <xf numFmtId="0" fontId="2" fillId="8" borderId="29" xfId="0" applyFont="1" applyFill="1" applyBorder="1" applyAlignment="1">
      <alignment horizontal="left" vertical="center" wrapText="1"/>
    </xf>
    <xf numFmtId="0" fontId="2" fillId="8" borderId="30" xfId="0" applyFont="1" applyFill="1" applyBorder="1" applyAlignment="1">
      <alignment horizontal="left" vertical="center" wrapText="1"/>
    </xf>
    <xf numFmtId="0" fontId="2" fillId="8" borderId="16" xfId="0" applyFont="1" applyFill="1" applyBorder="1" applyAlignment="1">
      <alignment horizontal="left" vertical="center" wrapText="1"/>
    </xf>
    <xf numFmtId="0" fontId="2" fillId="8" borderId="31" xfId="0" applyFont="1" applyFill="1" applyBorder="1" applyAlignment="1">
      <alignment horizontal="left" vertical="center" wrapText="1"/>
    </xf>
    <xf numFmtId="0" fontId="8" fillId="8" borderId="13" xfId="0" applyFont="1" applyFill="1" applyBorder="1" applyAlignment="1">
      <alignment horizontal="center" vertical="center"/>
    </xf>
    <xf numFmtId="0" fontId="8" fillId="8" borderId="27" xfId="0" applyFont="1" applyFill="1" applyBorder="1" applyAlignment="1">
      <alignment horizontal="center" vertical="center"/>
    </xf>
    <xf numFmtId="37" fontId="8" fillId="8" borderId="0" xfId="4" applyNumberFormat="1" applyFont="1" applyFill="1" applyBorder="1" applyAlignment="1">
      <alignment horizontal="center" vertical="center"/>
    </xf>
    <xf numFmtId="3" fontId="8" fillId="8" borderId="13" xfId="0" applyNumberFormat="1" applyFont="1" applyFill="1" applyBorder="1" applyAlignment="1">
      <alignment horizontal="center" vertical="center"/>
    </xf>
    <xf numFmtId="0" fontId="8" fillId="15" borderId="6" xfId="0" applyFont="1" applyFill="1" applyBorder="1" applyAlignment="1">
      <alignment horizontal="left" vertical="center" wrapText="1"/>
    </xf>
    <xf numFmtId="0" fontId="8" fillId="15" borderId="24" xfId="0" applyFont="1" applyFill="1" applyBorder="1" applyAlignment="1">
      <alignment horizontal="left" vertical="center" wrapText="1"/>
    </xf>
    <xf numFmtId="0" fontId="8" fillId="15" borderId="35" xfId="0" applyFont="1" applyFill="1" applyBorder="1" applyAlignment="1">
      <alignment horizontal="left" vertical="center" wrapText="1"/>
    </xf>
    <xf numFmtId="0" fontId="62" fillId="2" borderId="0" xfId="0" applyFont="1" applyFill="1" applyAlignment="1">
      <alignment horizontal="center" vertical="center"/>
    </xf>
    <xf numFmtId="0" fontId="29" fillId="0" borderId="7" xfId="0" applyFont="1" applyBorder="1" applyAlignment="1">
      <alignment horizontal="center" vertical="center"/>
    </xf>
    <xf numFmtId="0" fontId="29" fillId="0" borderId="34" xfId="0" applyFont="1" applyBorder="1" applyAlignment="1">
      <alignment horizontal="center" vertical="center"/>
    </xf>
    <xf numFmtId="2" fontId="10" fillId="2" borderId="0" xfId="2" applyNumberFormat="1" applyFont="1" applyFill="1" applyAlignment="1">
      <alignment horizontal="center" vertical="center"/>
    </xf>
    <xf numFmtId="0" fontId="15" fillId="2" borderId="0" xfId="2" applyFont="1" applyFill="1" applyAlignment="1">
      <alignment horizontal="center" vertical="center"/>
    </xf>
    <xf numFmtId="0" fontId="8" fillId="13" borderId="3" xfId="2" applyFont="1" applyFill="1" applyBorder="1" applyAlignment="1">
      <alignment horizontal="left" vertical="center" wrapText="1"/>
    </xf>
    <xf numFmtId="0" fontId="8" fillId="13" borderId="4" xfId="2" applyFont="1" applyFill="1" applyBorder="1" applyAlignment="1">
      <alignment horizontal="left" vertical="center" wrapText="1"/>
    </xf>
    <xf numFmtId="0" fontId="8" fillId="13" borderId="5" xfId="2" applyFont="1" applyFill="1" applyBorder="1" applyAlignment="1">
      <alignment horizontal="left" vertical="center" wrapText="1"/>
    </xf>
    <xf numFmtId="0" fontId="8" fillId="13" borderId="3" xfId="2" applyFont="1" applyFill="1" applyBorder="1" applyAlignment="1">
      <alignment horizontal="left" vertical="center"/>
    </xf>
    <xf numFmtId="0" fontId="8" fillId="8" borderId="0" xfId="0" applyFont="1" applyFill="1" applyAlignment="1">
      <alignment horizontal="left" vertical="top" wrapText="1"/>
    </xf>
    <xf numFmtId="0" fontId="31" fillId="2" borderId="0" xfId="2" applyFont="1" applyFill="1" applyAlignment="1">
      <alignment horizontal="center" vertical="center"/>
    </xf>
    <xf numFmtId="0" fontId="10" fillId="2" borderId="0" xfId="2" applyFont="1" applyFill="1" applyAlignment="1">
      <alignment horizontal="center" vertical="center"/>
    </xf>
    <xf numFmtId="0" fontId="31" fillId="2" borderId="22" xfId="2" applyFont="1" applyFill="1" applyBorder="1" applyAlignment="1">
      <alignment horizontal="center" vertical="center"/>
    </xf>
    <xf numFmtId="0" fontId="31" fillId="2" borderId="23" xfId="2" applyFont="1" applyFill="1" applyBorder="1" applyAlignment="1">
      <alignment horizontal="center" vertical="center"/>
    </xf>
    <xf numFmtId="0" fontId="32" fillId="8" borderId="0" xfId="0" applyFont="1" applyFill="1" applyAlignment="1">
      <alignment horizontal="left" vertical="top" wrapText="1"/>
    </xf>
    <xf numFmtId="0" fontId="39" fillId="2" borderId="26" xfId="0" applyFont="1" applyFill="1" applyBorder="1" applyAlignment="1">
      <alignment horizontal="center"/>
    </xf>
    <xf numFmtId="0" fontId="39" fillId="2" borderId="13" xfId="0" applyFont="1" applyFill="1" applyBorder="1" applyAlignment="1">
      <alignment horizontal="center"/>
    </xf>
    <xf numFmtId="0" fontId="39" fillId="2" borderId="27" xfId="0" applyFont="1" applyFill="1" applyBorder="1" applyAlignment="1">
      <alignment horizontal="center"/>
    </xf>
    <xf numFmtId="0" fontId="39" fillId="2" borderId="22" xfId="0" applyFont="1" applyFill="1" applyBorder="1" applyAlignment="1">
      <alignment horizontal="center"/>
    </xf>
    <xf numFmtId="0" fontId="39" fillId="2" borderId="23" xfId="0" applyFont="1" applyFill="1" applyBorder="1" applyAlignment="1">
      <alignment horizontal="center"/>
    </xf>
    <xf numFmtId="0" fontId="39" fillId="2" borderId="32" xfId="0" applyFont="1" applyFill="1" applyBorder="1" applyAlignment="1">
      <alignment horizontal="center"/>
    </xf>
    <xf numFmtId="0" fontId="10" fillId="2" borderId="0" xfId="6" applyFont="1" applyFill="1" applyAlignment="1">
      <alignment horizontal="left"/>
    </xf>
  </cellXfs>
  <cellStyles count="12">
    <cellStyle name="Comma" xfId="4" builtinId="3"/>
    <cellStyle name="Comma 2" xfId="8" xr:uid="{00000000-0005-0000-0000-000001000000}"/>
    <cellStyle name="Hyperlink" xfId="5" builtinId="8"/>
    <cellStyle name="Hyperlink 2" xfId="9" xr:uid="{00000000-0005-0000-0000-000003000000}"/>
    <cellStyle name="Millares 2" xfId="11" xr:uid="{00000000-0005-0000-0000-000004000000}"/>
    <cellStyle name="Normal" xfId="0" builtinId="0"/>
    <cellStyle name="Normal 2" xfId="2" xr:uid="{00000000-0005-0000-0000-000006000000}"/>
    <cellStyle name="Normal 2 2" xfId="10" xr:uid="{00000000-0005-0000-0000-000007000000}"/>
    <cellStyle name="Normal 3" xfId="6" xr:uid="{00000000-0005-0000-0000-000008000000}"/>
    <cellStyle name="Percent" xfId="1" builtinId="5"/>
    <cellStyle name="Percent 2" xfId="3" xr:uid="{00000000-0005-0000-0000-00000A000000}"/>
    <cellStyle name="Percent 3" xfId="7" xr:uid="{00000000-0005-0000-0000-00000B000000}"/>
  </cellStyles>
  <dxfs count="12">
    <dxf>
      <fill>
        <patternFill>
          <bgColor rgb="FFFF0000"/>
        </patternFill>
      </fill>
    </dxf>
    <dxf>
      <fill>
        <patternFill>
          <bgColor rgb="FF25C6FF"/>
        </patternFill>
      </fill>
    </dxf>
    <dxf>
      <fill>
        <patternFill>
          <bgColor rgb="FF25C6FF"/>
        </patternFill>
      </fill>
    </dxf>
    <dxf>
      <fill>
        <patternFill>
          <bgColor rgb="FF25C6FF"/>
        </patternFill>
      </fill>
    </dxf>
    <dxf>
      <fill>
        <patternFill>
          <bgColor rgb="FFE8D548"/>
        </patternFill>
      </fill>
    </dxf>
    <dxf>
      <fill>
        <patternFill>
          <bgColor rgb="FF25C6FF"/>
        </patternFill>
      </fill>
    </dxf>
    <dxf>
      <fill>
        <patternFill>
          <bgColor theme="1"/>
        </patternFill>
      </fill>
    </dxf>
    <dxf>
      <font>
        <b/>
        <i val="0"/>
        <color auto="1"/>
      </font>
    </dxf>
    <dxf>
      <font>
        <b/>
        <i val="0"/>
        <color auto="1"/>
      </font>
    </dxf>
    <dxf>
      <font>
        <b/>
        <i val="0"/>
        <color auto="1"/>
      </font>
    </dxf>
    <dxf>
      <font>
        <color theme="0"/>
      </font>
      <numFmt numFmtId="2" formatCode="0.00"/>
      <fill>
        <patternFill>
          <bgColor rgb="FFFF0000"/>
        </patternFill>
      </fill>
    </dxf>
    <dxf>
      <font>
        <b val="0"/>
        <i val="0"/>
        <strike val="0"/>
        <color auto="1"/>
      </font>
      <fill>
        <patternFill>
          <bgColor rgb="FFFF9999"/>
        </patternFill>
      </fill>
    </dxf>
  </dxfs>
  <tableStyles count="0" defaultTableStyle="TableStyleMedium9" defaultPivotStyle="PivotStyleMedium7"/>
  <colors>
    <mruColors>
      <color rgb="FFDBAD4F"/>
      <color rgb="FFE8D548"/>
      <color rgb="FF25C6FF"/>
      <color rgb="FF2D5CA3"/>
      <color rgb="FFFF9999"/>
      <color rgb="FFFCB041"/>
      <color rgb="FF007AC3"/>
      <color rgb="FF45C9F5"/>
      <color rgb="FFA5A5A5"/>
      <color rgb="FFF2F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openxmlformats.org/officeDocument/2006/relationships/customXml" Target="../customXml/item4.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403058219236837"/>
          <c:y val="9.5763478492218571E-2"/>
          <c:w val="0.79760111087068786"/>
          <c:h val="0.76614939846295294"/>
        </c:manualLayout>
      </c:layout>
      <c:barChart>
        <c:barDir val="bar"/>
        <c:grouping val="stacked"/>
        <c:varyColors val="0"/>
        <c:ser>
          <c:idx val="0"/>
          <c:order val="0"/>
          <c:tx>
            <c:strRef>
              <c:f>'6-Biogas Production'!$D$37</c:f>
              <c:strCache>
                <c:ptCount val="1"/>
                <c:pt idx="0">
                  <c:v>Methane Production (m3/day)</c:v>
                </c:pt>
              </c:strCache>
            </c:strRef>
          </c:tx>
          <c:spPr>
            <a:solidFill>
              <a:srgbClr val="25C6FF"/>
            </a:solidFill>
            <a:ln>
              <a:solidFill>
                <a:schemeClr val="tx1"/>
              </a:solidFill>
            </a:ln>
            <a:effectLst/>
          </c:spPr>
          <c:invertIfNegative val="0"/>
          <c:cat>
            <c:strRef>
              <c:f>'6-Biogas Production'!$A$38:$A$52</c:f>
              <c:strCache>
                <c:ptCount val="3"/>
                <c:pt idx="0">
                  <c:v>Calf</c:v>
                </c:pt>
                <c:pt idx="1">
                  <c:v>Adolescents Pigs</c:v>
                </c:pt>
                <c:pt idx="2">
                  <c:v>Poultry Chicken</c:v>
                </c:pt>
              </c:strCache>
            </c:strRef>
          </c:cat>
          <c:val>
            <c:numRef>
              <c:f>'6-Biogas Production'!$D$38:$D$52</c:f>
              <c:numCache>
                <c:formatCode>#,##0.000</c:formatCode>
                <c:ptCount val="15"/>
                <c:pt idx="0">
                  <c:v>152.40940022744337</c:v>
                </c:pt>
                <c:pt idx="1">
                  <c:v>4.9929474194843868</c:v>
                </c:pt>
                <c:pt idx="2">
                  <c:v>4.5438005415117608</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58A-4EC9-87AA-C63B7159DC41}"/>
            </c:ext>
          </c:extLst>
        </c:ser>
        <c:ser>
          <c:idx val="1"/>
          <c:order val="1"/>
          <c:tx>
            <c:strRef>
              <c:f>'6-Biogas Production'!$E$37</c:f>
              <c:strCache>
                <c:ptCount val="1"/>
                <c:pt idx="0">
                  <c:v>Other Gases (m3/day)</c:v>
                </c:pt>
              </c:strCache>
            </c:strRef>
          </c:tx>
          <c:spPr>
            <a:solidFill>
              <a:schemeClr val="accent2"/>
            </a:solidFill>
            <a:ln>
              <a:solidFill>
                <a:sysClr val="windowText" lastClr="000000"/>
              </a:solidFill>
            </a:ln>
            <a:effectLst/>
          </c:spPr>
          <c:invertIfNegative val="0"/>
          <c:cat>
            <c:strRef>
              <c:f>'6-Biogas Production'!$A$38:$A$52</c:f>
              <c:strCache>
                <c:ptCount val="3"/>
                <c:pt idx="0">
                  <c:v>Calf</c:v>
                </c:pt>
                <c:pt idx="1">
                  <c:v>Adolescents Pigs</c:v>
                </c:pt>
                <c:pt idx="2">
                  <c:v>Poultry Chicken</c:v>
                </c:pt>
              </c:strCache>
            </c:strRef>
          </c:cat>
          <c:val>
            <c:numRef>
              <c:f>'6-Biogas Production'!$E$38:$E$52</c:f>
              <c:numCache>
                <c:formatCode>#,##0.000</c:formatCode>
                <c:ptCount val="15"/>
                <c:pt idx="0">
                  <c:v>153.02025954699224</c:v>
                </c:pt>
                <c:pt idx="1">
                  <c:v>5.0129592327889343</c:v>
                </c:pt>
                <c:pt idx="2" formatCode="#,##0">
                  <c:v>4.5620121669286409</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numCache>
            </c:numRef>
          </c:val>
          <c:extLst>
            <c:ext xmlns:c16="http://schemas.microsoft.com/office/drawing/2014/chart" uri="{C3380CC4-5D6E-409C-BE32-E72D297353CC}">
              <c16:uniqueId val="{00000001-958A-4EC9-87AA-C63B7159DC41}"/>
            </c:ext>
          </c:extLst>
        </c:ser>
        <c:dLbls>
          <c:showLegendKey val="0"/>
          <c:showVal val="0"/>
          <c:showCatName val="0"/>
          <c:showSerName val="0"/>
          <c:showPercent val="0"/>
          <c:showBubbleSize val="0"/>
        </c:dLbls>
        <c:gapWidth val="75"/>
        <c:overlap val="100"/>
        <c:axId val="42551408"/>
        <c:axId val="42552584"/>
      </c:barChart>
      <c:catAx>
        <c:axId val="42551408"/>
        <c:scaling>
          <c:orientation val="maxMin"/>
        </c:scaling>
        <c:delete val="0"/>
        <c:axPos val="l"/>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1"/>
                  <a:t>Feedstocks</a:t>
                </a:r>
              </a:p>
            </c:rich>
          </c:tx>
          <c:layout>
            <c:manualLayout>
              <c:xMode val="edge"/>
              <c:yMode val="edge"/>
              <c:x val="1.1811396327707228E-2"/>
              <c:y val="0.38052649006472933"/>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2552584"/>
        <c:crosses val="autoZero"/>
        <c:auto val="1"/>
        <c:lblAlgn val="ctr"/>
        <c:lblOffset val="100"/>
        <c:noMultiLvlLbl val="0"/>
      </c:catAx>
      <c:valAx>
        <c:axId val="42552584"/>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400" b="1">
                    <a:solidFill>
                      <a:sysClr val="windowText" lastClr="000000"/>
                    </a:solidFill>
                  </a:rPr>
                  <a:t>Biogas</a:t>
                </a:r>
                <a:r>
                  <a:rPr lang="en-US" sz="1400" b="1" baseline="0">
                    <a:solidFill>
                      <a:sysClr val="windowText" lastClr="000000"/>
                    </a:solidFill>
                  </a:rPr>
                  <a:t> </a:t>
                </a:r>
                <a:r>
                  <a:rPr lang="en-US" sz="1400" b="1">
                    <a:solidFill>
                      <a:sysClr val="windowText" lastClr="000000"/>
                    </a:solidFill>
                  </a:rPr>
                  <a:t>Production</a:t>
                </a:r>
              </a:p>
            </c:rich>
          </c:tx>
          <c:layout>
            <c:manualLayout>
              <c:xMode val="edge"/>
              <c:yMode val="edge"/>
              <c:x val="0.431080192671778"/>
              <c:y val="0.92183471051094557"/>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42551408"/>
        <c:crosses val="autoZero"/>
        <c:crossBetween val="between"/>
      </c:valAx>
      <c:spPr>
        <a:noFill/>
        <a:ln>
          <a:noFill/>
        </a:ln>
        <a:effectLst/>
      </c:spPr>
    </c:plotArea>
    <c:legend>
      <c:legendPos val="r"/>
      <c:layout>
        <c:manualLayout>
          <c:xMode val="edge"/>
          <c:yMode val="edge"/>
          <c:x val="0.65583046179790094"/>
          <c:y val="0.882674212074121"/>
          <c:w val="0.27471199509571359"/>
          <c:h val="0.10070274972857911"/>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123559413957541"/>
          <c:y val="3.2231598687294888E-2"/>
          <c:w val="0.76912258528183575"/>
          <c:h val="0.82981715893108299"/>
        </c:manualLayout>
      </c:layout>
      <c:barChart>
        <c:barDir val="bar"/>
        <c:grouping val="stacked"/>
        <c:varyColors val="0"/>
        <c:ser>
          <c:idx val="0"/>
          <c:order val="0"/>
          <c:tx>
            <c:strRef>
              <c:f>'7-Digestate Production'!$F$34</c:f>
              <c:strCache>
                <c:ptCount val="1"/>
                <c:pt idx="0">
                  <c:v>Dry Sludge</c:v>
                </c:pt>
              </c:strCache>
            </c:strRef>
          </c:tx>
          <c:spPr>
            <a:solidFill>
              <a:srgbClr val="25C6FF"/>
            </a:solidFill>
            <a:ln>
              <a:solidFill>
                <a:sysClr val="windowText" lastClr="000000"/>
              </a:solidFill>
            </a:ln>
            <a:effectLst/>
          </c:spPr>
          <c:invertIfNegative val="0"/>
          <c:cat>
            <c:strRef>
              <c:f>'7-Digestate Production'!$A$35:$A$49</c:f>
              <c:strCache>
                <c:ptCount val="3"/>
                <c:pt idx="0">
                  <c:v>Calf</c:v>
                </c:pt>
                <c:pt idx="1">
                  <c:v>Adolescents Pigs</c:v>
                </c:pt>
                <c:pt idx="2">
                  <c:v>Poultry Chicken</c:v>
                </c:pt>
              </c:strCache>
            </c:strRef>
          </c:cat>
          <c:val>
            <c:numRef>
              <c:f>'7-Digestate Production'!$F$35:$F$49</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BAC6-442B-BEE0-941BC32B8085}"/>
            </c:ext>
          </c:extLst>
        </c:ser>
        <c:ser>
          <c:idx val="1"/>
          <c:order val="1"/>
          <c:tx>
            <c:strRef>
              <c:f>'7-Digestate Production'!$G$34</c:f>
              <c:strCache>
                <c:ptCount val="1"/>
                <c:pt idx="0">
                  <c:v>Liquid Effluent</c:v>
                </c:pt>
              </c:strCache>
            </c:strRef>
          </c:tx>
          <c:spPr>
            <a:solidFill>
              <a:schemeClr val="accent2"/>
            </a:solidFill>
            <a:ln>
              <a:solidFill>
                <a:sysClr val="windowText" lastClr="000000"/>
              </a:solidFill>
            </a:ln>
            <a:effectLst/>
          </c:spPr>
          <c:invertIfNegative val="0"/>
          <c:cat>
            <c:strRef>
              <c:f>'7-Digestate Production'!$A$35:$A$49</c:f>
              <c:strCache>
                <c:ptCount val="3"/>
                <c:pt idx="0">
                  <c:v>Calf</c:v>
                </c:pt>
                <c:pt idx="1">
                  <c:v>Adolescents Pigs</c:v>
                </c:pt>
                <c:pt idx="2">
                  <c:v>Poultry Chicken</c:v>
                </c:pt>
              </c:strCache>
            </c:strRef>
          </c:cat>
          <c:val>
            <c:numRef>
              <c:f>'7-Digestate Production'!$G$35:$G$49</c:f>
              <c:numCache>
                <c:formatCode>#,##0</c:formatCode>
                <c:ptCount val="15"/>
                <c:pt idx="0">
                  <c:v>18103.322324950503</c:v>
                </c:pt>
                <c:pt idx="1">
                  <c:v>286.65656615031747</c:v>
                </c:pt>
                <c:pt idx="2">
                  <c:v>148.01234100404031</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AC6-442B-BEE0-941BC32B8085}"/>
            </c:ext>
          </c:extLst>
        </c:ser>
        <c:dLbls>
          <c:showLegendKey val="0"/>
          <c:showVal val="0"/>
          <c:showCatName val="0"/>
          <c:showSerName val="0"/>
          <c:showPercent val="0"/>
          <c:showBubbleSize val="0"/>
        </c:dLbls>
        <c:gapWidth val="75"/>
        <c:overlap val="100"/>
        <c:axId val="141834552"/>
        <c:axId val="141833376"/>
      </c:barChart>
      <c:catAx>
        <c:axId val="141834552"/>
        <c:scaling>
          <c:orientation val="maxMin"/>
        </c:scaling>
        <c:delete val="0"/>
        <c:axPos val="l"/>
        <c:title>
          <c:tx>
            <c:rich>
              <a:bodyPr rot="-54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t>Feedstocks</a:t>
                </a:r>
              </a:p>
            </c:rich>
          </c:tx>
          <c:layout>
            <c:manualLayout>
              <c:xMode val="edge"/>
              <c:yMode val="edge"/>
              <c:x val="2.1461562377393089E-2"/>
              <c:y val="0.35752048403034281"/>
            </c:manualLayout>
          </c:layout>
          <c:overlay val="0"/>
          <c:spPr>
            <a:noFill/>
            <a:ln>
              <a:noFill/>
            </a:ln>
            <a:effectLst/>
          </c:spPr>
          <c:txPr>
            <a:bodyPr rot="-5400000" spcFirstLastPara="1" vertOverflow="ellipsis" vert="horz" wrap="square" anchor="ctr" anchorCtr="1"/>
            <a:lstStyle/>
            <a:p>
              <a:pPr>
                <a:defRPr sz="11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General" sourceLinked="1"/>
        <c:majorTickMark val="none"/>
        <c:minorTickMark val="none"/>
        <c:tickLblPos val="nextTo"/>
        <c:spPr>
          <a:noFill/>
          <a:ln w="9525" cap="flat" cmpd="sng" algn="ctr">
            <a:solidFill>
              <a:sysClr val="windowText" lastClr="000000"/>
            </a:solidFill>
            <a:round/>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1833376"/>
        <c:crosses val="autoZero"/>
        <c:auto val="1"/>
        <c:lblAlgn val="ctr"/>
        <c:lblOffset val="100"/>
        <c:noMultiLvlLbl val="0"/>
      </c:catAx>
      <c:valAx>
        <c:axId val="141833376"/>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400" b="1" baseline="0"/>
                  <a:t>Digestate Component</a:t>
                </a:r>
                <a:endParaRPr lang="en-US" sz="1400" b="1"/>
              </a:p>
            </c:rich>
          </c:tx>
          <c:layout>
            <c:manualLayout>
              <c:xMode val="edge"/>
              <c:yMode val="edge"/>
              <c:x val="0.36777602078148525"/>
              <c:y val="0.93363220815752468"/>
            </c:manualLayout>
          </c:layout>
          <c:overlay val="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141834552"/>
        <c:crosses val="autoZero"/>
        <c:crossBetween val="between"/>
      </c:valAx>
      <c:spPr>
        <a:noFill/>
        <a:ln>
          <a:noFill/>
        </a:ln>
        <a:effectLst/>
      </c:spPr>
    </c:plotArea>
    <c:legend>
      <c:legendPos val="r"/>
      <c:layout>
        <c:manualLayout>
          <c:xMode val="edge"/>
          <c:yMode val="edge"/>
          <c:x val="0.84823069930958628"/>
          <c:y val="0.12831910461321833"/>
          <c:w val="0.1041963934235597"/>
          <c:h val="0.10646394675349125"/>
        </c:manualLayout>
      </c:layout>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100">
          <a:solidFill>
            <a:sysClr val="windowText" lastClr="00000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2" Type="http://schemas.openxmlformats.org/officeDocument/2006/relationships/hyperlink" Target="https://www.globalmethane.org/resources/" TargetMode="External"/><Relationship Id="rId1" Type="http://schemas.openxmlformats.org/officeDocument/2006/relationships/hyperlink" Target="mailto:biogastoolkit@epa.gov" TargetMode="External"/></Relationships>
</file>

<file path=xl/drawings/_rels/vmlDrawing3.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18</xdr:col>
      <xdr:colOff>0</xdr:colOff>
      <xdr:row>24</xdr:row>
      <xdr:rowOff>175432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887200" cy="48998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57150</xdr:colOff>
      <xdr:row>2</xdr:row>
      <xdr:rowOff>17144</xdr:rowOff>
    </xdr:from>
    <xdr:to>
      <xdr:col>14</xdr:col>
      <xdr:colOff>0</xdr:colOff>
      <xdr:row>26</xdr:row>
      <xdr:rowOff>171450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7150" y="442594"/>
          <a:ext cx="9188450" cy="4878706"/>
        </a:xfrm>
        <a:prstGeom prst="rect">
          <a:avLst/>
        </a:prstGeom>
        <a:solidFill>
          <a:srgbClr val="F2F2F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a:lnSpc>
              <a:spcPct val="107000"/>
            </a:lnSpc>
            <a:spcBef>
              <a:spcPts val="0"/>
            </a:spcBef>
            <a:spcAft>
              <a:spcPts val="800"/>
            </a:spcAft>
          </a:pPr>
          <a:r>
            <a:rPr lang="en-US" sz="1100">
              <a:effectLst/>
              <a:latin typeface="Arial" panose="020B0604020202020204" pitchFamily="34" charset="0"/>
              <a:ea typeface="Calibri" panose="020F0502020204030204" pitchFamily="34" charset="0"/>
              <a:cs typeface="Arial" panose="020B0604020202020204" pitchFamily="34" charset="0"/>
            </a:rPr>
            <a:t>As of</a:t>
          </a:r>
          <a:r>
            <a:rPr lang="en-US" sz="1100" baseline="0">
              <a:effectLst/>
              <a:latin typeface="Arial" panose="020B0604020202020204" pitchFamily="34" charset="0"/>
              <a:ea typeface="Calibri" panose="020F0502020204030204" pitchFamily="34" charset="0"/>
              <a:cs typeface="Arial" panose="020B0604020202020204" pitchFamily="34" charset="0"/>
            </a:rPr>
            <a:t> February 2022</a:t>
          </a:r>
          <a:r>
            <a:rPr lang="en-US" sz="1100">
              <a:effectLst/>
              <a:latin typeface="Arial" panose="020B0604020202020204" pitchFamily="34" charset="0"/>
              <a:ea typeface="Calibri" panose="020F0502020204030204" pitchFamily="34" charset="0"/>
              <a:cs typeface="Arial" panose="020B0604020202020204" pitchFamily="34" charset="0"/>
            </a:rPr>
            <a:t>, there have been four</a:t>
          </a:r>
          <a:r>
            <a:rPr lang="en-US" sz="1100" baseline="0">
              <a:effectLst/>
              <a:latin typeface="Arial" panose="020B0604020202020204" pitchFamily="34" charset="0"/>
              <a:ea typeface="Calibri" panose="020F0502020204030204" pitchFamily="34" charset="0"/>
              <a:cs typeface="Arial" panose="020B0604020202020204" pitchFamily="34" charset="0"/>
            </a:rPr>
            <a:t> </a:t>
          </a:r>
          <a:r>
            <a:rPr lang="en-US" sz="1100">
              <a:effectLst/>
              <a:latin typeface="Arial" panose="020B0604020202020204" pitchFamily="34" charset="0"/>
              <a:ea typeface="Calibri" panose="020F0502020204030204" pitchFamily="34" charset="0"/>
              <a:cs typeface="Arial" panose="020B0604020202020204" pitchFamily="34" charset="0"/>
            </a:rPr>
            <a:t>public releases of the Anaerobic Digestion (AD)</a:t>
          </a:r>
          <a:r>
            <a:rPr lang="en-US" sz="1100" baseline="0">
              <a:effectLst/>
              <a:latin typeface="Arial" panose="020B0604020202020204" pitchFamily="34" charset="0"/>
              <a:ea typeface="Calibri" panose="020F0502020204030204" pitchFamily="34" charset="0"/>
              <a:cs typeface="Arial" panose="020B0604020202020204" pitchFamily="34" charset="0"/>
            </a:rPr>
            <a:t> Screening Tool</a:t>
          </a:r>
          <a:r>
            <a:rPr lang="en-US" sz="1100">
              <a:effectLst/>
              <a:latin typeface="Arial" panose="020B0604020202020204" pitchFamily="34" charset="0"/>
              <a:ea typeface="Calibri" panose="020F0502020204030204" pitchFamily="34" charset="0"/>
              <a:cs typeface="Arial" panose="020B0604020202020204" pitchFamily="34" charset="0"/>
            </a:rPr>
            <a:t>. The following list briefly describes the differences between these versions of the AD Screening Tool. </a:t>
          </a:r>
        </a:p>
        <a:p>
          <a:pPr marL="0" marR="0">
            <a:lnSpc>
              <a:spcPct val="107000"/>
            </a:lnSpc>
            <a:spcBef>
              <a:spcPts val="0"/>
            </a:spcBef>
            <a:spcAft>
              <a:spcPts val="800"/>
            </a:spcAft>
          </a:pPr>
          <a:r>
            <a:rPr lang="en-US" sz="1100" b="1" u="sng">
              <a:effectLst/>
              <a:latin typeface="Arial" panose="020B0604020202020204" pitchFamily="34" charset="0"/>
              <a:ea typeface="Calibri" panose="020F0502020204030204" pitchFamily="34" charset="0"/>
              <a:cs typeface="Arial" panose="020B0604020202020204" pitchFamily="34" charset="0"/>
            </a:rPr>
            <a:t>Anaerobic Digestion Project Screening Tool</a:t>
          </a:r>
          <a:r>
            <a:rPr lang="en-US" sz="1100" b="1" u="sng" baseline="0">
              <a:effectLst/>
              <a:latin typeface="Arial" panose="020B0604020202020204" pitchFamily="34" charset="0"/>
              <a:ea typeface="Calibri" panose="020F0502020204030204" pitchFamily="34" charset="0"/>
              <a:cs typeface="Arial" panose="020B0604020202020204" pitchFamily="34" charset="0"/>
            </a:rPr>
            <a:t> (AD-PST)</a:t>
          </a:r>
          <a:r>
            <a:rPr lang="en-US" sz="1100" b="1" u="sng">
              <a:effectLst/>
              <a:latin typeface="Arial" panose="020B0604020202020204" pitchFamily="34" charset="0"/>
              <a:ea typeface="Calibri" panose="020F0502020204030204" pitchFamily="34" charset="0"/>
              <a:cs typeface="Arial" panose="020B0604020202020204" pitchFamily="34" charset="0"/>
            </a:rPr>
            <a:t> </a:t>
          </a:r>
          <a:r>
            <a:rPr lang="en-US" sz="1100" b="1" u="sng">
              <a:solidFill>
                <a:sysClr val="windowText" lastClr="000000"/>
              </a:solidFill>
              <a:effectLst/>
              <a:latin typeface="Arial" panose="020B0604020202020204" pitchFamily="34" charset="0"/>
              <a:ea typeface="Calibri" panose="020F0502020204030204" pitchFamily="34" charset="0"/>
              <a:cs typeface="Arial" panose="020B0604020202020204" pitchFamily="34" charset="0"/>
            </a:rPr>
            <a:t>1.0 (July 2018)</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Released original AD-PST in July 2018.</a:t>
          </a:r>
          <a:endParaRPr lang="en-US" sz="1100" b="1" u="sng">
            <a:effectLst/>
            <a:latin typeface="Arial" panose="020B0604020202020204" pitchFamily="34" charset="0"/>
            <a:ea typeface="Calibri" panose="020F0502020204030204" pitchFamily="34" charset="0"/>
            <a:cs typeface="Arial" panose="020B0604020202020204" pitchFamily="34" charset="0"/>
          </a:endParaRPr>
        </a:p>
        <a:p>
          <a:pPr marL="0" marR="0" indent="0">
            <a:lnSpc>
              <a:spcPct val="107000"/>
            </a:lnSpc>
            <a:spcBef>
              <a:spcPts val="0"/>
            </a:spcBef>
            <a:spcAft>
              <a:spcPts val="0"/>
            </a:spcAft>
            <a:buFont typeface="Arial" panose="020B0604020202020204" pitchFamily="34" charset="0"/>
            <a:buNone/>
          </a:pPr>
          <a:endParaRPr lang="en-US" sz="1100" b="1" u="sng">
            <a:effectLst/>
            <a:latin typeface="Arial" panose="020B0604020202020204" pitchFamily="34" charset="0"/>
            <a:ea typeface="Calibri" panose="020F0502020204030204" pitchFamily="34" charset="0"/>
            <a:cs typeface="Arial" panose="020B0604020202020204" pitchFamily="34" charset="0"/>
          </a:endParaRPr>
        </a:p>
        <a:p>
          <a:pPr marL="0" marR="0" indent="0">
            <a:lnSpc>
              <a:spcPct val="107000"/>
            </a:lnSpc>
            <a:spcBef>
              <a:spcPts val="0"/>
            </a:spcBef>
            <a:spcAft>
              <a:spcPts val="800"/>
            </a:spcAft>
            <a:buFont typeface="Arial" panose="020B0604020202020204" pitchFamily="34" charset="0"/>
            <a:buNone/>
          </a:pPr>
          <a:r>
            <a:rPr lang="en-US" sz="1100" b="1" u="sng">
              <a:effectLst/>
              <a:latin typeface="Arial" panose="020B0604020202020204" pitchFamily="34" charset="0"/>
              <a:ea typeface="Calibri" panose="020F0502020204030204" pitchFamily="34" charset="0"/>
              <a:cs typeface="Arial" panose="020B0604020202020204" pitchFamily="34" charset="0"/>
            </a:rPr>
            <a:t>AD </a:t>
          </a:r>
          <a:r>
            <a:rPr lang="en-US" sz="1100" b="1" u="sng" baseline="0">
              <a:effectLst/>
              <a:latin typeface="Arial" panose="020B0604020202020204" pitchFamily="34" charset="0"/>
              <a:ea typeface="Calibri" panose="020F0502020204030204" pitchFamily="34" charset="0"/>
              <a:cs typeface="Arial" panose="020B0604020202020204" pitchFamily="34" charset="0"/>
            </a:rPr>
            <a:t>Screening Tool </a:t>
          </a:r>
          <a:r>
            <a:rPr lang="en-US" sz="1100" b="1" u="sng">
              <a:effectLst/>
              <a:latin typeface="Arial" panose="020B0604020202020204" pitchFamily="34" charset="0"/>
              <a:ea typeface="Calibri" panose="020F0502020204030204" pitchFamily="34" charset="0"/>
              <a:cs typeface="Arial" panose="020B0604020202020204" pitchFamily="34" charset="0"/>
            </a:rPr>
            <a:t>2.0 (October 2021)</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Revised the user interface and input sheets for ease of use</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Added calibration</a:t>
          </a:r>
          <a:r>
            <a:rPr lang="en-US" sz="1100" baseline="0">
              <a:effectLst/>
              <a:latin typeface="Arial" panose="020B0604020202020204" pitchFamily="34" charset="0"/>
              <a:ea typeface="Calibri" panose="020F0502020204030204" pitchFamily="34" charset="0"/>
              <a:cs typeface="Arial" panose="020B0604020202020204" pitchFamily="34" charset="0"/>
            </a:rPr>
            <a:t> factors for high and low biogas production estimates</a:t>
          </a: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Added feature</a:t>
          </a:r>
          <a:r>
            <a:rPr lang="en-US" sz="1100" baseline="0">
              <a:effectLst/>
              <a:latin typeface="Arial" panose="020B0604020202020204" pitchFamily="34" charset="0"/>
              <a:ea typeface="Calibri" panose="020F0502020204030204" pitchFamily="34" charset="0"/>
              <a:cs typeface="Arial" panose="020B0604020202020204" pitchFamily="34" charset="0"/>
            </a:rPr>
            <a:t> to estimate methane emissions reductions compared to baseline waste management systems</a:t>
          </a:r>
          <a:endParaRPr lang="en-US" sz="1100">
            <a:effectLst/>
            <a:latin typeface="Arial" panose="020B0604020202020204" pitchFamily="34" charset="0"/>
            <a:ea typeface="Calibri" panose="020F0502020204030204" pitchFamily="34" charset="0"/>
            <a:cs typeface="Arial" panose="020B0604020202020204" pitchFamily="34" charset="0"/>
          </a:endParaRP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Added</a:t>
          </a:r>
          <a:r>
            <a:rPr lang="en-US" sz="1100" baseline="0">
              <a:effectLst/>
              <a:latin typeface="Arial" panose="020B0604020202020204" pitchFamily="34" charset="0"/>
              <a:ea typeface="Calibri" panose="020F0502020204030204" pitchFamily="34" charset="0"/>
              <a:cs typeface="Arial" panose="020B0604020202020204" pitchFamily="34" charset="0"/>
            </a:rPr>
            <a:t> agricultural feedstocks in addition to solid waste</a:t>
          </a:r>
          <a:endParaRPr lang="en-US" sz="1100">
            <a:effectLst/>
            <a:latin typeface="Arial" panose="020B0604020202020204" pitchFamily="34" charset="0"/>
            <a:ea typeface="Calibri" panose="020F0502020204030204" pitchFamily="34" charset="0"/>
            <a:cs typeface="Arial" panose="020B0604020202020204" pitchFamily="34" charset="0"/>
          </a:endParaRPr>
        </a:p>
        <a:p>
          <a:pPr marL="171450" marR="0" lvl="0" indent="-171450">
            <a:lnSpc>
              <a:spcPct val="107000"/>
            </a:lnSpc>
            <a:spcBef>
              <a:spcPts val="0"/>
            </a:spcBef>
            <a:spcAft>
              <a:spcPts val="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Completed peer review process</a:t>
          </a:r>
        </a:p>
        <a:p>
          <a:pPr marL="171450" marR="0" lvl="0" indent="-171450">
            <a:lnSpc>
              <a:spcPct val="107000"/>
            </a:lnSpc>
            <a:spcBef>
              <a:spcPts val="0"/>
            </a:spcBef>
            <a:spcAft>
              <a:spcPts val="800"/>
            </a:spcAft>
            <a:buFont typeface="Courier New" panose="02070309020205020404" pitchFamily="49" charset="0"/>
            <a:buChar char="o"/>
          </a:pPr>
          <a:r>
            <a:rPr lang="en-US" sz="1100">
              <a:effectLst/>
              <a:latin typeface="Arial" panose="020B0604020202020204" pitchFamily="34" charset="0"/>
              <a:ea typeface="Calibri" panose="020F0502020204030204" pitchFamily="34" charset="0"/>
              <a:cs typeface="Arial" panose="020B0604020202020204" pitchFamily="34" charset="0"/>
            </a:rPr>
            <a:t>Published AD</a:t>
          </a:r>
          <a:r>
            <a:rPr lang="en-US" sz="1100" baseline="0">
              <a:effectLst/>
              <a:latin typeface="Arial" panose="020B0604020202020204" pitchFamily="34" charset="0"/>
              <a:ea typeface="Calibri" panose="020F0502020204030204" pitchFamily="34" charset="0"/>
              <a:cs typeface="Arial" panose="020B0604020202020204" pitchFamily="34" charset="0"/>
            </a:rPr>
            <a:t> Screening Tool</a:t>
          </a:r>
          <a:r>
            <a:rPr lang="en-US" sz="1100">
              <a:effectLst/>
              <a:latin typeface="Arial" panose="020B0604020202020204" pitchFamily="34" charset="0"/>
              <a:ea typeface="Calibri" panose="020F0502020204030204" pitchFamily="34" charset="0"/>
              <a:cs typeface="Arial" panose="020B0604020202020204" pitchFamily="34" charset="0"/>
            </a:rPr>
            <a:t> User Manual </a:t>
          </a:r>
        </a:p>
        <a:p>
          <a:pPr marL="0" marR="0" lvl="0" indent="0">
            <a:lnSpc>
              <a:spcPct val="107000"/>
            </a:lnSpc>
            <a:spcBef>
              <a:spcPts val="0"/>
            </a:spcBef>
            <a:spcAft>
              <a:spcPts val="800"/>
            </a:spcAft>
            <a:buFont typeface="Courier New" panose="02070309020205020404" pitchFamily="49" charset="0"/>
            <a:buNone/>
          </a:pPr>
          <a:r>
            <a:rPr lang="en-US" sz="1100" b="1" u="sng">
              <a:effectLst/>
              <a:latin typeface="Arial" panose="020B0604020202020204" pitchFamily="34" charset="0"/>
              <a:ea typeface="Calibri" panose="020F0502020204030204" pitchFamily="34" charset="0"/>
              <a:cs typeface="Arial" panose="020B0604020202020204" pitchFamily="34" charset="0"/>
            </a:rPr>
            <a:t>AD Screening Tool 2.1 &amp; 2.2 (January &amp; March 2022)</a:t>
          </a:r>
        </a:p>
        <a:p>
          <a:pPr marL="171450" marR="0" lvl="0" indent="-171450">
            <a:lnSpc>
              <a:spcPct val="107000"/>
            </a:lnSpc>
            <a:spcBef>
              <a:spcPts val="0"/>
            </a:spcBef>
            <a:spcAft>
              <a:spcPts val="0"/>
            </a:spcAft>
            <a:buFont typeface="Courier New" panose="02070309020205020404" pitchFamily="49" charset="0"/>
            <a:buChar char="o"/>
          </a:pPr>
          <a:r>
            <a:rPr lang="en-US" sz="1100">
              <a:solidFill>
                <a:schemeClr val="dk1"/>
              </a:solidFill>
              <a:effectLst/>
              <a:latin typeface="Arial" panose="020B0604020202020204" pitchFamily="34" charset="0"/>
              <a:ea typeface="Calibri" panose="020F0502020204030204" pitchFamily="34" charset="0"/>
              <a:cs typeface="Arial" panose="020B0604020202020204" pitchFamily="34" charset="0"/>
            </a:rPr>
            <a:t>Fixed</a:t>
          </a:r>
          <a:r>
            <a:rPr lang="en-US" sz="1100" baseline="0">
              <a:solidFill>
                <a:schemeClr val="dk1"/>
              </a:solidFill>
              <a:effectLst/>
              <a:latin typeface="Arial" panose="020B0604020202020204" pitchFamily="34" charset="0"/>
              <a:ea typeface="Calibri" panose="020F0502020204030204" pitchFamily="34" charset="0"/>
              <a:cs typeface="Arial" panose="020B0604020202020204" pitchFamily="34" charset="0"/>
            </a:rPr>
            <a:t> bug causing an error in project methane emissions estimates</a:t>
          </a:r>
        </a:p>
        <a:p>
          <a:pPr marL="171450" marR="0" lvl="0" indent="-171450">
            <a:lnSpc>
              <a:spcPct val="107000"/>
            </a:lnSpc>
            <a:spcBef>
              <a:spcPts val="0"/>
            </a:spcBef>
            <a:spcAft>
              <a:spcPts val="0"/>
            </a:spcAft>
            <a:buFont typeface="Courier New" panose="02070309020205020404" pitchFamily="49" charset="0"/>
            <a:buChar char="o"/>
          </a:pPr>
          <a:r>
            <a:rPr lang="en-US" sz="1100" baseline="0">
              <a:solidFill>
                <a:schemeClr val="dk1"/>
              </a:solidFill>
              <a:effectLst/>
              <a:latin typeface="Arial" panose="020B0604020202020204" pitchFamily="34" charset="0"/>
              <a:ea typeface="Calibri" panose="020F0502020204030204" pitchFamily="34" charset="0"/>
              <a:cs typeface="Arial" panose="020B0604020202020204" pitchFamily="34" charset="0"/>
            </a:rPr>
            <a:t>Fixed bug causing an error in the feedstock substrate composition</a:t>
          </a:r>
        </a:p>
        <a:p>
          <a:pPr marL="171450" marR="0" lvl="0" indent="-171450">
            <a:lnSpc>
              <a:spcPct val="107000"/>
            </a:lnSpc>
            <a:spcBef>
              <a:spcPts val="0"/>
            </a:spcBef>
            <a:spcAft>
              <a:spcPts val="0"/>
            </a:spcAft>
            <a:buFont typeface="Courier New" panose="02070309020205020404" pitchFamily="49" charset="0"/>
            <a:buChar char="o"/>
          </a:pPr>
          <a:endParaRPr lang="en-US" sz="1100" baseline="0">
            <a:solidFill>
              <a:schemeClr val="dk1"/>
            </a:solidFill>
            <a:effectLst/>
            <a:latin typeface="Arial" panose="020B0604020202020204" pitchFamily="34" charset="0"/>
            <a:ea typeface="Calibri" panose="020F0502020204030204" pitchFamily="34" charset="0"/>
            <a:cs typeface="Arial" panose="020B0604020202020204" pitchFamily="34" charset="0"/>
          </a:endParaRPr>
        </a:p>
        <a:p>
          <a:pPr marL="0" marR="0" lvl="0" indent="0" defTabSz="914400" eaLnBrk="1" fontAlgn="auto" latinLnBrk="0" hangingPunct="1">
            <a:lnSpc>
              <a:spcPct val="107000"/>
            </a:lnSpc>
            <a:spcBef>
              <a:spcPts val="0"/>
            </a:spcBef>
            <a:spcAft>
              <a:spcPts val="800"/>
            </a:spcAft>
            <a:buClrTx/>
            <a:buSzTx/>
            <a:buFont typeface="Courier New" panose="02070309020205020404" pitchFamily="49" charset="0"/>
            <a:buNone/>
            <a:tabLst/>
            <a:defRPr/>
          </a:pPr>
          <a:r>
            <a:rPr kumimoji="0" lang="en-US" sz="1100" b="1" i="0" u="sng"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AD Screening Tool 2.3 (October 2023)</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4-Emissions Inputs:</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default grid gross loss value from 5.1% to 4.5% per the most recent eGRID dataset (eGRID2021)</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7-Digestate Production</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a hidden formula for </a:t>
          </a:r>
          <a:r>
            <a:rPr kumimoji="0" lang="en-US" sz="1100" b="0" i="1"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Digestate Production (kg / day) - Remaining Volatile Solids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to account for the percent composition of methane in the Total Biogas Production.</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8-Emission Reductions</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default methane GWP from 25 to 28 per the IPCC AR5 report</a:t>
          </a:r>
        </a:p>
        <a:p>
          <a:pPr marL="171450" marR="0" lvl="0" indent="-171450" defTabSz="914400" eaLnBrk="1" fontAlgn="auto" latinLnBrk="0" hangingPunct="1">
            <a:lnSpc>
              <a:spcPct val="107000"/>
            </a:lnSpc>
            <a:spcBef>
              <a:spcPts val="0"/>
            </a:spcBef>
            <a:spcAft>
              <a:spcPts val="0"/>
            </a:spcAft>
            <a:buClrTx/>
            <a:buSzTx/>
            <a:buFont typeface="Courier New" panose="02070309020205020404" pitchFamily="49" charset="0"/>
            <a:buChar char="o"/>
            <a:tabLst/>
            <a:defRPr/>
          </a:pPr>
          <a:r>
            <a:rPr kumimoji="0" lang="en-US" sz="1100" b="1"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9-Feedstock Characteristcs</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rPr>
            <a:t>: Updated error in formula for the </a:t>
          </a:r>
          <a:r>
            <a:rPr lang="en-US" sz="1100" b="0" i="0" baseline="0">
              <a:solidFill>
                <a:schemeClr val="dk1"/>
              </a:solidFill>
              <a:effectLst/>
              <a:latin typeface="Arial" panose="020B0604020202020204" pitchFamily="34" charset="0"/>
              <a:ea typeface="+mn-ea"/>
              <a:cs typeface="Arial" panose="020B0604020202020204" pitchFamily="34" charset="0"/>
            </a:rPr>
            <a:t>Slaughterhouse Waste (Carcass/Paunch) row, Fixed Solids (Ash) column (cell H99).</a:t>
          </a:r>
          <a:endParaRPr kumimoji="0" lang="en-US" sz="1100" b="0" i="0" u="none" strike="noStrike" kern="0" cap="none" spc="0" normalizeH="0" baseline="0" noProof="0">
            <a:ln>
              <a:noFill/>
            </a:ln>
            <a:solidFill>
              <a:prstClr val="black"/>
            </a:solidFill>
            <a:effectLst/>
            <a:uLnTx/>
            <a:uFillTx/>
            <a:latin typeface="Arial" panose="020B0604020202020204" pitchFamily="34" charset="0"/>
            <a:ea typeface="Calibri" panose="020F050202020403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xdr:row>
      <xdr:rowOff>69560</xdr:rowOff>
    </xdr:from>
    <xdr:to>
      <xdr:col>2</xdr:col>
      <xdr:colOff>8944428</xdr:colOff>
      <xdr:row>19</xdr:row>
      <xdr:rowOff>9071</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84026" y="450560"/>
          <a:ext cx="10275545" cy="3531797"/>
        </a:xfrm>
        <a:prstGeom prst="rect">
          <a:avLst/>
        </a:prstGeom>
        <a:solidFill>
          <a:schemeClr val="bg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The municipal solid waste (MSW) and agricultural sectors are significant sources of short-lived climate pollutant (SLCP) emissions, especially methane and black carbon. Anaerobic digestion (AD) is a natural process in which bacteria break down organic matter in an oxygen-free environment to form biogas and digestate. AD systems provide a variety of environmental and public health benefits that reduce SLCPs, divert organic waste, reduce odors, and destroy pathogens. </a:t>
          </a:r>
          <a:endParaRPr lang="en-US">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100" b="0" i="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The U.S. Environmental Protection Agency on behalf of the Global Methane Initiative (GMI) developed the the Anaerobic Digestion (AD) Screening Tool to support biogas developers in conducting preliminary feasibility assessments of the volume of biogas their AD system could generate based on available waste streams. The tool will provide a first-order estimate of the potential quantity of gas and digestate that could be produced annually by a given waste stream, as well as estimates of emissions reductions from the project as a whole. </a:t>
          </a:r>
          <a:endParaRPr lang="en-US">
            <a:effectLst/>
            <a:latin typeface="Arial" panose="020B0604020202020204" pitchFamily="34" charset="0"/>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also provides users with inputs for the OrganEcs - Anaerobic Digestion Version 3.1 tool based on the digester characteristics input here. OrganEcs was developed by the U.S. Environmental Protection Agency under the auspices of the Global Methane Initiative and in support of the Climate and Clean Air Coalition. Access OrganEcs at https://www.globalmethane.org/resources/details.aspx?resourceid=5175</a:t>
          </a:r>
        </a:p>
        <a:p>
          <a:pPr marL="0" marR="0" lvl="0" indent="0" defTabSz="914400" eaLnBrk="1" fontAlgn="auto" latinLnBrk="0" hangingPunct="1">
            <a:lnSpc>
              <a:spcPct val="100000"/>
            </a:lnSpc>
            <a:spcBef>
              <a:spcPts val="0"/>
            </a:spcBef>
            <a:spcAft>
              <a:spcPts val="0"/>
            </a:spcAft>
            <a:buClrTx/>
            <a:buSzTx/>
            <a:buFontTx/>
            <a:buNone/>
            <a:tabLst/>
            <a:defRPr/>
          </a:pPr>
          <a:endParaRPr lang="en-US" sz="1200" b="1" i="0" baseline="0">
            <a:solidFill>
              <a:sysClr val="windowText" lastClr="000000"/>
            </a:solidFill>
            <a:effectLst/>
            <a:latin typeface="Arial" panose="020B0604020202020204" pitchFamily="34" charset="0"/>
            <a:ea typeface="+mn-ea"/>
            <a:cs typeface="Arial" panose="020B0604020202020204" pitchFamily="34" charset="0"/>
          </a:endParaRPr>
        </a:p>
        <a:p>
          <a:pPr eaLnBrk="1" fontAlgn="auto" latinLnBrk="0" hangingPunct="1"/>
          <a:r>
            <a:rPr lang="en-US" sz="1200" b="1" i="0" baseline="0">
              <a:solidFill>
                <a:sysClr val="windowText" lastClr="000000"/>
              </a:solidFill>
              <a:effectLst/>
              <a:latin typeface="Arial" panose="020B0604020202020204" pitchFamily="34" charset="0"/>
              <a:ea typeface="+mn-ea"/>
              <a:cs typeface="Arial" panose="020B0604020202020204" pitchFamily="34" charset="0"/>
            </a:rPr>
            <a:t>Model Organization</a:t>
          </a:r>
          <a:endParaRPr lang="en-US" sz="1200">
            <a:solidFill>
              <a:sysClr val="windowText" lastClr="000000"/>
            </a:solidFill>
            <a:effectLst/>
            <a:latin typeface="Arial" panose="020B0604020202020204" pitchFamily="34" charset="0"/>
            <a:cs typeface="Arial" panose="020B0604020202020204" pitchFamily="34" charset="0"/>
          </a:endParaRPr>
        </a:p>
        <a:p>
          <a:pPr eaLnBrk="1" fontAlgn="auto" latinLnBrk="0" hangingPunct="1"/>
          <a:r>
            <a:rPr lang="en-US" sz="1100" b="0" i="0" baseline="0">
              <a:solidFill>
                <a:sysClr val="windowText" lastClr="000000"/>
              </a:solidFill>
              <a:effectLst/>
              <a:latin typeface="Arial" panose="020B0604020202020204" pitchFamily="34" charset="0"/>
              <a:ea typeface="+mn-ea"/>
              <a:cs typeface="Arial" panose="020B0604020202020204" pitchFamily="34" charset="0"/>
            </a:rPr>
            <a:t>AD Screening Tool is organized as follows: </a:t>
          </a:r>
          <a:endParaRPr lang="en-US" sz="1100">
            <a:solidFill>
              <a:sysClr val="windowText" lastClr="000000"/>
            </a:solidFill>
            <a:effectLst/>
            <a:latin typeface="Arial" panose="020B0604020202020204" pitchFamily="34" charset="0"/>
            <a:cs typeface="Arial" panose="020B0604020202020204" pitchFamily="34" charset="0"/>
          </a:endParaRPr>
        </a:p>
        <a:p>
          <a:pPr eaLnBrk="1" fontAlgn="auto" latinLnBrk="0" hangingPunct="1"/>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The </a:t>
          </a:r>
          <a:r>
            <a:rPr lang="en-US" sz="1200" b="1" i="0" baseline="0">
              <a:ln>
                <a:solidFill>
                  <a:sysClr val="windowText" lastClr="000000"/>
                </a:solidFill>
              </a:ln>
              <a:solidFill>
                <a:srgbClr val="DBAD4F"/>
              </a:solidFill>
              <a:effectLst/>
              <a:latin typeface="Arial" panose="020B0604020202020204" pitchFamily="34" charset="0"/>
              <a:ea typeface="+mn-ea"/>
              <a:cs typeface="Arial" panose="020B0604020202020204" pitchFamily="34" charset="0"/>
            </a:rPr>
            <a:t>BROWN</a:t>
          </a:r>
          <a:r>
            <a:rPr lang="en-US" sz="1100" b="1" i="0" baseline="0">
              <a:solidFill>
                <a:schemeClr val="bg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tabs provide instructions, notes, assumptions, default values references, and additional information. </a:t>
          </a:r>
        </a:p>
        <a:p>
          <a:pPr eaLnBrk="1" fontAlgn="auto" latinLnBrk="0" hangingPunct="1"/>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Users are required to enter data on the </a:t>
          </a:r>
          <a:r>
            <a:rPr lang="en-US" sz="1200" b="1" i="0" baseline="0">
              <a:solidFill>
                <a:srgbClr val="25C6FF"/>
              </a:solidFill>
              <a:effectLst/>
              <a:latin typeface="Arial" panose="020B0604020202020204" pitchFamily="34" charset="0"/>
              <a:ea typeface="+mn-ea"/>
              <a:cs typeface="Arial" panose="020B0604020202020204" pitchFamily="34" charset="0"/>
            </a:rPr>
            <a:t>BLUE</a:t>
          </a:r>
          <a:r>
            <a:rPr lang="en-US" sz="1100" b="0" i="0" baseline="0">
              <a:solidFill>
                <a:srgbClr val="25C6FF"/>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tabs.</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Arial" panose="020B0604020202020204" pitchFamily="34" charset="0"/>
              <a:ea typeface="+mn-ea"/>
              <a:cs typeface="Arial" panose="020B0604020202020204" pitchFamily="34" charset="0"/>
            </a:rPr>
            <a:t>•  The four </a:t>
          </a:r>
          <a:r>
            <a:rPr lang="en-US" sz="1200" b="1" i="0" baseline="0">
              <a:solidFill>
                <a:schemeClr val="dk1"/>
              </a:solidFill>
              <a:effectLst/>
              <a:latin typeface="Arial" panose="020B0604020202020204" pitchFamily="34" charset="0"/>
              <a:ea typeface="+mn-ea"/>
              <a:cs typeface="Arial" panose="020B0604020202020204" pitchFamily="34" charset="0"/>
            </a:rPr>
            <a:t>BLACK</a:t>
          </a:r>
          <a:r>
            <a:rPr lang="en-US" sz="1100" b="0" i="0" baseline="0">
              <a:solidFill>
                <a:schemeClr val="dk1"/>
              </a:solidFill>
              <a:effectLst/>
              <a:latin typeface="Arial" panose="020B0604020202020204" pitchFamily="34" charset="0"/>
              <a:ea typeface="+mn-ea"/>
              <a:cs typeface="Arial" panose="020B0604020202020204" pitchFamily="34" charset="0"/>
            </a:rPr>
            <a:t> tabs provide several tables and charts that summarize the tool's outputs</a:t>
          </a:r>
          <a:endParaRPr lang="en-US" sz="1100">
            <a:solidFill>
              <a:sysClr val="windowText" lastClr="000000"/>
            </a:solidFill>
            <a:effectLst/>
            <a:latin typeface="Arial" panose="020B0604020202020204" pitchFamily="34" charset="0"/>
            <a:cs typeface="Arial" panose="020B0604020202020204" pitchFamily="34" charset="0"/>
          </a:endParaRPr>
        </a:p>
        <a:p>
          <a:pPr eaLnBrk="1" fontAlgn="auto" latinLnBrk="0" hangingPunct="1"/>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The </a:t>
          </a:r>
          <a:r>
            <a:rPr kumimoji="0" lang="en-US" sz="1200" b="1" i="0" u="none" strike="noStrike" kern="0" cap="none" spc="0" normalizeH="0" baseline="0" noProof="0">
              <a:ln>
                <a:solidFill>
                  <a:schemeClr val="tx1"/>
                </a:solidFill>
              </a:ln>
              <a:solidFill>
                <a:srgbClr val="FFFF00"/>
              </a:solidFill>
              <a:effectLst/>
              <a:uLnTx/>
              <a:uFillTx/>
              <a:latin typeface="Arial" panose="020B0604020202020204" pitchFamily="34" charset="0"/>
              <a:ea typeface="+mn-ea"/>
              <a:cs typeface="Arial" panose="020B0604020202020204" pitchFamily="34" charset="0"/>
            </a:rPr>
            <a:t>YELLOW</a:t>
          </a: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r>
            <a:rPr lang="en-US" sz="1100" b="0" i="0" baseline="0">
              <a:solidFill>
                <a:sysClr val="windowText" lastClr="000000"/>
              </a:solidFill>
              <a:effectLst/>
              <a:latin typeface="Arial" panose="020B0604020202020204" pitchFamily="34" charset="0"/>
              <a:ea typeface="+mn-ea"/>
              <a:cs typeface="Arial" panose="020B0604020202020204" pitchFamily="34" charset="0"/>
            </a:rPr>
            <a:t>tabs provides information on assumptions and defaults.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35277</xdr:rowOff>
    </xdr:from>
    <xdr:to>
      <xdr:col>12</xdr:col>
      <xdr:colOff>649109</xdr:colOff>
      <xdr:row>15</xdr:row>
      <xdr:rowOff>77610</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91015" y="416277"/>
          <a:ext cx="8608483" cy="2808111"/>
        </a:xfrm>
        <a:prstGeom prst="rect">
          <a:avLst/>
        </a:prstGeom>
        <a:solidFill>
          <a:schemeClr val="bg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 run the AD Screening Tool, users should take the following steps: </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Users must "Enable Macros." Users will be prompted to do so when opening the workbook. If not prompted to enable macros, the user can enable macros at </a:t>
          </a:r>
          <a:r>
            <a:rPr kumimoji="0" lang="en-US" sz="1100" b="0" i="1"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File → Trust Center →Trust Center Settings.</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Enter data into the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tabs, "3-Digester Inputs" and "4-Emissions Inputs." Users </a:t>
          </a:r>
          <a:r>
            <a:rPr kumimoji="0" lang="en-US" sz="1100" b="1" i="0" u="sng"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must</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enter data in every cell that is shaded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This information will be used to generate biogas and digestate estimates. </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every data point the user enters, the user should make a note of the information source or any assumptions made. The tool provides space for the users to make annotations. </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There are several</a:t>
          </a:r>
          <a:r>
            <a:rPr kumimoji="0" lang="en-US" sz="1100" b="0" i="0" u="none" strike="noStrike" kern="0" cap="none" spc="0" normalizeH="0" baseline="0" noProof="0">
              <a:ln>
                <a:noFill/>
              </a:ln>
              <a:solidFill>
                <a:srgbClr val="DBAD4F"/>
              </a:solidFill>
              <a:effectLst/>
              <a:uLnTx/>
              <a:uFillTx/>
              <a:latin typeface="Arial" panose="020B0604020202020204" pitchFamily="34" charset="0"/>
              <a:ea typeface="+mn-ea"/>
              <a:cs typeface="Arial" panose="020B0604020202020204" pitchFamily="34" charset="0"/>
            </a:rPr>
            <a:t> </a:t>
          </a:r>
          <a:r>
            <a:rPr kumimoji="0" lang="en-US" sz="1200" b="1" i="0" u="none" strike="noStrike" kern="0" cap="none" spc="0" normalizeH="0" baseline="0" noProof="0">
              <a:ln w="3175">
                <a:solidFill>
                  <a:prstClr val="black"/>
                </a:solidFill>
              </a:ln>
              <a:solidFill>
                <a:srgbClr val="FFFF00"/>
              </a:solidFill>
              <a:effectLst/>
              <a:uLnTx/>
              <a:uFillTx/>
              <a:latin typeface="Arial" panose="020B0604020202020204" pitchFamily="34" charset="0"/>
              <a:ea typeface="+mn-ea"/>
              <a:cs typeface="Arial" panose="020B0604020202020204" pitchFamily="34" charset="0"/>
            </a:rPr>
            <a:t>YELLOW</a:t>
          </a:r>
          <a:r>
            <a:rPr kumimoji="0" lang="en-US" sz="1200" b="1" i="0" u="none" strike="noStrike" kern="0" cap="none" spc="0" normalizeH="0" baseline="0" noProof="0">
              <a:ln>
                <a:noFill/>
              </a:ln>
              <a:solidFill>
                <a:srgbClr val="FFFF00"/>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cells in the "3-Digester Inputs"</a:t>
          </a:r>
          <a:r>
            <a:rPr kumimoji="0" lang="en-US" sz="1100" b="0"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tab. These cells represent default values or assumptions. Users are not required to change these values, but are encouraged to do so if local data are available.</a:t>
          </a:r>
        </a:p>
        <a:p>
          <a:pPr marL="228600" marR="0" lvl="0" indent="-228600" defTabSz="914400" eaLnBrk="1" fontAlgn="auto" latinLnBrk="0" hangingPunct="1">
            <a:lnSpc>
              <a:spcPct val="100000"/>
            </a:lnSpc>
            <a:spcBef>
              <a:spcPts val="0"/>
            </a:spcBef>
            <a:spcAft>
              <a:spcPts val="0"/>
            </a:spcAft>
            <a:buClrTx/>
            <a:buSzTx/>
            <a:buFont typeface="+mj-lt"/>
            <a:buAutoNum type="arabicPeriod"/>
            <a:tabLst/>
            <a:defRPr/>
          </a:pPr>
          <a:r>
            <a:rPr lang="en-US" sz="1100" b="0" i="0" baseline="0">
              <a:solidFill>
                <a:schemeClr val="dk1"/>
              </a:solidFill>
              <a:effectLst/>
              <a:latin typeface="Arial" panose="020B0604020202020204" pitchFamily="34" charset="0"/>
              <a:ea typeface="+mn-ea"/>
              <a:cs typeface="Arial" panose="020B0604020202020204" pitchFamily="34" charset="0"/>
            </a:rPr>
            <a:t>The four </a:t>
          </a:r>
          <a:r>
            <a:rPr lang="en-US" sz="1100" b="1" i="0" baseline="0">
              <a:solidFill>
                <a:schemeClr val="dk1"/>
              </a:solidFill>
              <a:effectLst/>
              <a:latin typeface="Arial" panose="020B0604020202020204" pitchFamily="34" charset="0"/>
              <a:ea typeface="+mn-ea"/>
              <a:cs typeface="Arial" panose="020B0604020202020204" pitchFamily="34" charset="0"/>
            </a:rPr>
            <a:t>BLACK</a:t>
          </a:r>
          <a:r>
            <a:rPr lang="en-US" sz="1100" b="0" i="0" baseline="0">
              <a:solidFill>
                <a:schemeClr val="dk1"/>
              </a:solidFill>
              <a:effectLst/>
              <a:latin typeface="Arial" panose="020B0604020202020204" pitchFamily="34" charset="0"/>
              <a:ea typeface="+mn-ea"/>
              <a:cs typeface="Arial" panose="020B0604020202020204" pitchFamily="34" charset="0"/>
            </a:rPr>
            <a:t> tabs provide several tables and charts that summarize the tool's outputs.</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Tips</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provides suggestions and guidance for most of the </a:t>
          </a:r>
          <a:r>
            <a:rPr kumimoji="0" lang="en-US" sz="1200" b="1" i="0" u="none" strike="noStrike" kern="0" cap="none" spc="0" normalizeH="0" baseline="0" noProof="0">
              <a:ln>
                <a:noFill/>
              </a:ln>
              <a:solidFill>
                <a:srgbClr val="00B0F0"/>
              </a:solidFill>
              <a:effectLst/>
              <a:uLnTx/>
              <a:uFillTx/>
              <a:latin typeface="Arial" panose="020B0604020202020204" pitchFamily="34" charset="0"/>
              <a:ea typeface="+mn-ea"/>
              <a:cs typeface="Arial" panose="020B0604020202020204" pitchFamily="34" charset="0"/>
            </a:rPr>
            <a:t>BLUE</a:t>
          </a: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fields. Users will see the guidance when they click the cells. </a:t>
          </a:r>
        </a:p>
        <a:p>
          <a:pPr marL="171450" marR="0" lvl="0" indent="-171450" defTabSz="914400" eaLnBrk="1" fontAlgn="auto" latinLnBrk="0" hangingPunct="1">
            <a:lnSpc>
              <a:spcPct val="100000"/>
            </a:lnSpc>
            <a:spcBef>
              <a:spcPts val="0"/>
            </a:spcBef>
            <a:spcAft>
              <a:spcPts val="0"/>
            </a:spcAft>
            <a:buClrTx/>
            <a:buSzTx/>
            <a:buFont typeface="Arial" panose="020B0604020202020204" pitchFamily="34" charset="0"/>
            <a:buChar char="•"/>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Some cells have automatic validity checks. If a user enters an incorrect value or does not choose a valid selection, the automatic validity cell will turn </a:t>
          </a:r>
          <a:r>
            <a:rPr kumimoji="0" lang="en-US" sz="1200" b="1" i="0" u="none" strike="noStrike" kern="0" cap="none" spc="0" normalizeH="0" baseline="0" noProof="0">
              <a:ln>
                <a:noFill/>
              </a:ln>
              <a:solidFill>
                <a:srgbClr val="FF0000"/>
              </a:solidFill>
              <a:effectLst/>
              <a:uLnTx/>
              <a:uFillTx/>
              <a:latin typeface="Arial" panose="020B0604020202020204" pitchFamily="34" charset="0"/>
              <a:ea typeface="+mn-ea"/>
              <a:cs typeface="Arial" panose="020B0604020202020204" pitchFamily="34" charset="0"/>
            </a:rPr>
            <a:t>RED</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and an error message will appear. Please correct the error before continuing.</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8466</xdr:colOff>
      <xdr:row>1</xdr:row>
      <xdr:rowOff>15875</xdr:rowOff>
    </xdr:from>
    <xdr:to>
      <xdr:col>4</xdr:col>
      <xdr:colOff>3055937</xdr:colOff>
      <xdr:row>2</xdr:row>
      <xdr:rowOff>1119188</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8466" y="396875"/>
          <a:ext cx="11683471" cy="1277938"/>
        </a:xfrm>
        <a:prstGeom prst="rect">
          <a:avLst/>
        </a:prstGeom>
        <a:solidFill>
          <a:schemeClr val="bg1">
            <a:lumMod val="95000"/>
          </a:schemeClr>
        </a:solidFill>
        <a:ln w="9525" cmpd="sng">
          <a:solidFill>
            <a:sysClr val="windowText" lastClr="000000"/>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Instructions: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Please enter your project's information. The information entered in this sheet will be used throughout this workbook. Users must enter data in every cell that is shaded </a:t>
          </a:r>
          <a:r>
            <a:rPr kumimoji="0" lang="en-US" sz="11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This information will be used to generate biogas and digestate production. For every data point the user enters, the user should make a note of the information source or any assumptions made. The tool provides space for the users to make annotations. </a:t>
          </a:r>
          <a:r>
            <a:rPr kumimoji="0" lang="en-US" sz="1200" b="1" i="0" u="none" strike="noStrike" kern="0" cap="none" spc="0" normalizeH="0" baseline="0" noProof="0">
              <a:ln w="3175">
                <a:solidFill>
                  <a:sysClr val="windowText" lastClr="000000"/>
                </a:solidFill>
              </a:ln>
              <a:solidFill>
                <a:srgbClr val="FFFF00"/>
              </a:solidFill>
              <a:effectLst/>
              <a:uLnTx/>
              <a:uFillTx/>
              <a:latin typeface="Arial" panose="020B0604020202020204" pitchFamily="34" charset="0"/>
              <a:ea typeface="+mn-ea"/>
              <a:cs typeface="Arial" panose="020B0604020202020204" pitchFamily="34" charset="0"/>
            </a:rPr>
            <a:t>YELLOW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cells represent default values or assumptions. Users do not need to change these values, but are encouraged to do so if local data are available.  There is programed information for over 95 default waste types available for the user to choose from, or they may enter their own.</a:t>
          </a:r>
        </a:p>
      </xdr:txBody>
    </xdr:sp>
    <xdr:clientData/>
  </xdr:twoCellAnchor>
  <mc:AlternateContent xmlns:mc="http://schemas.openxmlformats.org/markup-compatibility/2006">
    <mc:Choice xmlns:a14="http://schemas.microsoft.com/office/drawing/2010/main" Requires="a14">
      <xdr:twoCellAnchor>
        <xdr:from>
          <xdr:col>4</xdr:col>
          <xdr:colOff>108857</xdr:colOff>
          <xdr:row>64</xdr:row>
          <xdr:rowOff>0</xdr:rowOff>
        </xdr:from>
        <xdr:to>
          <xdr:col>4</xdr:col>
          <xdr:colOff>2209800</xdr:colOff>
          <xdr:row>66</xdr:row>
          <xdr:rowOff>70757</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600-000014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Energy Content and Consumption Assumptions</a:t>
              </a:r>
            </a:p>
          </xdr:txBody>
        </xdr:sp>
        <xdr:clientData fPrintsWithSheet="0"/>
      </xdr:twoCellAnchor>
    </mc:Choice>
    <mc:Fallback/>
  </mc:AlternateContent>
  <xdr:twoCellAnchor>
    <xdr:from>
      <xdr:col>3</xdr:col>
      <xdr:colOff>549435</xdr:colOff>
      <xdr:row>7</xdr:row>
      <xdr:rowOff>35936</xdr:rowOff>
    </xdr:from>
    <xdr:to>
      <xdr:col>4</xdr:col>
      <xdr:colOff>864398</xdr:colOff>
      <xdr:row>10</xdr:row>
      <xdr:rowOff>78478</xdr:rowOff>
    </xdr:to>
    <xdr:grpSp>
      <xdr:nvGrpSpPr>
        <xdr:cNvPr id="6" name="Group 5">
          <a:extLst>
            <a:ext uri="{FF2B5EF4-FFF2-40B4-BE49-F238E27FC236}">
              <a16:creationId xmlns:a16="http://schemas.microsoft.com/office/drawing/2014/main" id="{00000000-0008-0000-0600-000006000000}"/>
            </a:ext>
          </a:extLst>
        </xdr:cNvPr>
        <xdr:cNvGrpSpPr/>
      </xdr:nvGrpSpPr>
      <xdr:grpSpPr>
        <a:xfrm>
          <a:off x="7815649" y="2675722"/>
          <a:ext cx="1653906" cy="1169213"/>
          <a:chOff x="14128238" y="658626"/>
          <a:chExt cx="1654964" cy="1079860"/>
        </a:xfrm>
      </xdr:grpSpPr>
      <xdr:sp macro="" textlink="">
        <xdr:nvSpPr>
          <xdr:cNvPr id="7" name="Rectangle 6">
            <a:extLst>
              <a:ext uri="{FF2B5EF4-FFF2-40B4-BE49-F238E27FC236}">
                <a16:creationId xmlns:a16="http://schemas.microsoft.com/office/drawing/2014/main" id="{00000000-0008-0000-0600-000007000000}"/>
              </a:ext>
            </a:extLst>
          </xdr:cNvPr>
          <xdr:cNvSpPr/>
        </xdr:nvSpPr>
        <xdr:spPr>
          <a:xfrm>
            <a:off x="14128238" y="658626"/>
            <a:ext cx="1654964" cy="267902"/>
          </a:xfrm>
          <a:prstGeom prst="rect">
            <a:avLst/>
          </a:prstGeom>
          <a:solidFill>
            <a:schemeClr val="tx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a:solidFill>
                  <a:schemeClr val="bg1"/>
                </a:solidFill>
                <a:latin typeface="Arial" panose="020B0604020202020204" pitchFamily="34" charset="0"/>
                <a:cs typeface="Arial" panose="020B0604020202020204" pitchFamily="34" charset="0"/>
              </a:rPr>
              <a:t>Legend</a:t>
            </a:r>
          </a:p>
        </xdr:txBody>
      </xdr:sp>
      <xdr:sp macro="" textlink="">
        <xdr:nvSpPr>
          <xdr:cNvPr id="8" name="Rectangle 7">
            <a:extLst>
              <a:ext uri="{FF2B5EF4-FFF2-40B4-BE49-F238E27FC236}">
                <a16:creationId xmlns:a16="http://schemas.microsoft.com/office/drawing/2014/main" id="{00000000-0008-0000-0600-000008000000}"/>
              </a:ext>
            </a:extLst>
          </xdr:cNvPr>
          <xdr:cNvSpPr/>
        </xdr:nvSpPr>
        <xdr:spPr>
          <a:xfrm>
            <a:off x="14128238" y="926662"/>
            <a:ext cx="1654964" cy="200141"/>
          </a:xfrm>
          <a:prstGeom prst="rect">
            <a:avLst/>
          </a:prstGeom>
          <a:solidFill>
            <a:srgbClr val="25C6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Required Input</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a:off x="14128238" y="1126937"/>
            <a:ext cx="1654964" cy="200141"/>
          </a:xfrm>
          <a:prstGeom prst="rect">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Calculated Value</a:t>
            </a:r>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a:off x="14128238" y="1338072"/>
            <a:ext cx="1654964" cy="200141"/>
          </a:xfrm>
          <a:prstGeom prst="rect">
            <a:avLst/>
          </a:prstGeom>
          <a:solidFill>
            <a:srgbClr val="FF9999"/>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0">
                <a:solidFill>
                  <a:sysClr val="windowText" lastClr="000000"/>
                </a:solidFill>
                <a:latin typeface="Arial" panose="020B0604020202020204" pitchFamily="34" charset="0"/>
                <a:cs typeface="Arial" panose="020B0604020202020204" pitchFamily="34" charset="0"/>
              </a:rPr>
              <a:t>Warning</a:t>
            </a:r>
          </a:p>
        </xdr:txBody>
      </xdr:sp>
      <xdr:sp macro="" textlink="">
        <xdr:nvSpPr>
          <xdr:cNvPr id="12" name="Rectangle 11">
            <a:extLst>
              <a:ext uri="{FF2B5EF4-FFF2-40B4-BE49-F238E27FC236}">
                <a16:creationId xmlns:a16="http://schemas.microsoft.com/office/drawing/2014/main" id="{00000000-0008-0000-0600-00000C000000}"/>
              </a:ext>
            </a:extLst>
          </xdr:cNvPr>
          <xdr:cNvSpPr/>
        </xdr:nvSpPr>
        <xdr:spPr>
          <a:xfrm>
            <a:off x="14128238" y="1538345"/>
            <a:ext cx="1654964" cy="200141"/>
          </a:xfrm>
          <a:prstGeom prst="rect">
            <a:avLst/>
          </a:prstGeom>
          <a:solidFill>
            <a:srgbClr val="E8D54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0">
                <a:solidFill>
                  <a:sysClr val="windowText" lastClr="000000"/>
                </a:solidFill>
                <a:latin typeface="Arial" panose="020B0604020202020204" pitchFamily="34" charset="0"/>
                <a:cs typeface="Arial" panose="020B0604020202020204" pitchFamily="34" charset="0"/>
              </a:rPr>
              <a:t>Default</a:t>
            </a:r>
            <a:r>
              <a:rPr lang="en-US" sz="1100" b="0" baseline="0">
                <a:solidFill>
                  <a:sysClr val="windowText" lastClr="000000"/>
                </a:solidFill>
                <a:latin typeface="Arial" panose="020B0604020202020204" pitchFamily="34" charset="0"/>
                <a:cs typeface="Arial" panose="020B0604020202020204" pitchFamily="34" charset="0"/>
              </a:rPr>
              <a:t> Value</a:t>
            </a:r>
            <a:endParaRPr lang="en-US" sz="1100" b="0">
              <a:solidFill>
                <a:sysClr val="windowText" lastClr="000000"/>
              </a:solidFill>
              <a:latin typeface="Arial" panose="020B0604020202020204" pitchFamily="34" charset="0"/>
              <a:cs typeface="Arial" panose="020B0604020202020204" pitchFamily="34" charset="0"/>
            </a:endParaRPr>
          </a:p>
        </xdr:txBody>
      </xdr:sp>
    </xdr:grpSp>
    <xdr:clientData/>
  </xdr:twoCellAnchor>
  <xdr:twoCellAnchor>
    <xdr:from>
      <xdr:col>6</xdr:col>
      <xdr:colOff>103186</xdr:colOff>
      <xdr:row>33</xdr:row>
      <xdr:rowOff>1269</xdr:rowOff>
    </xdr:from>
    <xdr:to>
      <xdr:col>9</xdr:col>
      <xdr:colOff>1731169</xdr:colOff>
      <xdr:row>43</xdr:row>
      <xdr:rowOff>8467</xdr:rowOff>
    </xdr:to>
    <xdr:sp macro="" textlink="">
      <xdr:nvSpPr>
        <xdr:cNvPr id="2" name="TextBox 1">
          <a:extLst>
            <a:ext uri="{FF2B5EF4-FFF2-40B4-BE49-F238E27FC236}">
              <a16:creationId xmlns:a16="http://schemas.microsoft.com/office/drawing/2014/main" id="{00000000-0008-0000-0600-000002000000}"/>
            </a:ext>
          </a:extLst>
        </xdr:cNvPr>
        <xdr:cNvSpPr txBox="1"/>
      </xdr:nvSpPr>
      <xdr:spPr>
        <a:xfrm>
          <a:off x="13954653" y="10728536"/>
          <a:ext cx="8155783" cy="2792731"/>
        </a:xfrm>
        <a:prstGeom prst="rect">
          <a:avLst/>
        </a:prstGeom>
        <a:solidFill>
          <a:srgbClr val="FCB04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none">
              <a:latin typeface="Arial" panose="020B0604020202020204" pitchFamily="34" charset="0"/>
              <a:cs typeface="Arial" panose="020B0604020202020204" pitchFamily="34" charset="0"/>
            </a:rPr>
            <a:t>Definitions: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 w.b. - percent on wet basis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 d.w. - percent dry weight basis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Solids Retention Time (SRT) – SRT is the average time the activated-sludge solids are in the Anaerobic Digester. SRT is an important design and operating parameter usually expressed in days.</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Hydraulic Residence Time (HRT) – Only applicable to wet systems, HRT is a measure of the average length of time that a water or liquids remains in the Anaerobic Digester. </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Total Solids (TS) - Residue remaining after water is removed from waste material by evaporation; dry matter</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Moisture Content (MC) -  MC is the quantity of water contained in a  given waste material. Moisture Content plus Total Solids should equal 100%. </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Volatile Solids (VS) - That part of total solids driven off as volatile (combustible) gases when heated to 600 °C; organic matter</a:t>
          </a:r>
        </a:p>
        <a:p>
          <a:pPr marL="171450" indent="-171450">
            <a:spcAft>
              <a:spcPts val="600"/>
            </a:spcAft>
            <a:buFont typeface="Arial" panose="020B0604020202020204" pitchFamily="34" charset="0"/>
            <a:buChar char="•"/>
          </a:pPr>
          <a:r>
            <a:rPr lang="en-US" sz="1100" b="0" u="none">
              <a:latin typeface="Arial" panose="020B0604020202020204" pitchFamily="34" charset="0"/>
              <a:cs typeface="Arial" panose="020B0604020202020204" pitchFamily="34" charset="0"/>
            </a:rPr>
            <a:t>Fixed Solids - That part of total solids remaining after volatile gases driven off at 600 °C; ash</a:t>
          </a:r>
        </a:p>
        <a:p>
          <a:endParaRPr lang="en-US" sz="1100" b="1" u="sng">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212816</xdr:colOff>
          <xdr:row>32</xdr:row>
          <xdr:rowOff>181258</xdr:rowOff>
        </xdr:from>
        <xdr:to>
          <xdr:col>14</xdr:col>
          <xdr:colOff>1816082</xdr:colOff>
          <xdr:row>32</xdr:row>
          <xdr:rowOff>622053</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11876859" y="10533572"/>
              <a:ext cx="19510266" cy="440795"/>
              <a:chOff x="10751345" y="7485490"/>
              <a:chExt cx="21256796" cy="311902"/>
            </a:xfrm>
          </xdr:grpSpPr>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600-00001B040000}"/>
                  </a:ext>
                </a:extLst>
              </xdr:cNvPr>
              <xdr:cNvSpPr/>
            </xdr:nvSpPr>
            <xdr:spPr bwMode="auto">
              <a:xfrm>
                <a:off x="10751345" y="7510463"/>
                <a:ext cx="1828800"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Moisture Content</a:t>
                </a:r>
              </a:p>
            </xdr:txBody>
          </xdr:sp>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600-00001C040000}"/>
                  </a:ext>
                </a:extLst>
              </xdr:cNvPr>
              <xdr:cNvSpPr/>
            </xdr:nvSpPr>
            <xdr:spPr bwMode="auto">
              <a:xfrm>
                <a:off x="13082589" y="7502149"/>
                <a:ext cx="1828800"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Total Solids</a:t>
                </a:r>
              </a:p>
            </xdr:txBody>
          </xdr:sp>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600-00001D040000}"/>
                  </a:ext>
                </a:extLst>
              </xdr:cNvPr>
              <xdr:cNvSpPr/>
            </xdr:nvSpPr>
            <xdr:spPr bwMode="auto">
              <a:xfrm>
                <a:off x="15619282" y="7502149"/>
                <a:ext cx="1838325"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Volatile Solids</a:t>
                </a:r>
              </a:p>
            </xdr:txBody>
          </xdr:sp>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600-00001E040000}"/>
                  </a:ext>
                </a:extLst>
              </xdr:cNvPr>
              <xdr:cNvSpPr/>
            </xdr:nvSpPr>
            <xdr:spPr bwMode="auto">
              <a:xfrm>
                <a:off x="18027353" y="7493835"/>
                <a:ext cx="1838325"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Inert Materials</a:t>
                </a:r>
              </a:p>
            </xdr:txBody>
          </xdr:sp>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600-00001F040000}"/>
                  </a:ext>
                </a:extLst>
              </xdr:cNvPr>
              <xdr:cNvSpPr/>
            </xdr:nvSpPr>
            <xdr:spPr bwMode="auto">
              <a:xfrm>
                <a:off x="20431883" y="7493835"/>
                <a:ext cx="1838325"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Nitrogen Content</a:t>
                </a:r>
              </a:p>
            </xdr:txBody>
          </xdr:sp>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600-000021040000}"/>
                  </a:ext>
                </a:extLst>
              </xdr:cNvPr>
              <xdr:cNvSpPr/>
            </xdr:nvSpPr>
            <xdr:spPr bwMode="auto">
              <a:xfrm>
                <a:off x="22857668" y="7487183"/>
                <a:ext cx="1838325" cy="284166"/>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Carbon Content</a:t>
                </a:r>
              </a:p>
            </xdr:txBody>
          </xdr:sp>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600-000026040000}"/>
                  </a:ext>
                </a:extLst>
              </xdr:cNvPr>
              <xdr:cNvSpPr/>
            </xdr:nvSpPr>
            <xdr:spPr bwMode="auto">
              <a:xfrm>
                <a:off x="25339495" y="7485490"/>
                <a:ext cx="1838325"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Protein Content</a:t>
                </a:r>
              </a:p>
            </xdr:txBody>
          </xdr:sp>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600-000027040000}"/>
                  </a:ext>
                </a:extLst>
              </xdr:cNvPr>
              <xdr:cNvSpPr/>
            </xdr:nvSpPr>
            <xdr:spPr bwMode="auto">
              <a:xfrm>
                <a:off x="27782991" y="7502155"/>
                <a:ext cx="1838325"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Fat Content</a:t>
                </a:r>
              </a:p>
            </xdr:txBody>
          </xdr:sp>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600-000028040000}"/>
                  </a:ext>
                </a:extLst>
              </xdr:cNvPr>
              <xdr:cNvSpPr/>
            </xdr:nvSpPr>
            <xdr:spPr bwMode="auto">
              <a:xfrm>
                <a:off x="30169814" y="7511617"/>
                <a:ext cx="1838327" cy="2857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Sugars and Starches</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108857</xdr:colOff>
          <xdr:row>53</xdr:row>
          <xdr:rowOff>76200</xdr:rowOff>
        </xdr:from>
        <xdr:to>
          <xdr:col>4</xdr:col>
          <xdr:colOff>1937657</xdr:colOff>
          <xdr:row>53</xdr:row>
          <xdr:rowOff>636814</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600-00002B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100" b="0" i="0" u="none" strike="noStrike" baseline="0">
                  <a:solidFill>
                    <a:srgbClr val="000000"/>
                  </a:solidFill>
                  <a:latin typeface="Arial"/>
                  <a:cs typeface="Arial"/>
                </a:rPr>
                <a:t>Reset Gas Composition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1</xdr:row>
      <xdr:rowOff>31750</xdr:rowOff>
    </xdr:from>
    <xdr:to>
      <xdr:col>1</xdr:col>
      <xdr:colOff>4170911</xdr:colOff>
      <xdr:row>8</xdr:row>
      <xdr:rowOff>10584</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0" y="264583"/>
          <a:ext cx="9399078" cy="1397001"/>
        </a:xfrm>
        <a:prstGeom prst="rect">
          <a:avLst/>
        </a:prstGeom>
        <a:solidFill>
          <a:schemeClr val="bg1">
            <a:lumMod val="95000"/>
          </a:schemeClr>
        </a:solidFill>
        <a:ln w="9525" cmpd="sng">
          <a:solidFill>
            <a:sysClr val="windowText" lastClr="000000"/>
          </a:solid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200" b="1" i="0" u="sng"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Instructions:</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Users must enter data in every cell that is shaded </a:t>
          </a:r>
          <a:r>
            <a:rPr kumimoji="0" lang="en-US" sz="1200" b="1" i="0" u="none" strike="noStrike" kern="0" cap="none" spc="0" normalizeH="0" baseline="0" noProof="0">
              <a:ln>
                <a:noFill/>
              </a:ln>
              <a:solidFill>
                <a:srgbClr val="25C6FF"/>
              </a:solidFill>
              <a:effectLst/>
              <a:uLnTx/>
              <a:uFillTx/>
              <a:latin typeface="Arial" panose="020B0604020202020204" pitchFamily="34" charset="0"/>
              <a:ea typeface="+mn-ea"/>
              <a:cs typeface="Arial" panose="020B0604020202020204" pitchFamily="34" charset="0"/>
            </a:rPr>
            <a:t>BLUE</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 This information will be used to estimate net emission reductions from the modeled biogas project. For every data point the user enters, the user should make a note of the information source or any assumptions made. The tool provides space for the users to make annotations. </a:t>
          </a:r>
          <a:r>
            <a:rPr kumimoji="0" lang="en-US" sz="1200" b="1" i="0" u="none" strike="noStrike" kern="0" cap="none" spc="0" normalizeH="0" baseline="0" noProof="0">
              <a:ln w="3175">
                <a:solidFill>
                  <a:sysClr val="windowText" lastClr="000000"/>
                </a:solidFill>
              </a:ln>
              <a:solidFill>
                <a:srgbClr val="FFFF00"/>
              </a:solidFill>
              <a:effectLst/>
              <a:uLnTx/>
              <a:uFillTx/>
              <a:latin typeface="Arial" panose="020B0604020202020204" pitchFamily="34" charset="0"/>
              <a:ea typeface="+mn-ea"/>
              <a:cs typeface="Arial" panose="020B0604020202020204" pitchFamily="34" charset="0"/>
            </a:rPr>
            <a:t>YELLOW </a:t>
          </a: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cells represent default values or assumptions. Users do not need to change these values, but are encouraged to do so if local data are available.  There is programed information for over 80 default waste types available for the user to choose from, or they may enter their own.</a:t>
          </a:r>
        </a:p>
      </xdr:txBody>
    </xdr:sp>
    <xdr:clientData/>
  </xdr:twoCellAnchor>
  <xdr:twoCellAnchor>
    <xdr:from>
      <xdr:col>2</xdr:col>
      <xdr:colOff>74083</xdr:colOff>
      <xdr:row>2</xdr:row>
      <xdr:rowOff>21166</xdr:rowOff>
    </xdr:from>
    <xdr:to>
      <xdr:col>2</xdr:col>
      <xdr:colOff>1729048</xdr:colOff>
      <xdr:row>7</xdr:row>
      <xdr:rowOff>125544</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9499831" y="462998"/>
          <a:ext cx="1654965" cy="1160933"/>
          <a:chOff x="14128238" y="658626"/>
          <a:chExt cx="1654964" cy="1079860"/>
        </a:xfrm>
      </xdr:grpSpPr>
      <xdr:sp macro="" textlink="">
        <xdr:nvSpPr>
          <xdr:cNvPr id="13" name="Rectangle 12">
            <a:extLst>
              <a:ext uri="{FF2B5EF4-FFF2-40B4-BE49-F238E27FC236}">
                <a16:creationId xmlns:a16="http://schemas.microsoft.com/office/drawing/2014/main" id="{00000000-0008-0000-0700-00000D000000}"/>
              </a:ext>
            </a:extLst>
          </xdr:cNvPr>
          <xdr:cNvSpPr/>
        </xdr:nvSpPr>
        <xdr:spPr>
          <a:xfrm>
            <a:off x="14128238" y="658626"/>
            <a:ext cx="1654964" cy="267902"/>
          </a:xfrm>
          <a:prstGeom prst="rect">
            <a:avLst/>
          </a:prstGeom>
          <a:solidFill>
            <a:schemeClr val="tx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a:solidFill>
                  <a:schemeClr val="bg1"/>
                </a:solidFill>
                <a:latin typeface="Arial" panose="020B0604020202020204" pitchFamily="34" charset="0"/>
                <a:cs typeface="Arial" panose="020B0604020202020204" pitchFamily="34" charset="0"/>
              </a:rPr>
              <a:t>Legend</a:t>
            </a:r>
          </a:p>
        </xdr:txBody>
      </xdr:sp>
      <xdr:sp macro="" textlink="">
        <xdr:nvSpPr>
          <xdr:cNvPr id="14" name="Rectangle 13">
            <a:extLst>
              <a:ext uri="{FF2B5EF4-FFF2-40B4-BE49-F238E27FC236}">
                <a16:creationId xmlns:a16="http://schemas.microsoft.com/office/drawing/2014/main" id="{00000000-0008-0000-0700-00000E000000}"/>
              </a:ext>
            </a:extLst>
          </xdr:cNvPr>
          <xdr:cNvSpPr/>
        </xdr:nvSpPr>
        <xdr:spPr>
          <a:xfrm>
            <a:off x="14128238" y="926662"/>
            <a:ext cx="1654964" cy="200141"/>
          </a:xfrm>
          <a:prstGeom prst="rect">
            <a:avLst/>
          </a:prstGeom>
          <a:solidFill>
            <a:srgbClr val="25C6FF"/>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Required Input</a:t>
            </a:r>
          </a:p>
        </xdr:txBody>
      </xdr:sp>
      <xdr:sp macro="" textlink="">
        <xdr:nvSpPr>
          <xdr:cNvPr id="15" name="Rectangle 14">
            <a:extLst>
              <a:ext uri="{FF2B5EF4-FFF2-40B4-BE49-F238E27FC236}">
                <a16:creationId xmlns:a16="http://schemas.microsoft.com/office/drawing/2014/main" id="{00000000-0008-0000-0700-00000F000000}"/>
              </a:ext>
            </a:extLst>
          </xdr:cNvPr>
          <xdr:cNvSpPr/>
        </xdr:nvSpPr>
        <xdr:spPr>
          <a:xfrm>
            <a:off x="14128238" y="1126937"/>
            <a:ext cx="1654964" cy="200141"/>
          </a:xfrm>
          <a:prstGeom prst="rect">
            <a:avLst/>
          </a:prstGeom>
          <a:solidFill>
            <a:schemeClr val="bg1">
              <a:lumMod val="95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a:solidFill>
                  <a:schemeClr val="tx1"/>
                </a:solidFill>
                <a:latin typeface="Arial" panose="020B0604020202020204" pitchFamily="34" charset="0"/>
                <a:cs typeface="Arial" panose="020B0604020202020204" pitchFamily="34" charset="0"/>
              </a:rPr>
              <a:t>Calculated Value</a:t>
            </a:r>
          </a:p>
        </xdr:txBody>
      </xdr:sp>
      <xdr:sp macro="" textlink="">
        <xdr:nvSpPr>
          <xdr:cNvPr id="16" name="Rectangle 15">
            <a:extLst>
              <a:ext uri="{FF2B5EF4-FFF2-40B4-BE49-F238E27FC236}">
                <a16:creationId xmlns:a16="http://schemas.microsoft.com/office/drawing/2014/main" id="{00000000-0008-0000-0700-000010000000}"/>
              </a:ext>
            </a:extLst>
          </xdr:cNvPr>
          <xdr:cNvSpPr/>
        </xdr:nvSpPr>
        <xdr:spPr>
          <a:xfrm>
            <a:off x="14128238" y="1338072"/>
            <a:ext cx="1654964" cy="200141"/>
          </a:xfrm>
          <a:prstGeom prst="rect">
            <a:avLst/>
          </a:prstGeom>
          <a:solidFill>
            <a:srgbClr val="FF0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1">
                <a:solidFill>
                  <a:schemeClr val="bg1"/>
                </a:solidFill>
                <a:latin typeface="Arial" panose="020B0604020202020204" pitchFamily="34" charset="0"/>
                <a:cs typeface="Arial" panose="020B0604020202020204" pitchFamily="34" charset="0"/>
              </a:rPr>
              <a:t>Error</a:t>
            </a:r>
          </a:p>
        </xdr:txBody>
      </xdr:sp>
      <xdr:sp macro="" textlink="">
        <xdr:nvSpPr>
          <xdr:cNvPr id="17" name="Rectangle 16">
            <a:extLst>
              <a:ext uri="{FF2B5EF4-FFF2-40B4-BE49-F238E27FC236}">
                <a16:creationId xmlns:a16="http://schemas.microsoft.com/office/drawing/2014/main" id="{00000000-0008-0000-0700-000011000000}"/>
              </a:ext>
            </a:extLst>
          </xdr:cNvPr>
          <xdr:cNvSpPr/>
        </xdr:nvSpPr>
        <xdr:spPr>
          <a:xfrm>
            <a:off x="14128238" y="1538345"/>
            <a:ext cx="1654964" cy="200141"/>
          </a:xfrm>
          <a:prstGeom prst="rect">
            <a:avLst/>
          </a:prstGeom>
          <a:solidFill>
            <a:srgbClr val="E8D548"/>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r>
              <a:rPr lang="en-US" sz="1100" b="0">
                <a:solidFill>
                  <a:sysClr val="windowText" lastClr="000000"/>
                </a:solidFill>
                <a:latin typeface="Arial" panose="020B0604020202020204" pitchFamily="34" charset="0"/>
                <a:cs typeface="Arial" panose="020B0604020202020204" pitchFamily="34" charset="0"/>
              </a:rPr>
              <a:t>Default</a:t>
            </a:r>
            <a:r>
              <a:rPr lang="en-US" sz="1100" b="0" baseline="0">
                <a:solidFill>
                  <a:sysClr val="windowText" lastClr="000000"/>
                </a:solidFill>
                <a:latin typeface="Arial" panose="020B0604020202020204" pitchFamily="34" charset="0"/>
                <a:cs typeface="Arial" panose="020B0604020202020204" pitchFamily="34" charset="0"/>
              </a:rPr>
              <a:t> Value</a:t>
            </a:r>
            <a:endParaRPr lang="en-US" sz="1100" b="0">
              <a:solidFill>
                <a:sysClr val="windowText" lastClr="000000"/>
              </a:solidFill>
              <a:latin typeface="Arial" panose="020B0604020202020204" pitchFamily="34"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4</xdr:col>
          <xdr:colOff>103414</xdr:colOff>
          <xdr:row>41</xdr:row>
          <xdr:rowOff>70757</xdr:rowOff>
        </xdr:from>
        <xdr:to>
          <xdr:col>6</xdr:col>
          <xdr:colOff>609600</xdr:colOff>
          <xdr:row>45</xdr:row>
          <xdr:rowOff>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700-00000B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0" i="0" u="none" strike="noStrike" baseline="0">
                  <a:solidFill>
                    <a:srgbClr val="000000"/>
                  </a:solidFill>
                  <a:latin typeface="Calibri"/>
                  <a:ea typeface="Calibri"/>
                  <a:cs typeface="Calibri"/>
                </a:rPr>
                <a:t>Reset Electricity Consumption and Generation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xdr:colOff>
          <xdr:row>26</xdr:row>
          <xdr:rowOff>223157</xdr:rowOff>
        </xdr:from>
        <xdr:to>
          <xdr:col>6</xdr:col>
          <xdr:colOff>598714</xdr:colOff>
          <xdr:row>29</xdr:row>
          <xdr:rowOff>179614</xdr:rowOff>
        </xdr:to>
        <xdr:sp macro="" textlink="">
          <xdr:nvSpPr>
            <xdr:cNvPr id="6156" name="Button 12" descr="Reset Flaring Defaults" hidden="1">
              <a:extLst>
                <a:ext uri="{63B3BB69-23CF-44E3-9099-C40C66FF867C}">
                  <a14:compatExt spid="_x0000_s6156"/>
                </a:ext>
                <a:ext uri="{FF2B5EF4-FFF2-40B4-BE49-F238E27FC236}">
                  <a16:creationId xmlns:a16="http://schemas.microsoft.com/office/drawing/2014/main" id="{00000000-0008-0000-0700-00000C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0" i="0" u="none" strike="noStrike" baseline="0">
                  <a:solidFill>
                    <a:srgbClr val="000000"/>
                  </a:solidFill>
                  <a:latin typeface="Calibri"/>
                  <a:ea typeface="Calibri"/>
                  <a:cs typeface="Calibri"/>
                </a:rPr>
                <a:t>Reset Flaring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65314</xdr:colOff>
          <xdr:row>46</xdr:row>
          <xdr:rowOff>865414</xdr:rowOff>
        </xdr:from>
        <xdr:to>
          <xdr:col>6</xdr:col>
          <xdr:colOff>598714</xdr:colOff>
          <xdr:row>48</xdr:row>
          <xdr:rowOff>185057</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700-00000D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200" b="0" i="0" u="none" strike="noStrike" baseline="0">
                  <a:solidFill>
                    <a:srgbClr val="000000"/>
                  </a:solidFill>
                  <a:latin typeface="Calibri"/>
                  <a:ea typeface="Calibri"/>
                  <a:cs typeface="Calibri"/>
                </a:rPr>
                <a:t>Reset Leakage Defaults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11840</xdr:colOff>
      <xdr:row>45</xdr:row>
      <xdr:rowOff>27083</xdr:rowOff>
    </xdr:from>
    <xdr:to>
      <xdr:col>10</xdr:col>
      <xdr:colOff>-1</xdr:colOff>
      <xdr:row>51</xdr:row>
      <xdr:rowOff>130969</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840" y="11421364"/>
          <a:ext cx="14251847" cy="1318324"/>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buFont typeface="Arial" panose="020B0604020202020204" pitchFamily="34" charset="0"/>
            <a:buNone/>
          </a:pPr>
          <a:r>
            <a:rPr lang="en-US" sz="1100" b="1" baseline="0">
              <a:latin typeface="Arial" panose="020B0604020202020204" pitchFamily="34" charset="0"/>
              <a:cs typeface="Arial" panose="020B0604020202020204" pitchFamily="34" charset="0"/>
            </a:rPr>
            <a:t>Pretreatment Methods:</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Air Stripping - Air stripping is the process of moving air through contaminated sludge before it enters the anaerobic digester to remove contaminants. </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Precipitation - Precipitation is the creation of a solid from a solution to easily remove waste stream contaminants before the sludge enters the Anaerobic Digester. </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Dilution - Dilution is the process of decreasing a waste stream inhibitor’s concentration in a solution, usually simply by mixing with more solvent (e.g. water) to dilute the solution.</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Sorption - Sorption is the process by which toxic inhibitor are separated from the waste stream with solvents.</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Chelation - Chelation is the process of bonding of ions and molecules to metal ions to remove a waste inhibitor from the waste stream. </a:t>
          </a:r>
        </a:p>
        <a:p>
          <a:pPr marL="171450" indent="-171450">
            <a:buFont typeface="Arial" panose="020B0604020202020204" pitchFamily="34" charset="0"/>
            <a:buChar char="•"/>
          </a:pPr>
          <a:r>
            <a:rPr lang="en-US" sz="1100" b="0" baseline="0">
              <a:latin typeface="Arial" panose="020B0604020202020204" pitchFamily="34" charset="0"/>
              <a:cs typeface="Arial" panose="020B0604020202020204" pitchFamily="34" charset="0"/>
            </a:rPr>
            <a:t>Partial or Full Oxidization - Is the process where the waste is combined chemically with oxygen.</a:t>
          </a:r>
        </a:p>
        <a:p>
          <a:pPr marL="171450" indent="-171450">
            <a:buFont typeface="Arial" panose="020B0604020202020204" pitchFamily="34" charset="0"/>
            <a:buChar char="•"/>
          </a:pPr>
          <a:endParaRPr lang="en-US" sz="1100" b="0" baseline="0">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56030</xdr:colOff>
      <xdr:row>10</xdr:row>
      <xdr:rowOff>96332</xdr:rowOff>
    </xdr:from>
    <xdr:to>
      <xdr:col>6</xdr:col>
      <xdr:colOff>0</xdr:colOff>
      <xdr:row>33</xdr:row>
      <xdr:rowOff>44823</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50326</xdr:rowOff>
    </xdr:from>
    <xdr:to>
      <xdr:col>6</xdr:col>
      <xdr:colOff>9936</xdr:colOff>
      <xdr:row>4</xdr:row>
      <xdr:rowOff>13607</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0" y="431326"/>
          <a:ext cx="13317722" cy="711674"/>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solidFill>
                <a:sysClr val="windowText" lastClr="000000"/>
              </a:solidFill>
              <a:latin typeface="Arial" panose="020B0604020202020204" pitchFamily="34" charset="0"/>
              <a:cs typeface="Arial" panose="020B0604020202020204" pitchFamily="34" charset="0"/>
            </a:rPr>
            <a:t>The total biogas produced from the given waste stream is presented in the table and figures below. This should be considered a first order estimate. In reality, an Anaerobic Digester’s output can vary considerably depending on a number of operational,</a:t>
          </a:r>
          <a:r>
            <a:rPr lang="en-US" sz="1100" baseline="0">
              <a:solidFill>
                <a:sysClr val="windowText" lastClr="000000"/>
              </a:solidFill>
              <a:latin typeface="Arial" panose="020B0604020202020204" pitchFamily="34" charset="0"/>
              <a:cs typeface="Arial" panose="020B0604020202020204" pitchFamily="34" charset="0"/>
            </a:rPr>
            <a:t> and </a:t>
          </a:r>
          <a:r>
            <a:rPr lang="en-US" sz="1100">
              <a:solidFill>
                <a:sysClr val="windowText" lastClr="000000"/>
              </a:solidFill>
              <a:latin typeface="Arial" panose="020B0604020202020204" pitchFamily="34" charset="0"/>
              <a:cs typeface="Arial" panose="020B0604020202020204" pitchFamily="34" charset="0"/>
            </a:rPr>
            <a:t>reactor, design parameters and/or</a:t>
          </a:r>
          <a:r>
            <a:rPr lang="en-US" sz="1100" baseline="0">
              <a:solidFill>
                <a:sysClr val="windowText" lastClr="000000"/>
              </a:solidFill>
              <a:latin typeface="Arial" panose="020B0604020202020204" pitchFamily="34" charset="0"/>
              <a:cs typeface="Arial" panose="020B0604020202020204" pitchFamily="34" charset="0"/>
            </a:rPr>
            <a:t> </a:t>
          </a:r>
          <a:r>
            <a:rPr lang="en-US" sz="1100">
              <a:solidFill>
                <a:sysClr val="windowText" lastClr="000000"/>
              </a:solidFill>
              <a:latin typeface="Arial" panose="020B0604020202020204" pitchFamily="34" charset="0"/>
              <a:cs typeface="Arial" panose="020B0604020202020204" pitchFamily="34" charset="0"/>
            </a:rPr>
            <a:t>waste characteristics.  True</a:t>
          </a:r>
          <a:r>
            <a:rPr lang="en-US" sz="1100" baseline="0">
              <a:solidFill>
                <a:sysClr val="windowText" lastClr="000000"/>
              </a:solidFill>
              <a:latin typeface="Arial" panose="020B0604020202020204" pitchFamily="34" charset="0"/>
              <a:cs typeface="Arial" panose="020B0604020202020204" pitchFamily="34" charset="0"/>
            </a:rPr>
            <a:t> biogas production may be significantly higher or lower than estimated. For more accurate results override the default assumption on the "Anaerobic Digester Inputs" tab.</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78582</xdr:colOff>
      <xdr:row>8</xdr:row>
      <xdr:rowOff>83342</xdr:rowOff>
    </xdr:from>
    <xdr:to>
      <xdr:col>5</xdr:col>
      <xdr:colOff>2071687</xdr:colOff>
      <xdr:row>31</xdr:row>
      <xdr:rowOff>36098</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xdr:row>
      <xdr:rowOff>53181</xdr:rowOff>
    </xdr:from>
    <xdr:to>
      <xdr:col>5</xdr:col>
      <xdr:colOff>1498600</xdr:colOff>
      <xdr:row>4</xdr:row>
      <xdr:rowOff>76200</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0" y="434181"/>
          <a:ext cx="14033500" cy="581819"/>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US" sz="1100">
              <a:solidFill>
                <a:sysClr val="windowText" lastClr="000000"/>
              </a:solidFill>
              <a:latin typeface="Arial" panose="020B0604020202020204" pitchFamily="34" charset="0"/>
              <a:cs typeface="Arial" panose="020B0604020202020204" pitchFamily="34" charset="0"/>
            </a:rPr>
            <a:t>The total digestate produced from the given waste stream is presented in the table and figures below. This should be considered a first order estimate. In reality, an Anaerobic Digester’s output can vary considerably depending on a number of operational, reactor, and waste characteristics of the system. </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xdr:row>
      <xdr:rowOff>38100</xdr:rowOff>
    </xdr:from>
    <xdr:to>
      <xdr:col>6</xdr:col>
      <xdr:colOff>631825</xdr:colOff>
      <xdr:row>6</xdr:row>
      <xdr:rowOff>88900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0" y="266700"/>
          <a:ext cx="14614525" cy="939800"/>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Arial" panose="020B0604020202020204" pitchFamily="34" charset="0"/>
              <a:ea typeface="+mn-ea"/>
              <a:cs typeface="Arial" panose="020B0604020202020204" pitchFamily="34" charset="0"/>
            </a:rPr>
            <a:t>The baseline emissions, project emissions, and net emissions reductions from the Anaerobic Digester</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are presented in the tables</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below. This should be considered a first order estimate. In reality, an Anaerobic Digester’s emissions, and therefore</a:t>
          </a:r>
          <a:r>
            <a:rPr lang="en-US" sz="1100" baseline="0">
              <a:solidFill>
                <a:schemeClr val="dk1"/>
              </a:solidFill>
              <a:effectLst/>
              <a:latin typeface="Arial" panose="020B0604020202020204" pitchFamily="34" charset="0"/>
              <a:ea typeface="+mn-ea"/>
              <a:cs typeface="Arial" panose="020B0604020202020204" pitchFamily="34" charset="0"/>
            </a:rPr>
            <a:t> net emission reductions,</a:t>
          </a:r>
          <a:r>
            <a:rPr lang="en-US" sz="1100">
              <a:solidFill>
                <a:schemeClr val="dk1"/>
              </a:solidFill>
              <a:effectLst/>
              <a:latin typeface="Arial" panose="020B0604020202020204" pitchFamily="34" charset="0"/>
              <a:ea typeface="+mn-ea"/>
              <a:cs typeface="Arial" panose="020B0604020202020204" pitchFamily="34" charset="0"/>
            </a:rPr>
            <a:t> can vary considerably depending on a number of operational,</a:t>
          </a:r>
          <a:r>
            <a:rPr lang="en-US" sz="1100" baseline="0">
              <a:solidFill>
                <a:schemeClr val="dk1"/>
              </a:solidFill>
              <a:effectLst/>
              <a:latin typeface="Arial" panose="020B0604020202020204" pitchFamily="34" charset="0"/>
              <a:ea typeface="+mn-ea"/>
              <a:cs typeface="Arial" panose="020B0604020202020204" pitchFamily="34" charset="0"/>
            </a:rPr>
            <a:t> and </a:t>
          </a:r>
          <a:r>
            <a:rPr lang="en-US" sz="1100">
              <a:solidFill>
                <a:schemeClr val="dk1"/>
              </a:solidFill>
              <a:effectLst/>
              <a:latin typeface="Arial" panose="020B0604020202020204" pitchFamily="34" charset="0"/>
              <a:ea typeface="+mn-ea"/>
              <a:cs typeface="Arial" panose="020B0604020202020204" pitchFamily="34" charset="0"/>
            </a:rPr>
            <a:t>reactor, design parameters and/or</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waste characteristics. True</a:t>
          </a:r>
          <a:r>
            <a:rPr lang="en-US" sz="1100" baseline="0">
              <a:solidFill>
                <a:schemeClr val="dk1"/>
              </a:solidFill>
              <a:effectLst/>
              <a:latin typeface="Arial" panose="020B0604020202020204" pitchFamily="34" charset="0"/>
              <a:ea typeface="+mn-ea"/>
              <a:cs typeface="Arial" panose="020B0604020202020204" pitchFamily="34" charset="0"/>
            </a:rPr>
            <a:t> methane emissions and emissions reductions may be significantly higher or lower than estimated.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Arial" panose="020B0604020202020204" pitchFamily="34" charset="0"/>
              <a:ea typeface="+mn-ea"/>
              <a:cs typeface="Arial" panose="020B0604020202020204" pitchFamily="34" charset="0"/>
            </a:rPr>
            <a:t>For more accurate results override the default assumptions on the "Emissions Inputs" tab.</a:t>
          </a:r>
          <a:endParaRPr lang="en-US">
            <a:effectLst/>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4</xdr:col>
          <xdr:colOff>299357</xdr:colOff>
          <xdr:row>40</xdr:row>
          <xdr:rowOff>65314</xdr:rowOff>
        </xdr:from>
        <xdr:to>
          <xdr:col>5</xdr:col>
          <xdr:colOff>794657</xdr:colOff>
          <xdr:row>40</xdr:row>
          <xdr:rowOff>522514</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B00-00000A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000" b="0" i="0" u="none" strike="noStrike" baseline="0">
                  <a:solidFill>
                    <a:srgbClr val="000000"/>
                  </a:solidFill>
                  <a:latin typeface="Calibri"/>
                  <a:ea typeface="Calibri"/>
                  <a:cs typeface="Calibri"/>
                </a:rPr>
                <a:t>Reset Global Warming Potential Values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0</xdr:col>
      <xdr:colOff>0</xdr:colOff>
      <xdr:row>2</xdr:row>
      <xdr:rowOff>12700</xdr:rowOff>
    </xdr:from>
    <xdr:to>
      <xdr:col>14</xdr:col>
      <xdr:colOff>939800</xdr:colOff>
      <xdr:row>6</xdr:row>
      <xdr:rowOff>95624</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0" y="241300"/>
          <a:ext cx="14020800" cy="7941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l"/>
          <a:r>
            <a:rPr lang="en-US" sz="1100">
              <a:solidFill>
                <a:sysClr val="windowText" lastClr="000000"/>
              </a:solidFill>
              <a:latin typeface="Arial" panose="020B0604020202020204" pitchFamily="34" charset="0"/>
              <a:cs typeface="Arial" panose="020B0604020202020204" pitchFamily="34" charset="0"/>
            </a:rPr>
            <a:t>The table below shows the default waste characteristics and their sources. The</a:t>
          </a:r>
          <a:r>
            <a:rPr lang="en-US" sz="1200">
              <a:solidFill>
                <a:srgbClr val="FFFF00"/>
              </a:solidFill>
              <a:latin typeface="Arial" panose="020B0604020202020204" pitchFamily="34" charset="0"/>
              <a:cs typeface="Arial" panose="020B0604020202020204" pitchFamily="34" charset="0"/>
            </a:rPr>
            <a:t> </a:t>
          </a:r>
          <a:r>
            <a:rPr kumimoji="0" lang="en-US" sz="1200" b="1" i="0" u="none" strike="noStrike" kern="0" cap="none" spc="0" normalizeH="0" baseline="0" noProof="0">
              <a:ln>
                <a:solidFill>
                  <a:prstClr val="black"/>
                </a:solidFill>
              </a:ln>
              <a:solidFill>
                <a:srgbClr val="FFFF00"/>
              </a:solidFill>
              <a:effectLst/>
              <a:uLnTx/>
              <a:uFillTx/>
              <a:latin typeface="Arial" panose="020B0604020202020204" pitchFamily="34" charset="0"/>
              <a:ea typeface="+mn-ea"/>
              <a:cs typeface="Arial" panose="020B0604020202020204" pitchFamily="34" charset="0"/>
            </a:rPr>
            <a:t>YELLOW</a:t>
          </a:r>
          <a:r>
            <a:rPr lang="en-US" sz="1200" baseline="0">
              <a:solidFill>
                <a:srgbClr val="FFFF00"/>
              </a:solidFill>
              <a:latin typeface="Arial" panose="020B0604020202020204" pitchFamily="34" charset="0"/>
              <a:cs typeface="Arial" panose="020B0604020202020204" pitchFamily="34" charset="0"/>
            </a:rPr>
            <a:t> </a:t>
          </a:r>
          <a:r>
            <a:rPr lang="en-US" sz="1100">
              <a:solidFill>
                <a:sysClr val="windowText" lastClr="000000"/>
              </a:solidFill>
              <a:latin typeface="Arial" panose="020B0604020202020204" pitchFamily="34" charset="0"/>
              <a:cs typeface="Arial" panose="020B0604020202020204" pitchFamily="34" charset="0"/>
            </a:rPr>
            <a:t>columns are default values used in tool calculations. The</a:t>
          </a:r>
          <a:r>
            <a:rPr lang="en-US" sz="1200">
              <a:solidFill>
                <a:sysClr val="windowText" lastClr="000000"/>
              </a:solidFill>
              <a:latin typeface="Arial" panose="020B0604020202020204" pitchFamily="34" charset="0"/>
              <a:cs typeface="Arial" panose="020B0604020202020204" pitchFamily="34" charset="0"/>
            </a:rPr>
            <a:t> </a:t>
          </a:r>
          <a:r>
            <a:rPr lang="en-US" sz="1200" b="1">
              <a:solidFill>
                <a:schemeClr val="tx1">
                  <a:lumMod val="95000"/>
                  <a:lumOff val="5000"/>
                </a:schemeClr>
              </a:solidFill>
              <a:latin typeface="Arial" panose="020B0604020202020204" pitchFamily="34" charset="0"/>
              <a:cs typeface="Arial" panose="020B0604020202020204" pitchFamily="34" charset="0"/>
            </a:rPr>
            <a:t>GREY</a:t>
          </a:r>
          <a:r>
            <a:rPr lang="en-US" sz="1200">
              <a:solidFill>
                <a:schemeClr val="tx1">
                  <a:lumMod val="95000"/>
                  <a:lumOff val="5000"/>
                </a:schemeClr>
              </a:solidFill>
              <a:latin typeface="Arial" panose="020B0604020202020204" pitchFamily="34" charset="0"/>
              <a:cs typeface="Arial" panose="020B0604020202020204" pitchFamily="34" charset="0"/>
            </a:rPr>
            <a:t> </a:t>
          </a:r>
          <a:r>
            <a:rPr lang="en-US" sz="1100">
              <a:solidFill>
                <a:sysClr val="windowText" lastClr="000000"/>
              </a:solidFill>
              <a:latin typeface="Arial" panose="020B0604020202020204" pitchFamily="34" charset="0"/>
              <a:cs typeface="Arial" panose="020B0604020202020204" pitchFamily="34" charset="0"/>
            </a:rPr>
            <a:t>columns are additional information about the respective waste category. The defaults come from peer reviewed, academic, government, non-profit, and/or encyclopedic sources. These values are from a mix of field and</a:t>
          </a:r>
          <a:r>
            <a:rPr lang="en-US" sz="1100" baseline="0">
              <a:solidFill>
                <a:sysClr val="windowText" lastClr="000000"/>
              </a:solidFill>
              <a:latin typeface="Arial" panose="020B0604020202020204" pitchFamily="34" charset="0"/>
              <a:cs typeface="Arial" panose="020B0604020202020204" pitchFamily="34" charset="0"/>
            </a:rPr>
            <a:t> laboratory studies, as well as recommended values for modeling and calculations. In reality a waste's characteristics may differ significantly than the defaults listed below.</a:t>
          </a:r>
          <a:endParaRPr lang="en-US" sz="1100">
            <a:solidFill>
              <a:sysClr val="windowText" lastClr="000000"/>
            </a:solidFill>
            <a:latin typeface="Arial" panose="020B0604020202020204" pitchFamily="34" charset="0"/>
            <a:cs typeface="Arial" panose="020B0604020202020204" pitchFamily="34"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1</xdr:row>
      <xdr:rowOff>31750</xdr:rowOff>
    </xdr:from>
    <xdr:to>
      <xdr:col>2</xdr:col>
      <xdr:colOff>1657350</xdr:colOff>
      <xdr:row>1</xdr:row>
      <xdr:rowOff>1473200</xdr:rowOff>
    </xdr:to>
    <xdr:sp macro="" textlink="">
      <xdr:nvSpPr>
        <xdr:cNvPr id="6" name="TextBox 2">
          <a:extLst>
            <a:ext uri="{FF2B5EF4-FFF2-40B4-BE49-F238E27FC236}">
              <a16:creationId xmlns:a16="http://schemas.microsoft.com/office/drawing/2014/main" id="{00000000-0008-0000-0E00-000006000000}"/>
            </a:ext>
          </a:extLst>
        </xdr:cNvPr>
        <xdr:cNvSpPr txBox="1"/>
      </xdr:nvSpPr>
      <xdr:spPr>
        <a:xfrm>
          <a:off x="0" y="260350"/>
          <a:ext cx="4870450" cy="14414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Arial" panose="020B0604020202020204" pitchFamily="34" charset="0"/>
              <a:ea typeface="+mn-ea"/>
              <a:cs typeface="Arial" panose="020B0604020202020204" pitchFamily="34" charset="0"/>
            </a:rPr>
            <a:t>The AD Screening Tool uses a mass</a:t>
          </a:r>
          <a:r>
            <a:rPr lang="en-US" sz="1100" baseline="0">
              <a:solidFill>
                <a:schemeClr val="dk1"/>
              </a:solidFill>
              <a:effectLst/>
              <a:latin typeface="Arial" panose="020B0604020202020204" pitchFamily="34" charset="0"/>
              <a:ea typeface="+mn-ea"/>
              <a:cs typeface="Arial" panose="020B0604020202020204" pitchFamily="34" charset="0"/>
            </a:rPr>
            <a:t> balance approach to estimate the maximum potential for biogas generation from each feedstock. The calibration factors shown here were developed by comparing the maximum potential values from the AD Screening Tool to actual digester data collected by EPA. The range represents the 25th and 75th percentile values of the ratio between the measured biogas data and the modeled. These values are used to adjust the maximum potenial biogas generation values to estimate the likely biogas generation potential values.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endParaRPr lang="en-US">
            <a:effectLst/>
            <a:latin typeface="Arial" panose="020B0604020202020204" pitchFamily="34" charset="0"/>
            <a:cs typeface="Arial" panose="020B0604020202020204" pitchFamily="34"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68580</xdr:colOff>
      <xdr:row>1</xdr:row>
      <xdr:rowOff>24765</xdr:rowOff>
    </xdr:from>
    <xdr:to>
      <xdr:col>11</xdr:col>
      <xdr:colOff>154940</xdr:colOff>
      <xdr:row>4</xdr:row>
      <xdr:rowOff>63500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68580" y="247015"/>
          <a:ext cx="9738360" cy="705485"/>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Methane conversion factor represents the percentage of a waste's maximum methane-producing capacity achieved during waste management and disposal, i.e. part of organic matter actually converted into methane. The figure below lists 23 default Methane Conversion Factors for Cool, Temperate, and Warm climates taken from IPCC. </a:t>
          </a: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16192</xdr:colOff>
      <xdr:row>1</xdr:row>
      <xdr:rowOff>105251</xdr:rowOff>
    </xdr:from>
    <xdr:to>
      <xdr:col>0</xdr:col>
      <xdr:colOff>10537507</xdr:colOff>
      <xdr:row>10</xdr:row>
      <xdr:rowOff>20927</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16192" y="464480"/>
          <a:ext cx="10521315" cy="1602961"/>
          <a:chOff x="187430" y="360562"/>
          <a:chExt cx="9175084" cy="1600467"/>
        </a:xfrm>
      </xdr:grpSpPr>
      <xdr:sp macro="" textlink="">
        <xdr:nvSpPr>
          <xdr:cNvPr id="3" name="TextBox 2">
            <a:hlinkClick xmlns:r="http://schemas.openxmlformats.org/officeDocument/2006/relationships" r:id="rId1"/>
            <a:extLst>
              <a:ext uri="{FF2B5EF4-FFF2-40B4-BE49-F238E27FC236}">
                <a16:creationId xmlns:a16="http://schemas.microsoft.com/office/drawing/2014/main" id="{00000000-0008-0000-1200-000003000000}"/>
              </a:ext>
            </a:extLst>
          </xdr:cNvPr>
          <xdr:cNvSpPr txBox="1"/>
        </xdr:nvSpPr>
        <xdr:spPr>
          <a:xfrm>
            <a:off x="190753" y="360562"/>
            <a:ext cx="9168439" cy="68103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For questions about using the AD Screening Tool, please contact the tool developers at the following email address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sng" strike="noStrike" kern="0" cap="none" spc="0" normalizeH="0" baseline="0" noProof="0">
                <a:ln>
                  <a:noFill/>
                </a:ln>
                <a:solidFill>
                  <a:srgbClr val="2D5CA3"/>
                </a:solidFill>
                <a:effectLst/>
                <a:uLnTx/>
                <a:uFillTx/>
                <a:latin typeface="Arial" panose="020B0604020202020204" pitchFamily="34" charset="0"/>
                <a:ea typeface="+mn-ea"/>
                <a:cs typeface="Arial" panose="020B0604020202020204" pitchFamily="34" charset="0"/>
              </a:rPr>
              <a:t>biogastoolkit@epa.gov</a:t>
            </a:r>
            <a:endParaRPr kumimoji="0" lang="en-US" sz="16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sp macro="" textlink="">
        <xdr:nvSpPr>
          <xdr:cNvPr id="4" name="TextBox 3">
            <a:hlinkClick xmlns:r="http://schemas.openxmlformats.org/officeDocument/2006/relationships" r:id="rId2"/>
            <a:extLst>
              <a:ext uri="{FF2B5EF4-FFF2-40B4-BE49-F238E27FC236}">
                <a16:creationId xmlns:a16="http://schemas.microsoft.com/office/drawing/2014/main" id="{00000000-0008-0000-1200-000004000000}"/>
              </a:ext>
            </a:extLst>
          </xdr:cNvPr>
          <xdr:cNvSpPr txBox="1"/>
        </xdr:nvSpPr>
        <xdr:spPr>
          <a:xfrm>
            <a:off x="187430" y="1053352"/>
            <a:ext cx="9175084" cy="907677"/>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0" lang="en-US" sz="11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rPr>
              <a:t>Additional information and resources are available on the Global Methane Initiative website:</a:t>
            </a:r>
          </a:p>
          <a:p>
            <a:endParaRPr kumimoji="0" lang="en-US" sz="11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600" b="0" i="0" u="sng" strike="noStrike" kern="0" cap="none" spc="0" normalizeH="0" baseline="0">
                <a:ln>
                  <a:noFill/>
                </a:ln>
                <a:solidFill>
                  <a:srgbClr val="2D5CA3"/>
                </a:solidFill>
                <a:effectLst/>
                <a:uLnTx/>
                <a:uFillTx/>
                <a:latin typeface="Arial" panose="020B0604020202020204" pitchFamily="34" charset="0"/>
                <a:ea typeface="+mn-ea"/>
                <a:cs typeface="Arial" panose="020B0604020202020204" pitchFamily="34" charset="0"/>
              </a:rPr>
              <a:t>https://www.globalmethane.org/resources/</a:t>
            </a:r>
          </a:p>
          <a:p>
            <a:endParaRPr kumimoji="0" lang="en-US" sz="1100" b="0" i="0" u="none" strike="noStrike" kern="0" cap="none" spc="0" normalizeH="0" baseline="0">
              <a:ln>
                <a:noFill/>
              </a:ln>
              <a:solidFill>
                <a:sysClr val="windowText" lastClr="000000"/>
              </a:solidFill>
              <a:effectLst/>
              <a:uLnTx/>
              <a:uFillTx/>
              <a:latin typeface="Arial" panose="020B0604020202020204" pitchFamily="34" charset="0"/>
              <a:ea typeface="+mn-ea"/>
              <a:cs typeface="Arial" panose="020B0604020202020204" pitchFamily="34" charset="0"/>
            </a:endParaRPr>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1</xdr:row>
      <xdr:rowOff>25400</xdr:rowOff>
    </xdr:from>
    <xdr:to>
      <xdr:col>14</xdr:col>
      <xdr:colOff>6350</xdr:colOff>
      <xdr:row>26</xdr:row>
      <xdr:rowOff>133350</xdr:rowOff>
    </xdr:to>
    <xdr:sp macro="" textlink="">
      <xdr:nvSpPr>
        <xdr:cNvPr id="3" name="TextBox 2">
          <a:extLst>
            <a:ext uri="{FF2B5EF4-FFF2-40B4-BE49-F238E27FC236}">
              <a16:creationId xmlns:a16="http://schemas.microsoft.com/office/drawing/2014/main" id="{00000000-0008-0000-1300-000003000000}"/>
            </a:ext>
          </a:extLst>
        </xdr:cNvPr>
        <xdr:cNvSpPr txBox="1"/>
      </xdr:nvSpPr>
      <xdr:spPr>
        <a:xfrm>
          <a:off x="88900" y="393700"/>
          <a:ext cx="8591550" cy="5029200"/>
        </a:xfrm>
        <a:prstGeom prst="rect">
          <a:avLst/>
        </a:prstGeom>
        <a:solidFill>
          <a:schemeClr val="bg1">
            <a:lumMod val="95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Methodology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uses a Mass-Balance Methodology to estimate biogas and digestate production. This is a common methodology which examines the products from the anaerobic digestion of solid wastes. Solid wastes entering the digester consist of organic material, inorganic constituents and water. During the digestion process a fraction of the volatile solids are converted into biogas consisting of primarily methane and carbon dioxide. Other compounds present in the biogas, such as hydrogen sulfide, are important but often considered negligible for this framework when calculating the production of biogas. Also leaving the digester are the digested residue, waste water, and non-recyclables. The digested residue consists of the volatile solids that were not converted into gas, any microbial biomass formed and the fraction of the total solids that was not digestible. The amount of waste water that comes out of the digester may change depending on the technology and digester design (Chavez-Vazquez et al. 2002).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Emission reductions estimations are based on the U.S. Environmental Protection Agency (EPA) AgSTAR Program's Protocol for Quantifying and Reporting the Performance of Anaerobic Digestion Systems for Livestock Manures (EPA 2011). Project emissions reflect methane and other relevant greenhouse gas emisisons from flaring and leakage at the project site, methane utilization for facility processes, electricity consumed by the project, and transportation of waste to the project site. Baseline emissions are calculated based on the managment systems in place for manure and co-digested wastes prior to the use of the AD system.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Tool Uses</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tool also offers example applications for potential Anaerobic Digestion projects based on the projected waste supply and user-identified energy needs and data. For example, the tool may suggest the energy possible with the recoverable biogas. The tool provides additional information to assist users in interpreting these results and identifying next steps for conducting more detailed analyses. </a:t>
          </a:r>
        </a:p>
        <a:p>
          <a:pPr marL="0" marR="0" lvl="0" indent="0"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Disclaimer</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Arial" panose="020B0604020202020204" pitchFamily="34" charset="0"/>
              <a:ea typeface="+mn-ea"/>
              <a:cs typeface="Arial" panose="020B0604020202020204" pitchFamily="34" charset="0"/>
            </a:rPr>
            <a:t>The Anaerobic Digestion (AD) Screening Tool was developed by Abt Associates on behalf of the U.S. EPA, to support the agency’s efforts to reduce methane from the municipal solid waste sector under the auspices of the Global Methane Initiative. The methods used by the tool are based on engineering and scientific judgment and represent the standard of care that would be exercised by a professional experienced in the field of Anaerobic Digestion projects. The U.S. EPA and Abt Associates do not guarantee the quantity of available biogas or digestate, and no other warranty is expressed or implied. No other party is intended as a beneficiary of this work product, its content, or information embedded therein. Third parties use this tool at their own risk. This tool is meant to be a preliminary screening tool, not a full project feasibility assessment. The tool results have not been verified or validated through experimental trials against actual anaerobic digesters.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A1:T124"/>
  <sheetViews>
    <sheetView workbookViewId="0">
      <selection sqref="A1:XFD1"/>
    </sheetView>
  </sheetViews>
  <sheetFormatPr defaultColWidth="0" defaultRowHeight="15.9" zeroHeight="1" x14ac:dyDescent="0.45"/>
  <cols>
    <col min="1" max="19" width="8.640625" customWidth="1"/>
    <col min="20" max="20" width="1.640625" customWidth="1"/>
    <col min="21" max="16384" width="8.640625" hidden="1"/>
  </cols>
  <sheetData>
    <row r="1" x14ac:dyDescent="0.45"/>
    <row r="2" x14ac:dyDescent="0.45"/>
    <row r="3" x14ac:dyDescent="0.45"/>
    <row r="4" x14ac:dyDescent="0.45"/>
    <row r="5" x14ac:dyDescent="0.45"/>
    <row r="6" x14ac:dyDescent="0.45"/>
    <row r="7" x14ac:dyDescent="0.45"/>
    <row r="8" x14ac:dyDescent="0.45"/>
    <row r="9" x14ac:dyDescent="0.45"/>
    <row r="10" x14ac:dyDescent="0.45"/>
    <row r="11" x14ac:dyDescent="0.45"/>
    <row r="12" x14ac:dyDescent="0.45"/>
    <row r="13" x14ac:dyDescent="0.45"/>
    <row r="14" x14ac:dyDescent="0.45"/>
    <row r="15" x14ac:dyDescent="0.45"/>
    <row r="16" x14ac:dyDescent="0.45"/>
    <row r="17" x14ac:dyDescent="0.45"/>
    <row r="18" x14ac:dyDescent="0.45"/>
    <row r="19" x14ac:dyDescent="0.45"/>
    <row r="20" x14ac:dyDescent="0.45"/>
    <row r="21" x14ac:dyDescent="0.45"/>
    <row r="22" x14ac:dyDescent="0.45"/>
    <row r="23" x14ac:dyDescent="0.45"/>
    <row r="24" x14ac:dyDescent="0.45"/>
    <row r="25" x14ac:dyDescent="0.45"/>
    <row r="26" x14ac:dyDescent="0.45"/>
    <row r="27" ht="4.3" customHeight="1" x14ac:dyDescent="0.45"/>
    <row r="124" spans="4:4" hidden="1" x14ac:dyDescent="0.45">
      <c r="D124" t="s">
        <v>0</v>
      </c>
    </row>
  </sheetData>
  <sheetProtection selectLockedCells="1" selectUnlockedCells="1"/>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BF8888-2948-4B8A-B6BC-2E1FCE89242E}">
  <sheetPr codeName="Sheet16">
    <tabColor rgb="FFDBAD4F"/>
  </sheetPr>
  <dimension ref="A1:N1"/>
  <sheetViews>
    <sheetView workbookViewId="0">
      <selection activeCell="D29" sqref="D29"/>
    </sheetView>
  </sheetViews>
  <sheetFormatPr defaultRowHeight="15.9" x14ac:dyDescent="0.45"/>
  <sheetData>
    <row r="1" spans="1:14" ht="18" x14ac:dyDescent="0.45">
      <c r="A1" s="287" t="s">
        <v>751</v>
      </c>
      <c r="B1" s="290"/>
      <c r="C1" s="290"/>
      <c r="D1" s="290"/>
      <c r="E1" s="290"/>
      <c r="F1" s="290"/>
      <c r="G1" s="290"/>
      <c r="H1" s="290"/>
      <c r="I1" s="290"/>
      <c r="J1" s="290"/>
      <c r="K1" s="290"/>
      <c r="L1" s="290"/>
      <c r="M1" s="290"/>
      <c r="N1" s="290"/>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BAD4F"/>
  </sheetPr>
  <dimension ref="A1:D23"/>
  <sheetViews>
    <sheetView workbookViewId="0"/>
  </sheetViews>
  <sheetFormatPr defaultColWidth="9" defaultRowHeight="15" x14ac:dyDescent="0.35"/>
  <cols>
    <col min="1" max="1" width="1.0703125" style="9" customWidth="1"/>
    <col min="2" max="16384" width="9" style="9"/>
  </cols>
  <sheetData>
    <row r="1" spans="1:4" s="288" customFormat="1" ht="27.75" customHeight="1" x14ac:dyDescent="0.4">
      <c r="A1" s="9"/>
      <c r="B1" s="287" t="s">
        <v>1</v>
      </c>
    </row>
    <row r="2" spans="1:4" ht="17.600000000000001" x14ac:dyDescent="0.4">
      <c r="B2" s="10"/>
      <c r="C2" s="10"/>
      <c r="D2" s="10"/>
    </row>
    <row r="3" spans="1:4" ht="17.600000000000001" x14ac:dyDescent="0.4">
      <c r="B3" s="24" t="s">
        <v>2</v>
      </c>
      <c r="C3" s="10"/>
      <c r="D3" s="10"/>
    </row>
    <row r="4" spans="1:4" ht="17.600000000000001" x14ac:dyDescent="0.4">
      <c r="B4" s="24" t="s">
        <v>3</v>
      </c>
      <c r="C4" s="10"/>
      <c r="D4" s="10"/>
    </row>
    <row r="5" spans="1:4" ht="17.600000000000001" x14ac:dyDescent="0.4">
      <c r="B5" s="24" t="s">
        <v>4</v>
      </c>
      <c r="C5" s="10"/>
      <c r="D5" s="10"/>
    </row>
    <row r="6" spans="1:4" ht="17.600000000000001" x14ac:dyDescent="0.4">
      <c r="B6" s="24" t="s">
        <v>5</v>
      </c>
      <c r="C6" s="10"/>
      <c r="D6" s="10"/>
    </row>
    <row r="7" spans="1:4" ht="17.600000000000001" x14ac:dyDescent="0.4">
      <c r="B7" s="24" t="s">
        <v>6</v>
      </c>
      <c r="C7" s="10"/>
      <c r="D7" s="10"/>
    </row>
    <row r="8" spans="1:4" ht="17.600000000000001" x14ac:dyDescent="0.4">
      <c r="B8" s="24" t="s">
        <v>7</v>
      </c>
      <c r="C8" s="10"/>
      <c r="D8" s="10"/>
    </row>
    <row r="9" spans="1:4" ht="17.600000000000001" x14ac:dyDescent="0.4">
      <c r="B9" s="24" t="s">
        <v>8</v>
      </c>
      <c r="C9" s="10"/>
      <c r="D9" s="10"/>
    </row>
    <row r="10" spans="1:4" ht="17.600000000000001" x14ac:dyDescent="0.4">
      <c r="B10" s="24" t="s">
        <v>9</v>
      </c>
      <c r="C10" s="10"/>
      <c r="D10" s="10"/>
    </row>
    <row r="11" spans="1:4" ht="17.600000000000001" x14ac:dyDescent="0.4">
      <c r="B11" s="24" t="s">
        <v>10</v>
      </c>
      <c r="C11" s="10"/>
      <c r="D11" s="10"/>
    </row>
    <row r="12" spans="1:4" ht="17.600000000000001" x14ac:dyDescent="0.4">
      <c r="B12" s="24" t="s">
        <v>11</v>
      </c>
      <c r="C12" s="10"/>
      <c r="D12" s="10"/>
    </row>
    <row r="13" spans="1:4" ht="17.600000000000001" x14ac:dyDescent="0.4">
      <c r="B13" s="24" t="s">
        <v>12</v>
      </c>
      <c r="C13" s="10"/>
      <c r="D13" s="10"/>
    </row>
    <row r="14" spans="1:4" ht="17.600000000000001" x14ac:dyDescent="0.4">
      <c r="B14" s="24" t="s">
        <v>13</v>
      </c>
      <c r="C14" s="10"/>
      <c r="D14" s="10"/>
    </row>
    <row r="15" spans="1:4" ht="17.600000000000001" x14ac:dyDescent="0.4">
      <c r="B15" s="24" t="s">
        <v>14</v>
      </c>
      <c r="C15" s="10"/>
      <c r="D15" s="10"/>
    </row>
    <row r="16" spans="1:4" ht="17.600000000000001" x14ac:dyDescent="0.4">
      <c r="B16" s="24" t="s">
        <v>15</v>
      </c>
      <c r="C16" s="10"/>
      <c r="D16" s="10"/>
    </row>
    <row r="17" spans="2:4" ht="17.600000000000001" x14ac:dyDescent="0.4">
      <c r="B17" s="24" t="s">
        <v>16</v>
      </c>
      <c r="C17" s="10"/>
      <c r="D17" s="10"/>
    </row>
    <row r="18" spans="2:4" ht="17.600000000000001" x14ac:dyDescent="0.4">
      <c r="B18" s="24" t="s">
        <v>17</v>
      </c>
      <c r="D18" s="10"/>
    </row>
    <row r="19" spans="2:4" ht="17.600000000000001" x14ac:dyDescent="0.4">
      <c r="B19" s="24" t="s">
        <v>18</v>
      </c>
      <c r="D19" s="10"/>
    </row>
    <row r="20" spans="2:4" ht="17.600000000000001" x14ac:dyDescent="0.4">
      <c r="B20" s="10"/>
      <c r="C20" s="10"/>
      <c r="D20" s="10"/>
    </row>
    <row r="21" spans="2:4" ht="17.600000000000001" x14ac:dyDescent="0.4">
      <c r="B21" s="10"/>
      <c r="C21" s="10"/>
      <c r="D21" s="10"/>
    </row>
    <row r="22" spans="2:4" ht="17.600000000000001" x14ac:dyDescent="0.4">
      <c r="B22" s="10"/>
      <c r="C22" s="10"/>
      <c r="D22" s="10"/>
    </row>
    <row r="23" spans="2:4" ht="17.600000000000001" x14ac:dyDescent="0.4">
      <c r="B23" s="10"/>
      <c r="C23" s="10"/>
      <c r="D23" s="10"/>
    </row>
  </sheetData>
  <hyperlinks>
    <hyperlink ref="B3" location="Introduction!A1" display="Introduction" xr:uid="{00000000-0004-0000-0100-000000000000}"/>
    <hyperlink ref="B4" location="Instructions!A1" display="Instructions" xr:uid="{00000000-0004-0000-0100-000001000000}"/>
    <hyperlink ref="B8" location="'Digester Inputs'!A1" display="Anaerobic Digester Inputs" xr:uid="{00000000-0004-0000-0100-000002000000}"/>
    <hyperlink ref="B14" location="'Waste Characteristics'!A1" display="Waste Characteristics" xr:uid="{00000000-0004-0000-0100-000003000000}"/>
    <hyperlink ref="B10" location="'Biogas Production'!A1" display="Biogas Production" xr:uid="{00000000-0004-0000-0100-000004000000}"/>
    <hyperlink ref="B11" location="'Digestate Production'!A1" display="Digestate Production" xr:uid="{00000000-0004-0000-0100-000005000000}"/>
    <hyperlink ref="B12" location="'Annual Summary'!A1" display="Annual Summary" xr:uid="{00000000-0004-0000-0100-000006000000}"/>
    <hyperlink ref="B18" location="References!A1" display="References" xr:uid="{00000000-0004-0000-0100-000007000000}"/>
    <hyperlink ref="B5" location="'Tool Concept Notes'!A1" display="Tool Concept Notes" xr:uid="{00000000-0004-0000-0100-000008000000}"/>
    <hyperlink ref="B15" location="Contents!A1" display="Feedstocks Toxicity Info" xr:uid="{00000000-0004-0000-0100-000009000000}"/>
    <hyperlink ref="B6" location="'Default Waste Inputs List'!A1" display="Default Waste Input List" xr:uid="{00000000-0004-0000-0100-00000A000000}"/>
    <hyperlink ref="B7" location="'Gas to Volume'!A1" display="Gas to Volume" xr:uid="{00000000-0004-0000-0100-00000B000000}"/>
    <hyperlink ref="B19" location="Help!A1" display="Help" xr:uid="{00000000-0004-0000-0100-00000C000000}"/>
    <hyperlink ref="B9" location="'Emissions Inputs'!A1" display="Emissions Inputs" xr:uid="{00000000-0004-0000-0100-00000D000000}"/>
    <hyperlink ref="B13" location="'Estimated Emissions Reductions'!A1" display="Estimated Emissions Reductions" xr:uid="{00000000-0004-0000-0100-00000E000000}"/>
    <hyperlink ref="B16" location="'OrganEcs Input Sheet'!A1" display="OrganEcs Input Sheet" xr:uid="{00000000-0004-0000-0100-00000F000000}"/>
    <hyperlink ref="B17" location="MCF!A1" display="MCF" xr:uid="{00000000-0004-0000-0100-000010000000}"/>
  </hyperlink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DBAD4F"/>
  </sheetPr>
  <dimension ref="A1:J27"/>
  <sheetViews>
    <sheetView workbookViewId="0"/>
  </sheetViews>
  <sheetFormatPr defaultColWidth="8.5703125" defaultRowHeight="15.9" x14ac:dyDescent="0.45"/>
  <cols>
    <col min="3" max="3" width="117.5" customWidth="1"/>
  </cols>
  <sheetData>
    <row r="1" spans="1:10" s="55" customFormat="1" ht="30" customHeight="1" x14ac:dyDescent="0.5">
      <c r="A1" s="287" t="s">
        <v>19</v>
      </c>
      <c r="B1" s="289"/>
      <c r="C1" s="289"/>
    </row>
    <row r="2" spans="1:10" x14ac:dyDescent="0.45">
      <c r="A2" s="8"/>
      <c r="B2" s="8"/>
      <c r="C2" s="8"/>
      <c r="D2" s="8"/>
      <c r="E2" s="8"/>
      <c r="F2" s="8"/>
      <c r="G2" s="8"/>
      <c r="H2" s="8"/>
      <c r="I2" s="8"/>
      <c r="J2" s="8"/>
    </row>
    <row r="3" spans="1:10" x14ac:dyDescent="0.45">
      <c r="A3" s="8"/>
      <c r="B3" s="8"/>
      <c r="C3" s="8"/>
      <c r="D3" s="8"/>
      <c r="E3" s="8"/>
      <c r="F3" s="8"/>
      <c r="G3" s="8"/>
      <c r="H3" s="8"/>
      <c r="I3" s="8"/>
      <c r="J3" s="8"/>
    </row>
    <row r="4" spans="1:10" x14ac:dyDescent="0.45">
      <c r="A4" s="8"/>
      <c r="B4" s="8"/>
      <c r="C4" s="8"/>
      <c r="D4" s="8"/>
      <c r="E4" s="8"/>
      <c r="F4" s="8"/>
      <c r="G4" s="8"/>
      <c r="H4" s="8"/>
      <c r="I4" s="8"/>
      <c r="J4" s="8"/>
    </row>
    <row r="5" spans="1:10" x14ac:dyDescent="0.45">
      <c r="A5" s="8"/>
      <c r="B5" s="8"/>
      <c r="C5" s="8"/>
      <c r="D5" s="8"/>
      <c r="E5" s="8"/>
      <c r="F5" s="8"/>
      <c r="G5" s="8"/>
      <c r="H5" s="8"/>
      <c r="I5" s="8"/>
      <c r="J5" s="8"/>
    </row>
    <row r="6" spans="1:10" x14ac:dyDescent="0.45">
      <c r="A6" s="8"/>
      <c r="B6" s="8"/>
      <c r="C6" s="8"/>
      <c r="D6" s="8"/>
      <c r="E6" s="8"/>
      <c r="F6" s="8"/>
      <c r="G6" s="8"/>
      <c r="H6" s="8"/>
      <c r="I6" s="8"/>
      <c r="J6" s="8"/>
    </row>
    <row r="7" spans="1:10" x14ac:dyDescent="0.45">
      <c r="A7" s="8"/>
      <c r="B7" s="8"/>
      <c r="C7" s="8"/>
      <c r="D7" s="8"/>
      <c r="E7" s="8"/>
      <c r="F7" s="8"/>
      <c r="G7" s="8"/>
      <c r="H7" s="8"/>
      <c r="I7" s="8"/>
      <c r="J7" s="8"/>
    </row>
    <row r="8" spans="1:10" x14ac:dyDescent="0.45">
      <c r="A8" s="8"/>
      <c r="B8" s="8"/>
      <c r="C8" s="8"/>
      <c r="D8" s="8"/>
      <c r="E8" s="8"/>
      <c r="F8" s="8"/>
      <c r="G8" s="8"/>
      <c r="H8" s="8"/>
      <c r="I8" s="8"/>
      <c r="J8" s="8"/>
    </row>
    <row r="9" spans="1:10" x14ac:dyDescent="0.45">
      <c r="A9" s="8"/>
      <c r="B9" s="8"/>
      <c r="C9" s="8"/>
      <c r="D9" s="8"/>
      <c r="E9" s="8"/>
      <c r="F9" s="8"/>
      <c r="G9" s="8"/>
      <c r="H9" s="8"/>
      <c r="I9" s="8"/>
      <c r="J9" s="8"/>
    </row>
    <row r="10" spans="1:10" x14ac:dyDescent="0.45">
      <c r="A10" s="8"/>
      <c r="B10" s="8"/>
      <c r="C10" s="8"/>
      <c r="D10" s="8"/>
      <c r="E10" s="8"/>
      <c r="F10" s="8"/>
      <c r="G10" s="8"/>
      <c r="H10" s="8"/>
      <c r="I10" s="8"/>
      <c r="J10" s="8"/>
    </row>
    <row r="11" spans="1:10" x14ac:dyDescent="0.45">
      <c r="A11" s="8"/>
      <c r="B11" s="8"/>
      <c r="C11" s="8"/>
      <c r="D11" s="8"/>
      <c r="E11" s="8"/>
      <c r="F11" s="8"/>
      <c r="G11" s="8"/>
      <c r="H11" s="8"/>
      <c r="I11" s="8"/>
      <c r="J11" s="8"/>
    </row>
    <row r="12" spans="1:10" x14ac:dyDescent="0.45">
      <c r="A12" s="8"/>
      <c r="B12" s="8"/>
      <c r="C12" s="8"/>
      <c r="D12" s="8"/>
      <c r="E12" s="8"/>
      <c r="F12" s="8"/>
      <c r="G12" s="8"/>
      <c r="H12" s="8"/>
      <c r="I12" s="8"/>
      <c r="J12" s="8"/>
    </row>
    <row r="13" spans="1:10" x14ac:dyDescent="0.45">
      <c r="A13" s="8"/>
      <c r="B13" s="8"/>
      <c r="C13" s="8"/>
      <c r="D13" s="8"/>
      <c r="E13" s="8"/>
      <c r="F13" s="8"/>
      <c r="G13" s="8"/>
      <c r="H13" s="8"/>
      <c r="I13" s="8"/>
      <c r="J13" s="8"/>
    </row>
    <row r="14" spans="1:10" x14ac:dyDescent="0.45">
      <c r="A14" s="8"/>
      <c r="B14" s="8"/>
      <c r="C14" s="8"/>
      <c r="D14" s="8"/>
      <c r="E14" s="8"/>
      <c r="F14" s="8"/>
      <c r="G14" s="8"/>
      <c r="H14" s="8"/>
      <c r="I14" s="8"/>
      <c r="J14" s="8"/>
    </row>
    <row r="15" spans="1:10" x14ac:dyDescent="0.45">
      <c r="A15" s="8"/>
      <c r="B15" s="8"/>
      <c r="C15" s="8"/>
      <c r="D15" s="8"/>
      <c r="E15" s="8"/>
      <c r="F15" s="8"/>
      <c r="G15" s="8"/>
      <c r="H15" s="8"/>
      <c r="I15" s="8"/>
      <c r="J15" s="8"/>
    </row>
    <row r="16" spans="1:10" x14ac:dyDescent="0.45">
      <c r="A16" s="8"/>
      <c r="B16" s="8"/>
      <c r="C16" s="8"/>
      <c r="D16" s="8"/>
      <c r="E16" s="8"/>
      <c r="F16" s="8"/>
      <c r="G16" s="8"/>
      <c r="H16" s="8"/>
      <c r="I16" s="8"/>
      <c r="J16" s="8"/>
    </row>
    <row r="17" spans="1:10" x14ac:dyDescent="0.45">
      <c r="A17" s="8"/>
      <c r="B17" s="8"/>
      <c r="C17" s="8"/>
      <c r="D17" s="8"/>
      <c r="E17" s="8"/>
      <c r="F17" s="8"/>
      <c r="G17" s="8"/>
      <c r="H17" s="8"/>
      <c r="I17" s="8"/>
      <c r="J17" s="8"/>
    </row>
    <row r="18" spans="1:10" x14ac:dyDescent="0.45">
      <c r="A18" s="8"/>
      <c r="B18" s="8"/>
      <c r="C18" s="8"/>
      <c r="D18" s="8"/>
      <c r="E18" s="8"/>
      <c r="F18" s="8"/>
      <c r="G18" s="8"/>
      <c r="H18" s="8"/>
      <c r="I18" s="8"/>
      <c r="J18" s="8"/>
    </row>
    <row r="19" spans="1:10" x14ac:dyDescent="0.45">
      <c r="A19" s="8"/>
      <c r="B19" s="8"/>
      <c r="C19" s="8"/>
      <c r="D19" s="8"/>
      <c r="E19" s="8"/>
      <c r="F19" s="8"/>
      <c r="G19" s="8"/>
      <c r="H19" s="8"/>
      <c r="I19" s="8"/>
      <c r="J19" s="8"/>
    </row>
    <row r="20" spans="1:10" x14ac:dyDescent="0.45">
      <c r="A20" s="8"/>
      <c r="B20" s="8"/>
      <c r="C20" s="8"/>
      <c r="D20" s="8"/>
      <c r="E20" s="8"/>
      <c r="F20" s="8"/>
      <c r="G20" s="8"/>
      <c r="H20" s="8"/>
      <c r="I20" s="8"/>
      <c r="J20" s="8"/>
    </row>
    <row r="21" spans="1:10" x14ac:dyDescent="0.45">
      <c r="A21" s="8"/>
      <c r="B21" s="8"/>
      <c r="C21" s="8"/>
      <c r="D21" s="8"/>
      <c r="E21" s="8"/>
      <c r="F21" s="8"/>
      <c r="G21" s="8"/>
      <c r="H21" s="8"/>
      <c r="I21" s="8"/>
      <c r="J21" s="8"/>
    </row>
    <row r="22" spans="1:10" x14ac:dyDescent="0.45">
      <c r="A22" s="8"/>
      <c r="B22" s="8"/>
      <c r="C22" s="8"/>
      <c r="D22" s="8"/>
      <c r="E22" s="8"/>
      <c r="F22" s="8"/>
      <c r="G22" s="8"/>
      <c r="H22" s="8"/>
      <c r="I22" s="8"/>
      <c r="J22" s="8"/>
    </row>
    <row r="23" spans="1:10" x14ac:dyDescent="0.45">
      <c r="A23" s="8"/>
      <c r="B23" s="8"/>
      <c r="C23" s="8"/>
      <c r="D23" s="8"/>
      <c r="E23" s="8"/>
      <c r="F23" s="8"/>
      <c r="G23" s="8"/>
      <c r="H23" s="8"/>
      <c r="I23" s="8"/>
      <c r="J23" s="8"/>
    </row>
    <row r="24" spans="1:10" x14ac:dyDescent="0.45">
      <c r="A24" s="8"/>
      <c r="B24" s="8"/>
      <c r="C24" s="8"/>
      <c r="D24" s="8"/>
      <c r="E24" s="8"/>
      <c r="F24" s="8"/>
      <c r="G24" s="8"/>
      <c r="H24" s="8"/>
      <c r="I24" s="8"/>
      <c r="J24" s="8"/>
    </row>
    <row r="25" spans="1:10" x14ac:dyDescent="0.45">
      <c r="A25" s="8"/>
      <c r="B25" s="8"/>
      <c r="C25" s="8"/>
      <c r="D25" s="8"/>
      <c r="E25" s="8"/>
      <c r="F25" s="8"/>
      <c r="G25" s="8"/>
      <c r="H25" s="8"/>
      <c r="I25" s="8"/>
      <c r="J25" s="8"/>
    </row>
    <row r="26" spans="1:10" x14ac:dyDescent="0.45">
      <c r="A26" s="8"/>
      <c r="B26" s="8"/>
      <c r="C26" s="8"/>
      <c r="D26" s="8"/>
      <c r="E26" s="8"/>
      <c r="F26" s="8"/>
      <c r="G26" s="8"/>
      <c r="H26" s="8"/>
      <c r="I26" s="8"/>
      <c r="J26" s="8"/>
    </row>
    <row r="27" spans="1:10" x14ac:dyDescent="0.45">
      <c r="A27" s="8"/>
      <c r="B27" s="8"/>
      <c r="C27" s="8"/>
      <c r="D27" s="8"/>
      <c r="E27" s="8"/>
      <c r="F27" s="8"/>
      <c r="G27" s="8"/>
      <c r="H27" s="8"/>
      <c r="I27" s="8"/>
      <c r="J27" s="8"/>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DBAD4F"/>
  </sheetPr>
  <dimension ref="A1:M31"/>
  <sheetViews>
    <sheetView workbookViewId="0"/>
  </sheetViews>
  <sheetFormatPr defaultColWidth="8.5703125" defaultRowHeight="15.9" x14ac:dyDescent="0.45"/>
  <cols>
    <col min="1" max="13" width="8.5703125" customWidth="1"/>
  </cols>
  <sheetData>
    <row r="1" spans="1:13" s="56" customFormat="1" ht="30" customHeight="1" x14ac:dyDescent="0.4">
      <c r="A1" s="287" t="s">
        <v>20</v>
      </c>
      <c r="B1" s="290"/>
      <c r="C1" s="290"/>
      <c r="D1" s="290"/>
      <c r="E1" s="290"/>
      <c r="F1" s="290"/>
      <c r="G1" s="290"/>
      <c r="H1" s="290"/>
      <c r="I1" s="290"/>
      <c r="J1" s="290"/>
      <c r="K1" s="290"/>
      <c r="L1" s="290"/>
      <c r="M1" s="290"/>
    </row>
    <row r="3" spans="1:13" x14ac:dyDescent="0.45">
      <c r="A3" s="8"/>
      <c r="B3" s="8"/>
      <c r="C3" s="8"/>
      <c r="D3" s="8"/>
      <c r="E3" s="8"/>
      <c r="F3" s="8"/>
      <c r="G3" s="8"/>
      <c r="H3" s="8"/>
      <c r="I3" s="8"/>
      <c r="J3" s="8"/>
    </row>
    <row r="4" spans="1:13" x14ac:dyDescent="0.45">
      <c r="A4" s="8"/>
      <c r="B4" s="8"/>
      <c r="C4" s="8"/>
      <c r="D4" s="8"/>
      <c r="E4" s="8"/>
      <c r="F4" s="8"/>
      <c r="G4" s="8"/>
      <c r="H4" s="8"/>
      <c r="I4" s="8"/>
      <c r="J4" s="8"/>
    </row>
    <row r="5" spans="1:13" x14ac:dyDescent="0.45">
      <c r="A5" s="8"/>
      <c r="B5" s="8"/>
      <c r="C5" s="8"/>
      <c r="D5" s="8"/>
      <c r="E5" s="8"/>
      <c r="F5" s="8"/>
      <c r="G5" s="8"/>
      <c r="H5" s="8"/>
      <c r="I5" s="8"/>
      <c r="J5" s="8"/>
    </row>
    <row r="6" spans="1:13" x14ac:dyDescent="0.45">
      <c r="A6" s="8"/>
      <c r="B6" s="8"/>
      <c r="C6" s="8"/>
      <c r="D6" s="8"/>
      <c r="E6" s="8"/>
      <c r="F6" s="8"/>
      <c r="G6" s="8"/>
      <c r="H6" s="8"/>
      <c r="I6" s="8"/>
      <c r="J6" s="8"/>
    </row>
    <row r="7" spans="1:13" x14ac:dyDescent="0.45">
      <c r="A7" s="8"/>
      <c r="B7" s="8"/>
      <c r="C7" s="8"/>
      <c r="D7" s="8"/>
      <c r="E7" s="8"/>
      <c r="F7" s="8"/>
      <c r="G7" s="8"/>
      <c r="H7" s="8"/>
      <c r="I7" s="8"/>
      <c r="J7" s="8"/>
    </row>
    <row r="8" spans="1:13" x14ac:dyDescent="0.45">
      <c r="A8" s="8"/>
      <c r="B8" s="8"/>
      <c r="C8" s="8"/>
      <c r="D8" s="8"/>
      <c r="E8" s="8"/>
      <c r="F8" s="8"/>
      <c r="G8" s="8"/>
      <c r="H8" s="8"/>
      <c r="I8" s="8"/>
      <c r="J8" s="8"/>
    </row>
    <row r="9" spans="1:13" x14ac:dyDescent="0.45">
      <c r="A9" s="8"/>
      <c r="B9" s="8"/>
      <c r="C9" s="8"/>
      <c r="D9" s="8"/>
      <c r="E9" s="8"/>
      <c r="F9" s="8"/>
      <c r="G9" s="8"/>
      <c r="H9" s="8"/>
      <c r="I9" s="8"/>
      <c r="J9" s="8"/>
    </row>
    <row r="10" spans="1:13" x14ac:dyDescent="0.45">
      <c r="A10" s="8"/>
      <c r="B10" s="8"/>
      <c r="C10" s="8"/>
      <c r="D10" s="8"/>
      <c r="E10" s="8"/>
      <c r="F10" s="8"/>
      <c r="G10" s="8"/>
      <c r="H10" s="8"/>
      <c r="I10" s="8"/>
      <c r="J10" s="8"/>
    </row>
    <row r="11" spans="1:13" x14ac:dyDescent="0.45">
      <c r="A11" s="8"/>
      <c r="B11" s="8"/>
      <c r="C11" s="8"/>
      <c r="D11" s="8"/>
      <c r="E11" s="8"/>
      <c r="F11" s="8"/>
      <c r="G11" s="8"/>
      <c r="H11" s="8"/>
      <c r="I11" s="8"/>
      <c r="J11" s="8"/>
    </row>
    <row r="12" spans="1:13" x14ac:dyDescent="0.45">
      <c r="A12" s="8"/>
      <c r="B12" s="8"/>
      <c r="C12" s="8"/>
      <c r="D12" s="8"/>
      <c r="E12" s="8"/>
      <c r="F12" s="8"/>
      <c r="G12" s="8"/>
      <c r="H12" s="8"/>
      <c r="I12" s="8"/>
      <c r="J12" s="8"/>
    </row>
    <row r="13" spans="1:13" x14ac:dyDescent="0.45">
      <c r="A13" s="8"/>
      <c r="B13" s="8"/>
      <c r="C13" s="8"/>
      <c r="D13" s="8"/>
      <c r="E13" s="8"/>
      <c r="F13" s="8"/>
      <c r="G13" s="8"/>
      <c r="H13" s="8"/>
      <c r="I13" s="8"/>
      <c r="J13" s="8"/>
    </row>
    <row r="14" spans="1:13" x14ac:dyDescent="0.45">
      <c r="A14" s="8"/>
      <c r="B14" s="8"/>
      <c r="C14" s="8"/>
      <c r="D14" s="8"/>
      <c r="E14" s="8"/>
      <c r="F14" s="8"/>
      <c r="G14" s="8"/>
      <c r="H14" s="8"/>
      <c r="I14" s="8"/>
      <c r="J14" s="8"/>
    </row>
    <row r="15" spans="1:13" x14ac:dyDescent="0.45">
      <c r="A15" s="8"/>
      <c r="B15" s="8"/>
      <c r="C15" s="8"/>
      <c r="D15" s="8"/>
      <c r="E15" s="8"/>
      <c r="F15" s="8"/>
      <c r="G15" s="8"/>
      <c r="H15" s="8"/>
      <c r="I15" s="8"/>
      <c r="J15" s="8"/>
    </row>
    <row r="16" spans="1:13" x14ac:dyDescent="0.45">
      <c r="A16" s="8"/>
      <c r="B16" s="8"/>
      <c r="C16" s="8"/>
      <c r="D16" s="8"/>
      <c r="E16" s="8"/>
      <c r="F16" s="8"/>
      <c r="G16" s="8"/>
      <c r="H16" s="8"/>
      <c r="I16" s="8"/>
      <c r="J16" s="8"/>
    </row>
    <row r="17" spans="1:10" x14ac:dyDescent="0.45">
      <c r="A17" s="8"/>
      <c r="B17" s="8"/>
      <c r="C17" s="8"/>
      <c r="D17" s="8"/>
      <c r="E17" s="8"/>
      <c r="F17" s="8"/>
      <c r="G17" s="8"/>
      <c r="H17" s="8"/>
      <c r="I17" s="8"/>
      <c r="J17" s="8"/>
    </row>
    <row r="18" spans="1:10" x14ac:dyDescent="0.45">
      <c r="A18" s="8"/>
      <c r="B18" s="8"/>
      <c r="C18" s="8"/>
      <c r="D18" s="8"/>
      <c r="E18" s="8"/>
      <c r="F18" s="8"/>
      <c r="G18" s="8"/>
      <c r="H18" s="8"/>
      <c r="I18" s="8"/>
      <c r="J18" s="8"/>
    </row>
    <row r="19" spans="1:10" x14ac:dyDescent="0.45">
      <c r="A19" s="8"/>
      <c r="B19" s="8"/>
      <c r="C19" s="8"/>
      <c r="D19" s="8"/>
      <c r="E19" s="8"/>
      <c r="F19" s="8"/>
      <c r="G19" s="8"/>
      <c r="H19" s="8"/>
      <c r="I19" s="8"/>
      <c r="J19" s="8"/>
    </row>
    <row r="20" spans="1:10" x14ac:dyDescent="0.45">
      <c r="A20" s="8"/>
      <c r="B20" s="8"/>
      <c r="C20" s="8"/>
      <c r="D20" s="8"/>
      <c r="E20" s="8"/>
      <c r="F20" s="8"/>
      <c r="G20" s="8"/>
      <c r="H20" s="8"/>
      <c r="I20" s="8"/>
      <c r="J20" s="8"/>
    </row>
    <row r="21" spans="1:10" x14ac:dyDescent="0.45">
      <c r="A21" s="8"/>
      <c r="B21" s="8"/>
      <c r="C21" s="8"/>
      <c r="D21" s="8"/>
      <c r="E21" s="8"/>
      <c r="F21" s="8"/>
      <c r="G21" s="8"/>
      <c r="H21" s="8"/>
      <c r="I21" s="8"/>
      <c r="J21" s="8"/>
    </row>
    <row r="22" spans="1:10" x14ac:dyDescent="0.45">
      <c r="A22" s="8"/>
      <c r="B22" s="8"/>
      <c r="C22" s="8"/>
      <c r="D22" s="8"/>
      <c r="E22" s="8"/>
      <c r="F22" s="8"/>
      <c r="G22" s="8"/>
      <c r="H22" s="8"/>
      <c r="I22" s="8"/>
      <c r="J22" s="8"/>
    </row>
    <row r="23" spans="1:10" x14ac:dyDescent="0.45">
      <c r="A23" s="8"/>
      <c r="B23" s="8"/>
      <c r="C23" s="8"/>
      <c r="D23" s="8"/>
      <c r="E23" s="8"/>
      <c r="F23" s="8"/>
      <c r="G23" s="8"/>
      <c r="H23" s="8"/>
      <c r="I23" s="8"/>
      <c r="J23" s="8"/>
    </row>
    <row r="24" spans="1:10" x14ac:dyDescent="0.45">
      <c r="A24" s="8"/>
      <c r="B24" s="8"/>
      <c r="C24" s="8"/>
      <c r="D24" s="8"/>
      <c r="E24" s="8"/>
      <c r="F24" s="8"/>
      <c r="G24" s="8"/>
      <c r="H24" s="8"/>
      <c r="I24" s="8"/>
      <c r="J24" s="8"/>
    </row>
    <row r="25" spans="1:10" x14ac:dyDescent="0.45">
      <c r="A25" s="8"/>
      <c r="B25" s="8"/>
      <c r="C25" s="8"/>
      <c r="D25" s="8"/>
      <c r="E25" s="8"/>
      <c r="F25" s="8"/>
      <c r="G25" s="8"/>
      <c r="H25" s="8"/>
      <c r="I25" s="8"/>
      <c r="J25" s="8"/>
    </row>
    <row r="26" spans="1:10" ht="12.75" customHeight="1" x14ac:dyDescent="0.45">
      <c r="A26" s="8"/>
      <c r="B26" s="8"/>
      <c r="C26" s="8"/>
      <c r="D26" s="8"/>
      <c r="E26" s="8"/>
      <c r="F26" s="8"/>
      <c r="G26" s="8"/>
      <c r="H26" s="8"/>
      <c r="I26" s="8"/>
      <c r="J26" s="8"/>
    </row>
    <row r="27" spans="1:10" ht="15.75" hidden="1" customHeight="1" x14ac:dyDescent="0.45">
      <c r="A27" s="8"/>
      <c r="B27" s="8"/>
      <c r="C27" s="8"/>
      <c r="D27" s="8"/>
      <c r="E27" s="8"/>
      <c r="F27" s="8"/>
      <c r="G27" s="8"/>
      <c r="H27" s="8"/>
      <c r="I27" s="8"/>
      <c r="J27" s="8"/>
    </row>
    <row r="28" spans="1:10" x14ac:dyDescent="0.45">
      <c r="A28" s="8"/>
      <c r="B28" s="8"/>
      <c r="C28" s="8"/>
      <c r="D28" s="8"/>
      <c r="E28" s="8"/>
      <c r="F28" s="8"/>
      <c r="G28" s="8"/>
      <c r="H28" s="8"/>
      <c r="I28" s="8"/>
      <c r="J28" s="8"/>
    </row>
    <row r="29" spans="1:10" x14ac:dyDescent="0.45">
      <c r="A29" s="8"/>
      <c r="B29" s="8"/>
      <c r="C29" s="8"/>
      <c r="D29" s="8"/>
      <c r="E29" s="8"/>
      <c r="F29" s="8"/>
      <c r="G29" s="8"/>
      <c r="H29" s="8"/>
      <c r="I29" s="8"/>
      <c r="J29" s="8"/>
    </row>
    <row r="30" spans="1:10" x14ac:dyDescent="0.45">
      <c r="A30" s="8"/>
      <c r="B30" s="8"/>
      <c r="C30" s="8"/>
      <c r="D30" s="8"/>
      <c r="E30" s="8"/>
      <c r="F30" s="8"/>
      <c r="G30" s="8"/>
      <c r="H30" s="8"/>
      <c r="I30" s="8"/>
      <c r="J30" s="8"/>
    </row>
    <row r="31" spans="1:10" x14ac:dyDescent="0.45">
      <c r="A31" s="8"/>
      <c r="B31" s="8"/>
      <c r="C31" s="8"/>
      <c r="D31" s="8"/>
      <c r="E31" s="8"/>
      <c r="F31" s="8"/>
      <c r="G31" s="8"/>
      <c r="H31" s="8"/>
      <c r="I31" s="8"/>
      <c r="J31" s="8"/>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DBAD4F"/>
  </sheetPr>
  <dimension ref="A1:N65"/>
  <sheetViews>
    <sheetView workbookViewId="0"/>
  </sheetViews>
  <sheetFormatPr defaultRowHeight="15.9" x14ac:dyDescent="0.45"/>
  <cols>
    <col min="1" max="1" width="1.140625" customWidth="1"/>
    <col min="2" max="10" width="36.5703125" customWidth="1"/>
  </cols>
  <sheetData>
    <row r="1" spans="1:14" s="286" customFormat="1" ht="30" customHeight="1" x14ac:dyDescent="0.45">
      <c r="A1"/>
      <c r="B1" s="287" t="s">
        <v>5</v>
      </c>
      <c r="D1" s="287"/>
      <c r="E1" s="287"/>
      <c r="F1" s="287"/>
      <c r="G1" s="287"/>
      <c r="H1" s="287"/>
      <c r="I1" s="287"/>
      <c r="J1" s="287"/>
      <c r="K1" s="287"/>
      <c r="L1" s="287"/>
      <c r="M1" s="287"/>
      <c r="N1" s="287"/>
    </row>
    <row r="2" spans="1:14" ht="18" x14ac:dyDescent="0.45">
      <c r="B2" s="18"/>
      <c r="C2" s="18"/>
      <c r="D2" s="18"/>
      <c r="E2" s="18"/>
      <c r="F2" s="18"/>
      <c r="G2" s="18"/>
      <c r="H2" s="18"/>
      <c r="I2" s="18"/>
      <c r="J2" s="18"/>
      <c r="K2" s="18"/>
      <c r="L2" s="18"/>
      <c r="M2" s="18"/>
      <c r="N2" s="18"/>
    </row>
    <row r="3" spans="1:14" ht="18" x14ac:dyDescent="0.45">
      <c r="B3" s="562" t="s">
        <v>21</v>
      </c>
      <c r="C3" s="563"/>
      <c r="D3" s="563"/>
      <c r="E3" s="563"/>
      <c r="F3" s="563"/>
      <c r="G3" s="563"/>
      <c r="H3" s="563"/>
      <c r="I3" s="563"/>
      <c r="J3" s="563"/>
      <c r="K3" s="18"/>
      <c r="L3" s="18"/>
      <c r="M3" s="18"/>
      <c r="N3" s="18"/>
    </row>
    <row r="4" spans="1:14" ht="19.3" customHeight="1" x14ac:dyDescent="0.45">
      <c r="B4" s="25" t="s">
        <v>22</v>
      </c>
      <c r="C4" s="25" t="s">
        <v>23</v>
      </c>
      <c r="D4" s="25" t="s">
        <v>24</v>
      </c>
      <c r="E4" s="25" t="s">
        <v>25</v>
      </c>
      <c r="F4" s="25" t="s">
        <v>26</v>
      </c>
      <c r="G4" s="25" t="s">
        <v>27</v>
      </c>
      <c r="H4" s="25" t="s">
        <v>28</v>
      </c>
      <c r="I4" s="25" t="s">
        <v>29</v>
      </c>
      <c r="J4" s="25" t="s">
        <v>30</v>
      </c>
    </row>
    <row r="5" spans="1:14" s="8" customFormat="1" ht="19.3" customHeight="1" x14ac:dyDescent="0.45">
      <c r="B5" s="311" t="s">
        <v>31</v>
      </c>
      <c r="C5" s="311" t="s">
        <v>32</v>
      </c>
      <c r="D5" s="311" t="s">
        <v>33</v>
      </c>
      <c r="E5" s="311" t="s">
        <v>34</v>
      </c>
      <c r="F5" s="311" t="s">
        <v>35</v>
      </c>
      <c r="G5" s="54" t="s">
        <v>36</v>
      </c>
      <c r="H5" s="311" t="s">
        <v>37</v>
      </c>
      <c r="I5" s="311" t="s">
        <v>38</v>
      </c>
      <c r="J5" s="311" t="s">
        <v>39</v>
      </c>
    </row>
    <row r="6" spans="1:14" s="8" customFormat="1" ht="19.3" customHeight="1" x14ac:dyDescent="0.45">
      <c r="B6" s="311" t="s">
        <v>40</v>
      </c>
      <c r="C6" s="311" t="s">
        <v>41</v>
      </c>
      <c r="D6" s="311" t="s">
        <v>42</v>
      </c>
      <c r="E6" s="311" t="s">
        <v>43</v>
      </c>
      <c r="F6" s="311" t="s">
        <v>44</v>
      </c>
      <c r="G6" s="311" t="s">
        <v>45</v>
      </c>
      <c r="H6" s="311" t="s">
        <v>46</v>
      </c>
      <c r="I6" s="311" t="s">
        <v>47</v>
      </c>
      <c r="J6" s="26"/>
    </row>
    <row r="7" spans="1:14" s="8" customFormat="1" ht="19.3" customHeight="1" x14ac:dyDescent="0.45">
      <c r="B7" s="311" t="s">
        <v>48</v>
      </c>
      <c r="C7" s="311" t="s">
        <v>49</v>
      </c>
      <c r="D7" s="311" t="s">
        <v>50</v>
      </c>
      <c r="E7" s="311" t="s">
        <v>51</v>
      </c>
      <c r="F7" s="311" t="s">
        <v>52</v>
      </c>
      <c r="G7" s="311" t="s">
        <v>53</v>
      </c>
      <c r="H7" s="311" t="s">
        <v>54</v>
      </c>
      <c r="I7" s="311" t="s">
        <v>55</v>
      </c>
      <c r="J7" s="26"/>
    </row>
    <row r="8" spans="1:14" s="8" customFormat="1" ht="19.3" customHeight="1" x14ac:dyDescent="0.45">
      <c r="B8" s="311" t="s">
        <v>56</v>
      </c>
      <c r="C8" s="311" t="s">
        <v>57</v>
      </c>
      <c r="D8" s="311" t="s">
        <v>58</v>
      </c>
      <c r="E8" s="311" t="s">
        <v>59</v>
      </c>
      <c r="F8" s="311" t="s">
        <v>60</v>
      </c>
      <c r="G8" s="311" t="s">
        <v>61</v>
      </c>
      <c r="H8" s="26"/>
      <c r="I8" s="26"/>
      <c r="J8" s="26"/>
    </row>
    <row r="9" spans="1:14" s="8" customFormat="1" ht="19.3" customHeight="1" x14ac:dyDescent="0.45">
      <c r="B9" s="311" t="s">
        <v>62</v>
      </c>
      <c r="C9" s="311" t="s">
        <v>63</v>
      </c>
      <c r="D9" s="311" t="s">
        <v>64</v>
      </c>
      <c r="E9" s="311" t="s">
        <v>65</v>
      </c>
      <c r="F9" s="311" t="s">
        <v>66</v>
      </c>
      <c r="G9" s="311" t="s">
        <v>67</v>
      </c>
      <c r="H9" s="26"/>
      <c r="I9" s="26"/>
      <c r="J9" s="26"/>
    </row>
    <row r="10" spans="1:14" s="8" customFormat="1" ht="19.3" customHeight="1" x14ac:dyDescent="0.45">
      <c r="B10" s="311" t="s">
        <v>68</v>
      </c>
      <c r="C10" s="311" t="s">
        <v>69</v>
      </c>
      <c r="D10" s="311" t="s">
        <v>70</v>
      </c>
      <c r="E10" s="311" t="s">
        <v>71</v>
      </c>
      <c r="F10" s="311" t="s">
        <v>72</v>
      </c>
      <c r="G10" s="26"/>
      <c r="H10" s="26"/>
      <c r="I10" s="26"/>
      <c r="J10" s="26"/>
    </row>
    <row r="11" spans="1:14" s="8" customFormat="1" ht="19.3" customHeight="1" x14ac:dyDescent="0.45">
      <c r="B11" s="311" t="s">
        <v>73</v>
      </c>
      <c r="C11" s="311" t="s">
        <v>74</v>
      </c>
      <c r="D11" s="311" t="s">
        <v>75</v>
      </c>
      <c r="E11" s="311" t="s">
        <v>76</v>
      </c>
      <c r="F11" s="311" t="s">
        <v>77</v>
      </c>
      <c r="G11" s="26"/>
      <c r="H11" s="26"/>
      <c r="I11" s="26"/>
      <c r="J11" s="26"/>
    </row>
    <row r="12" spans="1:14" s="8" customFormat="1" ht="19.3" customHeight="1" x14ac:dyDescent="0.45">
      <c r="B12" s="311" t="s">
        <v>78</v>
      </c>
      <c r="C12" s="311" t="s">
        <v>79</v>
      </c>
      <c r="D12" s="311" t="s">
        <v>80</v>
      </c>
      <c r="E12" s="26"/>
      <c r="F12" s="311" t="s">
        <v>81</v>
      </c>
      <c r="G12" s="26"/>
      <c r="H12" s="26"/>
      <c r="I12" s="26"/>
      <c r="J12" s="26"/>
    </row>
    <row r="13" spans="1:14" s="8" customFormat="1" ht="19.3" customHeight="1" x14ac:dyDescent="0.45">
      <c r="B13" s="311" t="s">
        <v>82</v>
      </c>
      <c r="C13" s="311" t="s">
        <v>83</v>
      </c>
      <c r="D13" s="311" t="s">
        <v>84</v>
      </c>
      <c r="E13" s="26"/>
      <c r="F13" s="311" t="s">
        <v>85</v>
      </c>
      <c r="G13" s="26"/>
      <c r="H13" s="26"/>
      <c r="I13" s="26"/>
      <c r="J13" s="26"/>
    </row>
    <row r="14" spans="1:14" s="8" customFormat="1" ht="19.3" customHeight="1" x14ac:dyDescent="0.45">
      <c r="B14" s="311" t="s">
        <v>86</v>
      </c>
      <c r="C14" s="311" t="s">
        <v>87</v>
      </c>
      <c r="D14" s="311" t="s">
        <v>88</v>
      </c>
      <c r="E14" s="26"/>
      <c r="F14" s="311" t="s">
        <v>89</v>
      </c>
      <c r="G14" s="26"/>
      <c r="H14" s="26"/>
      <c r="I14" s="26"/>
      <c r="J14" s="26"/>
    </row>
    <row r="15" spans="1:14" s="8" customFormat="1" ht="19.3" customHeight="1" x14ac:dyDescent="0.45">
      <c r="B15" s="311" t="s">
        <v>90</v>
      </c>
      <c r="C15" s="311" t="s">
        <v>91</v>
      </c>
      <c r="D15" s="311" t="s">
        <v>92</v>
      </c>
      <c r="E15" s="26"/>
      <c r="F15" s="311" t="s">
        <v>93</v>
      </c>
      <c r="G15" s="26"/>
      <c r="H15" s="26"/>
      <c r="I15" s="26"/>
      <c r="J15" s="26"/>
    </row>
    <row r="16" spans="1:14" s="8" customFormat="1" ht="19.3" customHeight="1" x14ac:dyDescent="0.45">
      <c r="B16" s="311" t="s">
        <v>94</v>
      </c>
      <c r="C16" s="311" t="s">
        <v>95</v>
      </c>
      <c r="D16" s="311" t="s">
        <v>96</v>
      </c>
      <c r="E16" s="26"/>
      <c r="F16" s="26"/>
      <c r="G16" s="26"/>
      <c r="H16" s="26"/>
      <c r="I16" s="26"/>
      <c r="J16" s="26"/>
    </row>
    <row r="17" spans="2:10" s="8" customFormat="1" ht="19.3" customHeight="1" x14ac:dyDescent="0.45">
      <c r="B17" s="311" t="s">
        <v>97</v>
      </c>
      <c r="C17" s="311" t="s">
        <v>98</v>
      </c>
      <c r="D17" s="311" t="s">
        <v>99</v>
      </c>
      <c r="E17" s="26"/>
      <c r="F17" s="26"/>
      <c r="G17" s="26"/>
      <c r="H17" s="26"/>
      <c r="I17" s="26"/>
      <c r="J17" s="26"/>
    </row>
    <row r="18" spans="2:10" s="8" customFormat="1" ht="19.3" customHeight="1" x14ac:dyDescent="0.45">
      <c r="B18" s="311" t="s">
        <v>100</v>
      </c>
      <c r="C18" s="311" t="s">
        <v>101</v>
      </c>
      <c r="D18" s="311" t="s">
        <v>102</v>
      </c>
      <c r="E18" s="26"/>
      <c r="F18" s="26"/>
      <c r="G18" s="26"/>
      <c r="H18" s="26"/>
      <c r="I18" s="26"/>
      <c r="J18" s="26"/>
    </row>
    <row r="19" spans="2:10" s="8" customFormat="1" ht="19.3" customHeight="1" x14ac:dyDescent="0.45">
      <c r="B19" s="311" t="s">
        <v>103</v>
      </c>
      <c r="C19" s="311" t="s">
        <v>104</v>
      </c>
      <c r="D19" s="311" t="s">
        <v>105</v>
      </c>
      <c r="E19" s="26"/>
      <c r="F19" s="26"/>
      <c r="G19" s="26"/>
      <c r="H19" s="26"/>
      <c r="I19" s="26"/>
      <c r="J19" s="26"/>
    </row>
    <row r="20" spans="2:10" s="8" customFormat="1" ht="19.3" customHeight="1" x14ac:dyDescent="0.45">
      <c r="B20" s="311" t="s">
        <v>106</v>
      </c>
      <c r="C20" s="311" t="s">
        <v>107</v>
      </c>
      <c r="D20" s="311" t="s">
        <v>108</v>
      </c>
      <c r="E20" s="26"/>
      <c r="F20" s="26"/>
      <c r="G20" s="26"/>
      <c r="H20" s="26"/>
      <c r="I20" s="26"/>
      <c r="J20" s="26"/>
    </row>
    <row r="21" spans="2:10" s="8" customFormat="1" ht="19.3" customHeight="1" x14ac:dyDescent="0.45">
      <c r="B21" s="311" t="s">
        <v>109</v>
      </c>
      <c r="C21" s="311" t="s">
        <v>110</v>
      </c>
      <c r="D21" s="26"/>
      <c r="E21" s="26"/>
      <c r="F21" s="26"/>
      <c r="G21" s="26"/>
      <c r="H21" s="26"/>
      <c r="I21" s="26"/>
      <c r="J21" s="26"/>
    </row>
    <row r="22" spans="2:10" s="8" customFormat="1" ht="19.3" customHeight="1" x14ac:dyDescent="0.45">
      <c r="B22" s="311" t="s">
        <v>111</v>
      </c>
      <c r="C22" s="311" t="s">
        <v>112</v>
      </c>
      <c r="D22" s="26"/>
      <c r="E22" s="26"/>
      <c r="F22" s="26"/>
      <c r="G22" s="26"/>
      <c r="H22" s="26"/>
      <c r="I22" s="26"/>
      <c r="J22" s="26"/>
    </row>
    <row r="23" spans="2:10" s="8" customFormat="1" ht="19.3" customHeight="1" x14ac:dyDescent="0.45">
      <c r="B23" s="311" t="s">
        <v>113</v>
      </c>
      <c r="C23" s="311" t="s">
        <v>114</v>
      </c>
      <c r="D23" s="26"/>
      <c r="E23" s="26"/>
      <c r="F23" s="26"/>
      <c r="G23" s="26"/>
      <c r="H23" s="26"/>
      <c r="I23" s="26"/>
      <c r="J23" s="26"/>
    </row>
    <row r="24" spans="2:10" s="8" customFormat="1" ht="19.3" customHeight="1" x14ac:dyDescent="0.45">
      <c r="B24" s="311" t="s">
        <v>115</v>
      </c>
      <c r="C24" s="311" t="s">
        <v>116</v>
      </c>
      <c r="D24" s="26"/>
      <c r="E24" s="26"/>
      <c r="F24" s="26"/>
      <c r="G24" s="26"/>
      <c r="H24" s="26"/>
      <c r="I24" s="26"/>
      <c r="J24" s="26"/>
    </row>
    <row r="25" spans="2:10" s="8" customFormat="1" ht="19.3" customHeight="1" x14ac:dyDescent="0.45">
      <c r="B25" s="311" t="s">
        <v>117</v>
      </c>
      <c r="C25" s="311" t="s">
        <v>118</v>
      </c>
      <c r="D25" s="26"/>
      <c r="E25" s="26"/>
      <c r="F25" s="26"/>
      <c r="G25" s="26"/>
      <c r="H25" s="26"/>
      <c r="I25" s="26"/>
      <c r="J25" s="26"/>
    </row>
    <row r="26" spans="2:10" s="8" customFormat="1" ht="19.3" customHeight="1" x14ac:dyDescent="0.45">
      <c r="B26" s="311" t="s">
        <v>119</v>
      </c>
      <c r="C26" s="26"/>
      <c r="D26" s="26"/>
      <c r="E26" s="26"/>
      <c r="F26" s="26"/>
      <c r="G26" s="26"/>
      <c r="H26" s="26"/>
      <c r="I26" s="26"/>
      <c r="J26" s="26"/>
    </row>
    <row r="27" spans="2:10" s="8" customFormat="1" ht="19.3" customHeight="1" x14ac:dyDescent="0.45">
      <c r="B27" s="311" t="s">
        <v>120</v>
      </c>
      <c r="C27" s="26"/>
      <c r="D27" s="26"/>
      <c r="E27" s="26"/>
      <c r="F27" s="26"/>
      <c r="G27" s="26"/>
      <c r="H27" s="26"/>
      <c r="I27" s="26"/>
      <c r="J27" s="26"/>
    </row>
    <row r="28" spans="2:10" s="8" customFormat="1" ht="19.3" customHeight="1" x14ac:dyDescent="0.45">
      <c r="B28" s="311" t="s">
        <v>121</v>
      </c>
      <c r="C28" s="26"/>
      <c r="D28" s="26"/>
      <c r="E28" s="26"/>
      <c r="F28" s="26"/>
      <c r="G28" s="26"/>
      <c r="H28" s="26"/>
      <c r="I28" s="26"/>
      <c r="J28" s="26"/>
    </row>
    <row r="29" spans="2:10" s="8" customFormat="1" ht="19.3" customHeight="1" x14ac:dyDescent="0.45">
      <c r="B29" s="311" t="s">
        <v>122</v>
      </c>
      <c r="C29" s="26"/>
      <c r="D29" s="26"/>
      <c r="E29" s="26"/>
      <c r="F29" s="26"/>
      <c r="G29" s="26"/>
      <c r="H29" s="26"/>
      <c r="I29" s="26"/>
      <c r="J29" s="26"/>
    </row>
    <row r="30" spans="2:10" s="8" customFormat="1" ht="19.3" customHeight="1" x14ac:dyDescent="0.45">
      <c r="B30" s="311" t="s">
        <v>123</v>
      </c>
      <c r="C30" s="26"/>
      <c r="D30" s="26"/>
      <c r="E30" s="26"/>
      <c r="F30" s="26"/>
      <c r="G30" s="26"/>
      <c r="H30" s="26"/>
      <c r="I30" s="26"/>
      <c r="J30" s="26"/>
    </row>
    <row r="31" spans="2:10" s="8" customFormat="1" ht="19.3" customHeight="1" x14ac:dyDescent="0.45">
      <c r="B31" s="311" t="s">
        <v>124</v>
      </c>
      <c r="C31" s="26"/>
      <c r="D31" s="26"/>
      <c r="E31" s="26"/>
      <c r="F31" s="26"/>
      <c r="G31" s="26"/>
      <c r="H31" s="26"/>
      <c r="I31" s="26"/>
      <c r="J31" s="26"/>
    </row>
    <row r="32" spans="2:10" s="8" customFormat="1" ht="19.3" customHeight="1" x14ac:dyDescent="0.45">
      <c r="B32" s="28" t="s">
        <v>125</v>
      </c>
      <c r="C32" s="27"/>
      <c r="D32" s="27"/>
      <c r="E32" s="27"/>
      <c r="F32" s="26"/>
      <c r="G32" s="27"/>
      <c r="H32" s="27"/>
      <c r="I32" s="27"/>
      <c r="J32" s="27"/>
    </row>
    <row r="33" spans="2:10" x14ac:dyDescent="0.45">
      <c r="B33" s="22"/>
      <c r="C33" s="22"/>
      <c r="D33" s="22"/>
      <c r="E33" s="22"/>
      <c r="H33" s="22"/>
      <c r="I33" s="22"/>
      <c r="J33" s="22"/>
    </row>
    <row r="34" spans="2:10" x14ac:dyDescent="0.45">
      <c r="B34" s="22"/>
      <c r="C34" s="22"/>
      <c r="D34" s="22"/>
      <c r="E34" s="22"/>
      <c r="H34" s="22"/>
      <c r="I34" s="22"/>
      <c r="J34" s="22"/>
    </row>
    <row r="36" spans="2:10" x14ac:dyDescent="0.45">
      <c r="F36" s="22"/>
    </row>
    <row r="55" spans="3:3" x14ac:dyDescent="0.45">
      <c r="C55" s="6"/>
    </row>
    <row r="59" spans="3:3" x14ac:dyDescent="0.45">
      <c r="C59" s="15"/>
    </row>
    <row r="65" spans="3:3" x14ac:dyDescent="0.45">
      <c r="C65" s="7"/>
    </row>
  </sheetData>
  <sortState xmlns:xlrd2="http://schemas.microsoft.com/office/spreadsheetml/2017/richdata2" ref="F5:F15">
    <sortCondition ref="F5"/>
  </sortState>
  <mergeCells count="1">
    <mergeCell ref="B3:J3"/>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25C6FF"/>
  </sheetPr>
  <dimension ref="A1:BE188"/>
  <sheetViews>
    <sheetView topLeftCell="A3" workbookViewId="0">
      <selection activeCell="C19" sqref="C19"/>
    </sheetView>
  </sheetViews>
  <sheetFormatPr defaultColWidth="9" defaultRowHeight="14.15" x14ac:dyDescent="0.35"/>
  <cols>
    <col min="1" max="1" width="12.640625" style="1" customWidth="1"/>
    <col min="2" max="2" width="42.5703125" style="1" customWidth="1"/>
    <col min="3" max="3" width="40.140625" style="1" customWidth="1"/>
    <col min="4" max="4" width="17.5703125" style="1" customWidth="1"/>
    <col min="5" max="5" width="40.140625" style="1" customWidth="1"/>
    <col min="6" max="10" width="28.5703125" style="1" customWidth="1"/>
    <col min="11" max="11" width="35.0703125" style="1" customWidth="1"/>
    <col min="12" max="12" width="28.5703125" style="1" hidden="1" customWidth="1"/>
    <col min="13" max="13" width="28.5703125" style="1" customWidth="1"/>
    <col min="14" max="14" width="28.5" style="1" customWidth="1"/>
    <col min="15" max="15" width="28.5703125" style="1" customWidth="1"/>
    <col min="16" max="18" width="28.5703125" style="1" hidden="1" customWidth="1"/>
    <col min="19" max="19" width="22.640625" style="1" hidden="1" customWidth="1"/>
    <col min="20" max="20" width="13.0703125" style="1" hidden="1" customWidth="1"/>
    <col min="21" max="21" width="9.5703125" style="1" hidden="1" customWidth="1"/>
    <col min="22" max="22" width="13.0703125" style="1" hidden="1" customWidth="1"/>
    <col min="23" max="23" width="12.5" style="1" hidden="1" customWidth="1"/>
    <col min="24" max="24" width="10" style="1" hidden="1" customWidth="1"/>
    <col min="25" max="25" width="17.140625" style="1" hidden="1" customWidth="1"/>
    <col min="26" max="27" width="9" style="1" hidden="1" customWidth="1"/>
    <col min="28" max="28" width="13.0703125" style="1" hidden="1" customWidth="1"/>
    <col min="29" max="29" width="12.5" style="1" hidden="1" customWidth="1"/>
    <col min="30" max="30" width="10" style="1" hidden="1" customWidth="1"/>
    <col min="31" max="31" width="17.140625" style="1" hidden="1" customWidth="1"/>
    <col min="32" max="34" width="9" style="1" hidden="1" customWidth="1"/>
    <col min="35" max="35" width="12.5" style="1" hidden="1" customWidth="1"/>
    <col min="36" max="36" width="10" style="1" hidden="1" customWidth="1"/>
    <col min="37" max="37" width="17.140625" style="1" hidden="1" customWidth="1"/>
    <col min="38" max="56" width="9" style="1" hidden="1" customWidth="1"/>
    <col min="57" max="57" width="23.640625" style="1" bestFit="1" customWidth="1"/>
    <col min="58" max="16384" width="9" style="1"/>
  </cols>
  <sheetData>
    <row r="1" spans="1:57" ht="30" customHeight="1" x14ac:dyDescent="0.4">
      <c r="A1" s="287" t="s">
        <v>126</v>
      </c>
      <c r="B1" s="287"/>
      <c r="C1" s="291"/>
      <c r="D1" s="291"/>
      <c r="E1" s="291"/>
      <c r="F1" s="291"/>
      <c r="G1" s="291"/>
      <c r="H1" s="291"/>
      <c r="I1" s="291"/>
      <c r="J1" s="291"/>
      <c r="K1" s="291"/>
      <c r="L1" s="291"/>
      <c r="M1" s="291"/>
      <c r="N1" s="291"/>
      <c r="O1" s="291"/>
      <c r="P1" s="291"/>
      <c r="Q1" s="291"/>
      <c r="R1" s="291"/>
      <c r="S1" s="291"/>
      <c r="T1" s="291"/>
      <c r="U1" s="291"/>
      <c r="V1" s="291"/>
      <c r="W1" s="291"/>
      <c r="X1" s="291"/>
      <c r="Y1" s="291"/>
      <c r="Z1" s="291"/>
      <c r="AA1" s="291"/>
      <c r="AB1" s="291"/>
      <c r="AC1" s="291"/>
      <c r="AD1" s="291"/>
      <c r="AE1" s="291"/>
      <c r="AF1" s="291"/>
      <c r="AG1" s="291"/>
      <c r="AH1" s="291"/>
      <c r="AI1" s="291"/>
      <c r="AJ1" s="291"/>
      <c r="AK1" s="291"/>
      <c r="AL1" s="291"/>
      <c r="AM1" s="291"/>
      <c r="AN1" s="291"/>
      <c r="AO1" s="291"/>
      <c r="AP1" s="291"/>
      <c r="AQ1" s="291"/>
      <c r="AR1" s="291"/>
      <c r="AS1" s="291"/>
      <c r="AT1" s="291"/>
      <c r="AU1" s="291"/>
      <c r="AV1" s="291"/>
      <c r="AW1" s="291"/>
      <c r="AX1" s="291"/>
      <c r="AY1" s="291"/>
      <c r="AZ1" s="291"/>
      <c r="BA1" s="291"/>
      <c r="BB1" s="291"/>
      <c r="BC1" s="291"/>
      <c r="BD1" s="291"/>
      <c r="BE1" s="291"/>
    </row>
    <row r="2" spans="1:57" x14ac:dyDescent="0.35">
      <c r="B2" s="2"/>
    </row>
    <row r="3" spans="1:57" ht="96" customHeight="1" thickBot="1" x14ac:dyDescent="0.4">
      <c r="B3" s="2"/>
      <c r="L3" s="307"/>
    </row>
    <row r="4" spans="1:57" s="91" customFormat="1" ht="19.3" customHeight="1" x14ac:dyDescent="0.35">
      <c r="B4" s="424" t="s">
        <v>127</v>
      </c>
      <c r="C4" s="425"/>
    </row>
    <row r="5" spans="1:57" s="91" customFormat="1" ht="19.3" customHeight="1" x14ac:dyDescent="0.35">
      <c r="B5" s="410" t="s">
        <v>128</v>
      </c>
      <c r="C5" s="421"/>
    </row>
    <row r="6" spans="1:57" ht="14.6" thickBot="1" x14ac:dyDescent="0.4">
      <c r="B6" s="426" t="s">
        <v>129</v>
      </c>
      <c r="C6" s="427"/>
      <c r="D6" s="91"/>
    </row>
    <row r="7" spans="1:57" ht="14.6" thickBot="1" x14ac:dyDescent="0.4">
      <c r="B7" s="2"/>
      <c r="D7" s="91"/>
    </row>
    <row r="8" spans="1:57" s="92" customFormat="1" ht="18.75" customHeight="1" x14ac:dyDescent="0.45">
      <c r="B8" s="417" t="s">
        <v>130</v>
      </c>
      <c r="C8" s="506" t="s">
        <v>131</v>
      </c>
      <c r="D8" s="91"/>
      <c r="F8"/>
      <c r="G8"/>
      <c r="H8"/>
      <c r="I8"/>
      <c r="J8"/>
    </row>
    <row r="9" spans="1:57" s="92" customFormat="1" ht="35.15" customHeight="1" x14ac:dyDescent="0.45">
      <c r="B9" s="418" t="s">
        <v>132</v>
      </c>
      <c r="C9" s="500" t="s">
        <v>133</v>
      </c>
      <c r="D9"/>
      <c r="F9"/>
      <c r="G9"/>
      <c r="H9"/>
      <c r="I9" s="93"/>
      <c r="J9"/>
      <c r="K9" s="94"/>
    </row>
    <row r="10" spans="1:57" s="92" customFormat="1" ht="35.15" customHeight="1" x14ac:dyDescent="0.45">
      <c r="B10" s="419" t="s">
        <v>134</v>
      </c>
      <c r="C10" s="420" t="s">
        <v>135</v>
      </c>
      <c r="D10"/>
      <c r="F10"/>
      <c r="G10"/>
      <c r="H10"/>
      <c r="I10" s="93"/>
      <c r="J10"/>
      <c r="K10" s="94"/>
    </row>
    <row r="11" spans="1:57" s="92" customFormat="1" ht="35.15" customHeight="1" x14ac:dyDescent="0.45">
      <c r="B11" s="419" t="s">
        <v>136</v>
      </c>
      <c r="C11" s="421" t="s">
        <v>760</v>
      </c>
      <c r="D11"/>
      <c r="G11"/>
      <c r="H11"/>
      <c r="I11" s="93"/>
      <c r="J11"/>
      <c r="K11" s="94"/>
    </row>
    <row r="12" spans="1:57" s="92" customFormat="1" ht="35.15" customHeight="1" thickBot="1" x14ac:dyDescent="0.5">
      <c r="B12" s="422" t="s">
        <v>137</v>
      </c>
      <c r="C12" s="423"/>
      <c r="D12"/>
      <c r="F12"/>
      <c r="G12" s="95"/>
      <c r="H12"/>
      <c r="I12" s="93"/>
      <c r="J12"/>
      <c r="K12" s="94"/>
    </row>
    <row r="13" spans="1:57" s="92" customFormat="1" ht="26.25" customHeight="1" thickBot="1" x14ac:dyDescent="0.5">
      <c r="B13" s="307"/>
      <c r="D13" s="306"/>
      <c r="E13" s="307"/>
      <c r="F13"/>
      <c r="G13" s="95"/>
      <c r="H13"/>
      <c r="I13" s="96"/>
      <c r="J13"/>
      <c r="K13" s="94"/>
    </row>
    <row r="14" spans="1:57" s="92" customFormat="1" ht="58.5" customHeight="1" thickBot="1" x14ac:dyDescent="0.5">
      <c r="A14" s="564" t="s">
        <v>138</v>
      </c>
      <c r="B14" s="565"/>
      <c r="C14" s="565"/>
      <c r="D14" s="565"/>
      <c r="E14" s="566"/>
      <c r="F14" s="575" t="s">
        <v>139</v>
      </c>
      <c r="G14" s="576"/>
      <c r="H14" s="576"/>
      <c r="I14" s="576"/>
      <c r="J14" s="576"/>
      <c r="K14" s="576"/>
      <c r="L14" s="576"/>
      <c r="M14" s="576"/>
      <c r="N14" s="576"/>
      <c r="O14" s="577"/>
    </row>
    <row r="15" spans="1:57" s="92" customFormat="1" ht="19.3" customHeight="1" x14ac:dyDescent="0.45">
      <c r="A15" s="567" t="s">
        <v>140</v>
      </c>
      <c r="B15" s="567"/>
      <c r="C15" s="567"/>
      <c r="D15" s="567"/>
      <c r="E15" s="568"/>
      <c r="F15" s="579" t="s">
        <v>141</v>
      </c>
      <c r="G15" s="567"/>
      <c r="H15" s="567"/>
      <c r="I15" s="567"/>
      <c r="J15" s="567"/>
      <c r="K15" s="567"/>
      <c r="L15" s="567"/>
      <c r="M15" s="567"/>
      <c r="N15" s="567"/>
      <c r="O15" s="567"/>
      <c r="P15" s="567"/>
      <c r="Q15" s="567"/>
      <c r="S15" s="265"/>
      <c r="T15" s="265" t="s">
        <v>142</v>
      </c>
      <c r="U15" s="265"/>
      <c r="V15" s="265"/>
      <c r="W15" s="265"/>
      <c r="X15" s="265"/>
      <c r="Y15" s="265"/>
      <c r="Z15" s="265" t="s">
        <v>143</v>
      </c>
      <c r="AA15" s="265"/>
      <c r="AB15" s="265"/>
      <c r="AC15" s="265"/>
      <c r="AD15" s="265"/>
      <c r="AE15" s="265"/>
      <c r="AF15" s="265" t="s">
        <v>144</v>
      </c>
      <c r="AG15" s="265"/>
      <c r="AH15" s="265"/>
      <c r="AI15" s="265"/>
      <c r="AJ15" s="265"/>
      <c r="AK15" s="265"/>
      <c r="AL15" s="92" t="s">
        <v>145</v>
      </c>
      <c r="AR15" s="92" t="s">
        <v>146</v>
      </c>
      <c r="AX15" s="92" t="s">
        <v>147</v>
      </c>
      <c r="BE15" s="428"/>
    </row>
    <row r="16" spans="1:57" s="346" customFormat="1" ht="36" customHeight="1" x14ac:dyDescent="0.45">
      <c r="A16" s="343" t="s">
        <v>148</v>
      </c>
      <c r="B16" s="343" t="s">
        <v>149</v>
      </c>
      <c r="C16" s="343" t="s">
        <v>150</v>
      </c>
      <c r="D16" s="343" t="s">
        <v>151</v>
      </c>
      <c r="E16" s="343" t="s">
        <v>152</v>
      </c>
      <c r="F16" s="345" t="s">
        <v>153</v>
      </c>
      <c r="G16" s="33" t="s">
        <v>154</v>
      </c>
      <c r="H16" s="33" t="s">
        <v>155</v>
      </c>
      <c r="I16" s="33" t="s">
        <v>156</v>
      </c>
      <c r="J16" s="33" t="s">
        <v>157</v>
      </c>
      <c r="K16" s="33" t="s">
        <v>158</v>
      </c>
      <c r="L16" s="33" t="s">
        <v>159</v>
      </c>
      <c r="M16" s="33" t="s">
        <v>160</v>
      </c>
      <c r="N16" s="33" t="s">
        <v>161</v>
      </c>
      <c r="O16" s="33" t="s">
        <v>162</v>
      </c>
      <c r="P16" s="33" t="s">
        <v>163</v>
      </c>
      <c r="Q16" s="33" t="s">
        <v>164</v>
      </c>
      <c r="S16" s="347" t="s">
        <v>165</v>
      </c>
      <c r="T16" s="347" t="s">
        <v>166</v>
      </c>
      <c r="U16" s="348" t="s">
        <v>167</v>
      </c>
      <c r="V16" s="348" t="s">
        <v>168</v>
      </c>
      <c r="W16" s="348" t="s">
        <v>169</v>
      </c>
      <c r="X16" s="348" t="s">
        <v>170</v>
      </c>
      <c r="Y16" s="349" t="s">
        <v>171</v>
      </c>
      <c r="Z16" s="347" t="s">
        <v>166</v>
      </c>
      <c r="AA16" s="348" t="s">
        <v>167</v>
      </c>
      <c r="AB16" s="348" t="s">
        <v>168</v>
      </c>
      <c r="AC16" s="348" t="s">
        <v>169</v>
      </c>
      <c r="AD16" s="348" t="s">
        <v>170</v>
      </c>
      <c r="AE16" s="348" t="s">
        <v>171</v>
      </c>
      <c r="AF16" s="347" t="s">
        <v>166</v>
      </c>
      <c r="AG16" s="348" t="s">
        <v>167</v>
      </c>
      <c r="AH16" s="348" t="s">
        <v>168</v>
      </c>
      <c r="AI16" s="348" t="s">
        <v>169</v>
      </c>
      <c r="AJ16" s="348" t="s">
        <v>170</v>
      </c>
      <c r="AK16" s="349" t="s">
        <v>171</v>
      </c>
      <c r="AL16" s="347" t="s">
        <v>166</v>
      </c>
      <c r="AM16" s="348" t="s">
        <v>167</v>
      </c>
      <c r="AN16" s="348" t="s">
        <v>168</v>
      </c>
      <c r="AO16" s="348" t="s">
        <v>169</v>
      </c>
      <c r="AP16" s="348" t="s">
        <v>170</v>
      </c>
      <c r="AQ16" s="349" t="s">
        <v>171</v>
      </c>
      <c r="AR16" s="347" t="s">
        <v>166</v>
      </c>
      <c r="AS16" s="348" t="s">
        <v>167</v>
      </c>
      <c r="AT16" s="348" t="s">
        <v>168</v>
      </c>
      <c r="AU16" s="348" t="s">
        <v>169</v>
      </c>
      <c r="AV16" s="348" t="s">
        <v>170</v>
      </c>
      <c r="AW16" s="349" t="s">
        <v>171</v>
      </c>
      <c r="AX16" s="347" t="s">
        <v>166</v>
      </c>
      <c r="AY16" s="348" t="s">
        <v>167</v>
      </c>
      <c r="AZ16" s="348" t="s">
        <v>168</v>
      </c>
      <c r="BA16" s="348" t="s">
        <v>169</v>
      </c>
      <c r="BB16" s="348" t="s">
        <v>170</v>
      </c>
      <c r="BC16" s="349" t="s">
        <v>171</v>
      </c>
      <c r="BE16" s="343" t="s">
        <v>172</v>
      </c>
    </row>
    <row r="17" spans="1:57" s="92" customFormat="1" ht="19.3" customHeight="1" x14ac:dyDescent="0.45">
      <c r="A17" s="101" t="s">
        <v>175</v>
      </c>
      <c r="B17" s="101" t="s">
        <v>57</v>
      </c>
      <c r="C17" s="149">
        <f>(16159645-127750-240170)*0.453592/365</f>
        <v>19624.657879999999</v>
      </c>
      <c r="D17" s="339" t="s">
        <v>176</v>
      </c>
      <c r="E17" s="340"/>
      <c r="F17" s="102">
        <f>IFERROR(VLOOKUP(B17,'9-Feedstock Characteristics'!$A$8:$W$127,2,FALSE),"-")</f>
        <v>0.83</v>
      </c>
      <c r="G17" s="102">
        <f>IFERROR(VLOOKUP(B17,'9-Feedstock Characteristics'!$A$8:$W$127,3,FALSE),"-")</f>
        <v>0.1108433734939759</v>
      </c>
      <c r="H17" s="102">
        <f>IFERROR(VLOOKUP(B17,'9-Feedstock Characteristics'!$A$8:$W$127,7,FALSE),"-")</f>
        <v>9.2771084337349402E-2</v>
      </c>
      <c r="I17" s="102">
        <f>IFERROR(VLOOKUP(B17,'9-Feedstock Characteristics'!$A$8:$W$127,8,FALSE),"-")</f>
        <v>1.8072289156626495E-2</v>
      </c>
      <c r="J17" s="102">
        <f>IFERROR(VLOOKUP(B17,'9-Feedstock Characteristics'!$A$8:$W$127,12,FALSE)/(1-F17),"-")</f>
        <v>4.5652173913043478E-2</v>
      </c>
      <c r="K17" s="103">
        <f t="shared" ref="K17:K31" si="0">IFERROR((H17/(1-F17))*0.55,"")</f>
        <v>0.30014174344436567</v>
      </c>
      <c r="L17" s="104" t="e">
        <f>IF(C17=0,"-",IF(ReactorType="Dry",VLOOKUP(B17,'9-Feedstock Characteristics'!$A$8:$W$127,18,FALSE),VLOOKUP(B17,'9-Feedstock Characteristics'!$A$8:$W$127,18,FALSE)*((C17/(DensityofWater*VLOOKUP(B17,'9-Feedstock Characteristics'!$A$8:$W$127,19,FALSE)))/Chosen_Reactor_Volume)+DensityofWater*((Chosen_Reactor_Volume-(C17/(DensityofWater*VLOOKUP(B17,'9-Feedstock Characteristics'!$A$8:$W$127,19,FALSE))))/Chosen_Reactor_Volume)))</f>
        <v>#DIV/0!</v>
      </c>
      <c r="M17" s="102">
        <f>IFERROR(VLOOKUP(B17,'9-Feedstock Characteristics'!$A$8:$W$127,15,FALSE),"-")</f>
        <v>8.5300000000000001E-2</v>
      </c>
      <c r="N17" s="102">
        <f>IFERROR(VLOOKUP(B17,'9-Feedstock Characteristics'!$A$8:$W$127,14,FALSE),"-")</f>
        <v>1.9400000000000001E-2</v>
      </c>
      <c r="O17" s="102">
        <f>IFERROR(VLOOKUP(B17,'9-Feedstock Characteristics'!$A$8:$W$127,13,FALSE),"-")</f>
        <v>0.87722771084337348</v>
      </c>
      <c r="P17" s="105">
        <f t="shared" ref="P17:P31" si="1">IFERROR(BE17*H17,"")</f>
        <v>1820.6007912771083</v>
      </c>
      <c r="Q17" s="105">
        <f t="shared" ref="Q17:Q31" si="2">IFERROR(BE17*G17,"")</f>
        <v>2175.2632830843372</v>
      </c>
      <c r="S17" s="259" t="str">
        <f t="shared" ref="S17:S31" si="3">VLOOKUP(B17,Waste_Item_Table,21,FALSE)</f>
        <v>Manure</v>
      </c>
      <c r="T17" s="264" t="str">
        <f t="shared" ref="T17:Y31" si="4">IFERROR(IF($S17=T$16,$BE17,""),"")</f>
        <v/>
      </c>
      <c r="U17" s="92" t="str">
        <f t="shared" si="4"/>
        <v/>
      </c>
      <c r="V17" s="92">
        <f>IFERROR(IF($S17=V$16,$BE17,""),"")</f>
        <v>19624.657879999999</v>
      </c>
      <c r="W17" s="92" t="str">
        <f t="shared" si="4"/>
        <v/>
      </c>
      <c r="X17" s="92" t="str">
        <f t="shared" si="4"/>
        <v/>
      </c>
      <c r="Y17" s="263" t="str">
        <f t="shared" si="4"/>
        <v/>
      </c>
      <c r="Z17" s="264" t="str">
        <f t="shared" ref="Z17:AE17" si="5">IFERROR(IF($S17=Z$16,$J17,""),"")</f>
        <v/>
      </c>
      <c r="AA17" s="92" t="str">
        <f t="shared" si="5"/>
        <v/>
      </c>
      <c r="AB17" s="92">
        <f t="shared" si="5"/>
        <v>4.5652173913043478E-2</v>
      </c>
      <c r="AC17" s="92" t="str">
        <f t="shared" si="5"/>
        <v/>
      </c>
      <c r="AD17" s="92" t="str">
        <f t="shared" si="5"/>
        <v/>
      </c>
      <c r="AE17" s="92" t="str">
        <f t="shared" si="5"/>
        <v/>
      </c>
      <c r="AF17" s="264" t="str">
        <f t="shared" ref="AF17:AK17" si="6">IFERROR(IF($S17=AF$16,$K17/$J17,""),"")</f>
        <v/>
      </c>
      <c r="AG17" s="92" t="str">
        <f t="shared" si="6"/>
        <v/>
      </c>
      <c r="AH17" s="92">
        <f t="shared" si="6"/>
        <v>6.5745334278289622</v>
      </c>
      <c r="AI17" s="92" t="str">
        <f t="shared" si="6"/>
        <v/>
      </c>
      <c r="AJ17" s="92" t="str">
        <f t="shared" si="6"/>
        <v/>
      </c>
      <c r="AK17" s="263" t="str">
        <f t="shared" si="6"/>
        <v/>
      </c>
      <c r="AL17" s="250" t="str">
        <f t="shared" ref="AL17:AQ17" si="7">IFERROR(IF($S17=AL$16,$F17,""),"")</f>
        <v/>
      </c>
      <c r="AM17" s="249" t="str">
        <f t="shared" si="7"/>
        <v/>
      </c>
      <c r="AN17" s="249">
        <f t="shared" si="7"/>
        <v>0.83</v>
      </c>
      <c r="AO17" s="249" t="str">
        <f t="shared" si="7"/>
        <v/>
      </c>
      <c r="AP17" s="249" t="str">
        <f t="shared" si="7"/>
        <v/>
      </c>
      <c r="AQ17" s="248" t="str">
        <f t="shared" si="7"/>
        <v/>
      </c>
      <c r="AR17" s="264" t="str">
        <f t="shared" ref="AR17:AW17" si="8">IFERROR(IF($S17=AR$16,$H17,""),"")</f>
        <v/>
      </c>
      <c r="AS17" s="92" t="str">
        <f t="shared" si="8"/>
        <v/>
      </c>
      <c r="AT17" s="92">
        <f t="shared" si="8"/>
        <v>9.2771084337349402E-2</v>
      </c>
      <c r="AU17" s="92" t="str">
        <f t="shared" si="8"/>
        <v/>
      </c>
      <c r="AV17" s="92" t="str">
        <f t="shared" si="8"/>
        <v/>
      </c>
      <c r="AW17" s="263" t="str">
        <f t="shared" si="8"/>
        <v/>
      </c>
      <c r="AX17" s="269" t="str">
        <f>IFERROR(IF($S17=AX$16,'6-Biogas Production'!$Q58,""),"")</f>
        <v/>
      </c>
      <c r="AY17" s="270" t="str">
        <f>IFERROR(IF($S17=AY$16,'6-Biogas Production'!$Q58,""),"")</f>
        <v/>
      </c>
      <c r="AZ17" s="270">
        <f>IFERROR(IF($S17=AZ$16,'6-Biogas Production'!$Q58,""),"")</f>
        <v>0.14799999999999999</v>
      </c>
      <c r="BA17" s="270" t="str">
        <f>IFERROR(IF($S17=BA$16,'6-Biogas Production'!$Q58,""),"")</f>
        <v/>
      </c>
      <c r="BB17" s="270" t="str">
        <f>IFERROR(IF($S17=BB$16,'6-Biogas Production'!$Q58,""),"")</f>
        <v/>
      </c>
      <c r="BC17" s="271" t="str">
        <f>IFERROR(IF($S17=BC$16,'6-Biogas Production'!$Q58,""),"")</f>
        <v/>
      </c>
      <c r="BE17" s="341">
        <f>C17*VLOOKUP(D17,'23-Look up values'!$A$4:$B$9,2,FALSE)</f>
        <v>19624.657879999999</v>
      </c>
    </row>
    <row r="18" spans="1:57" s="92" customFormat="1" ht="19.3" customHeight="1" x14ac:dyDescent="0.45">
      <c r="A18" s="101" t="s">
        <v>175</v>
      </c>
      <c r="B18" s="101" t="s">
        <v>32</v>
      </c>
      <c r="C18" s="149">
        <f>240170*0.453592/365</f>
        <v>298.46353599999998</v>
      </c>
      <c r="D18" s="339" t="s">
        <v>176</v>
      </c>
      <c r="E18" s="340"/>
      <c r="F18" s="106">
        <f>IFERROR(VLOOKUP(B18,'9-Feedstock Characteristics'!$A$8:$W$127,2,FALSE),"-")</f>
        <v>0.9</v>
      </c>
      <c r="G18" s="106">
        <f>IFERROR(VLOOKUP(B18,'9-Feedstock Characteristics'!$A$8:$W$127,3,FALSE),"-")</f>
        <v>9.9999999999999978E-2</v>
      </c>
      <c r="H18" s="106">
        <f>IFERROR(VLOOKUP(B18,'9-Feedstock Characteristics'!$A$8:$W$127,7,FALSE),"-")</f>
        <v>8.3076923076923062E-2</v>
      </c>
      <c r="I18" s="106">
        <f>IFERROR(VLOOKUP(B18,'9-Feedstock Characteristics'!$A$8:$W$127,8,FALSE),"-")</f>
        <v>1.6923076923076916E-2</v>
      </c>
      <c r="J18" s="106">
        <f>IFERROR(VLOOKUP(B18,'9-Feedstock Characteristics'!$A$8:$W$127,12,FALSE)/(1-F18),"-")</f>
        <v>8.3076923076923076E-2</v>
      </c>
      <c r="K18" s="107">
        <f t="shared" si="0"/>
        <v>0.45692307692307699</v>
      </c>
      <c r="L18" s="104" t="e">
        <f>IF(C18=0,"-",IF(ReactorType="Dry",VLOOKUP(B18,'9-Feedstock Characteristics'!$A$8:$W$127,18,FALSE),VLOOKUP(B18,'9-Feedstock Characteristics'!$A$8:$W$127,18,FALSE)*((C18/(DensityofWater*VLOOKUP(B18,'9-Feedstock Characteristics'!$A$8:$W$127,19,FALSE)))/Chosen_Reactor_Volume)+DensityofWater*((Chosen_Reactor_Volume-(C18/(DensityofWater*VLOOKUP(B18,'9-Feedstock Characteristics'!$A$8:$W$127,19,FALSE))))/Chosen_Reactor_Volume)))</f>
        <v>#DIV/0!</v>
      </c>
      <c r="M18" s="106">
        <f>IFERROR(VLOOKUP(B18,'9-Feedstock Characteristics'!$A$8:$W$127,15,FALSE),"-")</f>
        <v>9.3899999999999997E-2</v>
      </c>
      <c r="N18" s="106">
        <f>IFERROR(VLOOKUP(B18,'9-Feedstock Characteristics'!$A$8:$W$127,14,FALSE),"-")</f>
        <v>2.2100000000000002E-2</v>
      </c>
      <c r="O18" s="106">
        <f>IFERROR(VLOOKUP(B18,'9-Feedstock Characteristics'!$A$8:$W$127,13,FALSE),"-")</f>
        <v>0.86707692307692308</v>
      </c>
      <c r="P18" s="108">
        <f t="shared" si="1"/>
        <v>24.795432221538455</v>
      </c>
      <c r="Q18" s="108">
        <f t="shared" si="2"/>
        <v>29.84635359999999</v>
      </c>
      <c r="S18" s="259" t="str">
        <f t="shared" si="3"/>
        <v>Manure</v>
      </c>
      <c r="T18" s="264" t="str">
        <f t="shared" si="4"/>
        <v/>
      </c>
      <c r="U18" s="92" t="str">
        <f>IFERROR(IF($S18=U$16,$BE18,""),"")</f>
        <v/>
      </c>
      <c r="V18" s="92">
        <f t="shared" si="4"/>
        <v>298.46353599999998</v>
      </c>
      <c r="W18" s="92" t="str">
        <f t="shared" si="4"/>
        <v/>
      </c>
      <c r="X18" s="92" t="str">
        <f t="shared" si="4"/>
        <v/>
      </c>
      <c r="Y18" s="263" t="str">
        <f t="shared" si="4"/>
        <v/>
      </c>
      <c r="Z18" s="264" t="str">
        <f t="shared" ref="Z18:Z31" si="9">IFERROR(IF($S18=Z$16,$J18,""),"")</f>
        <v/>
      </c>
      <c r="AA18" s="92" t="str">
        <f t="shared" ref="AA18:AE31" si="10">IFERROR(IF($S18=AA$16,$J18,""),"")</f>
        <v/>
      </c>
      <c r="AB18" s="92">
        <f t="shared" si="10"/>
        <v>8.3076923076923076E-2</v>
      </c>
      <c r="AC18" s="92" t="str">
        <f t="shared" si="10"/>
        <v/>
      </c>
      <c r="AD18" s="92" t="str">
        <f t="shared" si="10"/>
        <v/>
      </c>
      <c r="AE18" s="92" t="str">
        <f t="shared" si="10"/>
        <v/>
      </c>
      <c r="AF18" s="264" t="str">
        <f t="shared" ref="AF18:AF31" si="11">IFERROR(IF($S18=AF$16,$K18/$J18,""),"")</f>
        <v/>
      </c>
      <c r="AG18" s="92" t="str">
        <f t="shared" ref="AG18:AK31" si="12">IFERROR(IF($S18=AG$16,$K18/$J18,""),"")</f>
        <v/>
      </c>
      <c r="AH18" s="92">
        <f t="shared" si="12"/>
        <v>5.5000000000000009</v>
      </c>
      <c r="AI18" s="92" t="str">
        <f t="shared" si="12"/>
        <v/>
      </c>
      <c r="AJ18" s="92" t="str">
        <f t="shared" si="12"/>
        <v/>
      </c>
      <c r="AK18" s="263" t="str">
        <f t="shared" si="12"/>
        <v/>
      </c>
      <c r="AL18" s="250" t="str">
        <f t="shared" ref="AL18:AL31" si="13">IFERROR(IF($S18=AL$16,$F18,""),"")</f>
        <v/>
      </c>
      <c r="AM18" s="249" t="str">
        <f t="shared" ref="AM18:AQ31" si="14">IFERROR(IF($S18=AM$16,$F18,""),"")</f>
        <v/>
      </c>
      <c r="AN18" s="249">
        <f t="shared" si="14"/>
        <v>0.9</v>
      </c>
      <c r="AO18" s="249" t="str">
        <f t="shared" si="14"/>
        <v/>
      </c>
      <c r="AP18" s="249" t="str">
        <f t="shared" si="14"/>
        <v/>
      </c>
      <c r="AQ18" s="248" t="str">
        <f t="shared" si="14"/>
        <v/>
      </c>
      <c r="AR18" s="264" t="str">
        <f t="shared" ref="AR18:AR31" si="15">IFERROR(IF($S18=AR$16,$H18,""),"")</f>
        <v/>
      </c>
      <c r="AS18" s="92" t="str">
        <f t="shared" ref="AS18:AW31" si="16">IFERROR(IF($S18=AS$16,$H18,""),"")</f>
        <v/>
      </c>
      <c r="AT18" s="92">
        <f t="shared" si="16"/>
        <v>8.3076923076923062E-2</v>
      </c>
      <c r="AU18" s="92" t="str">
        <f t="shared" si="16"/>
        <v/>
      </c>
      <c r="AV18" s="92" t="str">
        <f t="shared" si="16"/>
        <v/>
      </c>
      <c r="AW18" s="263" t="str">
        <f t="shared" si="16"/>
        <v/>
      </c>
      <c r="AX18" s="264" t="str">
        <f>IFERROR(IF($S18=AX$16,'6-Biogas Production'!$Q59,""),"")</f>
        <v/>
      </c>
      <c r="AY18" s="92" t="str">
        <f>IFERROR(IF($S18=AY$16,'6-Biogas Production'!$Q59,""),"")</f>
        <v/>
      </c>
      <c r="AZ18" s="92">
        <f>IFERROR(IF($S18=AZ$16,'6-Biogas Production'!$Q59,""),"")</f>
        <v>0.35599999999999998</v>
      </c>
      <c r="BA18" s="92" t="str">
        <f>IFERROR(IF($S18=BA$16,'6-Biogas Production'!$Q59,""),"")</f>
        <v/>
      </c>
      <c r="BB18" s="92" t="str">
        <f>IFERROR(IF($S18=BB$16,'6-Biogas Production'!$Q59,""),"")</f>
        <v/>
      </c>
      <c r="BC18" s="263" t="str">
        <f>IFERROR(IF($S18=BC$16,'6-Biogas Production'!$Q59,""),"")</f>
        <v/>
      </c>
      <c r="BE18" s="341">
        <f>C18*VLOOKUP(D18,'23-Look up values'!$A$4:$B$9,2,FALSE)</f>
        <v>298.46353599999998</v>
      </c>
    </row>
    <row r="19" spans="1:57" s="92" customFormat="1" ht="19.3" customHeight="1" x14ac:dyDescent="0.45">
      <c r="A19" s="101" t="s">
        <v>175</v>
      </c>
      <c r="B19" s="101" t="s">
        <v>107</v>
      </c>
      <c r="C19" s="149">
        <f>127750*0.453592/365</f>
        <v>158.75719999999998</v>
      </c>
      <c r="D19" s="339" t="s">
        <v>176</v>
      </c>
      <c r="E19" s="340"/>
      <c r="F19" s="106">
        <f>IFERROR(VLOOKUP(B19,'9-Feedstock Characteristics'!$A$8:$W$127,2,FALSE),"-")</f>
        <v>0.75</v>
      </c>
      <c r="G19" s="106">
        <f>IFERROR(VLOOKUP(B19,'9-Feedstock Characteristics'!$A$8:$W$127,3,FALSE),"-")</f>
        <v>0.25</v>
      </c>
      <c r="H19" s="106">
        <f>IFERROR(VLOOKUP(B19,'9-Feedstock Characteristics'!$A$8:$W$127,7,FALSE),"-")</f>
        <v>0.18333333333333332</v>
      </c>
      <c r="I19" s="106">
        <f>IFERROR(VLOOKUP(B19,'9-Feedstock Characteristics'!$A$8:$W$127,8,FALSE),"-")</f>
        <v>6.666666666666668E-2</v>
      </c>
      <c r="J19" s="106">
        <f>IFERROR(VLOOKUP(B19,'9-Feedstock Characteristics'!$A$8:$W$127,12,FALSE)/(1-F19),"-")</f>
        <v>7.3333333333333334E-2</v>
      </c>
      <c r="K19" s="107">
        <f t="shared" si="0"/>
        <v>0.40333333333333332</v>
      </c>
      <c r="L19" s="104" t="e">
        <f>IF(C19=0,"-",IF(ReactorType="Dry",VLOOKUP(B19,'9-Feedstock Characteristics'!$A$8:$W$127,18,FALSE),VLOOKUP(B19,'9-Feedstock Characteristics'!$A$8:$W$127,18,FALSE)*((C19/(DensityofWater*VLOOKUP(B19,'9-Feedstock Characteristics'!$A$8:$W$127,19,FALSE)))/Chosen_Reactor_Volume)+DensityofWater*((Chosen_Reactor_Volume-(C19/(DensityofWater*VLOOKUP(B19,'9-Feedstock Characteristics'!$A$8:$W$127,19,FALSE))))/Chosen_Reactor_Volume)))</f>
        <v>#DIV/0!</v>
      </c>
      <c r="M19" s="106">
        <f>IFERROR(VLOOKUP(B19,'9-Feedstock Characteristics'!$A$8:$W$127,15,FALSE),"-")</f>
        <v>0.13100000000000001</v>
      </c>
      <c r="N19" s="106">
        <f>IFERROR(VLOOKUP(B19,'9-Feedstock Characteristics'!$A$8:$W$127,14,FALSE),"-")</f>
        <v>2.7900000000000001E-2</v>
      </c>
      <c r="O19" s="106">
        <f>IFERROR(VLOOKUP(B19,'9-Feedstock Characteristics'!$A$8:$W$127,13,FALSE),"-")</f>
        <v>0.77443333333333331</v>
      </c>
      <c r="P19" s="108">
        <f t="shared" si="1"/>
        <v>29.105486666666661</v>
      </c>
      <c r="Q19" s="108">
        <f t="shared" si="2"/>
        <v>39.689299999999996</v>
      </c>
      <c r="S19" s="259" t="str">
        <f t="shared" si="3"/>
        <v>Manure</v>
      </c>
      <c r="T19" s="264" t="str">
        <f t="shared" si="4"/>
        <v/>
      </c>
      <c r="U19" s="92" t="str">
        <f t="shared" si="4"/>
        <v/>
      </c>
      <c r="V19" s="92">
        <f t="shared" si="4"/>
        <v>158.75719999999998</v>
      </c>
      <c r="W19" s="92" t="str">
        <f t="shared" si="4"/>
        <v/>
      </c>
      <c r="X19" s="92" t="str">
        <f t="shared" si="4"/>
        <v/>
      </c>
      <c r="Y19" s="263" t="str">
        <f t="shared" si="4"/>
        <v/>
      </c>
      <c r="Z19" s="264" t="str">
        <f t="shared" si="9"/>
        <v/>
      </c>
      <c r="AA19" s="92" t="str">
        <f t="shared" si="10"/>
        <v/>
      </c>
      <c r="AB19" s="92">
        <f t="shared" si="10"/>
        <v>7.3333333333333334E-2</v>
      </c>
      <c r="AC19" s="92" t="str">
        <f t="shared" si="10"/>
        <v/>
      </c>
      <c r="AD19" s="92" t="str">
        <f t="shared" si="10"/>
        <v/>
      </c>
      <c r="AE19" s="92" t="str">
        <f t="shared" si="10"/>
        <v/>
      </c>
      <c r="AF19" s="264" t="str">
        <f t="shared" si="11"/>
        <v/>
      </c>
      <c r="AG19" s="92" t="str">
        <f t="shared" si="12"/>
        <v/>
      </c>
      <c r="AH19" s="92">
        <f t="shared" si="12"/>
        <v>5.5</v>
      </c>
      <c r="AI19" s="92" t="str">
        <f t="shared" si="12"/>
        <v/>
      </c>
      <c r="AJ19" s="92" t="str">
        <f t="shared" si="12"/>
        <v/>
      </c>
      <c r="AK19" s="263" t="str">
        <f t="shared" si="12"/>
        <v/>
      </c>
      <c r="AL19" s="250" t="str">
        <f t="shared" si="13"/>
        <v/>
      </c>
      <c r="AM19" s="249" t="str">
        <f t="shared" si="14"/>
        <v/>
      </c>
      <c r="AN19" s="249">
        <f t="shared" si="14"/>
        <v>0.75</v>
      </c>
      <c r="AO19" s="249" t="str">
        <f t="shared" si="14"/>
        <v/>
      </c>
      <c r="AP19" s="249" t="str">
        <f t="shared" si="14"/>
        <v/>
      </c>
      <c r="AQ19" s="248" t="str">
        <f t="shared" si="14"/>
        <v/>
      </c>
      <c r="AR19" s="264" t="str">
        <f t="shared" si="15"/>
        <v/>
      </c>
      <c r="AS19" s="92" t="str">
        <f t="shared" si="16"/>
        <v/>
      </c>
      <c r="AT19" s="92">
        <f t="shared" si="16"/>
        <v>0.18333333333333332</v>
      </c>
      <c r="AU19" s="92" t="str">
        <f t="shared" si="16"/>
        <v/>
      </c>
      <c r="AV19" s="92" t="str">
        <f t="shared" si="16"/>
        <v/>
      </c>
      <c r="AW19" s="263" t="str">
        <f t="shared" si="16"/>
        <v/>
      </c>
      <c r="AX19" s="264" t="str">
        <f>IFERROR(IF($S19=AX$16,'6-Biogas Production'!$Q60,""),"")</f>
        <v/>
      </c>
      <c r="AY19" s="92" t="str">
        <f>IFERROR(IF($S19=AY$16,'6-Biogas Production'!$Q60,""),"")</f>
        <v/>
      </c>
      <c r="AZ19" s="92">
        <f>IFERROR(IF($S19=AZ$16,'6-Biogas Production'!$Q60,""),"")</f>
        <v>0.27600000000000002</v>
      </c>
      <c r="BA19" s="92" t="str">
        <f>IFERROR(IF($S19=BA$16,'6-Biogas Production'!$Q60,""),"")</f>
        <v/>
      </c>
      <c r="BB19" s="92" t="str">
        <f>IFERROR(IF($S19=BB$16,'6-Biogas Production'!$Q60,""),"")</f>
        <v/>
      </c>
      <c r="BC19" s="263" t="str">
        <f>IFERROR(IF($S19=BC$16,'6-Biogas Production'!$Q60,""),"")</f>
        <v/>
      </c>
      <c r="BE19" s="341">
        <f>C19*VLOOKUP(D19,'23-Look up values'!$A$4:$B$9,2,FALSE)</f>
        <v>158.75719999999998</v>
      </c>
    </row>
    <row r="20" spans="1:57" s="92" customFormat="1" ht="19.3" customHeight="1" x14ac:dyDescent="0.45">
      <c r="A20" s="101" t="s">
        <v>175</v>
      </c>
      <c r="B20" s="101"/>
      <c r="C20" s="149"/>
      <c r="D20" s="339" t="s">
        <v>176</v>
      </c>
      <c r="E20" s="340"/>
      <c r="F20" s="106" t="str">
        <f>IFERROR(VLOOKUP(B20,'9-Feedstock Characteristics'!$A$8:$W$127,2,FALSE),"-")</f>
        <v>-</v>
      </c>
      <c r="G20" s="106" t="str">
        <f>IFERROR(VLOOKUP(B20,'9-Feedstock Characteristics'!$A$8:$W$127,3,FALSE),"-")</f>
        <v>-</v>
      </c>
      <c r="H20" s="106" t="str">
        <f>IFERROR(VLOOKUP(B20,'9-Feedstock Characteristics'!$A$8:$W$127,7,FALSE),"-")</f>
        <v>-</v>
      </c>
      <c r="I20" s="106" t="str">
        <f>IFERROR(VLOOKUP(B20,'9-Feedstock Characteristics'!$A$8:$W$127,8,FALSE),"-")</f>
        <v>-</v>
      </c>
      <c r="J20" s="106" t="str">
        <f>IFERROR(VLOOKUP(B20,'9-Feedstock Characteristics'!$A$8:$W$127,12,FALSE)/(1-F20),"-")</f>
        <v>-</v>
      </c>
      <c r="K20" s="107" t="str">
        <f t="shared" si="0"/>
        <v/>
      </c>
      <c r="L20" s="104" t="str">
        <f>IF(C20=0,"-",IF(ReactorType="Dry",VLOOKUP(B20,'9-Feedstock Characteristics'!$A$8:$W$127,18,FALSE),VLOOKUP(B20,'9-Feedstock Characteristics'!$A$8:$W$127,18,FALSE)*((C20/(DensityofWater*VLOOKUP(B20,'9-Feedstock Characteristics'!$A$8:$W$127,19,FALSE)))/Chosen_Reactor_Volume)+DensityofWater*((Chosen_Reactor_Volume-(C20/(DensityofWater*VLOOKUP(B20,'9-Feedstock Characteristics'!$A$8:$W$127,19,FALSE))))/Chosen_Reactor_Volume)))</f>
        <v>-</v>
      </c>
      <c r="M20" s="106" t="str">
        <f>IFERROR(VLOOKUP(B20,'9-Feedstock Characteristics'!$A$8:$W$127,15,FALSE),"-")</f>
        <v>-</v>
      </c>
      <c r="N20" s="106" t="str">
        <f>IFERROR(VLOOKUP(B20,'9-Feedstock Characteristics'!$A$8:$W$127,14,FALSE),"-")</f>
        <v>-</v>
      </c>
      <c r="O20" s="106" t="str">
        <f>IFERROR(VLOOKUP(B20,'9-Feedstock Characteristics'!$A$8:$W$127,13,FALSE),"-")</f>
        <v>-</v>
      </c>
      <c r="P20" s="108" t="str">
        <f t="shared" si="1"/>
        <v/>
      </c>
      <c r="Q20" s="108" t="str">
        <f t="shared" si="2"/>
        <v/>
      </c>
      <c r="S20" s="259" t="e">
        <f t="shared" si="3"/>
        <v>#N/A</v>
      </c>
      <c r="T20" s="264" t="str">
        <f t="shared" si="4"/>
        <v/>
      </c>
      <c r="U20" s="92" t="str">
        <f t="shared" si="4"/>
        <v/>
      </c>
      <c r="V20" s="92" t="str">
        <f t="shared" si="4"/>
        <v/>
      </c>
      <c r="W20" s="92" t="str">
        <f t="shared" si="4"/>
        <v/>
      </c>
      <c r="X20" s="92" t="str">
        <f t="shared" si="4"/>
        <v/>
      </c>
      <c r="Y20" s="263" t="str">
        <f t="shared" si="4"/>
        <v/>
      </c>
      <c r="Z20" s="264" t="str">
        <f t="shared" si="9"/>
        <v/>
      </c>
      <c r="AA20" s="92" t="str">
        <f t="shared" si="10"/>
        <v/>
      </c>
      <c r="AB20" s="92" t="str">
        <f t="shared" si="10"/>
        <v/>
      </c>
      <c r="AC20" s="92" t="str">
        <f t="shared" si="10"/>
        <v/>
      </c>
      <c r="AD20" s="92" t="str">
        <f t="shared" si="10"/>
        <v/>
      </c>
      <c r="AE20" s="92" t="str">
        <f t="shared" si="10"/>
        <v/>
      </c>
      <c r="AF20" s="264" t="str">
        <f t="shared" si="11"/>
        <v/>
      </c>
      <c r="AG20" s="92" t="str">
        <f t="shared" si="12"/>
        <v/>
      </c>
      <c r="AH20" s="92" t="str">
        <f t="shared" si="12"/>
        <v/>
      </c>
      <c r="AI20" s="92" t="str">
        <f t="shared" si="12"/>
        <v/>
      </c>
      <c r="AJ20" s="92" t="str">
        <f t="shared" si="12"/>
        <v/>
      </c>
      <c r="AK20" s="263" t="str">
        <f t="shared" si="12"/>
        <v/>
      </c>
      <c r="AL20" s="250" t="str">
        <f t="shared" si="13"/>
        <v/>
      </c>
      <c r="AM20" s="249" t="str">
        <f t="shared" si="14"/>
        <v/>
      </c>
      <c r="AN20" s="249" t="str">
        <f t="shared" si="14"/>
        <v/>
      </c>
      <c r="AO20" s="249" t="str">
        <f t="shared" si="14"/>
        <v/>
      </c>
      <c r="AP20" s="249" t="str">
        <f t="shared" si="14"/>
        <v/>
      </c>
      <c r="AQ20" s="248" t="str">
        <f t="shared" si="14"/>
        <v/>
      </c>
      <c r="AR20" s="264" t="str">
        <f t="shared" si="15"/>
        <v/>
      </c>
      <c r="AS20" s="92" t="str">
        <f t="shared" si="16"/>
        <v/>
      </c>
      <c r="AT20" s="92" t="str">
        <f t="shared" si="16"/>
        <v/>
      </c>
      <c r="AU20" s="92" t="str">
        <f t="shared" si="16"/>
        <v/>
      </c>
      <c r="AV20" s="92" t="str">
        <f t="shared" si="16"/>
        <v/>
      </c>
      <c r="AW20" s="263" t="str">
        <f t="shared" si="16"/>
        <v/>
      </c>
      <c r="AX20" s="264" t="str">
        <f>IFERROR(IF($S20=AX$16,'6-Biogas Production'!$Q61,""),"")</f>
        <v/>
      </c>
      <c r="AY20" s="92" t="str">
        <f>IFERROR(IF($S20=AY$16,'6-Biogas Production'!$Q61,""),"")</f>
        <v/>
      </c>
      <c r="AZ20" s="92" t="str">
        <f>IFERROR(IF($S20=AZ$16,'6-Biogas Production'!$Q61,""),"")</f>
        <v/>
      </c>
      <c r="BA20" s="92" t="str">
        <f>IFERROR(IF($S20=BA$16,'6-Biogas Production'!$Q61,""),"")</f>
        <v/>
      </c>
      <c r="BB20" s="92" t="str">
        <f>IFERROR(IF($S20=BB$16,'6-Biogas Production'!$Q61,""),"")</f>
        <v/>
      </c>
      <c r="BC20" s="263" t="str">
        <f>IFERROR(IF($S20=BC$16,'6-Biogas Production'!$Q61,""),"")</f>
        <v/>
      </c>
      <c r="BE20" s="341">
        <f>C20*VLOOKUP(D20,'23-Look up values'!$A$4:$B$9,2,FALSE)</f>
        <v>0</v>
      </c>
    </row>
    <row r="21" spans="1:57" s="92" customFormat="1" ht="19.3" customHeight="1" x14ac:dyDescent="0.45">
      <c r="A21" s="101" t="s">
        <v>175</v>
      </c>
      <c r="B21" s="101"/>
      <c r="C21" s="149"/>
      <c r="D21" s="339" t="s">
        <v>176</v>
      </c>
      <c r="E21" s="340"/>
      <c r="F21" s="106" t="str">
        <f>IFERROR(VLOOKUP(B21,'9-Feedstock Characteristics'!$A$8:$W$127,2,FALSE),"-")</f>
        <v>-</v>
      </c>
      <c r="G21" s="106" t="str">
        <f>IFERROR(VLOOKUP(B21,'9-Feedstock Characteristics'!$A$8:$W$127,3,FALSE),"-")</f>
        <v>-</v>
      </c>
      <c r="H21" s="106" t="str">
        <f>IFERROR(VLOOKUP(B21,'9-Feedstock Characteristics'!$A$8:$W$127,7,FALSE),"-")</f>
        <v>-</v>
      </c>
      <c r="I21" s="106" t="str">
        <f>IFERROR(VLOOKUP(B21,'9-Feedstock Characteristics'!$A$8:$W$127,8,FALSE),"-")</f>
        <v>-</v>
      </c>
      <c r="J21" s="106" t="str">
        <f>IFERROR(VLOOKUP(B21,'9-Feedstock Characteristics'!$A$8:$W$127,12,FALSE)/(1-F21),"-")</f>
        <v>-</v>
      </c>
      <c r="K21" s="107" t="str">
        <f t="shared" si="0"/>
        <v/>
      </c>
      <c r="L21" s="104" t="str">
        <f>IF(C21=0,"-",IF(ReactorType="Dry",VLOOKUP(B21,'9-Feedstock Characteristics'!$A$8:$W$127,18,FALSE),VLOOKUP(B21,'9-Feedstock Characteristics'!$A$8:$W$127,18,FALSE)*((C21/(DensityofWater*VLOOKUP(B21,'9-Feedstock Characteristics'!$A$8:$W$127,19,FALSE)))/Chosen_Reactor_Volume)+DensityofWater*((Chosen_Reactor_Volume-(C21/(DensityofWater*VLOOKUP(B21,'9-Feedstock Characteristics'!$A$8:$W$127,19,FALSE))))/Chosen_Reactor_Volume)))</f>
        <v>-</v>
      </c>
      <c r="M21" s="106" t="str">
        <f>IFERROR(VLOOKUP(B21,'9-Feedstock Characteristics'!$A$8:$W$127,15,FALSE),"-")</f>
        <v>-</v>
      </c>
      <c r="N21" s="106" t="str">
        <f>IFERROR(VLOOKUP(B21,'9-Feedstock Characteristics'!$A$8:$W$127,14,FALSE),"-")</f>
        <v>-</v>
      </c>
      <c r="O21" s="106" t="str">
        <f>IFERROR(VLOOKUP(B21,'9-Feedstock Characteristics'!$A$8:$W$127,13,FALSE),"-")</f>
        <v>-</v>
      </c>
      <c r="P21" s="108" t="str">
        <f t="shared" si="1"/>
        <v/>
      </c>
      <c r="Q21" s="108" t="str">
        <f t="shared" si="2"/>
        <v/>
      </c>
      <c r="S21" s="259" t="e">
        <f t="shared" ref="S21:S30" si="17">VLOOKUP(B21,Waste_Item_Table,21,FALSE)</f>
        <v>#N/A</v>
      </c>
      <c r="T21" s="264" t="str">
        <f t="shared" si="4"/>
        <v/>
      </c>
      <c r="U21" s="92" t="str">
        <f t="shared" si="4"/>
        <v/>
      </c>
      <c r="V21" s="92" t="str">
        <f t="shared" si="4"/>
        <v/>
      </c>
      <c r="W21" s="92" t="str">
        <f t="shared" si="4"/>
        <v/>
      </c>
      <c r="X21" s="92" t="str">
        <f t="shared" si="4"/>
        <v/>
      </c>
      <c r="Y21" s="263" t="str">
        <f t="shared" si="4"/>
        <v/>
      </c>
      <c r="Z21" s="264" t="str">
        <f t="shared" si="9"/>
        <v/>
      </c>
      <c r="AA21" s="92" t="str">
        <f t="shared" si="10"/>
        <v/>
      </c>
      <c r="AB21" s="92" t="str">
        <f t="shared" si="10"/>
        <v/>
      </c>
      <c r="AC21" s="92" t="str">
        <f t="shared" si="10"/>
        <v/>
      </c>
      <c r="AD21" s="92" t="str">
        <f t="shared" si="10"/>
        <v/>
      </c>
      <c r="AE21" s="92" t="str">
        <f t="shared" si="10"/>
        <v/>
      </c>
      <c r="AF21" s="264" t="str">
        <f t="shared" si="11"/>
        <v/>
      </c>
      <c r="AG21" s="92" t="str">
        <f t="shared" si="12"/>
        <v/>
      </c>
      <c r="AH21" s="92" t="str">
        <f t="shared" si="12"/>
        <v/>
      </c>
      <c r="AI21" s="92" t="str">
        <f t="shared" si="12"/>
        <v/>
      </c>
      <c r="AJ21" s="92" t="str">
        <f t="shared" si="12"/>
        <v/>
      </c>
      <c r="AK21" s="263" t="str">
        <f t="shared" si="12"/>
        <v/>
      </c>
      <c r="AL21" s="250" t="str">
        <f t="shared" si="13"/>
        <v/>
      </c>
      <c r="AM21" s="249" t="str">
        <f t="shared" si="14"/>
        <v/>
      </c>
      <c r="AN21" s="249" t="str">
        <f t="shared" si="14"/>
        <v/>
      </c>
      <c r="AO21" s="249" t="str">
        <f t="shared" si="14"/>
        <v/>
      </c>
      <c r="AP21" s="249" t="str">
        <f t="shared" si="14"/>
        <v/>
      </c>
      <c r="AQ21" s="248" t="str">
        <f t="shared" si="14"/>
        <v/>
      </c>
      <c r="AR21" s="264" t="str">
        <f t="shared" si="15"/>
        <v/>
      </c>
      <c r="AS21" s="92" t="str">
        <f t="shared" si="16"/>
        <v/>
      </c>
      <c r="AT21" s="92" t="str">
        <f t="shared" si="16"/>
        <v/>
      </c>
      <c r="AU21" s="92" t="str">
        <f t="shared" si="16"/>
        <v/>
      </c>
      <c r="AV21" s="92" t="str">
        <f t="shared" si="16"/>
        <v/>
      </c>
      <c r="AW21" s="263" t="str">
        <f t="shared" si="16"/>
        <v/>
      </c>
      <c r="AX21" s="264" t="str">
        <f>IFERROR(IF($S21=AX$16,'6-Biogas Production'!$Q62,""),"")</f>
        <v/>
      </c>
      <c r="AY21" s="92" t="str">
        <f>IFERROR(IF($S21=AY$16,'6-Biogas Production'!$Q62,""),"")</f>
        <v/>
      </c>
      <c r="AZ21" s="92" t="str">
        <f>IFERROR(IF($S21=AZ$16,'6-Biogas Production'!$Q62,""),"")</f>
        <v/>
      </c>
      <c r="BA21" s="92" t="str">
        <f>IFERROR(IF($S21=BA$16,'6-Biogas Production'!$Q62,""),"")</f>
        <v/>
      </c>
      <c r="BB21" s="92" t="str">
        <f>IFERROR(IF($S21=BB$16,'6-Biogas Production'!$Q62,""),"")</f>
        <v/>
      </c>
      <c r="BC21" s="263" t="str">
        <f>IFERROR(IF($S21=BC$16,'6-Biogas Production'!$Q62,""),"")</f>
        <v/>
      </c>
      <c r="BE21" s="341">
        <f>C21*VLOOKUP(D21,'23-Look up values'!$A$4:$B$9,2,FALSE)</f>
        <v>0</v>
      </c>
    </row>
    <row r="22" spans="1:57" s="92" customFormat="1" ht="19.3" customHeight="1" x14ac:dyDescent="0.45">
      <c r="A22" s="101" t="s">
        <v>175</v>
      </c>
      <c r="B22" s="101"/>
      <c r="C22" s="149"/>
      <c r="D22" s="339" t="s">
        <v>176</v>
      </c>
      <c r="E22" s="340"/>
      <c r="F22" s="106" t="str">
        <f>IFERROR(VLOOKUP(B22,'9-Feedstock Characteristics'!$A$8:$W$127,2,FALSE),"-")</f>
        <v>-</v>
      </c>
      <c r="G22" s="106" t="str">
        <f>IFERROR(VLOOKUP(B22,'9-Feedstock Characteristics'!$A$8:$W$127,3,FALSE),"-")</f>
        <v>-</v>
      </c>
      <c r="H22" s="106" t="str">
        <f>IFERROR(VLOOKUP(B22,'9-Feedstock Characteristics'!$A$8:$W$127,7,FALSE),"-")</f>
        <v>-</v>
      </c>
      <c r="I22" s="106" t="str">
        <f>IFERROR(VLOOKUP(B22,'9-Feedstock Characteristics'!$A$8:$W$127,8,FALSE),"-")</f>
        <v>-</v>
      </c>
      <c r="J22" s="106" t="str">
        <f>IFERROR(VLOOKUP(B22,'9-Feedstock Characteristics'!$A$8:$W$127,12,FALSE)/(1-F22),"-")</f>
        <v>-</v>
      </c>
      <c r="K22" s="107" t="str">
        <f t="shared" si="0"/>
        <v/>
      </c>
      <c r="L22" s="104" t="str">
        <f>IF(C22=0,"-",IF(ReactorType="Dry",VLOOKUP(B22,'9-Feedstock Characteristics'!$A$8:$W$127,18,FALSE),VLOOKUP(B22,'9-Feedstock Characteristics'!$A$8:$W$127,18,FALSE)*((C22/(DensityofWater*VLOOKUP(B22,'9-Feedstock Characteristics'!$A$8:$W$127,19,FALSE)))/Chosen_Reactor_Volume)+DensityofWater*((Chosen_Reactor_Volume-(C22/(DensityofWater*VLOOKUP(B22,'9-Feedstock Characteristics'!$A$8:$W$127,19,FALSE))))/Chosen_Reactor_Volume)))</f>
        <v>-</v>
      </c>
      <c r="M22" s="106" t="str">
        <f>IFERROR(VLOOKUP(B22,'9-Feedstock Characteristics'!$A$8:$W$127,15,FALSE),"-")</f>
        <v>-</v>
      </c>
      <c r="N22" s="106" t="str">
        <f>IFERROR(VLOOKUP(B22,'9-Feedstock Characteristics'!$A$8:$W$127,14,FALSE),"-")</f>
        <v>-</v>
      </c>
      <c r="O22" s="106" t="str">
        <f>IFERROR(VLOOKUP(B22,'9-Feedstock Characteristics'!$A$8:$W$127,13,FALSE),"-")</f>
        <v>-</v>
      </c>
      <c r="P22" s="108" t="str">
        <f t="shared" si="1"/>
        <v/>
      </c>
      <c r="Q22" s="108" t="str">
        <f t="shared" si="2"/>
        <v/>
      </c>
      <c r="S22" s="259" t="e">
        <f t="shared" si="17"/>
        <v>#N/A</v>
      </c>
      <c r="T22" s="264" t="str">
        <f t="shared" si="4"/>
        <v/>
      </c>
      <c r="U22" s="92" t="str">
        <f t="shared" si="4"/>
        <v/>
      </c>
      <c r="V22" s="92" t="str">
        <f t="shared" si="4"/>
        <v/>
      </c>
      <c r="W22" s="92" t="str">
        <f t="shared" si="4"/>
        <v/>
      </c>
      <c r="X22" s="92" t="str">
        <f t="shared" si="4"/>
        <v/>
      </c>
      <c r="Y22" s="263" t="str">
        <f t="shared" si="4"/>
        <v/>
      </c>
      <c r="Z22" s="264" t="str">
        <f t="shared" si="9"/>
        <v/>
      </c>
      <c r="AA22" s="92" t="str">
        <f t="shared" si="10"/>
        <v/>
      </c>
      <c r="AB22" s="92" t="str">
        <f t="shared" si="10"/>
        <v/>
      </c>
      <c r="AC22" s="92" t="str">
        <f t="shared" si="10"/>
        <v/>
      </c>
      <c r="AD22" s="92" t="str">
        <f t="shared" si="10"/>
        <v/>
      </c>
      <c r="AE22" s="92" t="str">
        <f t="shared" si="10"/>
        <v/>
      </c>
      <c r="AF22" s="264" t="str">
        <f t="shared" si="11"/>
        <v/>
      </c>
      <c r="AG22" s="92" t="str">
        <f t="shared" si="12"/>
        <v/>
      </c>
      <c r="AH22" s="92" t="str">
        <f t="shared" si="12"/>
        <v/>
      </c>
      <c r="AI22" s="92" t="str">
        <f t="shared" si="12"/>
        <v/>
      </c>
      <c r="AJ22" s="92" t="str">
        <f t="shared" si="12"/>
        <v/>
      </c>
      <c r="AK22" s="263" t="str">
        <f t="shared" si="12"/>
        <v/>
      </c>
      <c r="AL22" s="250" t="str">
        <f t="shared" si="13"/>
        <v/>
      </c>
      <c r="AM22" s="249" t="str">
        <f t="shared" si="14"/>
        <v/>
      </c>
      <c r="AN22" s="249" t="str">
        <f t="shared" si="14"/>
        <v/>
      </c>
      <c r="AO22" s="249" t="str">
        <f t="shared" si="14"/>
        <v/>
      </c>
      <c r="AP22" s="249" t="str">
        <f t="shared" si="14"/>
        <v/>
      </c>
      <c r="AQ22" s="248" t="str">
        <f t="shared" si="14"/>
        <v/>
      </c>
      <c r="AR22" s="264" t="str">
        <f t="shared" si="15"/>
        <v/>
      </c>
      <c r="AS22" s="92" t="str">
        <f t="shared" si="16"/>
        <v/>
      </c>
      <c r="AT22" s="92" t="str">
        <f t="shared" si="16"/>
        <v/>
      </c>
      <c r="AU22" s="92" t="str">
        <f t="shared" si="16"/>
        <v/>
      </c>
      <c r="AV22" s="92" t="str">
        <f t="shared" si="16"/>
        <v/>
      </c>
      <c r="AW22" s="263" t="str">
        <f t="shared" si="16"/>
        <v/>
      </c>
      <c r="AX22" s="264" t="str">
        <f>IFERROR(IF($S22=AX$16,'6-Biogas Production'!$Q63,""),"")</f>
        <v/>
      </c>
      <c r="AY22" s="92" t="str">
        <f>IFERROR(IF($S22=AY$16,'6-Biogas Production'!$Q63,""),"")</f>
        <v/>
      </c>
      <c r="AZ22" s="92" t="str">
        <f>IFERROR(IF($S22=AZ$16,'6-Biogas Production'!$Q63,""),"")</f>
        <v/>
      </c>
      <c r="BA22" s="92" t="str">
        <f>IFERROR(IF($S22=BA$16,'6-Biogas Production'!$Q63,""),"")</f>
        <v/>
      </c>
      <c r="BB22" s="92" t="str">
        <f>IFERROR(IF($S22=BB$16,'6-Biogas Production'!$Q63,""),"")</f>
        <v/>
      </c>
      <c r="BC22" s="263" t="str">
        <f>IFERROR(IF($S22=BC$16,'6-Biogas Production'!$Q63,""),"")</f>
        <v/>
      </c>
      <c r="BE22" s="341">
        <f>C22*VLOOKUP(D22,'23-Look up values'!$A$4:$B$9,2,FALSE)</f>
        <v>0</v>
      </c>
    </row>
    <row r="23" spans="1:57" s="92" customFormat="1" ht="19.3" customHeight="1" x14ac:dyDescent="0.45">
      <c r="A23" s="101" t="s">
        <v>175</v>
      </c>
      <c r="B23" s="101"/>
      <c r="C23" s="149"/>
      <c r="D23" s="339" t="s">
        <v>176</v>
      </c>
      <c r="E23" s="340"/>
      <c r="F23" s="106" t="str">
        <f>IFERROR(VLOOKUP(B23,'9-Feedstock Characteristics'!$A$8:$W$127,2,FALSE),"-")</f>
        <v>-</v>
      </c>
      <c r="G23" s="106" t="str">
        <f>IFERROR(VLOOKUP(B23,'9-Feedstock Characteristics'!$A$8:$W$127,3,FALSE),"-")</f>
        <v>-</v>
      </c>
      <c r="H23" s="106" t="str">
        <f>IFERROR(VLOOKUP(B23,'9-Feedstock Characteristics'!$A$8:$W$127,7,FALSE),"-")</f>
        <v>-</v>
      </c>
      <c r="I23" s="106" t="str">
        <f>IFERROR(VLOOKUP(B23,'9-Feedstock Characteristics'!$A$8:$W$127,8,FALSE),"-")</f>
        <v>-</v>
      </c>
      <c r="J23" s="106" t="str">
        <f>IFERROR(VLOOKUP(B23,'9-Feedstock Characteristics'!$A$8:$W$127,12,FALSE)/(1-F23),"-")</f>
        <v>-</v>
      </c>
      <c r="K23" s="107" t="str">
        <f t="shared" si="0"/>
        <v/>
      </c>
      <c r="L23" s="104" t="str">
        <f>IF(C23=0,"-",IF(ReactorType="Dry",VLOOKUP(B23,'9-Feedstock Characteristics'!$A$8:$W$127,18,FALSE),VLOOKUP(B23,'9-Feedstock Characteristics'!$A$8:$W$127,18,FALSE)*((C23/(DensityofWater*VLOOKUP(B23,'9-Feedstock Characteristics'!$A$8:$W$127,19,FALSE)))/Chosen_Reactor_Volume)+DensityofWater*((Chosen_Reactor_Volume-(C23/(DensityofWater*VLOOKUP(B23,'9-Feedstock Characteristics'!$A$8:$W$127,19,FALSE))))/Chosen_Reactor_Volume)))</f>
        <v>-</v>
      </c>
      <c r="M23" s="106" t="str">
        <f>IFERROR(VLOOKUP(B23,'9-Feedstock Characteristics'!$A$8:$W$127,15,FALSE),"-")</f>
        <v>-</v>
      </c>
      <c r="N23" s="106" t="str">
        <f>IFERROR(VLOOKUP(B23,'9-Feedstock Characteristics'!$A$8:$W$127,14,FALSE),"-")</f>
        <v>-</v>
      </c>
      <c r="O23" s="106" t="str">
        <f>IFERROR(VLOOKUP(B23,'9-Feedstock Characteristics'!$A$8:$W$127,13,FALSE),"-")</f>
        <v>-</v>
      </c>
      <c r="P23" s="108" t="str">
        <f t="shared" si="1"/>
        <v/>
      </c>
      <c r="Q23" s="108" t="str">
        <f t="shared" si="2"/>
        <v/>
      </c>
      <c r="S23" s="259" t="e">
        <f t="shared" si="17"/>
        <v>#N/A</v>
      </c>
      <c r="T23" s="264" t="str">
        <f t="shared" si="4"/>
        <v/>
      </c>
      <c r="U23" s="92" t="str">
        <f t="shared" si="4"/>
        <v/>
      </c>
      <c r="V23" s="92" t="str">
        <f t="shared" si="4"/>
        <v/>
      </c>
      <c r="W23" s="92" t="str">
        <f t="shared" si="4"/>
        <v/>
      </c>
      <c r="X23" s="92" t="str">
        <f t="shared" si="4"/>
        <v/>
      </c>
      <c r="Y23" s="263" t="str">
        <f t="shared" si="4"/>
        <v/>
      </c>
      <c r="Z23" s="264" t="str">
        <f t="shared" si="9"/>
        <v/>
      </c>
      <c r="AA23" s="92" t="str">
        <f t="shared" si="10"/>
        <v/>
      </c>
      <c r="AB23" s="92" t="str">
        <f t="shared" si="10"/>
        <v/>
      </c>
      <c r="AC23" s="92" t="str">
        <f t="shared" si="10"/>
        <v/>
      </c>
      <c r="AD23" s="92" t="str">
        <f t="shared" si="10"/>
        <v/>
      </c>
      <c r="AE23" s="92" t="str">
        <f t="shared" si="10"/>
        <v/>
      </c>
      <c r="AF23" s="264" t="str">
        <f t="shared" si="11"/>
        <v/>
      </c>
      <c r="AG23" s="92" t="str">
        <f t="shared" si="12"/>
        <v/>
      </c>
      <c r="AH23" s="92" t="str">
        <f t="shared" si="12"/>
        <v/>
      </c>
      <c r="AI23" s="92" t="str">
        <f t="shared" si="12"/>
        <v/>
      </c>
      <c r="AJ23" s="92" t="str">
        <f t="shared" si="12"/>
        <v/>
      </c>
      <c r="AK23" s="263" t="str">
        <f t="shared" si="12"/>
        <v/>
      </c>
      <c r="AL23" s="250" t="str">
        <f t="shared" si="13"/>
        <v/>
      </c>
      <c r="AM23" s="249" t="str">
        <f t="shared" si="14"/>
        <v/>
      </c>
      <c r="AN23" s="249" t="str">
        <f t="shared" si="14"/>
        <v/>
      </c>
      <c r="AO23" s="249" t="str">
        <f t="shared" si="14"/>
        <v/>
      </c>
      <c r="AP23" s="249" t="str">
        <f t="shared" si="14"/>
        <v/>
      </c>
      <c r="AQ23" s="248" t="str">
        <f t="shared" si="14"/>
        <v/>
      </c>
      <c r="AR23" s="264" t="str">
        <f t="shared" si="15"/>
        <v/>
      </c>
      <c r="AS23" s="92" t="str">
        <f t="shared" si="16"/>
        <v/>
      </c>
      <c r="AT23" s="92" t="str">
        <f t="shared" si="16"/>
        <v/>
      </c>
      <c r="AU23" s="92" t="str">
        <f t="shared" si="16"/>
        <v/>
      </c>
      <c r="AV23" s="92" t="str">
        <f t="shared" si="16"/>
        <v/>
      </c>
      <c r="AW23" s="263" t="str">
        <f t="shared" si="16"/>
        <v/>
      </c>
      <c r="AX23" s="264" t="str">
        <f>IFERROR(IF($S23=AX$16,'6-Biogas Production'!$Q64,""),"")</f>
        <v/>
      </c>
      <c r="AY23" s="92" t="str">
        <f>IFERROR(IF($S23=AY$16,'6-Biogas Production'!$Q64,""),"")</f>
        <v/>
      </c>
      <c r="AZ23" s="92" t="str">
        <f>IFERROR(IF($S23=AZ$16,'6-Biogas Production'!$Q64,""),"")</f>
        <v/>
      </c>
      <c r="BA23" s="92" t="str">
        <f>IFERROR(IF($S23=BA$16,'6-Biogas Production'!$Q64,""),"")</f>
        <v/>
      </c>
      <c r="BB23" s="92" t="str">
        <f>IFERROR(IF($S23=BB$16,'6-Biogas Production'!$Q64,""),"")</f>
        <v/>
      </c>
      <c r="BC23" s="263" t="str">
        <f>IFERROR(IF($S23=BC$16,'6-Biogas Production'!$Q64,""),"")</f>
        <v/>
      </c>
      <c r="BE23" s="341">
        <f>C23*VLOOKUP(D23,'23-Look up values'!$A$4:$B$9,2,FALSE)</f>
        <v>0</v>
      </c>
    </row>
    <row r="24" spans="1:57" s="92" customFormat="1" ht="19.3" customHeight="1" x14ac:dyDescent="0.45">
      <c r="A24" s="101" t="s">
        <v>175</v>
      </c>
      <c r="B24" s="101"/>
      <c r="C24" s="149"/>
      <c r="D24" s="339" t="s">
        <v>176</v>
      </c>
      <c r="E24" s="340"/>
      <c r="F24" s="106" t="str">
        <f>IFERROR(VLOOKUP(B24,'9-Feedstock Characteristics'!$A$8:$W$127,2,FALSE),"-")</f>
        <v>-</v>
      </c>
      <c r="G24" s="106" t="str">
        <f>IFERROR(VLOOKUP(B24,'9-Feedstock Characteristics'!$A$8:$W$127,3,FALSE),"-")</f>
        <v>-</v>
      </c>
      <c r="H24" s="106" t="str">
        <f>IFERROR(VLOOKUP(B24,'9-Feedstock Characteristics'!$A$8:$W$127,7,FALSE),"-")</f>
        <v>-</v>
      </c>
      <c r="I24" s="106" t="str">
        <f>IFERROR(VLOOKUP(B24,'9-Feedstock Characteristics'!$A$8:$W$127,8,FALSE),"-")</f>
        <v>-</v>
      </c>
      <c r="J24" s="106" t="str">
        <f>IFERROR(VLOOKUP(B24,'9-Feedstock Characteristics'!$A$8:$W$127,12,FALSE)/(1-F24),"-")</f>
        <v>-</v>
      </c>
      <c r="K24" s="107" t="str">
        <f t="shared" si="0"/>
        <v/>
      </c>
      <c r="L24" s="104" t="str">
        <f>IF(C24=0,"-",IF(ReactorType="Dry",VLOOKUP(B24,'9-Feedstock Characteristics'!$A$8:$W$127,18,FALSE),VLOOKUP(B24,'9-Feedstock Characteristics'!$A$8:$W$127,18,FALSE)*((C24/(DensityofWater*VLOOKUP(B24,'9-Feedstock Characteristics'!$A$8:$W$127,19,FALSE)))/Chosen_Reactor_Volume)+DensityofWater*((Chosen_Reactor_Volume-(C24/(DensityofWater*VLOOKUP(B24,'9-Feedstock Characteristics'!$A$8:$W$127,19,FALSE))))/Chosen_Reactor_Volume)))</f>
        <v>-</v>
      </c>
      <c r="M24" s="106" t="str">
        <f>IFERROR(VLOOKUP(B24,'9-Feedstock Characteristics'!$A$8:$W$127,15,FALSE),"-")</f>
        <v>-</v>
      </c>
      <c r="N24" s="106" t="str">
        <f>IFERROR(VLOOKUP(B24,'9-Feedstock Characteristics'!$A$8:$W$127,14,FALSE),"-")</f>
        <v>-</v>
      </c>
      <c r="O24" s="106" t="str">
        <f>IFERROR(VLOOKUP(B24,'9-Feedstock Characteristics'!$A$8:$W$127,13,FALSE),"-")</f>
        <v>-</v>
      </c>
      <c r="P24" s="108" t="str">
        <f t="shared" si="1"/>
        <v/>
      </c>
      <c r="Q24" s="108" t="str">
        <f t="shared" si="2"/>
        <v/>
      </c>
      <c r="S24" s="259" t="e">
        <f t="shared" si="17"/>
        <v>#N/A</v>
      </c>
      <c r="T24" s="264" t="str">
        <f t="shared" si="4"/>
        <v/>
      </c>
      <c r="U24" s="92" t="str">
        <f t="shared" si="4"/>
        <v/>
      </c>
      <c r="V24" s="92" t="str">
        <f t="shared" si="4"/>
        <v/>
      </c>
      <c r="W24" s="92" t="str">
        <f t="shared" si="4"/>
        <v/>
      </c>
      <c r="X24" s="92" t="str">
        <f t="shared" si="4"/>
        <v/>
      </c>
      <c r="Y24" s="263" t="str">
        <f t="shared" si="4"/>
        <v/>
      </c>
      <c r="Z24" s="264" t="str">
        <f t="shared" si="9"/>
        <v/>
      </c>
      <c r="AA24" s="92" t="str">
        <f t="shared" si="10"/>
        <v/>
      </c>
      <c r="AB24" s="92" t="str">
        <f t="shared" si="10"/>
        <v/>
      </c>
      <c r="AC24" s="92" t="str">
        <f t="shared" si="10"/>
        <v/>
      </c>
      <c r="AD24" s="92" t="str">
        <f t="shared" si="10"/>
        <v/>
      </c>
      <c r="AE24" s="92" t="str">
        <f t="shared" si="10"/>
        <v/>
      </c>
      <c r="AF24" s="264" t="str">
        <f t="shared" si="11"/>
        <v/>
      </c>
      <c r="AG24" s="92" t="str">
        <f t="shared" si="12"/>
        <v/>
      </c>
      <c r="AH24" s="92" t="str">
        <f t="shared" si="12"/>
        <v/>
      </c>
      <c r="AI24" s="92" t="str">
        <f t="shared" si="12"/>
        <v/>
      </c>
      <c r="AJ24" s="92" t="str">
        <f t="shared" si="12"/>
        <v/>
      </c>
      <c r="AK24" s="263" t="str">
        <f t="shared" si="12"/>
        <v/>
      </c>
      <c r="AL24" s="250" t="str">
        <f t="shared" si="13"/>
        <v/>
      </c>
      <c r="AM24" s="249" t="str">
        <f t="shared" si="14"/>
        <v/>
      </c>
      <c r="AN24" s="249" t="str">
        <f t="shared" si="14"/>
        <v/>
      </c>
      <c r="AO24" s="249" t="str">
        <f t="shared" si="14"/>
        <v/>
      </c>
      <c r="AP24" s="249" t="str">
        <f t="shared" si="14"/>
        <v/>
      </c>
      <c r="AQ24" s="248" t="str">
        <f t="shared" si="14"/>
        <v/>
      </c>
      <c r="AR24" s="264" t="str">
        <f t="shared" si="15"/>
        <v/>
      </c>
      <c r="AS24" s="92" t="str">
        <f t="shared" si="16"/>
        <v/>
      </c>
      <c r="AT24" s="92" t="str">
        <f t="shared" si="16"/>
        <v/>
      </c>
      <c r="AU24" s="92" t="str">
        <f t="shared" si="16"/>
        <v/>
      </c>
      <c r="AV24" s="92" t="str">
        <f t="shared" si="16"/>
        <v/>
      </c>
      <c r="AW24" s="263" t="str">
        <f t="shared" si="16"/>
        <v/>
      </c>
      <c r="AX24" s="264" t="str">
        <f>IFERROR(IF($S24=AX$16,'6-Biogas Production'!$Q65,""),"")</f>
        <v/>
      </c>
      <c r="AY24" s="92" t="str">
        <f>IFERROR(IF($S24=AY$16,'6-Biogas Production'!$Q65,""),"")</f>
        <v/>
      </c>
      <c r="AZ24" s="92" t="str">
        <f>IFERROR(IF($S24=AZ$16,'6-Biogas Production'!$Q65,""),"")</f>
        <v/>
      </c>
      <c r="BA24" s="92" t="str">
        <f>IFERROR(IF($S24=BA$16,'6-Biogas Production'!$Q65,""),"")</f>
        <v/>
      </c>
      <c r="BB24" s="92" t="str">
        <f>IFERROR(IF($S24=BB$16,'6-Biogas Production'!$Q65,""),"")</f>
        <v/>
      </c>
      <c r="BC24" s="263" t="str">
        <f>IFERROR(IF($S24=BC$16,'6-Biogas Production'!$Q65,""),"")</f>
        <v/>
      </c>
      <c r="BE24" s="341">
        <f>C24*VLOOKUP(D24,'23-Look up values'!$A$4:$B$9,2,FALSE)</f>
        <v>0</v>
      </c>
    </row>
    <row r="25" spans="1:57" s="92" customFormat="1" ht="19.3" customHeight="1" x14ac:dyDescent="0.45">
      <c r="A25" s="101" t="s">
        <v>175</v>
      </c>
      <c r="B25" s="101"/>
      <c r="C25" s="149"/>
      <c r="D25" s="339" t="s">
        <v>176</v>
      </c>
      <c r="E25" s="340"/>
      <c r="F25" s="106" t="str">
        <f>IFERROR(VLOOKUP(B25,'9-Feedstock Characteristics'!$A$8:$W$127,2,FALSE),"-")</f>
        <v>-</v>
      </c>
      <c r="G25" s="106" t="str">
        <f>IFERROR(VLOOKUP(B25,'9-Feedstock Characteristics'!$A$8:$W$127,3,FALSE),"-")</f>
        <v>-</v>
      </c>
      <c r="H25" s="106" t="str">
        <f>IFERROR(VLOOKUP(B25,'9-Feedstock Characteristics'!$A$8:$W$127,7,FALSE),"-")</f>
        <v>-</v>
      </c>
      <c r="I25" s="106" t="str">
        <f>IFERROR(VLOOKUP(B25,'9-Feedstock Characteristics'!$A$8:$W$127,8,FALSE),"-")</f>
        <v>-</v>
      </c>
      <c r="J25" s="106" t="str">
        <f>IFERROR(VLOOKUP(B25,'9-Feedstock Characteristics'!$A$8:$W$127,12,FALSE)/(1-F25),"-")</f>
        <v>-</v>
      </c>
      <c r="K25" s="107" t="str">
        <f t="shared" si="0"/>
        <v/>
      </c>
      <c r="L25" s="104" t="str">
        <f>IF(C25=0,"-",IF(ReactorType="Dry",VLOOKUP(B25,'9-Feedstock Characteristics'!$A$8:$W$127,18,FALSE),VLOOKUP(B25,'9-Feedstock Characteristics'!$A$8:$W$127,18,FALSE)*((C25/(DensityofWater*VLOOKUP(B25,'9-Feedstock Characteristics'!$A$8:$W$127,19,FALSE)))/Chosen_Reactor_Volume)+DensityofWater*((Chosen_Reactor_Volume-(C25/(DensityofWater*VLOOKUP(B25,'9-Feedstock Characteristics'!$A$8:$W$127,19,FALSE))))/Chosen_Reactor_Volume)))</f>
        <v>-</v>
      </c>
      <c r="M25" s="106" t="str">
        <f>IFERROR(VLOOKUP(B25,'9-Feedstock Characteristics'!$A$8:$W$127,15,FALSE),"-")</f>
        <v>-</v>
      </c>
      <c r="N25" s="106" t="str">
        <f>IFERROR(VLOOKUP(B25,'9-Feedstock Characteristics'!$A$8:$W$127,14,FALSE),"-")</f>
        <v>-</v>
      </c>
      <c r="O25" s="106" t="str">
        <f>IFERROR(VLOOKUP(B25,'9-Feedstock Characteristics'!$A$8:$W$127,13,FALSE),"-")</f>
        <v>-</v>
      </c>
      <c r="P25" s="108" t="str">
        <f t="shared" si="1"/>
        <v/>
      </c>
      <c r="Q25" s="108" t="str">
        <f t="shared" si="2"/>
        <v/>
      </c>
      <c r="S25" s="259" t="e">
        <f t="shared" si="17"/>
        <v>#N/A</v>
      </c>
      <c r="T25" s="264" t="str">
        <f t="shared" si="4"/>
        <v/>
      </c>
      <c r="U25" s="92" t="str">
        <f t="shared" si="4"/>
        <v/>
      </c>
      <c r="V25" s="92" t="str">
        <f t="shared" si="4"/>
        <v/>
      </c>
      <c r="W25" s="92" t="str">
        <f t="shared" si="4"/>
        <v/>
      </c>
      <c r="X25" s="92" t="str">
        <f t="shared" si="4"/>
        <v/>
      </c>
      <c r="Y25" s="263" t="str">
        <f t="shared" si="4"/>
        <v/>
      </c>
      <c r="Z25" s="264" t="str">
        <f t="shared" si="9"/>
        <v/>
      </c>
      <c r="AA25" s="92" t="str">
        <f t="shared" si="10"/>
        <v/>
      </c>
      <c r="AB25" s="92" t="str">
        <f t="shared" si="10"/>
        <v/>
      </c>
      <c r="AC25" s="92" t="str">
        <f t="shared" si="10"/>
        <v/>
      </c>
      <c r="AD25" s="92" t="str">
        <f t="shared" si="10"/>
        <v/>
      </c>
      <c r="AE25" s="92" t="str">
        <f t="shared" si="10"/>
        <v/>
      </c>
      <c r="AF25" s="264" t="str">
        <f t="shared" si="11"/>
        <v/>
      </c>
      <c r="AG25" s="92" t="str">
        <f t="shared" si="12"/>
        <v/>
      </c>
      <c r="AH25" s="92" t="str">
        <f t="shared" si="12"/>
        <v/>
      </c>
      <c r="AI25" s="92" t="str">
        <f t="shared" si="12"/>
        <v/>
      </c>
      <c r="AJ25" s="92" t="str">
        <f t="shared" si="12"/>
        <v/>
      </c>
      <c r="AK25" s="263" t="str">
        <f t="shared" si="12"/>
        <v/>
      </c>
      <c r="AL25" s="250" t="str">
        <f t="shared" si="13"/>
        <v/>
      </c>
      <c r="AM25" s="249" t="str">
        <f t="shared" si="14"/>
        <v/>
      </c>
      <c r="AN25" s="249" t="str">
        <f t="shared" si="14"/>
        <v/>
      </c>
      <c r="AO25" s="249" t="str">
        <f t="shared" si="14"/>
        <v/>
      </c>
      <c r="AP25" s="249" t="str">
        <f t="shared" si="14"/>
        <v/>
      </c>
      <c r="AQ25" s="248" t="str">
        <f t="shared" si="14"/>
        <v/>
      </c>
      <c r="AR25" s="264" t="str">
        <f t="shared" si="15"/>
        <v/>
      </c>
      <c r="AS25" s="92" t="str">
        <f t="shared" si="16"/>
        <v/>
      </c>
      <c r="AT25" s="92" t="str">
        <f t="shared" si="16"/>
        <v/>
      </c>
      <c r="AU25" s="92" t="str">
        <f t="shared" si="16"/>
        <v/>
      </c>
      <c r="AV25" s="92" t="str">
        <f t="shared" si="16"/>
        <v/>
      </c>
      <c r="AW25" s="263" t="str">
        <f t="shared" si="16"/>
        <v/>
      </c>
      <c r="AX25" s="264" t="str">
        <f>IFERROR(IF($S25=AX$16,'6-Biogas Production'!$Q66,""),"")</f>
        <v/>
      </c>
      <c r="AY25" s="92" t="str">
        <f>IFERROR(IF($S25=AY$16,'6-Biogas Production'!$Q66,""),"")</f>
        <v/>
      </c>
      <c r="AZ25" s="92" t="str">
        <f>IFERROR(IF($S25=AZ$16,'6-Biogas Production'!$Q66,""),"")</f>
        <v/>
      </c>
      <c r="BA25" s="92" t="str">
        <f>IFERROR(IF($S25=BA$16,'6-Biogas Production'!$Q66,""),"")</f>
        <v/>
      </c>
      <c r="BB25" s="92" t="str">
        <f>IFERROR(IF($S25=BB$16,'6-Biogas Production'!$Q66,""),"")</f>
        <v/>
      </c>
      <c r="BC25" s="263" t="str">
        <f>IFERROR(IF($S25=BC$16,'6-Biogas Production'!$Q66,""),"")</f>
        <v/>
      </c>
      <c r="BE25" s="341">
        <f>C25*VLOOKUP(D25,'23-Look up values'!$A$4:$B$9,2,FALSE)</f>
        <v>0</v>
      </c>
    </row>
    <row r="26" spans="1:57" s="92" customFormat="1" ht="19.3" customHeight="1" x14ac:dyDescent="0.45">
      <c r="A26" s="101" t="s">
        <v>175</v>
      </c>
      <c r="B26" s="101"/>
      <c r="C26" s="149"/>
      <c r="D26" s="339" t="s">
        <v>176</v>
      </c>
      <c r="E26" s="340"/>
      <c r="F26" s="106" t="str">
        <f>IFERROR(VLOOKUP(B26,'9-Feedstock Characteristics'!$A$8:$W$127,2,FALSE),"-")</f>
        <v>-</v>
      </c>
      <c r="G26" s="106" t="str">
        <f>IFERROR(VLOOKUP(B26,'9-Feedstock Characteristics'!$A$8:$W$127,3,FALSE),"-")</f>
        <v>-</v>
      </c>
      <c r="H26" s="106" t="str">
        <f>IFERROR(VLOOKUP(B26,'9-Feedstock Characteristics'!$A$8:$W$127,7,FALSE),"-")</f>
        <v>-</v>
      </c>
      <c r="I26" s="106" t="str">
        <f>IFERROR(VLOOKUP(B26,'9-Feedstock Characteristics'!$A$8:$W$127,8,FALSE),"-")</f>
        <v>-</v>
      </c>
      <c r="J26" s="106" t="str">
        <f>IFERROR(VLOOKUP(B26,'9-Feedstock Characteristics'!$A$8:$W$127,12,FALSE)/(1-F26),"-")</f>
        <v>-</v>
      </c>
      <c r="K26" s="107" t="str">
        <f t="shared" si="0"/>
        <v/>
      </c>
      <c r="L26" s="104" t="str">
        <f>IF(C26=0,"-",IF(ReactorType="Dry",VLOOKUP(B26,'9-Feedstock Characteristics'!$A$8:$W$127,18,FALSE),VLOOKUP(B26,'9-Feedstock Characteristics'!$A$8:$W$127,18,FALSE)*((C26/(DensityofWater*VLOOKUP(B26,'9-Feedstock Characteristics'!$A$8:$W$127,19,FALSE)))/Chosen_Reactor_Volume)+DensityofWater*((Chosen_Reactor_Volume-(C26/(DensityofWater*VLOOKUP(B26,'9-Feedstock Characteristics'!$A$8:$W$127,19,FALSE))))/Chosen_Reactor_Volume)))</f>
        <v>-</v>
      </c>
      <c r="M26" s="106" t="str">
        <f>IFERROR(VLOOKUP(B26,'9-Feedstock Characteristics'!$A$8:$W$127,15,FALSE),"-")</f>
        <v>-</v>
      </c>
      <c r="N26" s="106" t="str">
        <f>IFERROR(VLOOKUP(B26,'9-Feedstock Characteristics'!$A$8:$W$127,14,FALSE),"-")</f>
        <v>-</v>
      </c>
      <c r="O26" s="106" t="str">
        <f>IFERROR(VLOOKUP(B26,'9-Feedstock Characteristics'!$A$8:$W$127,13,FALSE),"-")</f>
        <v>-</v>
      </c>
      <c r="P26" s="108" t="str">
        <f t="shared" si="1"/>
        <v/>
      </c>
      <c r="Q26" s="108" t="str">
        <f t="shared" si="2"/>
        <v/>
      </c>
      <c r="S26" s="259" t="e">
        <f t="shared" si="17"/>
        <v>#N/A</v>
      </c>
      <c r="T26" s="264" t="str">
        <f t="shared" si="4"/>
        <v/>
      </c>
      <c r="U26" s="92" t="str">
        <f t="shared" si="4"/>
        <v/>
      </c>
      <c r="V26" s="92" t="str">
        <f t="shared" si="4"/>
        <v/>
      </c>
      <c r="W26" s="92" t="str">
        <f t="shared" si="4"/>
        <v/>
      </c>
      <c r="X26" s="92" t="str">
        <f t="shared" si="4"/>
        <v/>
      </c>
      <c r="Y26" s="263" t="str">
        <f t="shared" si="4"/>
        <v/>
      </c>
      <c r="Z26" s="264" t="str">
        <f t="shared" si="9"/>
        <v/>
      </c>
      <c r="AA26" s="92" t="str">
        <f t="shared" si="10"/>
        <v/>
      </c>
      <c r="AB26" s="92" t="str">
        <f t="shared" si="10"/>
        <v/>
      </c>
      <c r="AC26" s="92" t="str">
        <f t="shared" si="10"/>
        <v/>
      </c>
      <c r="AD26" s="92" t="str">
        <f t="shared" si="10"/>
        <v/>
      </c>
      <c r="AE26" s="92" t="str">
        <f t="shared" si="10"/>
        <v/>
      </c>
      <c r="AF26" s="264" t="str">
        <f t="shared" si="11"/>
        <v/>
      </c>
      <c r="AG26" s="92" t="str">
        <f t="shared" si="12"/>
        <v/>
      </c>
      <c r="AH26" s="92" t="str">
        <f t="shared" si="12"/>
        <v/>
      </c>
      <c r="AI26" s="92" t="str">
        <f t="shared" si="12"/>
        <v/>
      </c>
      <c r="AJ26" s="92" t="str">
        <f t="shared" si="12"/>
        <v/>
      </c>
      <c r="AK26" s="263" t="str">
        <f t="shared" si="12"/>
        <v/>
      </c>
      <c r="AL26" s="250" t="str">
        <f t="shared" si="13"/>
        <v/>
      </c>
      <c r="AM26" s="249" t="str">
        <f t="shared" si="14"/>
        <v/>
      </c>
      <c r="AN26" s="249" t="str">
        <f t="shared" si="14"/>
        <v/>
      </c>
      <c r="AO26" s="249" t="str">
        <f t="shared" si="14"/>
        <v/>
      </c>
      <c r="AP26" s="249" t="str">
        <f t="shared" si="14"/>
        <v/>
      </c>
      <c r="AQ26" s="248" t="str">
        <f t="shared" si="14"/>
        <v/>
      </c>
      <c r="AR26" s="264" t="str">
        <f t="shared" si="15"/>
        <v/>
      </c>
      <c r="AS26" s="92" t="str">
        <f t="shared" si="16"/>
        <v/>
      </c>
      <c r="AT26" s="92" t="str">
        <f t="shared" si="16"/>
        <v/>
      </c>
      <c r="AU26" s="92" t="str">
        <f t="shared" si="16"/>
        <v/>
      </c>
      <c r="AV26" s="92" t="str">
        <f t="shared" si="16"/>
        <v/>
      </c>
      <c r="AW26" s="263" t="str">
        <f t="shared" si="16"/>
        <v/>
      </c>
      <c r="AX26" s="264" t="str">
        <f>IFERROR(IF($S26=AX$16,'6-Biogas Production'!$Q67,""),"")</f>
        <v/>
      </c>
      <c r="AY26" s="92" t="str">
        <f>IFERROR(IF($S26=AY$16,'6-Biogas Production'!$Q67,""),"")</f>
        <v/>
      </c>
      <c r="AZ26" s="92" t="str">
        <f>IFERROR(IF($S26=AZ$16,'6-Biogas Production'!$Q67,""),"")</f>
        <v/>
      </c>
      <c r="BA26" s="92" t="str">
        <f>IFERROR(IF($S26=BA$16,'6-Biogas Production'!$Q67,""),"")</f>
        <v/>
      </c>
      <c r="BB26" s="92" t="str">
        <f>IFERROR(IF($S26=BB$16,'6-Biogas Production'!$Q67,""),"")</f>
        <v/>
      </c>
      <c r="BC26" s="263" t="str">
        <f>IFERROR(IF($S26=BC$16,'6-Biogas Production'!$Q67,""),"")</f>
        <v/>
      </c>
      <c r="BE26" s="341">
        <f>C26*VLOOKUP(D26,'23-Look up values'!$A$4:$B$9,2,FALSE)</f>
        <v>0</v>
      </c>
    </row>
    <row r="27" spans="1:57" s="92" customFormat="1" ht="19.3" customHeight="1" x14ac:dyDescent="0.45">
      <c r="A27" s="101" t="s">
        <v>175</v>
      </c>
      <c r="B27" s="101"/>
      <c r="C27" s="149"/>
      <c r="D27" s="339" t="s">
        <v>176</v>
      </c>
      <c r="E27" s="340"/>
      <c r="F27" s="106" t="str">
        <f>IFERROR(VLOOKUP(B27,'9-Feedstock Characteristics'!$A$8:$W$127,2,FALSE),"-")</f>
        <v>-</v>
      </c>
      <c r="G27" s="106" t="str">
        <f>IFERROR(VLOOKUP(B27,'9-Feedstock Characteristics'!$A$8:$W$127,3,FALSE),"-")</f>
        <v>-</v>
      </c>
      <c r="H27" s="106" t="str">
        <f>IFERROR(VLOOKUP(B27,'9-Feedstock Characteristics'!$A$8:$W$127,7,FALSE),"-")</f>
        <v>-</v>
      </c>
      <c r="I27" s="106" t="str">
        <f>IFERROR(VLOOKUP(B27,'9-Feedstock Characteristics'!$A$8:$W$127,8,FALSE),"-")</f>
        <v>-</v>
      </c>
      <c r="J27" s="106" t="str">
        <f>IFERROR(VLOOKUP(B27,'9-Feedstock Characteristics'!$A$8:$W$127,12,FALSE)/(1-F27),"-")</f>
        <v>-</v>
      </c>
      <c r="K27" s="107" t="str">
        <f t="shared" si="0"/>
        <v/>
      </c>
      <c r="L27" s="104" t="str">
        <f>IF(C27=0,"-",IF(ReactorType="Dry",VLOOKUP(B27,'9-Feedstock Characteristics'!$A$8:$W$127,18,FALSE),VLOOKUP(B27,'9-Feedstock Characteristics'!$A$8:$W$127,18,FALSE)*((C27/(DensityofWater*VLOOKUP(B27,'9-Feedstock Characteristics'!$A$8:$W$127,19,FALSE)))/Chosen_Reactor_Volume)+DensityofWater*((Chosen_Reactor_Volume-(C27/(DensityofWater*VLOOKUP(B27,'9-Feedstock Characteristics'!$A$8:$W$127,19,FALSE))))/Chosen_Reactor_Volume)))</f>
        <v>-</v>
      </c>
      <c r="M27" s="106" t="str">
        <f>IFERROR(VLOOKUP(B27,'9-Feedstock Characteristics'!$A$8:$W$127,15,FALSE),"-")</f>
        <v>-</v>
      </c>
      <c r="N27" s="106" t="str">
        <f>IFERROR(VLOOKUP(B27,'9-Feedstock Characteristics'!$A$8:$W$127,14,FALSE),"-")</f>
        <v>-</v>
      </c>
      <c r="O27" s="106" t="str">
        <f>IFERROR(VLOOKUP(B27,'9-Feedstock Characteristics'!$A$8:$W$127,13,FALSE),"-")</f>
        <v>-</v>
      </c>
      <c r="P27" s="108" t="str">
        <f t="shared" si="1"/>
        <v/>
      </c>
      <c r="Q27" s="108" t="str">
        <f t="shared" si="2"/>
        <v/>
      </c>
      <c r="S27" s="259" t="e">
        <f t="shared" si="17"/>
        <v>#N/A</v>
      </c>
      <c r="T27" s="264" t="str">
        <f t="shared" si="4"/>
        <v/>
      </c>
      <c r="U27" s="92" t="str">
        <f t="shared" si="4"/>
        <v/>
      </c>
      <c r="V27" s="92" t="str">
        <f t="shared" si="4"/>
        <v/>
      </c>
      <c r="W27" s="92" t="str">
        <f t="shared" si="4"/>
        <v/>
      </c>
      <c r="X27" s="92" t="str">
        <f t="shared" si="4"/>
        <v/>
      </c>
      <c r="Y27" s="263" t="str">
        <f t="shared" si="4"/>
        <v/>
      </c>
      <c r="Z27" s="264" t="str">
        <f t="shared" si="9"/>
        <v/>
      </c>
      <c r="AA27" s="92" t="str">
        <f t="shared" si="10"/>
        <v/>
      </c>
      <c r="AB27" s="92" t="str">
        <f t="shared" si="10"/>
        <v/>
      </c>
      <c r="AC27" s="92" t="str">
        <f t="shared" si="10"/>
        <v/>
      </c>
      <c r="AD27" s="92" t="str">
        <f t="shared" si="10"/>
        <v/>
      </c>
      <c r="AE27" s="92" t="str">
        <f t="shared" si="10"/>
        <v/>
      </c>
      <c r="AF27" s="264" t="str">
        <f t="shared" si="11"/>
        <v/>
      </c>
      <c r="AG27" s="92" t="str">
        <f t="shared" si="12"/>
        <v/>
      </c>
      <c r="AH27" s="92" t="str">
        <f t="shared" si="12"/>
        <v/>
      </c>
      <c r="AI27" s="92" t="str">
        <f t="shared" si="12"/>
        <v/>
      </c>
      <c r="AJ27" s="92" t="str">
        <f t="shared" si="12"/>
        <v/>
      </c>
      <c r="AK27" s="263" t="str">
        <f t="shared" si="12"/>
        <v/>
      </c>
      <c r="AL27" s="250" t="str">
        <f t="shared" si="13"/>
        <v/>
      </c>
      <c r="AM27" s="249" t="str">
        <f t="shared" si="14"/>
        <v/>
      </c>
      <c r="AN27" s="249" t="str">
        <f t="shared" si="14"/>
        <v/>
      </c>
      <c r="AO27" s="249" t="str">
        <f t="shared" si="14"/>
        <v/>
      </c>
      <c r="AP27" s="249" t="str">
        <f t="shared" si="14"/>
        <v/>
      </c>
      <c r="AQ27" s="248" t="str">
        <f t="shared" si="14"/>
        <v/>
      </c>
      <c r="AR27" s="264" t="str">
        <f t="shared" si="15"/>
        <v/>
      </c>
      <c r="AS27" s="92" t="str">
        <f t="shared" si="16"/>
        <v/>
      </c>
      <c r="AT27" s="92" t="str">
        <f t="shared" si="16"/>
        <v/>
      </c>
      <c r="AU27" s="92" t="str">
        <f t="shared" si="16"/>
        <v/>
      </c>
      <c r="AV27" s="92" t="str">
        <f t="shared" si="16"/>
        <v/>
      </c>
      <c r="AW27" s="263" t="str">
        <f t="shared" si="16"/>
        <v/>
      </c>
      <c r="AX27" s="264" t="str">
        <f>IFERROR(IF($S27=AX$16,'6-Biogas Production'!$Q68,""),"")</f>
        <v/>
      </c>
      <c r="AY27" s="92" t="str">
        <f>IFERROR(IF($S27=AY$16,'6-Biogas Production'!$Q68,""),"")</f>
        <v/>
      </c>
      <c r="AZ27" s="92" t="str">
        <f>IFERROR(IF($S27=AZ$16,'6-Biogas Production'!$Q68,""),"")</f>
        <v/>
      </c>
      <c r="BA27" s="92" t="str">
        <f>IFERROR(IF($S27=BA$16,'6-Biogas Production'!$Q68,""),"")</f>
        <v/>
      </c>
      <c r="BB27" s="92" t="str">
        <f>IFERROR(IF($S27=BB$16,'6-Biogas Production'!$Q68,""),"")</f>
        <v/>
      </c>
      <c r="BC27" s="263" t="str">
        <f>IFERROR(IF($S27=BC$16,'6-Biogas Production'!$Q68,""),"")</f>
        <v/>
      </c>
      <c r="BE27" s="341">
        <f>C27*VLOOKUP(D27,'23-Look up values'!$A$4:$B$9,2,FALSE)</f>
        <v>0</v>
      </c>
    </row>
    <row r="28" spans="1:57" s="92" customFormat="1" ht="19.3" customHeight="1" x14ac:dyDescent="0.45">
      <c r="A28" s="101" t="s">
        <v>175</v>
      </c>
      <c r="B28" s="101"/>
      <c r="C28" s="149"/>
      <c r="D28" s="339" t="s">
        <v>176</v>
      </c>
      <c r="E28" s="340"/>
      <c r="F28" s="106" t="str">
        <f>IFERROR(VLOOKUP(B28,'9-Feedstock Characteristics'!$A$8:$W$127,2,FALSE),"-")</f>
        <v>-</v>
      </c>
      <c r="G28" s="106" t="str">
        <f>IFERROR(VLOOKUP(B28,'9-Feedstock Characteristics'!$A$8:$W$127,3,FALSE),"-")</f>
        <v>-</v>
      </c>
      <c r="H28" s="106" t="str">
        <f>IFERROR(VLOOKUP(B28,'9-Feedstock Characteristics'!$A$8:$W$127,7,FALSE),"-")</f>
        <v>-</v>
      </c>
      <c r="I28" s="106" t="str">
        <f>IFERROR(VLOOKUP(B28,'9-Feedstock Characteristics'!$A$8:$W$127,8,FALSE),"-")</f>
        <v>-</v>
      </c>
      <c r="J28" s="106" t="str">
        <f>IFERROR(VLOOKUP(B28,'9-Feedstock Characteristics'!$A$8:$W$127,12,FALSE)/(1-F28),"-")</f>
        <v>-</v>
      </c>
      <c r="K28" s="107" t="str">
        <f t="shared" si="0"/>
        <v/>
      </c>
      <c r="L28" s="104" t="str">
        <f>IF(C28=0,"-",IF(ReactorType="Dry",VLOOKUP(B28,'9-Feedstock Characteristics'!$A$8:$W$127,18,FALSE),VLOOKUP(B28,'9-Feedstock Characteristics'!$A$8:$W$127,18,FALSE)*((C28/(DensityofWater*VLOOKUP(B28,'9-Feedstock Characteristics'!$A$8:$W$127,19,FALSE)))/Chosen_Reactor_Volume)+DensityofWater*((Chosen_Reactor_Volume-(C28/(DensityofWater*VLOOKUP(B28,'9-Feedstock Characteristics'!$A$8:$W$127,19,FALSE))))/Chosen_Reactor_Volume)))</f>
        <v>-</v>
      </c>
      <c r="M28" s="106" t="str">
        <f>IFERROR(VLOOKUP(B28,'9-Feedstock Characteristics'!$A$8:$W$127,15,FALSE),"-")</f>
        <v>-</v>
      </c>
      <c r="N28" s="106" t="str">
        <f>IFERROR(VLOOKUP(B28,'9-Feedstock Characteristics'!$A$8:$W$127,14,FALSE),"-")</f>
        <v>-</v>
      </c>
      <c r="O28" s="106" t="str">
        <f>IFERROR(VLOOKUP(B28,'9-Feedstock Characteristics'!$A$8:$W$127,13,FALSE),"-")</f>
        <v>-</v>
      </c>
      <c r="P28" s="108" t="str">
        <f t="shared" si="1"/>
        <v/>
      </c>
      <c r="Q28" s="108" t="str">
        <f t="shared" si="2"/>
        <v/>
      </c>
      <c r="S28" s="259" t="e">
        <f t="shared" si="17"/>
        <v>#N/A</v>
      </c>
      <c r="T28" s="264" t="str">
        <f t="shared" si="4"/>
        <v/>
      </c>
      <c r="U28" s="92" t="str">
        <f t="shared" si="4"/>
        <v/>
      </c>
      <c r="V28" s="92" t="str">
        <f t="shared" si="4"/>
        <v/>
      </c>
      <c r="W28" s="92" t="str">
        <f t="shared" si="4"/>
        <v/>
      </c>
      <c r="X28" s="92" t="str">
        <f t="shared" si="4"/>
        <v/>
      </c>
      <c r="Y28" s="263" t="str">
        <f t="shared" si="4"/>
        <v/>
      </c>
      <c r="Z28" s="264" t="str">
        <f t="shared" si="9"/>
        <v/>
      </c>
      <c r="AA28" s="92" t="str">
        <f t="shared" si="10"/>
        <v/>
      </c>
      <c r="AB28" s="92" t="str">
        <f t="shared" si="10"/>
        <v/>
      </c>
      <c r="AC28" s="92" t="str">
        <f t="shared" si="10"/>
        <v/>
      </c>
      <c r="AD28" s="92" t="str">
        <f t="shared" si="10"/>
        <v/>
      </c>
      <c r="AE28" s="92" t="str">
        <f t="shared" si="10"/>
        <v/>
      </c>
      <c r="AF28" s="264" t="str">
        <f t="shared" si="11"/>
        <v/>
      </c>
      <c r="AG28" s="92" t="str">
        <f t="shared" si="12"/>
        <v/>
      </c>
      <c r="AH28" s="92" t="str">
        <f t="shared" si="12"/>
        <v/>
      </c>
      <c r="AI28" s="92" t="str">
        <f t="shared" si="12"/>
        <v/>
      </c>
      <c r="AJ28" s="92" t="str">
        <f t="shared" si="12"/>
        <v/>
      </c>
      <c r="AK28" s="263" t="str">
        <f t="shared" si="12"/>
        <v/>
      </c>
      <c r="AL28" s="250" t="str">
        <f t="shared" si="13"/>
        <v/>
      </c>
      <c r="AM28" s="249" t="str">
        <f t="shared" si="14"/>
        <v/>
      </c>
      <c r="AN28" s="249" t="str">
        <f t="shared" si="14"/>
        <v/>
      </c>
      <c r="AO28" s="249" t="str">
        <f t="shared" si="14"/>
        <v/>
      </c>
      <c r="AP28" s="249" t="str">
        <f t="shared" si="14"/>
        <v/>
      </c>
      <c r="AQ28" s="248" t="str">
        <f t="shared" si="14"/>
        <v/>
      </c>
      <c r="AR28" s="264" t="str">
        <f t="shared" si="15"/>
        <v/>
      </c>
      <c r="AS28" s="92" t="str">
        <f t="shared" si="16"/>
        <v/>
      </c>
      <c r="AT28" s="92" t="str">
        <f t="shared" si="16"/>
        <v/>
      </c>
      <c r="AU28" s="92" t="str">
        <f t="shared" si="16"/>
        <v/>
      </c>
      <c r="AV28" s="92" t="str">
        <f t="shared" si="16"/>
        <v/>
      </c>
      <c r="AW28" s="263" t="str">
        <f t="shared" si="16"/>
        <v/>
      </c>
      <c r="AX28" s="264" t="str">
        <f>IFERROR(IF($S28=AX$16,'6-Biogas Production'!$Q69,""),"")</f>
        <v/>
      </c>
      <c r="AY28" s="92" t="str">
        <f>IFERROR(IF($S28=AY$16,'6-Biogas Production'!$Q69,""),"")</f>
        <v/>
      </c>
      <c r="AZ28" s="92" t="str">
        <f>IFERROR(IF($S28=AZ$16,'6-Biogas Production'!$Q69,""),"")</f>
        <v/>
      </c>
      <c r="BA28" s="92" t="str">
        <f>IFERROR(IF($S28=BA$16,'6-Biogas Production'!$Q69,""),"")</f>
        <v/>
      </c>
      <c r="BB28" s="92" t="str">
        <f>IFERROR(IF($S28=BB$16,'6-Biogas Production'!$Q69,""),"")</f>
        <v/>
      </c>
      <c r="BC28" s="263" t="str">
        <f>IFERROR(IF($S28=BC$16,'6-Biogas Production'!$Q69,""),"")</f>
        <v/>
      </c>
      <c r="BE28" s="341">
        <f>C28*VLOOKUP(D28,'23-Look up values'!$A$4:$B$9,2,FALSE)</f>
        <v>0</v>
      </c>
    </row>
    <row r="29" spans="1:57" s="92" customFormat="1" ht="19.3" customHeight="1" x14ac:dyDescent="0.45">
      <c r="A29" s="101" t="s">
        <v>175</v>
      </c>
      <c r="B29" s="101"/>
      <c r="C29" s="149"/>
      <c r="D29" s="339" t="s">
        <v>176</v>
      </c>
      <c r="E29" s="340"/>
      <c r="F29" s="106" t="str">
        <f>IFERROR(VLOOKUP(B29,'9-Feedstock Characteristics'!$A$8:$W$127,2,FALSE),"-")</f>
        <v>-</v>
      </c>
      <c r="G29" s="106" t="str">
        <f>IFERROR(VLOOKUP(B29,'9-Feedstock Characteristics'!$A$8:$W$127,3,FALSE),"-")</f>
        <v>-</v>
      </c>
      <c r="H29" s="106" t="str">
        <f>IFERROR(VLOOKUP(B29,'9-Feedstock Characteristics'!$A$8:$W$127,7,FALSE),"-")</f>
        <v>-</v>
      </c>
      <c r="I29" s="106" t="str">
        <f>IFERROR(VLOOKUP(B29,'9-Feedstock Characteristics'!$A$8:$W$127,8,FALSE),"-")</f>
        <v>-</v>
      </c>
      <c r="J29" s="106" t="str">
        <f>IFERROR(VLOOKUP(B29,'9-Feedstock Characteristics'!$A$8:$W$127,12,FALSE)/(1-F29),"-")</f>
        <v>-</v>
      </c>
      <c r="K29" s="107" t="str">
        <f t="shared" si="0"/>
        <v/>
      </c>
      <c r="L29" s="104" t="str">
        <f>IF(C29=0,"-",IF(ReactorType="Dry",VLOOKUP(B29,'9-Feedstock Characteristics'!$A$8:$W$127,18,FALSE),VLOOKUP(B29,'9-Feedstock Characteristics'!$A$8:$W$127,18,FALSE)*((C29/(DensityofWater*VLOOKUP(B29,'9-Feedstock Characteristics'!$A$8:$W$127,19,FALSE)))/Chosen_Reactor_Volume)+DensityofWater*((Chosen_Reactor_Volume-(C29/(DensityofWater*VLOOKUP(B29,'9-Feedstock Characteristics'!$A$8:$W$127,19,FALSE))))/Chosen_Reactor_Volume)))</f>
        <v>-</v>
      </c>
      <c r="M29" s="106" t="str">
        <f>IFERROR(VLOOKUP(B29,'9-Feedstock Characteristics'!$A$8:$W$127,15,FALSE),"-")</f>
        <v>-</v>
      </c>
      <c r="N29" s="106" t="str">
        <f>IFERROR(VLOOKUP(B29,'9-Feedstock Characteristics'!$A$8:$W$127,14,FALSE),"-")</f>
        <v>-</v>
      </c>
      <c r="O29" s="106" t="str">
        <f>IFERROR(VLOOKUP(B29,'9-Feedstock Characteristics'!$A$8:$W$127,13,FALSE),"-")</f>
        <v>-</v>
      </c>
      <c r="P29" s="108" t="str">
        <f t="shared" si="1"/>
        <v/>
      </c>
      <c r="Q29" s="108" t="str">
        <f t="shared" si="2"/>
        <v/>
      </c>
      <c r="S29" s="259" t="e">
        <f t="shared" si="17"/>
        <v>#N/A</v>
      </c>
      <c r="T29" s="264" t="str">
        <f t="shared" si="4"/>
        <v/>
      </c>
      <c r="U29" s="92" t="str">
        <f t="shared" si="4"/>
        <v/>
      </c>
      <c r="V29" s="92" t="str">
        <f t="shared" si="4"/>
        <v/>
      </c>
      <c r="W29" s="92" t="str">
        <f t="shared" si="4"/>
        <v/>
      </c>
      <c r="X29" s="92" t="str">
        <f t="shared" si="4"/>
        <v/>
      </c>
      <c r="Y29" s="263" t="str">
        <f t="shared" si="4"/>
        <v/>
      </c>
      <c r="Z29" s="264" t="str">
        <f t="shared" si="9"/>
        <v/>
      </c>
      <c r="AA29" s="92" t="str">
        <f t="shared" si="10"/>
        <v/>
      </c>
      <c r="AB29" s="92" t="str">
        <f t="shared" si="10"/>
        <v/>
      </c>
      <c r="AC29" s="92" t="str">
        <f t="shared" si="10"/>
        <v/>
      </c>
      <c r="AD29" s="92" t="str">
        <f t="shared" si="10"/>
        <v/>
      </c>
      <c r="AE29" s="92" t="str">
        <f t="shared" si="10"/>
        <v/>
      </c>
      <c r="AF29" s="264" t="str">
        <f t="shared" si="11"/>
        <v/>
      </c>
      <c r="AG29" s="92" t="str">
        <f t="shared" si="12"/>
        <v/>
      </c>
      <c r="AH29" s="92" t="str">
        <f t="shared" si="12"/>
        <v/>
      </c>
      <c r="AI29" s="92" t="str">
        <f t="shared" si="12"/>
        <v/>
      </c>
      <c r="AJ29" s="92" t="str">
        <f t="shared" si="12"/>
        <v/>
      </c>
      <c r="AK29" s="263" t="str">
        <f t="shared" si="12"/>
        <v/>
      </c>
      <c r="AL29" s="250" t="str">
        <f t="shared" si="13"/>
        <v/>
      </c>
      <c r="AM29" s="249" t="str">
        <f t="shared" si="14"/>
        <v/>
      </c>
      <c r="AN29" s="249" t="str">
        <f t="shared" si="14"/>
        <v/>
      </c>
      <c r="AO29" s="249" t="str">
        <f t="shared" si="14"/>
        <v/>
      </c>
      <c r="AP29" s="249" t="str">
        <f t="shared" si="14"/>
        <v/>
      </c>
      <c r="AQ29" s="248" t="str">
        <f t="shared" si="14"/>
        <v/>
      </c>
      <c r="AR29" s="264" t="str">
        <f t="shared" si="15"/>
        <v/>
      </c>
      <c r="AS29" s="92" t="str">
        <f t="shared" si="16"/>
        <v/>
      </c>
      <c r="AT29" s="92" t="str">
        <f t="shared" si="16"/>
        <v/>
      </c>
      <c r="AU29" s="92" t="str">
        <f t="shared" si="16"/>
        <v/>
      </c>
      <c r="AV29" s="92" t="str">
        <f t="shared" si="16"/>
        <v/>
      </c>
      <c r="AW29" s="263" t="str">
        <f t="shared" si="16"/>
        <v/>
      </c>
      <c r="AX29" s="264" t="str">
        <f>IFERROR(IF($S29=AX$16,'6-Biogas Production'!$Q70,""),"")</f>
        <v/>
      </c>
      <c r="AY29" s="92" t="str">
        <f>IFERROR(IF($S29=AY$16,'6-Biogas Production'!$Q70,""),"")</f>
        <v/>
      </c>
      <c r="AZ29" s="92" t="str">
        <f>IFERROR(IF($S29=AZ$16,'6-Biogas Production'!$Q70,""),"")</f>
        <v/>
      </c>
      <c r="BA29" s="92" t="str">
        <f>IFERROR(IF($S29=BA$16,'6-Biogas Production'!$Q70,""),"")</f>
        <v/>
      </c>
      <c r="BB29" s="92" t="str">
        <f>IFERROR(IF($S29=BB$16,'6-Biogas Production'!$Q70,""),"")</f>
        <v/>
      </c>
      <c r="BC29" s="263" t="str">
        <f>IFERROR(IF($S29=BC$16,'6-Biogas Production'!$Q70,""),"")</f>
        <v/>
      </c>
      <c r="BE29" s="341">
        <f>C29*VLOOKUP(D29,'23-Look up values'!$A$4:$B$9,2,FALSE)</f>
        <v>0</v>
      </c>
    </row>
    <row r="30" spans="1:57" s="92" customFormat="1" ht="19.3" customHeight="1" x14ac:dyDescent="0.45">
      <c r="A30" s="101" t="s">
        <v>175</v>
      </c>
      <c r="B30" s="101"/>
      <c r="C30" s="149"/>
      <c r="D30" s="339" t="s">
        <v>176</v>
      </c>
      <c r="E30" s="340"/>
      <c r="F30" s="106" t="str">
        <f>IFERROR(VLOOKUP(B30,'9-Feedstock Characteristics'!$A$8:$W$127,2,FALSE),"-")</f>
        <v>-</v>
      </c>
      <c r="G30" s="106" t="str">
        <f>IFERROR(VLOOKUP(B30,'9-Feedstock Characteristics'!$A$8:$W$127,3,FALSE),"-")</f>
        <v>-</v>
      </c>
      <c r="H30" s="106" t="str">
        <f>IFERROR(VLOOKUP(B30,'9-Feedstock Characteristics'!$A$8:$W$127,7,FALSE),"-")</f>
        <v>-</v>
      </c>
      <c r="I30" s="106" t="str">
        <f>IFERROR(VLOOKUP(B30,'9-Feedstock Characteristics'!$A$8:$W$127,8,FALSE),"-")</f>
        <v>-</v>
      </c>
      <c r="J30" s="106" t="str">
        <f>IFERROR(VLOOKUP(B30,'9-Feedstock Characteristics'!$A$8:$W$127,12,FALSE)/(1-F30),"-")</f>
        <v>-</v>
      </c>
      <c r="K30" s="107" t="str">
        <f t="shared" si="0"/>
        <v/>
      </c>
      <c r="L30" s="104" t="str">
        <f>IF(C30=0,"-",IF(ReactorType="Dry",VLOOKUP(B30,'9-Feedstock Characteristics'!$A$8:$W$127,18,FALSE),VLOOKUP(B30,'9-Feedstock Characteristics'!$A$8:$W$127,18,FALSE)*((C30/(DensityofWater*VLOOKUP(B30,'9-Feedstock Characteristics'!$A$8:$W$127,19,FALSE)))/Chosen_Reactor_Volume)+DensityofWater*((Chosen_Reactor_Volume-(C30/(DensityofWater*VLOOKUP(B30,'9-Feedstock Characteristics'!$A$8:$W$127,19,FALSE))))/Chosen_Reactor_Volume)))</f>
        <v>-</v>
      </c>
      <c r="M30" s="106" t="str">
        <f>IFERROR(VLOOKUP(B30,'9-Feedstock Characteristics'!$A$8:$W$127,15,FALSE),"-")</f>
        <v>-</v>
      </c>
      <c r="N30" s="106" t="str">
        <f>IFERROR(VLOOKUP(B30,'9-Feedstock Characteristics'!$A$8:$W$127,14,FALSE),"-")</f>
        <v>-</v>
      </c>
      <c r="O30" s="106" t="str">
        <f>IFERROR(VLOOKUP(B30,'9-Feedstock Characteristics'!$A$8:$W$127,13,FALSE),"-")</f>
        <v>-</v>
      </c>
      <c r="P30" s="108" t="str">
        <f t="shared" si="1"/>
        <v/>
      </c>
      <c r="Q30" s="108" t="str">
        <f t="shared" si="2"/>
        <v/>
      </c>
      <c r="S30" s="259" t="e">
        <f t="shared" si="17"/>
        <v>#N/A</v>
      </c>
      <c r="T30" s="264" t="str">
        <f t="shared" si="4"/>
        <v/>
      </c>
      <c r="U30" s="92" t="str">
        <f t="shared" si="4"/>
        <v/>
      </c>
      <c r="V30" s="92" t="str">
        <f t="shared" si="4"/>
        <v/>
      </c>
      <c r="W30" s="92" t="str">
        <f t="shared" si="4"/>
        <v/>
      </c>
      <c r="X30" s="92" t="str">
        <f t="shared" si="4"/>
        <v/>
      </c>
      <c r="Y30" s="263" t="str">
        <f t="shared" si="4"/>
        <v/>
      </c>
      <c r="Z30" s="264" t="str">
        <f t="shared" si="9"/>
        <v/>
      </c>
      <c r="AA30" s="92" t="str">
        <f t="shared" si="10"/>
        <v/>
      </c>
      <c r="AB30" s="92" t="str">
        <f t="shared" si="10"/>
        <v/>
      </c>
      <c r="AC30" s="92" t="str">
        <f t="shared" si="10"/>
        <v/>
      </c>
      <c r="AD30" s="92" t="str">
        <f t="shared" si="10"/>
        <v/>
      </c>
      <c r="AE30" s="92" t="str">
        <f t="shared" si="10"/>
        <v/>
      </c>
      <c r="AF30" s="264" t="str">
        <f t="shared" si="11"/>
        <v/>
      </c>
      <c r="AG30" s="92" t="str">
        <f t="shared" si="12"/>
        <v/>
      </c>
      <c r="AH30" s="92" t="str">
        <f t="shared" si="12"/>
        <v/>
      </c>
      <c r="AI30" s="92" t="str">
        <f t="shared" si="12"/>
        <v/>
      </c>
      <c r="AJ30" s="92" t="str">
        <f t="shared" si="12"/>
        <v/>
      </c>
      <c r="AK30" s="263" t="str">
        <f t="shared" si="12"/>
        <v/>
      </c>
      <c r="AL30" s="250" t="str">
        <f t="shared" si="13"/>
        <v/>
      </c>
      <c r="AM30" s="249" t="str">
        <f t="shared" si="14"/>
        <v/>
      </c>
      <c r="AN30" s="249" t="str">
        <f t="shared" si="14"/>
        <v/>
      </c>
      <c r="AO30" s="249" t="str">
        <f t="shared" si="14"/>
        <v/>
      </c>
      <c r="AP30" s="249" t="str">
        <f t="shared" si="14"/>
        <v/>
      </c>
      <c r="AQ30" s="248" t="str">
        <f t="shared" si="14"/>
        <v/>
      </c>
      <c r="AR30" s="264" t="str">
        <f t="shared" si="15"/>
        <v/>
      </c>
      <c r="AS30" s="92" t="str">
        <f t="shared" si="16"/>
        <v/>
      </c>
      <c r="AT30" s="92" t="str">
        <f t="shared" si="16"/>
        <v/>
      </c>
      <c r="AU30" s="92" t="str">
        <f t="shared" si="16"/>
        <v/>
      </c>
      <c r="AV30" s="92" t="str">
        <f t="shared" si="16"/>
        <v/>
      </c>
      <c r="AW30" s="263" t="str">
        <f t="shared" si="16"/>
        <v/>
      </c>
      <c r="AX30" s="264" t="str">
        <f>IFERROR(IF($S30=AX$16,'6-Biogas Production'!$Q71,""),"")</f>
        <v/>
      </c>
      <c r="AY30" s="92" t="str">
        <f>IFERROR(IF($S30=AY$16,'6-Biogas Production'!$Q71,""),"")</f>
        <v/>
      </c>
      <c r="AZ30" s="92" t="str">
        <f>IFERROR(IF($S30=AZ$16,'6-Biogas Production'!$Q71,""),"")</f>
        <v/>
      </c>
      <c r="BA30" s="92" t="str">
        <f>IFERROR(IF($S30=BA$16,'6-Biogas Production'!$Q71,""),"")</f>
        <v/>
      </c>
      <c r="BB30" s="92" t="str">
        <f>IFERROR(IF($S30=BB$16,'6-Biogas Production'!$Q71,""),"")</f>
        <v/>
      </c>
      <c r="BC30" s="263" t="str">
        <f>IFERROR(IF($S30=BC$16,'6-Biogas Production'!$Q71,""),"")</f>
        <v/>
      </c>
      <c r="BE30" s="341">
        <f>C30*VLOOKUP(D30,'23-Look up values'!$A$4:$B$9,2,FALSE)</f>
        <v>0</v>
      </c>
    </row>
    <row r="31" spans="1:57" s="92" customFormat="1" ht="19.3" customHeight="1" x14ac:dyDescent="0.45">
      <c r="A31" s="101" t="s">
        <v>175</v>
      </c>
      <c r="B31" s="101"/>
      <c r="C31" s="149"/>
      <c r="D31" s="339" t="s">
        <v>176</v>
      </c>
      <c r="E31" s="340"/>
      <c r="F31" s="106" t="str">
        <f>IFERROR(VLOOKUP(B31,'9-Feedstock Characteristics'!$A$8:$W$127,2,FALSE),"-")</f>
        <v>-</v>
      </c>
      <c r="G31" s="106" t="str">
        <f>IFERROR(VLOOKUP(B31,'9-Feedstock Characteristics'!$A$8:$W$127,3,FALSE),"-")</f>
        <v>-</v>
      </c>
      <c r="H31" s="106" t="str">
        <f>IFERROR(VLOOKUP(B31,'9-Feedstock Characteristics'!$A$8:$W$127,7,FALSE),"-")</f>
        <v>-</v>
      </c>
      <c r="I31" s="106" t="str">
        <f>IFERROR(VLOOKUP(B31,'9-Feedstock Characteristics'!$A$8:$W$127,8,FALSE),"-")</f>
        <v>-</v>
      </c>
      <c r="J31" s="106" t="str">
        <f>IFERROR(VLOOKUP(B31,'9-Feedstock Characteristics'!$A$8:$W$127,12,FALSE)/(1-F31),"-")</f>
        <v>-</v>
      </c>
      <c r="K31" s="107" t="str">
        <f t="shared" si="0"/>
        <v/>
      </c>
      <c r="L31" s="104" t="str">
        <f>IF(C31=0,"-",IF(ReactorType="Dry",VLOOKUP(B31,'9-Feedstock Characteristics'!$A$8:$W$127,18,FALSE),VLOOKUP(B31,'9-Feedstock Characteristics'!$A$8:$W$127,18,FALSE)*((C31/(DensityofWater*VLOOKUP(B31,'9-Feedstock Characteristics'!$A$8:$W$127,19,FALSE)))/Chosen_Reactor_Volume)+DensityofWater*((Chosen_Reactor_Volume-(C31/(DensityofWater*VLOOKUP(B31,'9-Feedstock Characteristics'!$A$8:$W$127,19,FALSE))))/Chosen_Reactor_Volume)))</f>
        <v>-</v>
      </c>
      <c r="M31" s="106" t="str">
        <f>IFERROR(VLOOKUP(B31,'9-Feedstock Characteristics'!$A$8:$W$127,15,FALSE),"-")</f>
        <v>-</v>
      </c>
      <c r="N31" s="106" t="str">
        <f>IFERROR(VLOOKUP(B31,'9-Feedstock Characteristics'!$A$8:$W$127,14,FALSE),"-")</f>
        <v>-</v>
      </c>
      <c r="O31" s="106" t="str">
        <f>IFERROR(VLOOKUP(B31,'9-Feedstock Characteristics'!$A$8:$W$127,13,FALSE),"-")</f>
        <v>-</v>
      </c>
      <c r="P31" s="108" t="str">
        <f t="shared" si="1"/>
        <v/>
      </c>
      <c r="Q31" s="108" t="str">
        <f t="shared" si="2"/>
        <v/>
      </c>
      <c r="S31" s="258" t="e">
        <f t="shared" si="3"/>
        <v>#N/A</v>
      </c>
      <c r="T31" s="262" t="str">
        <f t="shared" si="4"/>
        <v/>
      </c>
      <c r="U31" s="261" t="str">
        <f t="shared" si="4"/>
        <v/>
      </c>
      <c r="V31" s="261" t="str">
        <f t="shared" si="4"/>
        <v/>
      </c>
      <c r="W31" s="261" t="str">
        <f t="shared" si="4"/>
        <v/>
      </c>
      <c r="X31" s="261" t="str">
        <f t="shared" si="4"/>
        <v/>
      </c>
      <c r="Y31" s="260" t="str">
        <f t="shared" si="4"/>
        <v/>
      </c>
      <c r="Z31" s="262" t="str">
        <f t="shared" si="9"/>
        <v/>
      </c>
      <c r="AA31" s="261" t="str">
        <f t="shared" si="10"/>
        <v/>
      </c>
      <c r="AB31" s="261" t="str">
        <f t="shared" si="10"/>
        <v/>
      </c>
      <c r="AC31" s="261" t="str">
        <f t="shared" si="10"/>
        <v/>
      </c>
      <c r="AD31" s="261" t="str">
        <f t="shared" si="10"/>
        <v/>
      </c>
      <c r="AE31" s="261" t="str">
        <f t="shared" si="10"/>
        <v/>
      </c>
      <c r="AF31" s="262" t="str">
        <f t="shared" si="11"/>
        <v/>
      </c>
      <c r="AG31" s="261" t="str">
        <f t="shared" si="12"/>
        <v/>
      </c>
      <c r="AH31" s="261" t="str">
        <f t="shared" si="12"/>
        <v/>
      </c>
      <c r="AI31" s="261" t="str">
        <f t="shared" si="12"/>
        <v/>
      </c>
      <c r="AJ31" s="261" t="str">
        <f t="shared" si="12"/>
        <v/>
      </c>
      <c r="AK31" s="260" t="str">
        <f t="shared" si="12"/>
        <v/>
      </c>
      <c r="AL31" s="247" t="str">
        <f t="shared" si="13"/>
        <v/>
      </c>
      <c r="AM31" s="246" t="str">
        <f t="shared" si="14"/>
        <v/>
      </c>
      <c r="AN31" s="246" t="str">
        <f t="shared" si="14"/>
        <v/>
      </c>
      <c r="AO31" s="246" t="str">
        <f t="shared" si="14"/>
        <v/>
      </c>
      <c r="AP31" s="246" t="str">
        <f t="shared" si="14"/>
        <v/>
      </c>
      <c r="AQ31" s="245" t="str">
        <f t="shared" si="14"/>
        <v/>
      </c>
      <c r="AR31" s="262" t="str">
        <f t="shared" si="15"/>
        <v/>
      </c>
      <c r="AS31" s="261" t="str">
        <f t="shared" si="16"/>
        <v/>
      </c>
      <c r="AT31" s="261" t="str">
        <f t="shared" si="16"/>
        <v/>
      </c>
      <c r="AU31" s="261" t="str">
        <f t="shared" si="16"/>
        <v/>
      </c>
      <c r="AV31" s="261" t="str">
        <f t="shared" si="16"/>
        <v/>
      </c>
      <c r="AW31" s="260" t="str">
        <f t="shared" si="16"/>
        <v/>
      </c>
      <c r="AX31" s="262" t="str">
        <f>IFERROR(IF($S31=AX$16,'6-Biogas Production'!$Q72,""),"")</f>
        <v/>
      </c>
      <c r="AY31" s="261" t="str">
        <f>IFERROR(IF($S31=AY$16,'6-Biogas Production'!$Q72,""),"")</f>
        <v/>
      </c>
      <c r="AZ31" s="261" t="str">
        <f>IFERROR(IF($S31=AZ$16,'6-Biogas Production'!$Q72,""),"")</f>
        <v/>
      </c>
      <c r="BA31" s="261" t="str">
        <f>IFERROR(IF($S31=BA$16,'6-Biogas Production'!$Q72,""),"")</f>
        <v/>
      </c>
      <c r="BB31" s="261" t="str">
        <f>IFERROR(IF($S31=BB$16,'6-Biogas Production'!$Q72,""),"")</f>
        <v/>
      </c>
      <c r="BC31" s="260" t="str">
        <f>IFERROR(IF($S31=BC$16,'6-Biogas Production'!$Q72,""),"")</f>
        <v/>
      </c>
      <c r="BE31" s="341">
        <f>C31*VLOOKUP(D31,'23-Look up values'!$A$4:$B$9,2,FALSE)</f>
        <v>0</v>
      </c>
    </row>
    <row r="32" spans="1:57" s="92" customFormat="1" ht="19.3" customHeight="1" x14ac:dyDescent="0.45">
      <c r="B32" s="109"/>
      <c r="C32" s="197"/>
      <c r="D32" s="110"/>
      <c r="E32" s="110"/>
      <c r="F32" s="111">
        <f>IFERROR(SUMPRODUCT($BE$17:$BE$31,$F$17:$F$31)/SUM($BE$17:$BE$31),"")</f>
        <v>0.83040792356515258</v>
      </c>
      <c r="G32" s="111">
        <f>IFERROR(SUMPRODUCT($BE$17:$BE$31,$G$17:$G$31)/SUM($BE$17:$BE$31),"")</f>
        <v>0.11178231776064119</v>
      </c>
      <c r="H32" s="111">
        <f>IFERROR(SUMPRODUCT($BE$17:$BE$31,$H$17:$H$31)/SUM($BE$17:$BE$31),"")</f>
        <v>9.3342945946890965E-2</v>
      </c>
      <c r="I32" s="111">
        <f>IFERROR(SUMPRODUCT($BE$17:$BE$31,$I$17:$I$31)/SUM($BE$17:$BE$31),"")</f>
        <v>1.8439371813750213E-2</v>
      </c>
      <c r="J32" s="111">
        <f>IFERROR(SUMPRODUCT($BE$17:$BE$31,$J$17:$J$31)/SUM($BE$17:$BE$31),"")</f>
        <v>4.6427226219120196E-2</v>
      </c>
      <c r="K32" s="111">
        <f>IFERROR(SUMPRODUCT($BE$17:$BE$31,$K$17:$K$31)/SUM($BE$17:$BE$31),"")</f>
        <v>0.3032876602308977</v>
      </c>
      <c r="L32" s="386" t="e">
        <f>SUMPRODUCT($BE$17:$BE$31,$L$17:$L$31)/SUM($BE$17:$BE$31)</f>
        <v>#DIV/0!</v>
      </c>
      <c r="M32" s="31">
        <f>IFERROR(SUMPRODUCT($Q$17:$Q$31,$M$17:$M$31)/SUM($Q$17:$Q$31),"")</f>
        <v>8.6222345256461247E-2</v>
      </c>
      <c r="N32" s="31">
        <f>IFERROR(SUMPRODUCT($Q$17:$Q$31,$N$17:$N$31)/SUM($Q$17:$Q$31),"")</f>
        <v>1.9586183358291022E-2</v>
      </c>
      <c r="O32" s="31">
        <f>IFERROR(SUMPRODUCT($Q$17:$Q$31,$O$17:$O$31)/SUM($Q$17:$Q$31),"")</f>
        <v>0.87527528614435846</v>
      </c>
      <c r="P32" s="30">
        <f>C32*H32</f>
        <v>0</v>
      </c>
      <c r="Q32" s="30">
        <f>C32*G32</f>
        <v>0</v>
      </c>
      <c r="BE32" s="341">
        <f>SUM(BE17:BE31)</f>
        <v>20081.878615999998</v>
      </c>
    </row>
    <row r="33" spans="2:16" s="92" customFormat="1" ht="50.15" customHeight="1" thickBot="1" x14ac:dyDescent="0.5">
      <c r="B33" s="112"/>
      <c r="C33" s="13"/>
      <c r="D33" s="112"/>
      <c r="E33" s="112"/>
      <c r="F33" s="113"/>
      <c r="G33" s="113"/>
      <c r="H33" s="113"/>
      <c r="I33" s="113"/>
      <c r="J33" s="114"/>
      <c r="K33" s="114"/>
      <c r="L33" s="14"/>
      <c r="M33" s="14"/>
      <c r="N33" s="14"/>
      <c r="O33" s="14"/>
      <c r="P33" s="14"/>
    </row>
    <row r="34" spans="2:16" s="92" customFormat="1" ht="19.3" customHeight="1" x14ac:dyDescent="0.45">
      <c r="B34" s="408" t="s">
        <v>177</v>
      </c>
      <c r="C34" s="503" t="s">
        <v>178</v>
      </c>
      <c r="D34" s="503" t="s">
        <v>179</v>
      </c>
      <c r="E34" s="589" t="s">
        <v>180</v>
      </c>
      <c r="F34" s="590"/>
    </row>
    <row r="35" spans="2:16" s="92" customFormat="1" ht="19.3" customHeight="1" x14ac:dyDescent="0.45">
      <c r="B35" s="409" t="s">
        <v>181</v>
      </c>
      <c r="C35" s="115">
        <f>IFERROR(SUMPRODUCT($BE$17:$BE$31,$F$17:$F$31)/SUM($BE$17:$BE$31),)</f>
        <v>0.83040792356515258</v>
      </c>
      <c r="D35" s="115" t="s">
        <v>182</v>
      </c>
      <c r="E35" s="571"/>
      <c r="F35" s="572"/>
    </row>
    <row r="36" spans="2:16" s="92" customFormat="1" ht="19.3" customHeight="1" x14ac:dyDescent="0.45">
      <c r="B36" s="409" t="s">
        <v>183</v>
      </c>
      <c r="C36" s="115">
        <f>IFERROR(SUMPRODUCT($BE$17:$BE$31,$G$17:$G$31)/SUM($BE$17:$BE$31),)</f>
        <v>0.11178231776064119</v>
      </c>
      <c r="D36" s="115" t="s">
        <v>182</v>
      </c>
      <c r="E36" s="571"/>
      <c r="F36" s="572"/>
    </row>
    <row r="37" spans="2:16" s="92" customFormat="1" ht="19.3" customHeight="1" x14ac:dyDescent="0.45">
      <c r="B37" s="409" t="s">
        <v>184</v>
      </c>
      <c r="C37" s="115">
        <f>IFERROR(SUMPRODUCT($BE$17:$BE$31,$H$17:$H$31)/SUM($BE$17:$BE$31),)</f>
        <v>9.3342945946890965E-2</v>
      </c>
      <c r="D37" s="115" t="s">
        <v>182</v>
      </c>
      <c r="E37" s="571"/>
      <c r="F37" s="572"/>
    </row>
    <row r="38" spans="2:16" s="92" customFormat="1" ht="19.3" customHeight="1" x14ac:dyDescent="0.45">
      <c r="B38" s="409" t="s">
        <v>185</v>
      </c>
      <c r="C38" s="115">
        <f>IFERROR(SUMPRODUCT($BE$17:$BE$31,$I$17:$I$31)/SUM($BE$17:$BE$31),)</f>
        <v>1.8439371813750213E-2</v>
      </c>
      <c r="D38" s="115" t="s">
        <v>182</v>
      </c>
      <c r="E38" s="571"/>
      <c r="F38" s="572"/>
    </row>
    <row r="39" spans="2:16" s="92" customFormat="1" ht="19.5" customHeight="1" x14ac:dyDescent="0.45">
      <c r="B39" s="410" t="s">
        <v>186</v>
      </c>
      <c r="C39" s="507" t="s">
        <v>187</v>
      </c>
      <c r="D39" s="507" t="s">
        <v>188</v>
      </c>
      <c r="E39" s="573" t="s">
        <v>180</v>
      </c>
      <c r="F39" s="574"/>
    </row>
    <row r="40" spans="2:16" s="92" customFormat="1" ht="19.3" customHeight="1" x14ac:dyDescent="0.45">
      <c r="B40" s="409" t="s">
        <v>189</v>
      </c>
      <c r="C40" s="117">
        <f>IFERROR(IF(ReactorType="Dry",21,18)*IF(ReactorTemp="Psychrophilic",4,IF(ReactorTemp="Mesophilic",1,IF(ReactorTemp="Thermophilic",0.7))),)</f>
        <v>18</v>
      </c>
      <c r="D40" s="116" t="s">
        <v>190</v>
      </c>
      <c r="E40" s="569"/>
      <c r="F40" s="570"/>
    </row>
    <row r="41" spans="2:16" s="92" customFormat="1" ht="19.3" customHeight="1" x14ac:dyDescent="0.45">
      <c r="B41" s="411" t="s">
        <v>191</v>
      </c>
      <c r="C41" s="118">
        <f>IFERROR(K32/J32,)</f>
        <v>6.532538877069384</v>
      </c>
      <c r="D41" s="119" t="s">
        <v>192</v>
      </c>
      <c r="E41" s="591"/>
      <c r="F41" s="592"/>
    </row>
    <row r="42" spans="2:16" s="92" customFormat="1" ht="45.65" customHeight="1" thickBot="1" x14ac:dyDescent="0.5">
      <c r="B42" s="412" t="s">
        <v>193</v>
      </c>
      <c r="C42" s="413" t="str">
        <f>IFERROR(IF(TotalSolidsPercent&lt;=0.03,"Covered Lagoon",IF(OR(TotalSolidsPercent&gt;0.03,TotalSolidsPercent&lt;=0.1),"Complete Mix Digester",IF(OR(TotalSolidsPercent&gt;0.1,TotalSolidsPercent&lt;=0.13),"Plug Flow  Digester",IF(OR(TotalSolidsPercent&gt;0.18,TotalSolidsPercent&lt;=0.5),"Slurry Digester or High-Solids Fermentation Digester","Solid Waste Digesters")))),"-")</f>
        <v>Complete Mix Digester</v>
      </c>
      <c r="D42" s="587" t="s">
        <v>194</v>
      </c>
      <c r="E42" s="587"/>
      <c r="F42" s="588"/>
    </row>
    <row r="43" spans="2:16" s="92" customFormat="1" ht="19.3" customHeight="1" x14ac:dyDescent="0.45">
      <c r="B43" s="414" t="s">
        <v>195</v>
      </c>
      <c r="C43" s="415"/>
      <c r="D43" s="505" t="s">
        <v>196</v>
      </c>
      <c r="E43" s="597" t="s">
        <v>197</v>
      </c>
      <c r="F43" s="598"/>
    </row>
    <row r="44" spans="2:16" s="92" customFormat="1" ht="19.3" customHeight="1" x14ac:dyDescent="0.45">
      <c r="B44" s="585" t="s">
        <v>198</v>
      </c>
      <c r="C44" s="586"/>
      <c r="D44" s="120" t="str">
        <f>IF(AND(ReactorType="Dry",AND(C36&lt;=40%,C36&gt;=15%)),"Yes",IF(AND(ReactorType="Wet",C36&lt;=15%),"Yes","No"))</f>
        <v>Yes</v>
      </c>
      <c r="E44" s="593" t="str">
        <f>IF(D44="No","In typical dry reactors TS = 15-40%. In typical wet reactors TS &lt;=15%.","")</f>
        <v/>
      </c>
      <c r="F44" s="594"/>
    </row>
    <row r="45" spans="2:16" s="92" customFormat="1" ht="30" customHeight="1" thickBot="1" x14ac:dyDescent="0.5">
      <c r="B45" s="583" t="s">
        <v>199</v>
      </c>
      <c r="C45" s="584"/>
      <c r="D45" s="416" t="str">
        <f>IF(OR(C41&lt;25,C41&gt;35),"No","Yes")</f>
        <v>No</v>
      </c>
      <c r="E45" s="595" t="str">
        <f>IF(D45="No","Typical healthy AD systems operate with a C:N ratio between 25 and 35.","")</f>
        <v>Typical healthy AD systems operate with a C:N ratio between 25 and 35.</v>
      </c>
      <c r="F45" s="596"/>
      <c r="N45" s="490"/>
    </row>
    <row r="46" spans="2:16" s="92" customFormat="1" ht="14.6" thickBot="1" x14ac:dyDescent="0.5">
      <c r="N46" s="490"/>
    </row>
    <row r="47" spans="2:16" s="92" customFormat="1" ht="19.3" hidden="1" customHeight="1" x14ac:dyDescent="0.45">
      <c r="N47" s="490"/>
    </row>
    <row r="48" spans="2:16" s="92" customFormat="1" ht="19.3" hidden="1" customHeight="1" x14ac:dyDescent="0.45">
      <c r="N48" s="490"/>
    </row>
    <row r="49" spans="2:15" s="92" customFormat="1" ht="33" hidden="1" customHeight="1" x14ac:dyDescent="0.45">
      <c r="N49" s="490"/>
      <c r="O49" s="121"/>
    </row>
    <row r="50" spans="2:15" s="92" customFormat="1" ht="14.6" hidden="1" thickBot="1" x14ac:dyDescent="0.5">
      <c r="B50" s="476"/>
      <c r="C50" s="476"/>
      <c r="D50" s="477"/>
      <c r="E50" s="346"/>
      <c r="F50" s="346"/>
      <c r="N50" s="490"/>
      <c r="O50" s="121"/>
    </row>
    <row r="51" spans="2:15" s="92" customFormat="1" ht="14.6" hidden="1" thickBot="1" x14ac:dyDescent="0.5">
      <c r="N51" s="490"/>
      <c r="O51" s="121"/>
    </row>
    <row r="52" spans="2:15" s="92" customFormat="1" ht="14.6" hidden="1" thickBot="1" x14ac:dyDescent="0.5">
      <c r="B52" s="473"/>
      <c r="C52" s="473"/>
      <c r="D52" s="474"/>
      <c r="E52" s="475"/>
      <c r="F52" s="475"/>
      <c r="G52" s="475"/>
      <c r="H52" s="475"/>
      <c r="I52" s="475"/>
      <c r="J52" s="122"/>
      <c r="N52" s="490"/>
      <c r="O52" s="121"/>
    </row>
    <row r="53" spans="2:15" s="92" customFormat="1" ht="14.6" hidden="1" thickBot="1" x14ac:dyDescent="0.5">
      <c r="N53" s="490"/>
      <c r="O53" s="121"/>
    </row>
    <row r="54" spans="2:15" s="92" customFormat="1" ht="59.25" customHeight="1" thickBot="1" x14ac:dyDescent="0.5">
      <c r="B54" s="580" t="s">
        <v>200</v>
      </c>
      <c r="C54" s="581"/>
      <c r="D54" s="582"/>
      <c r="N54" s="307"/>
      <c r="O54" s="121"/>
    </row>
    <row r="55" spans="2:15" s="92" customFormat="1" ht="19.3" customHeight="1" x14ac:dyDescent="0.45">
      <c r="B55" s="380" t="s">
        <v>201</v>
      </c>
      <c r="C55" s="390" t="s">
        <v>131</v>
      </c>
      <c r="D55" s="391" t="s">
        <v>151</v>
      </c>
      <c r="E55"/>
      <c r="F55"/>
      <c r="G55"/>
      <c r="H55"/>
      <c r="I55"/>
      <c r="J55"/>
      <c r="N55" s="307"/>
      <c r="O55" s="121"/>
    </row>
    <row r="56" spans="2:15" s="92" customFormat="1" ht="35.15" customHeight="1" x14ac:dyDescent="0.45">
      <c r="B56" s="392" t="s">
        <v>202</v>
      </c>
      <c r="C56" s="123" t="str">
        <f>$I$97</f>
        <v>Mostly Sugars &amp; Starches</v>
      </c>
      <c r="D56" s="393"/>
      <c r="E56"/>
      <c r="F56"/>
      <c r="G56"/>
      <c r="H56"/>
      <c r="I56"/>
      <c r="J56"/>
      <c r="N56" s="307" t="str">
        <f>IFERROR(IF(SUM(TotalProtein+TotalFats)&lt;5%,$C$98,IF(TotalSugar&lt;5%,$C$101,IF(SUM(TotalProtein+TotalFats)&gt;66%,$C$100,IF(SUM(TotalProtein+TotalFats)&gt;50%,$C$99,$C$98)))),"-")</f>
        <v>Methane</v>
      </c>
      <c r="O56" s="121"/>
    </row>
    <row r="57" spans="2:15" s="92" customFormat="1" ht="19.3" customHeight="1" x14ac:dyDescent="0.45">
      <c r="B57" s="394" t="s">
        <v>201</v>
      </c>
      <c r="C57" s="124"/>
      <c r="D57" s="395"/>
      <c r="E57"/>
      <c r="F57"/>
      <c r="G57"/>
      <c r="H57"/>
      <c r="I57"/>
      <c r="J57"/>
      <c r="N57" s="307"/>
      <c r="O57" s="121"/>
    </row>
    <row r="58" spans="2:15" s="92" customFormat="1" ht="19.3" customHeight="1" x14ac:dyDescent="0.45">
      <c r="B58" s="396" t="s">
        <v>769</v>
      </c>
      <c r="C58" s="557">
        <f>$I$99</f>
        <v>0.499</v>
      </c>
      <c r="D58" s="393" t="s">
        <v>203</v>
      </c>
      <c r="E58"/>
      <c r="F58"/>
      <c r="G58"/>
      <c r="H58"/>
      <c r="I58"/>
      <c r="J58"/>
      <c r="N58" s="307">
        <f>INDEX($M$86:$M$90,MATCH($N$56,$C$97:$C$101,0))</f>
        <v>0</v>
      </c>
      <c r="O58" s="121"/>
    </row>
    <row r="59" spans="2:15" s="92" customFormat="1" ht="19.3" customHeight="1" x14ac:dyDescent="0.45">
      <c r="B59" s="397" t="s">
        <v>770</v>
      </c>
      <c r="C59" s="125">
        <f>$I$100</f>
        <v>0.499</v>
      </c>
      <c r="D59" s="398" t="s">
        <v>203</v>
      </c>
      <c r="F59"/>
      <c r="G59"/>
      <c r="H59"/>
      <c r="I59"/>
      <c r="J59"/>
      <c r="N59" s="307">
        <f>INDEX($N$86:$N$90,MATCH($N$56,$C$97:$C$101,0))</f>
        <v>0</v>
      </c>
      <c r="O59" s="121"/>
    </row>
    <row r="60" spans="2:15" s="92" customFormat="1" ht="19.3" customHeight="1" x14ac:dyDescent="0.45">
      <c r="B60" s="397" t="s">
        <v>771</v>
      </c>
      <c r="C60" s="125">
        <f>$I$101</f>
        <v>1E-3</v>
      </c>
      <c r="D60" s="398" t="s">
        <v>203</v>
      </c>
      <c r="E60"/>
      <c r="F60"/>
      <c r="G60"/>
      <c r="H60"/>
      <c r="I60"/>
      <c r="J60"/>
      <c r="N60" s="307">
        <f>INDEX($O$86:$O$90,MATCH($N$56,$C$97:$C$101,0))</f>
        <v>0</v>
      </c>
      <c r="O60" s="121"/>
    </row>
    <row r="61" spans="2:15" s="92" customFormat="1" ht="35.15" customHeight="1" x14ac:dyDescent="0.45">
      <c r="B61" s="399" t="s">
        <v>772</v>
      </c>
      <c r="C61" s="125">
        <f>$I$102</f>
        <v>1E-3</v>
      </c>
      <c r="D61" s="398" t="s">
        <v>203</v>
      </c>
      <c r="E61"/>
      <c r="F61"/>
      <c r="G61"/>
      <c r="H61"/>
      <c r="I61"/>
      <c r="J61"/>
      <c r="N61" s="307">
        <f>INDEX($P$86:$P$90,MATCH($N$56,$C$97:$C$101,0))</f>
        <v>1E-3</v>
      </c>
      <c r="O61" s="121"/>
    </row>
    <row r="62" spans="2:15" s="92" customFormat="1" ht="19.3" customHeight="1" x14ac:dyDescent="0.45">
      <c r="B62" s="400" t="s">
        <v>204</v>
      </c>
      <c r="C62" s="125">
        <f>SUM(C58:C61)</f>
        <v>1</v>
      </c>
      <c r="D62" s="401"/>
      <c r="E62"/>
      <c r="F62"/>
      <c r="G62"/>
      <c r="H62"/>
      <c r="I62"/>
      <c r="J62"/>
      <c r="N62" s="307"/>
      <c r="O62" s="121"/>
    </row>
    <row r="63" spans="2:15" s="92" customFormat="1" ht="19.3" customHeight="1" x14ac:dyDescent="0.45">
      <c r="B63" s="402" t="s">
        <v>205</v>
      </c>
      <c r="C63" s="126">
        <f>1.18</f>
        <v>1.18</v>
      </c>
      <c r="D63" s="403" t="s">
        <v>206</v>
      </c>
      <c r="E63"/>
      <c r="F63"/>
      <c r="G63"/>
      <c r="H63"/>
      <c r="I63"/>
      <c r="J63"/>
      <c r="N63" s="307"/>
      <c r="O63" s="121"/>
    </row>
    <row r="64" spans="2:15" s="92" customFormat="1" x14ac:dyDescent="0.45">
      <c r="B64" s="404"/>
      <c r="D64" s="405"/>
      <c r="N64" s="307"/>
      <c r="O64" s="121"/>
    </row>
    <row r="65" spans="2:14" s="92" customFormat="1" ht="19.3" customHeight="1" x14ac:dyDescent="0.45">
      <c r="B65" s="380" t="s">
        <v>207</v>
      </c>
      <c r="C65" s="390" t="s">
        <v>757</v>
      </c>
      <c r="D65" s="391" t="s">
        <v>151</v>
      </c>
      <c r="H65"/>
      <c r="N65" s="307"/>
    </row>
    <row r="66" spans="2:14" s="92" customFormat="1" ht="19.3" customHeight="1" x14ac:dyDescent="0.45">
      <c r="B66" s="396" t="s">
        <v>208</v>
      </c>
      <c r="C66" s="97">
        <v>9.6111109999999993</v>
      </c>
      <c r="D66" s="393" t="s">
        <v>209</v>
      </c>
      <c r="H66"/>
      <c r="N66" s="490"/>
    </row>
    <row r="67" spans="2:14" s="92" customFormat="1" ht="19.3" customHeight="1" x14ac:dyDescent="0.45">
      <c r="B67" s="397" t="s">
        <v>210</v>
      </c>
      <c r="C67" s="98">
        <v>6.5</v>
      </c>
      <c r="D67" s="398" t="s">
        <v>209</v>
      </c>
      <c r="N67" s="490"/>
    </row>
    <row r="68" spans="2:14" s="92" customFormat="1" ht="19.3" customHeight="1" x14ac:dyDescent="0.45">
      <c r="B68" s="397" t="s">
        <v>211</v>
      </c>
      <c r="C68" s="99">
        <v>300</v>
      </c>
      <c r="D68" s="398" t="s">
        <v>212</v>
      </c>
      <c r="N68" s="490"/>
    </row>
    <row r="69" spans="2:14" s="92" customFormat="1" ht="19.3" customHeight="1" x14ac:dyDescent="0.45">
      <c r="B69" s="397" t="s">
        <v>213</v>
      </c>
      <c r="C69" s="99">
        <v>400</v>
      </c>
      <c r="D69" s="398" t="s">
        <v>212</v>
      </c>
      <c r="N69" s="490"/>
    </row>
    <row r="70" spans="2:14" s="92" customFormat="1" ht="19.3" customHeight="1" thickBot="1" x14ac:dyDescent="0.5">
      <c r="B70" s="406" t="s">
        <v>758</v>
      </c>
      <c r="C70" s="407">
        <v>1500</v>
      </c>
      <c r="D70" s="504" t="s">
        <v>212</v>
      </c>
      <c r="E70"/>
      <c r="F70"/>
      <c r="G70"/>
      <c r="H70"/>
      <c r="I70"/>
      <c r="J70"/>
      <c r="L70" s="100"/>
      <c r="N70" s="490"/>
    </row>
    <row r="71" spans="2:14" ht="27" customHeight="1" x14ac:dyDescent="0.35">
      <c r="N71" s="16"/>
    </row>
    <row r="72" spans="2:14" x14ac:dyDescent="0.35">
      <c r="B72" s="471"/>
      <c r="N72" s="16"/>
    </row>
    <row r="73" spans="2:14" x14ac:dyDescent="0.35">
      <c r="N73" s="16"/>
    </row>
    <row r="74" spans="2:14" x14ac:dyDescent="0.35">
      <c r="N74" s="16"/>
    </row>
    <row r="75" spans="2:14" x14ac:dyDescent="0.35">
      <c r="N75" s="16"/>
    </row>
    <row r="76" spans="2:14" x14ac:dyDescent="0.35">
      <c r="N76" s="16"/>
    </row>
    <row r="77" spans="2:14" x14ac:dyDescent="0.35">
      <c r="N77" s="16"/>
    </row>
    <row r="78" spans="2:14" x14ac:dyDescent="0.35">
      <c r="M78" s="16"/>
      <c r="N78" s="16"/>
    </row>
    <row r="79" spans="2:14" x14ac:dyDescent="0.35">
      <c r="M79" s="16"/>
      <c r="N79" s="16"/>
    </row>
    <row r="80" spans="2:14" x14ac:dyDescent="0.35">
      <c r="M80" s="16"/>
      <c r="N80" s="16"/>
    </row>
    <row r="81" spans="3:16" ht="11.25" customHeight="1" x14ac:dyDescent="0.35">
      <c r="M81" s="16"/>
      <c r="N81" s="16"/>
    </row>
    <row r="82" spans="3:16" x14ac:dyDescent="0.35">
      <c r="M82" s="16"/>
      <c r="N82" s="16"/>
    </row>
    <row r="83" spans="3:16" x14ac:dyDescent="0.35">
      <c r="M83" s="16"/>
      <c r="N83" s="16"/>
    </row>
    <row r="84" spans="3:16" x14ac:dyDescent="0.35">
      <c r="K84" s="16"/>
      <c r="L84" s="16"/>
      <c r="M84" s="16"/>
      <c r="N84" s="16"/>
      <c r="O84" s="16"/>
    </row>
    <row r="85" spans="3:16" x14ac:dyDescent="0.35">
      <c r="K85" s="16"/>
      <c r="L85" s="16"/>
      <c r="M85" s="16"/>
      <c r="N85" s="16"/>
      <c r="O85" s="16"/>
    </row>
    <row r="86" spans="3:16" ht="16.75" x14ac:dyDescent="0.5">
      <c r="K86" s="16"/>
      <c r="L86" s="16" t="s">
        <v>214</v>
      </c>
      <c r="M86" s="16"/>
      <c r="N86" s="16"/>
      <c r="O86" s="16"/>
      <c r="P86" s="127" t="s">
        <v>217</v>
      </c>
    </row>
    <row r="87" spans="3:16" x14ac:dyDescent="0.35">
      <c r="K87" s="16"/>
      <c r="L87" s="16" t="s">
        <v>218</v>
      </c>
      <c r="M87" s="16"/>
      <c r="N87" s="16"/>
      <c r="O87" s="16"/>
      <c r="P87" s="129">
        <v>1E-3</v>
      </c>
    </row>
    <row r="88" spans="3:16" x14ac:dyDescent="0.35">
      <c r="K88" s="16"/>
      <c r="L88" s="16" t="s">
        <v>219</v>
      </c>
      <c r="M88" s="16"/>
      <c r="N88" s="16"/>
      <c r="O88" s="16"/>
      <c r="P88" s="129">
        <v>5.0000000000000001E-3</v>
      </c>
    </row>
    <row r="89" spans="3:16" x14ac:dyDescent="0.35">
      <c r="K89" s="16"/>
      <c r="L89" s="16" t="s">
        <v>220</v>
      </c>
      <c r="M89" s="16"/>
      <c r="N89" s="16"/>
      <c r="O89" s="16"/>
      <c r="P89" s="129">
        <v>0.01</v>
      </c>
    </row>
    <row r="90" spans="3:16" x14ac:dyDescent="0.35">
      <c r="K90" s="16"/>
      <c r="L90" s="16" t="s">
        <v>221</v>
      </c>
      <c r="M90" s="16"/>
      <c r="N90" s="16"/>
      <c r="O90" s="16"/>
      <c r="P90" s="129">
        <v>0.01</v>
      </c>
    </row>
    <row r="91" spans="3:16" x14ac:dyDescent="0.35">
      <c r="K91" s="16"/>
      <c r="L91" s="16"/>
      <c r="M91" s="16"/>
      <c r="N91" s="16"/>
      <c r="O91" s="16"/>
    </row>
    <row r="92" spans="3:16" x14ac:dyDescent="0.35">
      <c r="K92" s="16"/>
      <c r="L92" s="16"/>
      <c r="M92" s="16"/>
      <c r="N92" s="16"/>
      <c r="O92" s="16"/>
    </row>
    <row r="93" spans="3:16" x14ac:dyDescent="0.35">
      <c r="N93" s="16"/>
    </row>
    <row r="94" spans="3:16" x14ac:dyDescent="0.35">
      <c r="N94" s="16"/>
    </row>
    <row r="95" spans="3:16" x14ac:dyDescent="0.35">
      <c r="N95" s="16"/>
    </row>
    <row r="96" spans="3:16" ht="15.75" hidden="1" customHeight="1" x14ac:dyDescent="0.4">
      <c r="C96" s="578" t="s">
        <v>222</v>
      </c>
      <c r="D96" s="578"/>
      <c r="E96" s="578"/>
      <c r="F96" s="578"/>
      <c r="G96" s="578"/>
      <c r="I96" s="552" t="s">
        <v>756</v>
      </c>
      <c r="N96" s="16"/>
    </row>
    <row r="97" spans="2:14" hidden="1" x14ac:dyDescent="0.35">
      <c r="C97" s="549" t="s">
        <v>214</v>
      </c>
      <c r="D97" s="550" t="s">
        <v>218</v>
      </c>
      <c r="E97" s="550" t="s">
        <v>219</v>
      </c>
      <c r="F97" s="550" t="s">
        <v>220</v>
      </c>
      <c r="G97" s="550" t="s">
        <v>221</v>
      </c>
      <c r="I97" s="553" t="str">
        <f>IFERROR(IF(SUM(TotalProtein+TotalFats)&lt;5%,$D$97,IF(SUM(TotalProtein+TotalFats)&gt;50%,$E$97,IF(SUM(TotalProtein+TotalFats)&gt;66%,$F$97,IF(TotalSugar&lt;5%,$G$97,$D$97)))),"")</f>
        <v>Mostly Sugars &amp; Starches</v>
      </c>
      <c r="N97" s="16"/>
    </row>
    <row r="98" spans="2:14" hidden="1" x14ac:dyDescent="0.35">
      <c r="C98" s="551" t="s">
        <v>215</v>
      </c>
      <c r="D98" s="128">
        <v>0.499</v>
      </c>
      <c r="E98" s="128">
        <v>0.54500000000000004</v>
      </c>
      <c r="F98" s="129">
        <v>0.59</v>
      </c>
      <c r="G98" s="129">
        <v>0.68</v>
      </c>
      <c r="I98" s="554"/>
      <c r="N98" s="16"/>
    </row>
    <row r="99" spans="2:14" hidden="1" x14ac:dyDescent="0.35">
      <c r="C99" s="551" t="s">
        <v>216</v>
      </c>
      <c r="D99" s="128">
        <v>0.499</v>
      </c>
      <c r="E99" s="128">
        <v>0.44500000000000001</v>
      </c>
      <c r="F99" s="129">
        <v>0.39</v>
      </c>
      <c r="G99" s="129">
        <v>0.28999999999999998</v>
      </c>
      <c r="I99" s="555">
        <f>IFERROR(HLOOKUP($C$56,$C$97:$G$101,2,FALSE),"-")</f>
        <v>0.499</v>
      </c>
      <c r="J99" s="1">
        <f>MATCH(I97,D97:G97,0)</f>
        <v>1</v>
      </c>
      <c r="N99" s="16"/>
    </row>
    <row r="100" spans="2:14" ht="18.75" hidden="1" customHeight="1" x14ac:dyDescent="0.5">
      <c r="C100" s="551" t="s">
        <v>754</v>
      </c>
      <c r="D100" s="128">
        <v>1E-3</v>
      </c>
      <c r="E100" s="128">
        <v>5.0000000000000001E-3</v>
      </c>
      <c r="F100" s="129">
        <v>0.01</v>
      </c>
      <c r="G100" s="129">
        <v>0.02</v>
      </c>
      <c r="I100" s="555">
        <f>IFERROR(HLOOKUP($C$56,$C$97:$G$101,3,FALSE),"-")</f>
        <v>0.499</v>
      </c>
      <c r="N100" s="16"/>
    </row>
    <row r="101" spans="2:14" ht="18.75" hidden="1" customHeight="1" x14ac:dyDescent="0.5">
      <c r="C101" s="551" t="s">
        <v>755</v>
      </c>
      <c r="D101" s="128">
        <v>1E-3</v>
      </c>
      <c r="E101" s="128">
        <v>5.0000000000000001E-3</v>
      </c>
      <c r="F101" s="129">
        <v>0.01</v>
      </c>
      <c r="G101" s="129">
        <v>0.01</v>
      </c>
      <c r="I101" s="555">
        <f>IFERROR(HLOOKUP($C$56,$C$97:$G$101,4,FALSE),"-")</f>
        <v>1E-3</v>
      </c>
      <c r="N101" s="16"/>
    </row>
    <row r="102" spans="2:14" hidden="1" x14ac:dyDescent="0.35">
      <c r="B102" s="130"/>
      <c r="I102" s="556">
        <f>IFERROR(HLOOKUP($C$56,$C$97:$G$101,5,FALSE),"-")</f>
        <v>1E-3</v>
      </c>
      <c r="N102" s="16"/>
    </row>
    <row r="103" spans="2:14" ht="14.25" hidden="1" customHeight="1" x14ac:dyDescent="0.35">
      <c r="B103" s="5"/>
      <c r="N103" s="16"/>
    </row>
    <row r="104" spans="2:14" hidden="1" x14ac:dyDescent="0.35">
      <c r="B104" s="5"/>
      <c r="N104" s="16"/>
    </row>
    <row r="105" spans="2:14" hidden="1" x14ac:dyDescent="0.35">
      <c r="B105" s="5"/>
      <c r="N105" s="16"/>
    </row>
    <row r="106" spans="2:14" hidden="1" x14ac:dyDescent="0.35">
      <c r="B106" s="5"/>
      <c r="N106" s="16"/>
    </row>
    <row r="107" spans="2:14" hidden="1" x14ac:dyDescent="0.35">
      <c r="B107" s="5"/>
      <c r="N107" s="16"/>
    </row>
    <row r="108" spans="2:14" hidden="1" x14ac:dyDescent="0.35">
      <c r="B108" s="5"/>
      <c r="N108" s="16"/>
    </row>
    <row r="109" spans="2:14" hidden="1" x14ac:dyDescent="0.35">
      <c r="B109" s="5"/>
      <c r="N109" s="16"/>
    </row>
    <row r="110" spans="2:14" hidden="1" x14ac:dyDescent="0.35">
      <c r="B110" s="5"/>
      <c r="N110" s="16"/>
    </row>
    <row r="111" spans="2:14" hidden="1" x14ac:dyDescent="0.35">
      <c r="B111" s="5"/>
      <c r="N111" s="16"/>
    </row>
    <row r="112" spans="2:14" hidden="1" x14ac:dyDescent="0.35">
      <c r="B112" s="5"/>
      <c r="N112" s="16"/>
    </row>
    <row r="113" spans="2:15" hidden="1" x14ac:dyDescent="0.35">
      <c r="B113" s="5"/>
      <c r="N113" s="16"/>
    </row>
    <row r="114" spans="2:15" hidden="1" x14ac:dyDescent="0.35">
      <c r="B114" s="5"/>
      <c r="N114" s="16"/>
    </row>
    <row r="115" spans="2:15" ht="17.25" hidden="1" customHeight="1" thickBot="1" x14ac:dyDescent="0.45">
      <c r="B115" s="131" t="s">
        <v>223</v>
      </c>
      <c r="N115" s="16"/>
    </row>
    <row r="116" spans="2:15" hidden="1" x14ac:dyDescent="0.35">
      <c r="B116" s="132" t="s">
        <v>107</v>
      </c>
      <c r="C116" s="344">
        <f t="shared" ref="C116:C130" si="18">BE17</f>
        <v>19624.657879999999</v>
      </c>
      <c r="D116" s="133"/>
      <c r="E116" s="133"/>
      <c r="F116" s="134">
        <f>IFERROR(VLOOKUP(B116,'9-Feedstock Characteristics'!$A$8:$W$127,2,FALSE),"-")</f>
        <v>0.75</v>
      </c>
      <c r="G116" s="135">
        <f>IFERROR(VLOOKUP(B116,'9-Feedstock Characteristics'!$A$8:$W$127,3,FALSE),"-")</f>
        <v>0.25</v>
      </c>
      <c r="H116" s="135">
        <f>IFERROR(VLOOKUP(B116,'9-Feedstock Characteristics'!$A$8:$W$127,7,FALSE),"-")</f>
        <v>0.18333333333333332</v>
      </c>
      <c r="I116" s="135">
        <f>IFERROR(VLOOKUP(B116,'9-Feedstock Characteristics'!$A$8:$W$127,8,FALSE),"-")</f>
        <v>6.666666666666668E-2</v>
      </c>
      <c r="J116" s="135">
        <f>IFERROR(VLOOKUP(B116,'9-Feedstock Characteristics'!$A$8:$W$127,12,FALSE)/(1-F116),"-")</f>
        <v>7.3333333333333334E-2</v>
      </c>
      <c r="K116" s="135">
        <f>IFERROR((H116/(1-F116))*0.55,"")</f>
        <v>0.40333333333333332</v>
      </c>
      <c r="L116" s="135" t="e">
        <f>IF(C116=0,"-",IF(ReactorType="Dry",VLOOKUP(B116,'9-Feedstock Characteristics'!$A$8:$W$127,18,FALSE),VLOOKUP(B116,'9-Feedstock Characteristics'!$A$8:$W$127,18,FALSE)*((C116/(DensityofWater*VLOOKUP(B116,'9-Feedstock Characteristics'!$A$8:$W$127,19,FALSE)))/Chosen_Reactor_Volume)+DensityofWater*((Chosen_Reactor_Volume-(C116/(DensityofWater*VLOOKUP(B116,'9-Feedstock Characteristics'!$A$8:$W$127,19,FALSE))))/Chosen_Reactor_Volume)))</f>
        <v>#DIV/0!</v>
      </c>
      <c r="M116" s="135">
        <f>IFERROR(VLOOKUP(B116,'9-Feedstock Characteristics'!$A$8:$W$127,15,FALSE),"-")</f>
        <v>0.13100000000000001</v>
      </c>
      <c r="N116" s="491">
        <f>IFERROR(VLOOKUP(B116,'9-Feedstock Characteristics'!$A$8:$W$127,14,FALSE),"-")</f>
        <v>2.7900000000000001E-2</v>
      </c>
      <c r="O116" s="136">
        <f>IFERROR(VLOOKUP(B116,'9-Feedstock Characteristics'!$A$8:$W$127,13,FALSE),"-")</f>
        <v>0.77443333333333331</v>
      </c>
    </row>
    <row r="117" spans="2:15" hidden="1" x14ac:dyDescent="0.35">
      <c r="B117" s="137" t="s">
        <v>49</v>
      </c>
      <c r="C117" s="1">
        <f t="shared" si="18"/>
        <v>298.46353599999998</v>
      </c>
      <c r="F117" s="138">
        <f>IFERROR(VLOOKUP(B117,'9-Feedstock Characteristics'!$A$8:$W$127,2,FALSE),"-")</f>
        <v>0.74</v>
      </c>
      <c r="G117" s="139">
        <f>IFERROR(VLOOKUP(B117,'9-Feedstock Characteristics'!$A$8:$W$127,3,FALSE),"-")</f>
        <v>0.26</v>
      </c>
      <c r="H117" s="139">
        <f>IFERROR(VLOOKUP(B117,'9-Feedstock Characteristics'!$A$8:$W$127,7,FALSE),"-")</f>
        <v>0.2009090909090909</v>
      </c>
      <c r="I117" s="139">
        <f>IFERROR(VLOOKUP(B117,'9-Feedstock Characteristics'!$A$8:$W$127,8,FALSE),"-")</f>
        <v>5.9090909090909111E-2</v>
      </c>
      <c r="J117" s="139">
        <f>IFERROR(VLOOKUP(B117,'9-Feedstock Characteristics'!$A$8:$W$127,12,FALSE)/(1-F117),"-")</f>
        <v>4.3636363636363633E-2</v>
      </c>
      <c r="K117" s="139">
        <f t="shared" ref="K117:K130" si="19">IFERROR((H117/(1-F117))*0.55,"")</f>
        <v>0.42500000000000004</v>
      </c>
      <c r="L117" s="139" t="e">
        <f>IF(C117=0,"-",IF(ReactorType="Dry",VLOOKUP(B117,'9-Feedstock Characteristics'!$A$8:$W$127,18,FALSE),VLOOKUP(B117,'9-Feedstock Characteristics'!$A$8:$W$127,18,FALSE)*((C117/(DensityofWater*VLOOKUP(B117,'9-Feedstock Characteristics'!$A$8:$W$127,19,FALSE)))/Chosen_Reactor_Volume)+DensityofWater*((Chosen_Reactor_Volume-(C117/(DensityofWater*VLOOKUP(B117,'9-Feedstock Characteristics'!$A$8:$W$127,19,FALSE))))/Chosen_Reactor_Volume)))</f>
        <v>#DIV/0!</v>
      </c>
      <c r="M117" s="139">
        <f>IFERROR(VLOOKUP(B117,'9-Feedstock Characteristics'!$A$8:$W$127,15,FALSE),"-")</f>
        <v>0.13100000000000001</v>
      </c>
      <c r="N117" s="492">
        <f>IFERROR(VLOOKUP(B117,'9-Feedstock Characteristics'!$A$8:$W$127,14,FALSE),"-")</f>
        <v>2.7900000000000001E-2</v>
      </c>
      <c r="O117" s="140">
        <f>IFERROR(VLOOKUP(B117,'9-Feedstock Characteristics'!$A$8:$W$127,13,FALSE),"-")</f>
        <v>0.78200909090909088</v>
      </c>
    </row>
    <row r="118" spans="2:15" hidden="1" x14ac:dyDescent="0.35">
      <c r="B118" s="137" t="s">
        <v>224</v>
      </c>
      <c r="C118" s="1">
        <f t="shared" si="18"/>
        <v>158.75719999999998</v>
      </c>
      <c r="F118" s="138">
        <f>IFERROR(VLOOKUP(B118,'9-Feedstock Characteristics'!$A$8:$W$127,2,FALSE),"-")</f>
        <v>0.74</v>
      </c>
      <c r="G118" s="139">
        <f>IFERROR(VLOOKUP(B118,'9-Feedstock Characteristics'!$A$8:$W$127,3,FALSE),"-")</f>
        <v>0.26</v>
      </c>
      <c r="H118" s="139">
        <f>IFERROR(VLOOKUP(B118,'9-Feedstock Characteristics'!$A$8:$W$127,7,FALSE),"-")</f>
        <v>0.20977272727272728</v>
      </c>
      <c r="I118" s="139">
        <f>IFERROR(VLOOKUP(B118,'9-Feedstock Characteristics'!$A$8:$W$127,8,FALSE),"-")</f>
        <v>5.0227272727272732E-2</v>
      </c>
      <c r="J118" s="139">
        <f>IFERROR(VLOOKUP(B118,'9-Feedstock Characteristics'!$A$8:$W$127,12,FALSE)/(1-F118),"-")</f>
        <v>6.0227272727272733E-2</v>
      </c>
      <c r="K118" s="139">
        <f t="shared" si="19"/>
        <v>0.44375000000000003</v>
      </c>
      <c r="L118" s="139" t="e">
        <f>IF(C118=0,"-",IF(ReactorType="Dry",VLOOKUP(B118,'9-Feedstock Characteristics'!$A$8:$W$127,18,FALSE),VLOOKUP(B118,'9-Feedstock Characteristics'!$A$8:$W$127,18,FALSE)*((C118/(DensityofWater*VLOOKUP(B118,'9-Feedstock Characteristics'!$A$8:$W$127,19,FALSE)))/Chosen_Reactor_Volume)+DensityofWater*((Chosen_Reactor_Volume-(C118/(DensityofWater*VLOOKUP(B118,'9-Feedstock Characteristics'!$A$8:$W$127,19,FALSE))))/Chosen_Reactor_Volume)))</f>
        <v>#DIV/0!</v>
      </c>
      <c r="M118" s="139">
        <f>IFERROR(VLOOKUP(B118,'9-Feedstock Characteristics'!$A$8:$W$127,15,FALSE),"-")</f>
        <v>0.13100000000000001</v>
      </c>
      <c r="N118" s="492">
        <f>IFERROR(VLOOKUP(B118,'9-Feedstock Characteristics'!$A$8:$W$127,14,FALSE),"-")</f>
        <v>2.7900000000000001E-2</v>
      </c>
      <c r="O118" s="140">
        <f>IFERROR(VLOOKUP(B118,'9-Feedstock Characteristics'!$A$8:$W$127,13,FALSE),"-")</f>
        <v>0.79087272727272717</v>
      </c>
    </row>
    <row r="119" spans="2:15" hidden="1" x14ac:dyDescent="0.35">
      <c r="B119" s="137" t="s">
        <v>225</v>
      </c>
      <c r="C119" s="1">
        <f t="shared" si="18"/>
        <v>0</v>
      </c>
      <c r="F119" s="138">
        <f>IFERROR(VLOOKUP(B119,'9-Feedstock Characteristics'!$A$8:$W$127,2,FALSE),"-")</f>
        <v>0.74</v>
      </c>
      <c r="G119" s="139">
        <f>IFERROR(VLOOKUP(B119,'9-Feedstock Characteristics'!$A$8:$W$127,3,FALSE),"-")</f>
        <v>0.26</v>
      </c>
      <c r="H119" s="139">
        <f>IFERROR(VLOOKUP(B119,'9-Feedstock Characteristics'!$A$8:$W$127,7,FALSE),"-")</f>
        <v>0.21233333333333337</v>
      </c>
      <c r="I119" s="139">
        <f>IFERROR(VLOOKUP(B119,'9-Feedstock Characteristics'!$A$8:$W$127,8,FALSE),"-")</f>
        <v>4.7666666666666635E-2</v>
      </c>
      <c r="J119" s="139">
        <f>IFERROR(VLOOKUP(B119,'9-Feedstock Characteristics'!$A$8:$W$127,12,FALSE)/(1-F119),"-")</f>
        <v>0.06</v>
      </c>
      <c r="K119" s="139">
        <f t="shared" si="19"/>
        <v>0.44916666666666677</v>
      </c>
      <c r="L119" s="139" t="str">
        <f>IF(C119=0,"-",IF(ReactorType="Dry",VLOOKUP(B119,'9-Feedstock Characteristics'!$A$8:$W$127,18,FALSE),VLOOKUP(B119,'9-Feedstock Characteristics'!$A$8:$W$127,18,FALSE)*((C119/(DensityofWater*VLOOKUP(B119,'9-Feedstock Characteristics'!$A$8:$W$127,19,FALSE)))/Chosen_Reactor_Volume)+DensityofWater*((Chosen_Reactor_Volume-(C119/(DensityofWater*VLOOKUP(B119,'9-Feedstock Characteristics'!$A$8:$W$127,19,FALSE))))/Chosen_Reactor_Volume)))</f>
        <v>-</v>
      </c>
      <c r="M119" s="139">
        <f>IFERROR(VLOOKUP(B119,'9-Feedstock Characteristics'!$A$8:$W$127,15,FALSE),"-")</f>
        <v>0.13100000000000001</v>
      </c>
      <c r="N119" s="492">
        <f>IFERROR(VLOOKUP(B119,'9-Feedstock Characteristics'!$A$8:$W$127,14,FALSE),"-")</f>
        <v>2.7900000000000001E-2</v>
      </c>
      <c r="O119" s="140">
        <f>IFERROR(VLOOKUP(B119,'9-Feedstock Characteristics'!$A$8:$W$127,13,FALSE),"-")</f>
        <v>0.79343333333333332</v>
      </c>
    </row>
    <row r="120" spans="2:15" hidden="1" x14ac:dyDescent="0.35">
      <c r="B120" s="137" t="s">
        <v>87</v>
      </c>
      <c r="C120" s="1">
        <f t="shared" si="18"/>
        <v>0</v>
      </c>
      <c r="F120" s="138">
        <f>IFERROR(VLOOKUP(B120,'9-Feedstock Characteristics'!$A$8:$W$127,2,FALSE),"-")</f>
        <v>0.74</v>
      </c>
      <c r="G120" s="139">
        <f>IFERROR(VLOOKUP(B120,'9-Feedstock Characteristics'!$A$8:$W$127,3,FALSE),"-")</f>
        <v>0.26</v>
      </c>
      <c r="H120" s="139">
        <f>IFERROR(VLOOKUP(B120,'9-Feedstock Characteristics'!$A$8:$W$127,7,FALSE),"-")</f>
        <v>0.15407407407407406</v>
      </c>
      <c r="I120" s="139">
        <f>IFERROR(VLOOKUP(B120,'9-Feedstock Characteristics'!$A$8:$W$127,8,FALSE),"-")</f>
        <v>0.10592592592592595</v>
      </c>
      <c r="J120" s="139">
        <f>IFERROR(VLOOKUP(B120,'9-Feedstock Characteristics'!$A$8:$W$127,12,FALSE)/(1-F120),"-")</f>
        <v>3.7037037037037035E-2</v>
      </c>
      <c r="K120" s="139">
        <f t="shared" si="19"/>
        <v>0.32592592592592595</v>
      </c>
      <c r="L120" s="139" t="str">
        <f>IF(C120=0,"-",IF(ReactorType="Dry",VLOOKUP(B120,'9-Feedstock Characteristics'!$A$8:$W$127,18,FALSE),VLOOKUP(B120,'9-Feedstock Characteristics'!$A$8:$W$127,18,FALSE)*((C120/(DensityofWater*VLOOKUP(B120,'9-Feedstock Characteristics'!$A$8:$W$127,19,FALSE)))/Chosen_Reactor_Volume)+DensityofWater*((Chosen_Reactor_Volume-(C120/(DensityofWater*VLOOKUP(B120,'9-Feedstock Characteristics'!$A$8:$W$127,19,FALSE))))/Chosen_Reactor_Volume)))</f>
        <v>-</v>
      </c>
      <c r="M120" s="139">
        <f>IFERROR(VLOOKUP(B120,'9-Feedstock Characteristics'!$A$8:$W$127,15,FALSE),"-")</f>
        <v>0.13100000000000001</v>
      </c>
      <c r="N120" s="492">
        <f>IFERROR(VLOOKUP(B120,'9-Feedstock Characteristics'!$A$8:$W$127,14,FALSE),"-")</f>
        <v>2.7900000000000001E-2</v>
      </c>
      <c r="O120" s="140">
        <f>IFERROR(VLOOKUP(B120,'9-Feedstock Characteristics'!$A$8:$W$127,13,FALSE),"-")</f>
        <v>0.73517407407407398</v>
      </c>
    </row>
    <row r="121" spans="2:15" hidden="1" x14ac:dyDescent="0.35">
      <c r="B121" s="137" t="s">
        <v>226</v>
      </c>
      <c r="C121" s="1">
        <f t="shared" si="18"/>
        <v>0</v>
      </c>
      <c r="F121" s="138" t="str">
        <f>IFERROR(VLOOKUP(B121,'9-Feedstock Characteristics'!$A$8:$W$127,2,FALSE),"-")</f>
        <v>-</v>
      </c>
      <c r="G121" s="139" t="str">
        <f>IFERROR(VLOOKUP(B121,'9-Feedstock Characteristics'!$A$8:$W$127,3,FALSE),"-")</f>
        <v>-</v>
      </c>
      <c r="H121" s="139" t="str">
        <f>IFERROR(VLOOKUP(B121,'9-Feedstock Characteristics'!$A$8:$W$127,7,FALSE),"-")</f>
        <v>-</v>
      </c>
      <c r="I121" s="139" t="str">
        <f>IFERROR(VLOOKUP(B121,'9-Feedstock Characteristics'!$A$8:$W$127,8,FALSE),"-")</f>
        <v>-</v>
      </c>
      <c r="J121" s="139" t="str">
        <f>IFERROR(VLOOKUP(B121,'9-Feedstock Characteristics'!$A$8:$W$127,12,FALSE)/(1-F121),"-")</f>
        <v>-</v>
      </c>
      <c r="K121" s="139" t="str">
        <f t="shared" si="19"/>
        <v/>
      </c>
      <c r="L121" s="139" t="str">
        <f>IF(C121=0,"-",IF(ReactorType="Dry",VLOOKUP(B121,'9-Feedstock Characteristics'!$A$8:$W$127,18,FALSE),VLOOKUP(B121,'9-Feedstock Characteristics'!$A$8:$W$127,18,FALSE)*((C121/(DensityofWater*VLOOKUP(B121,'9-Feedstock Characteristics'!$A$8:$W$127,19,FALSE)))/Chosen_Reactor_Volume)+DensityofWater*((Chosen_Reactor_Volume-(C121/(DensityofWater*VLOOKUP(B121,'9-Feedstock Characteristics'!$A$8:$W$127,19,FALSE))))/Chosen_Reactor_Volume)))</f>
        <v>-</v>
      </c>
      <c r="M121" s="139" t="str">
        <f>IFERROR(VLOOKUP(B121,'9-Feedstock Characteristics'!$A$8:$W$127,15,FALSE),"-")</f>
        <v>-</v>
      </c>
      <c r="N121" s="492" t="str">
        <f>IFERROR(VLOOKUP(B121,'9-Feedstock Characteristics'!$A$8:$W$127,14,FALSE),"-")</f>
        <v>-</v>
      </c>
      <c r="O121" s="140" t="str">
        <f>IFERROR(VLOOKUP(B121,'9-Feedstock Characteristics'!$A$8:$W$127,13,FALSE),"-")</f>
        <v>-</v>
      </c>
    </row>
    <row r="122" spans="2:15" hidden="1" x14ac:dyDescent="0.35">
      <c r="B122" s="137" t="s">
        <v>118</v>
      </c>
      <c r="C122" s="1">
        <f t="shared" si="18"/>
        <v>0</v>
      </c>
      <c r="F122" s="138">
        <f>IFERROR(VLOOKUP(B122,'9-Feedstock Characteristics'!$A$8:$W$127,2,FALSE),"-")</f>
        <v>0.98</v>
      </c>
      <c r="G122" s="139">
        <f>IFERROR(VLOOKUP(B122,'9-Feedstock Characteristics'!$A$8:$W$127,3,FALSE),"-")</f>
        <v>2.0000000000000018E-2</v>
      </c>
      <c r="H122" s="139">
        <f>IFERROR(VLOOKUP(B122,'9-Feedstock Characteristics'!$A$8:$W$127,7,FALSE),"-")</f>
        <v>1.1333333333333343E-2</v>
      </c>
      <c r="I122" s="139">
        <f>IFERROR(VLOOKUP(B122,'9-Feedstock Characteristics'!$A$8:$W$127,8,FALSE),"-")</f>
        <v>8.6666666666666749E-3</v>
      </c>
      <c r="J122" s="139">
        <f>IFERROR(VLOOKUP(B122,'9-Feedstock Characteristics'!$A$8:$W$127,12,FALSE)/(1-F122),"-")</f>
        <v>0.13333333333333333</v>
      </c>
      <c r="K122" s="139">
        <f t="shared" si="19"/>
        <v>0.3116666666666667</v>
      </c>
      <c r="L122" s="139" t="str">
        <f>IF(C122=0,"-",IF(ReactorType="Dry",VLOOKUP(B122,'9-Feedstock Characteristics'!$A$8:$W$127,18,FALSE),VLOOKUP(B122,'9-Feedstock Characteristics'!$A$8:$W$127,18,FALSE)*((C122/(DensityofWater*VLOOKUP(B122,'9-Feedstock Characteristics'!$A$8:$W$127,19,FALSE)))/Chosen_Reactor_Volume)+DensityofWater*((Chosen_Reactor_Volume-(C122/(DensityofWater*VLOOKUP(B122,'9-Feedstock Characteristics'!$A$8:$W$127,19,FALSE))))/Chosen_Reactor_Volume)))</f>
        <v>-</v>
      </c>
      <c r="M122" s="139">
        <f>IFERROR(VLOOKUP(B122,'9-Feedstock Characteristics'!$A$8:$W$127,15,FALSE),"-")</f>
        <v>8.5300000000000001E-2</v>
      </c>
      <c r="N122" s="492">
        <f>IFERROR(VLOOKUP(B122,'9-Feedstock Characteristics'!$A$8:$W$127,14,FALSE),"-")</f>
        <v>1.9400000000000001E-2</v>
      </c>
      <c r="O122" s="140">
        <f>IFERROR(VLOOKUP(B122,'9-Feedstock Characteristics'!$A$8:$W$127,13,FALSE),"-")</f>
        <v>0.88663333333333327</v>
      </c>
    </row>
    <row r="123" spans="2:15" hidden="1" x14ac:dyDescent="0.35">
      <c r="B123" s="137" t="s">
        <v>227</v>
      </c>
      <c r="C123" s="1">
        <f t="shared" si="18"/>
        <v>0</v>
      </c>
      <c r="F123" s="138" t="str">
        <f>IFERROR(VLOOKUP(B123,'9-Feedstock Characteristics'!$A$8:$W$127,2,FALSE),"-")</f>
        <v>-</v>
      </c>
      <c r="G123" s="139" t="str">
        <f>IFERROR(VLOOKUP(B123,'9-Feedstock Characteristics'!$A$8:$W$127,3,FALSE),"-")</f>
        <v>-</v>
      </c>
      <c r="H123" s="139" t="str">
        <f>IFERROR(VLOOKUP(B123,'9-Feedstock Characteristics'!$A$8:$W$127,7,FALSE),"-")</f>
        <v>-</v>
      </c>
      <c r="I123" s="139" t="str">
        <f>IFERROR(VLOOKUP(B123,'9-Feedstock Characteristics'!$A$8:$W$127,8,FALSE),"-")</f>
        <v>-</v>
      </c>
      <c r="J123" s="139" t="str">
        <f>IFERROR(VLOOKUP(B123,'9-Feedstock Characteristics'!$A$8:$W$127,12,FALSE)/(1-F123),"-")</f>
        <v>-</v>
      </c>
      <c r="K123" s="139" t="str">
        <f t="shared" si="19"/>
        <v/>
      </c>
      <c r="L123" s="139" t="str">
        <f>IF(C123=0,"-",IF(ReactorType="Dry",VLOOKUP(B123,'9-Feedstock Characteristics'!$A$8:$W$127,18,FALSE),VLOOKUP(B123,'9-Feedstock Characteristics'!$A$8:$W$127,18,FALSE)*((C123/(DensityofWater*VLOOKUP(B123,'9-Feedstock Characteristics'!$A$8:$W$127,19,FALSE)))/Chosen_Reactor_Volume)+DensityofWater*((Chosen_Reactor_Volume-(C123/(DensityofWater*VLOOKUP(B123,'9-Feedstock Characteristics'!$A$8:$W$127,19,FALSE))))/Chosen_Reactor_Volume)))</f>
        <v>-</v>
      </c>
      <c r="M123" s="139" t="str">
        <f>IFERROR(VLOOKUP(B123,'9-Feedstock Characteristics'!$A$8:$W$127,15,FALSE),"-")</f>
        <v>-</v>
      </c>
      <c r="N123" s="492" t="str">
        <f>IFERROR(VLOOKUP(B123,'9-Feedstock Characteristics'!$A$8:$W$127,14,FALSE),"-")</f>
        <v>-</v>
      </c>
      <c r="O123" s="140" t="str">
        <f>IFERROR(VLOOKUP(B123,'9-Feedstock Characteristics'!$A$8:$W$127,13,FALSE),"-")</f>
        <v>-</v>
      </c>
    </row>
    <row r="124" spans="2:15" hidden="1" x14ac:dyDescent="0.35">
      <c r="B124" s="137" t="s">
        <v>228</v>
      </c>
      <c r="C124" s="1">
        <f t="shared" si="18"/>
        <v>0</v>
      </c>
      <c r="F124" s="138" t="str">
        <f>IFERROR(VLOOKUP(B124,'9-Feedstock Characteristics'!$A$8:$W$127,2,FALSE),"-")</f>
        <v>-</v>
      </c>
      <c r="G124" s="139" t="str">
        <f>IFERROR(VLOOKUP(B124,'9-Feedstock Characteristics'!$A$8:$W$127,3,FALSE),"-")</f>
        <v>-</v>
      </c>
      <c r="H124" s="139" t="str">
        <f>IFERROR(VLOOKUP(B124,'9-Feedstock Characteristics'!$A$8:$W$127,7,FALSE),"-")</f>
        <v>-</v>
      </c>
      <c r="I124" s="139" t="str">
        <f>IFERROR(VLOOKUP(B124,'9-Feedstock Characteristics'!$A$8:$W$127,8,FALSE),"-")</f>
        <v>-</v>
      </c>
      <c r="J124" s="139" t="str">
        <f>IFERROR(VLOOKUP(B124,'9-Feedstock Characteristics'!$A$8:$W$127,12,FALSE)/(1-F124),"-")</f>
        <v>-</v>
      </c>
      <c r="K124" s="139" t="str">
        <f t="shared" si="19"/>
        <v/>
      </c>
      <c r="L124" s="139" t="str">
        <f>IF(C124=0,"-",IF(ReactorType="Dry",VLOOKUP(B124,'9-Feedstock Characteristics'!$A$8:$W$127,18,FALSE),VLOOKUP(B124,'9-Feedstock Characteristics'!$A$8:$W$127,18,FALSE)*((C124/(DensityofWater*VLOOKUP(B124,'9-Feedstock Characteristics'!$A$8:$W$127,19,FALSE)))/Chosen_Reactor_Volume)+DensityofWater*((Chosen_Reactor_Volume-(C124/(DensityofWater*VLOOKUP(B124,'9-Feedstock Characteristics'!$A$8:$W$127,19,FALSE))))/Chosen_Reactor_Volume)))</f>
        <v>-</v>
      </c>
      <c r="M124" s="139" t="str">
        <f>IFERROR(VLOOKUP(B124,'9-Feedstock Characteristics'!$A$8:$W$127,15,FALSE),"-")</f>
        <v>-</v>
      </c>
      <c r="N124" s="492" t="str">
        <f>IFERROR(VLOOKUP(B124,'9-Feedstock Characteristics'!$A$8:$W$127,14,FALSE),"-")</f>
        <v>-</v>
      </c>
      <c r="O124" s="140" t="str">
        <f>IFERROR(VLOOKUP(B124,'9-Feedstock Characteristics'!$A$8:$W$127,13,FALSE),"-")</f>
        <v>-</v>
      </c>
    </row>
    <row r="125" spans="2:15" hidden="1" x14ac:dyDescent="0.35">
      <c r="B125" s="137" t="s">
        <v>61</v>
      </c>
      <c r="C125" s="1">
        <f t="shared" si="18"/>
        <v>0</v>
      </c>
      <c r="F125" s="138">
        <f>IFERROR(VLOOKUP(B125,'9-Feedstock Characteristics'!$A$8:$W$127,2,FALSE),"-")</f>
        <v>0.38200000000000001</v>
      </c>
      <c r="G125" s="139">
        <f>IFERROR(VLOOKUP(B125,'9-Feedstock Characteristics'!$A$8:$W$127,3,FALSE),"-")</f>
        <v>0.61799999999999999</v>
      </c>
      <c r="H125" s="139">
        <f>IFERROR(VLOOKUP(B125,'9-Feedstock Characteristics'!$A$8:$W$127,7,FALSE),"-")</f>
        <v>0.55743600000000004</v>
      </c>
      <c r="I125" s="139">
        <f>IFERROR(VLOOKUP(B125,'9-Feedstock Characteristics'!$A$8:$W$127,8,FALSE),"-")</f>
        <v>6.0563999999999951E-2</v>
      </c>
      <c r="J125" s="139">
        <f>IFERROR(VLOOKUP(B125,'9-Feedstock Characteristics'!$A$8:$W$127,12,FALSE)/(1-F125),"-")</f>
        <v>1.4563106796116504E-2</v>
      </c>
      <c r="K125" s="139">
        <f t="shared" si="19"/>
        <v>0.49610000000000004</v>
      </c>
      <c r="L125" s="139" t="str">
        <f>IF(C125=0,"-",IF(ReactorType="Dry",VLOOKUP(B125,'9-Feedstock Characteristics'!$A$8:$W$127,18,FALSE),VLOOKUP(B125,'9-Feedstock Characteristics'!$A$8:$W$127,18,FALSE)*((C125/(DensityofWater*VLOOKUP(B125,'9-Feedstock Characteristics'!$A$8:$W$127,19,FALSE)))/Chosen_Reactor_Volume)+DensityofWater*((Chosen_Reactor_Volume-(C125/(DensityofWater*VLOOKUP(B125,'9-Feedstock Characteristics'!$A$8:$W$127,19,FALSE))))/Chosen_Reactor_Volume)))</f>
        <v>-</v>
      </c>
      <c r="M125" s="139">
        <f>IFERROR(VLOOKUP(B125,'9-Feedstock Characteristics'!$A$8:$W$127,15,FALSE),"-")</f>
        <v>8.6500000000000007E-2</v>
      </c>
      <c r="N125" s="492">
        <f>IFERROR(VLOOKUP(B125,'9-Feedstock Characteristics'!$A$8:$W$127,14,FALSE),"-")</f>
        <v>4.8500000000000001E-2</v>
      </c>
      <c r="O125" s="140">
        <f>IFERROR(VLOOKUP(B125,'9-Feedstock Characteristics'!$A$8:$W$127,13,FALSE),"-")</f>
        <v>0.80443600000000004</v>
      </c>
    </row>
    <row r="126" spans="2:15" ht="14.25" hidden="1" customHeight="1" x14ac:dyDescent="0.35">
      <c r="B126" s="137" t="s">
        <v>31</v>
      </c>
      <c r="C126" s="1">
        <f t="shared" si="18"/>
        <v>0</v>
      </c>
      <c r="F126" s="138">
        <f>IFERROR(VLOOKUP(B126,'9-Feedstock Characteristics'!$A$8:$W$127,2,FALSE),"-")</f>
        <v>0.57999999999999996</v>
      </c>
      <c r="G126" s="139">
        <f>IFERROR(VLOOKUP(B126,'9-Feedstock Characteristics'!$A$8:$W$127,3,FALSE),"-")</f>
        <v>0.42000000000000004</v>
      </c>
      <c r="H126" s="139">
        <f>IFERROR(VLOOKUP(B126,'9-Feedstock Characteristics'!$A$8:$W$127,7,FALSE),"-")</f>
        <v>0.38220000000000004</v>
      </c>
      <c r="I126" s="139">
        <f>IFERROR(VLOOKUP(B126,'9-Feedstock Characteristics'!$A$8:$W$127,8,FALSE),"-")</f>
        <v>3.78E-2</v>
      </c>
      <c r="J126" s="139">
        <f>IFERROR(VLOOKUP(B126,'9-Feedstock Characteristics'!$A$8:$W$127,12,FALSE)/(1-F126),"-")</f>
        <v>5.3571428571428562E-2</v>
      </c>
      <c r="K126" s="139">
        <f t="shared" si="19"/>
        <v>0.50050000000000006</v>
      </c>
      <c r="L126" s="139" t="str">
        <f>IF(C126=0,"-",IF(ReactorType="Dry",VLOOKUP(B126,'9-Feedstock Characteristics'!$A$8:$W$127,18,FALSE),VLOOKUP(B126,'9-Feedstock Characteristics'!$A$8:$W$127,18,FALSE)*((C126/(DensityofWater*VLOOKUP(B126,'9-Feedstock Characteristics'!$A$8:$W$127,19,FALSE)))/Chosen_Reactor_Volume)+DensityofWater*((Chosen_Reactor_Volume-(C126/(DensityofWater*VLOOKUP(B126,'9-Feedstock Characteristics'!$A$8:$W$127,19,FALSE))))/Chosen_Reactor_Volume)))</f>
        <v>-</v>
      </c>
      <c r="M126" s="139">
        <f>IFERROR(VLOOKUP(B126,'9-Feedstock Characteristics'!$A$8:$W$127,15,FALSE),"-")</f>
        <v>3.9899999999999998E-2</v>
      </c>
      <c r="N126" s="492">
        <f>IFERROR(VLOOKUP(B126,'9-Feedstock Characteristics'!$A$8:$W$127,14,FALSE),"-")</f>
        <v>6.8999999999999999E-3</v>
      </c>
      <c r="O126" s="140">
        <f>IFERROR(VLOOKUP(B126,'9-Feedstock Characteristics'!$A$8:$W$127,13,FALSE),"-")</f>
        <v>0.91539999999999999</v>
      </c>
    </row>
    <row r="127" spans="2:15" hidden="1" x14ac:dyDescent="0.35">
      <c r="B127" s="137" t="s">
        <v>229</v>
      </c>
      <c r="C127" s="1">
        <f t="shared" si="18"/>
        <v>0</v>
      </c>
      <c r="F127" s="138" t="str">
        <f>IFERROR(VLOOKUP(B127,'9-Feedstock Characteristics'!$A$8:$W$127,2,FALSE),"-")</f>
        <v>-</v>
      </c>
      <c r="G127" s="139" t="str">
        <f>IFERROR(VLOOKUP(B127,'9-Feedstock Characteristics'!$A$8:$W$127,3,FALSE),"-")</f>
        <v>-</v>
      </c>
      <c r="H127" s="139" t="str">
        <f>IFERROR(VLOOKUP(B127,'9-Feedstock Characteristics'!$A$8:$W$127,7,FALSE),"-")</f>
        <v>-</v>
      </c>
      <c r="I127" s="139" t="str">
        <f>IFERROR(VLOOKUP(B127,'9-Feedstock Characteristics'!$A$8:$W$127,8,FALSE),"-")</f>
        <v>-</v>
      </c>
      <c r="J127" s="139" t="str">
        <f>IFERROR(VLOOKUP(B127,'9-Feedstock Characteristics'!$A$8:$W$127,12,FALSE)/(1-F127),"-")</f>
        <v>-</v>
      </c>
      <c r="K127" s="139" t="str">
        <f t="shared" si="19"/>
        <v/>
      </c>
      <c r="L127" s="139" t="str">
        <f>IF(C127=0,"-",IF(ReactorType="Dry",VLOOKUP(B127,'9-Feedstock Characteristics'!$A$8:$W$127,18,FALSE),VLOOKUP(B127,'9-Feedstock Characteristics'!$A$8:$W$127,18,FALSE)*((C127/(DensityofWater*VLOOKUP(B127,'9-Feedstock Characteristics'!$A$8:$W$127,19,FALSE)))/Chosen_Reactor_Volume)+DensityofWater*((Chosen_Reactor_Volume-(C127/(DensityofWater*VLOOKUP(B127,'9-Feedstock Characteristics'!$A$8:$W$127,19,FALSE))))/Chosen_Reactor_Volume)))</f>
        <v>-</v>
      </c>
      <c r="M127" s="139" t="str">
        <f>IFERROR(VLOOKUP(B127,'9-Feedstock Characteristics'!$A$8:$W$127,15,FALSE),"-")</f>
        <v>-</v>
      </c>
      <c r="N127" s="492" t="str">
        <f>IFERROR(VLOOKUP(B127,'9-Feedstock Characteristics'!$A$8:$W$127,14,FALSE),"-")</f>
        <v>-</v>
      </c>
      <c r="O127" s="140" t="str">
        <f>IFERROR(VLOOKUP(B127,'9-Feedstock Characteristics'!$A$8:$W$127,13,FALSE),"-")</f>
        <v>-</v>
      </c>
    </row>
    <row r="128" spans="2:15" hidden="1" x14ac:dyDescent="0.35">
      <c r="B128" s="137" t="s">
        <v>230</v>
      </c>
      <c r="C128" s="1">
        <f t="shared" si="18"/>
        <v>0</v>
      </c>
      <c r="F128" s="138" t="str">
        <f>IFERROR(VLOOKUP(B128,'9-Feedstock Characteristics'!$A$8:$W$127,2,FALSE),"-")</f>
        <v>-</v>
      </c>
      <c r="G128" s="139" t="str">
        <f>IFERROR(VLOOKUP(B128,'9-Feedstock Characteristics'!$A$8:$W$127,3,FALSE),"-")</f>
        <v>-</v>
      </c>
      <c r="H128" s="139" t="str">
        <f>IFERROR(VLOOKUP(B128,'9-Feedstock Characteristics'!$A$8:$W$127,7,FALSE),"-")</f>
        <v>-</v>
      </c>
      <c r="I128" s="139" t="str">
        <f>IFERROR(VLOOKUP(B128,'9-Feedstock Characteristics'!$A$8:$W$127,8,FALSE),"-")</f>
        <v>-</v>
      </c>
      <c r="J128" s="139" t="str">
        <f>IFERROR(VLOOKUP(B128,'9-Feedstock Characteristics'!$A$8:$W$127,12,FALSE)/(1-F128),"-")</f>
        <v>-</v>
      </c>
      <c r="K128" s="139" t="str">
        <f t="shared" si="19"/>
        <v/>
      </c>
      <c r="L128" s="139" t="str">
        <f>IF(C128=0,"-",IF(ReactorType="Dry",VLOOKUP(B128,'9-Feedstock Characteristics'!$A$8:$W$127,18,FALSE),VLOOKUP(B128,'9-Feedstock Characteristics'!$A$8:$W$127,18,FALSE)*((C128/(DensityofWater*VLOOKUP(B128,'9-Feedstock Characteristics'!$A$8:$W$127,19,FALSE)))/Chosen_Reactor_Volume)+DensityofWater*((Chosen_Reactor_Volume-(C128/(DensityofWater*VLOOKUP(B128,'9-Feedstock Characteristics'!$A$8:$W$127,19,FALSE))))/Chosen_Reactor_Volume)))</f>
        <v>-</v>
      </c>
      <c r="M128" s="139" t="str">
        <f>IFERROR(VLOOKUP(B128,'9-Feedstock Characteristics'!$A$8:$W$127,15,FALSE),"-")</f>
        <v>-</v>
      </c>
      <c r="N128" s="492" t="str">
        <f>IFERROR(VLOOKUP(B128,'9-Feedstock Characteristics'!$A$8:$W$127,14,FALSE),"-")</f>
        <v>-</v>
      </c>
      <c r="O128" s="140" t="str">
        <f>IFERROR(VLOOKUP(B128,'9-Feedstock Characteristics'!$A$8:$W$127,13,FALSE),"-")</f>
        <v>-</v>
      </c>
    </row>
    <row r="129" spans="2:15" hidden="1" x14ac:dyDescent="0.35">
      <c r="B129" s="137" t="s">
        <v>231</v>
      </c>
      <c r="C129" s="1">
        <f t="shared" si="18"/>
        <v>0</v>
      </c>
      <c r="F129" s="138" t="str">
        <f>IFERROR(VLOOKUP(B129,'9-Feedstock Characteristics'!$A$8:$W$127,2,FALSE),"-")</f>
        <v>-</v>
      </c>
      <c r="G129" s="139" t="str">
        <f>IFERROR(VLOOKUP(B129,'9-Feedstock Characteristics'!$A$8:$W$127,3,FALSE),"-")</f>
        <v>-</v>
      </c>
      <c r="H129" s="139" t="str">
        <f>IFERROR(VLOOKUP(B129,'9-Feedstock Characteristics'!$A$8:$W$127,7,FALSE),"-")</f>
        <v>-</v>
      </c>
      <c r="I129" s="139" t="str">
        <f>IFERROR(VLOOKUP(B129,'9-Feedstock Characteristics'!$A$8:$W$127,8,FALSE),"-")</f>
        <v>-</v>
      </c>
      <c r="J129" s="139" t="str">
        <f>IFERROR(VLOOKUP(B129,'9-Feedstock Characteristics'!$A$8:$W$127,12,FALSE)/(1-F129),"-")</f>
        <v>-</v>
      </c>
      <c r="K129" s="139" t="str">
        <f t="shared" si="19"/>
        <v/>
      </c>
      <c r="L129" s="139" t="str">
        <f>IF(C129=0,"-",IF(ReactorType="Dry",VLOOKUP(B129,'9-Feedstock Characteristics'!$A$8:$W$127,18,FALSE),VLOOKUP(B129,'9-Feedstock Characteristics'!$A$8:$W$127,18,FALSE)*((C129/(DensityofWater*VLOOKUP(B129,'9-Feedstock Characteristics'!$A$8:$W$127,19,FALSE)))/Chosen_Reactor_Volume)+DensityofWater*((Chosen_Reactor_Volume-(C129/(DensityofWater*VLOOKUP(B129,'9-Feedstock Characteristics'!$A$8:$W$127,19,FALSE))))/Chosen_Reactor_Volume)))</f>
        <v>-</v>
      </c>
      <c r="M129" s="139" t="str">
        <f>IFERROR(VLOOKUP(B129,'9-Feedstock Characteristics'!$A$8:$W$127,15,FALSE),"-")</f>
        <v>-</v>
      </c>
      <c r="N129" s="492" t="str">
        <f>IFERROR(VLOOKUP(B129,'9-Feedstock Characteristics'!$A$8:$W$127,14,FALSE),"-")</f>
        <v>-</v>
      </c>
      <c r="O129" s="140" t="str">
        <f>IFERROR(VLOOKUP(B129,'9-Feedstock Characteristics'!$A$8:$W$127,13,FALSE),"-")</f>
        <v>-</v>
      </c>
    </row>
    <row r="130" spans="2:15" ht="14.6" hidden="1" thickBot="1" x14ac:dyDescent="0.4">
      <c r="B130" s="141" t="s">
        <v>104</v>
      </c>
      <c r="C130" s="142">
        <f t="shared" si="18"/>
        <v>0</v>
      </c>
      <c r="D130" s="142"/>
      <c r="E130" s="142"/>
      <c r="F130" s="143">
        <f>IFERROR(VLOOKUP(B130,'9-Feedstock Characteristics'!$A$8:$W$127,2,FALSE),"-")</f>
        <v>0.9</v>
      </c>
      <c r="G130" s="144">
        <f>IFERROR(VLOOKUP(B130,'9-Feedstock Characteristics'!$A$8:$W$127,3,FALSE),"-")</f>
        <v>9.9999999999999978E-2</v>
      </c>
      <c r="H130" s="144">
        <f>IFERROR(VLOOKUP(B130,'9-Feedstock Characteristics'!$A$8:$W$127,7,FALSE),"-")</f>
        <v>8.7999999999999995E-2</v>
      </c>
      <c r="I130" s="144">
        <f>IFERROR(VLOOKUP(B130,'9-Feedstock Characteristics'!$A$8:$W$127,8,FALSE),"-")</f>
        <v>1.1999999999999983E-2</v>
      </c>
      <c r="J130" s="144">
        <f>IFERROR(VLOOKUP(B130,'9-Feedstock Characteristics'!$A$8:$W$127,12,FALSE)/(1-F130),"-")</f>
        <v>9.1999999999999998E-2</v>
      </c>
      <c r="K130" s="144">
        <f t="shared" si="19"/>
        <v>0.4840000000000001</v>
      </c>
      <c r="L130" s="144" t="str">
        <f>IF(C130=0,"-",IF(ReactorType="Dry",VLOOKUP(B130,'9-Feedstock Characteristics'!$A$8:$W$127,18,FALSE),VLOOKUP(B130,'9-Feedstock Characteristics'!$A$8:$W$127,18,FALSE)*((C130/(DensityofWater*VLOOKUP(B130,'9-Feedstock Characteristics'!$A$8:$W$127,19,FALSE)))/Chosen_Reactor_Volume)+DensityofWater*((Chosen_Reactor_Volume-(C130/(DensityofWater*VLOOKUP(B130,'9-Feedstock Characteristics'!$A$8:$W$127,19,FALSE))))/Chosen_Reactor_Volume)))</f>
        <v>-</v>
      </c>
      <c r="M130" s="144">
        <f>IFERROR(VLOOKUP(B130,'9-Feedstock Characteristics'!$A$8:$W$127,15,FALSE),"-")</f>
        <v>9.3899999999999997E-2</v>
      </c>
      <c r="N130" s="493">
        <f>IFERROR(VLOOKUP(B130,'9-Feedstock Characteristics'!$A$8:$W$127,14,FALSE),"-")</f>
        <v>2.2100000000000002E-2</v>
      </c>
      <c r="O130" s="145">
        <f>IFERROR(VLOOKUP(B130,'9-Feedstock Characteristics'!$A$8:$W$127,13,FALSE),"-")</f>
        <v>0.872</v>
      </c>
    </row>
    <row r="131" spans="2:15" hidden="1" x14ac:dyDescent="0.35">
      <c r="N131" s="16"/>
    </row>
    <row r="132" spans="2:15" hidden="1" x14ac:dyDescent="0.35">
      <c r="B132" s="5"/>
      <c r="N132" s="16"/>
    </row>
    <row r="133" spans="2:15" hidden="1" x14ac:dyDescent="0.35">
      <c r="B133" s="5"/>
      <c r="N133" s="16"/>
    </row>
    <row r="134" spans="2:15" hidden="1" x14ac:dyDescent="0.35">
      <c r="B134" s="5"/>
      <c r="N134" s="16"/>
    </row>
    <row r="135" spans="2:15" ht="15.45" hidden="1" x14ac:dyDescent="0.4">
      <c r="B135" s="146" t="s">
        <v>232</v>
      </c>
      <c r="C135" s="147"/>
      <c r="N135" s="16"/>
    </row>
    <row r="136" spans="2:15" hidden="1" x14ac:dyDescent="0.35">
      <c r="B136" s="57" t="str">
        <f>B17</f>
        <v>Calf</v>
      </c>
      <c r="C136" s="58"/>
      <c r="D136" s="58">
        <v>10000</v>
      </c>
      <c r="N136" s="16"/>
    </row>
    <row r="137" spans="2:15" hidden="1" x14ac:dyDescent="0.35">
      <c r="B137" s="57" t="str">
        <f t="shared" ref="B137:B150" si="20">B18</f>
        <v>Adolescents Pigs</v>
      </c>
      <c r="C137" s="58"/>
      <c r="D137" s="58">
        <v>10000</v>
      </c>
      <c r="N137" s="16"/>
    </row>
    <row r="138" spans="2:15" hidden="1" x14ac:dyDescent="0.35">
      <c r="B138" s="57" t="str">
        <f t="shared" si="20"/>
        <v>Poultry Chicken</v>
      </c>
      <c r="C138" s="58"/>
      <c r="D138" s="58">
        <v>10000</v>
      </c>
      <c r="N138" s="16"/>
    </row>
    <row r="139" spans="2:15" hidden="1" x14ac:dyDescent="0.35">
      <c r="B139" s="57">
        <f t="shared" si="20"/>
        <v>0</v>
      </c>
      <c r="C139" s="58"/>
      <c r="D139" s="58">
        <v>10000</v>
      </c>
      <c r="N139" s="16"/>
    </row>
    <row r="140" spans="2:15" hidden="1" x14ac:dyDescent="0.35">
      <c r="B140" s="57">
        <f t="shared" ref="B140:B149" si="21">B21</f>
        <v>0</v>
      </c>
      <c r="C140" s="58"/>
      <c r="D140" s="58">
        <v>10000</v>
      </c>
      <c r="N140" s="16"/>
    </row>
    <row r="141" spans="2:15" hidden="1" x14ac:dyDescent="0.35">
      <c r="B141" s="57">
        <f t="shared" si="21"/>
        <v>0</v>
      </c>
      <c r="C141" s="58"/>
      <c r="D141" s="58">
        <v>10000</v>
      </c>
      <c r="N141" s="16"/>
    </row>
    <row r="142" spans="2:15" hidden="1" x14ac:dyDescent="0.35">
      <c r="B142" s="57">
        <f t="shared" si="21"/>
        <v>0</v>
      </c>
      <c r="C142" s="58"/>
      <c r="D142" s="58">
        <v>0</v>
      </c>
      <c r="N142" s="16"/>
    </row>
    <row r="143" spans="2:15" hidden="1" x14ac:dyDescent="0.35">
      <c r="B143" s="57">
        <f t="shared" si="21"/>
        <v>0</v>
      </c>
      <c r="C143" s="58"/>
      <c r="D143" s="58">
        <v>0</v>
      </c>
      <c r="N143" s="16"/>
    </row>
    <row r="144" spans="2:15" hidden="1" x14ac:dyDescent="0.35">
      <c r="B144" s="57">
        <f t="shared" si="21"/>
        <v>0</v>
      </c>
      <c r="C144" s="58"/>
      <c r="D144" s="58">
        <v>0</v>
      </c>
      <c r="N144" s="16"/>
    </row>
    <row r="145" spans="2:14" hidden="1" x14ac:dyDescent="0.35">
      <c r="B145" s="57">
        <f t="shared" si="21"/>
        <v>0</v>
      </c>
      <c r="C145" s="58"/>
      <c r="D145" s="58">
        <v>0</v>
      </c>
      <c r="N145" s="16"/>
    </row>
    <row r="146" spans="2:14" hidden="1" x14ac:dyDescent="0.35">
      <c r="B146" s="57">
        <f t="shared" si="21"/>
        <v>0</v>
      </c>
      <c r="C146" s="58"/>
      <c r="D146" s="58">
        <v>0</v>
      </c>
      <c r="N146" s="16"/>
    </row>
    <row r="147" spans="2:14" hidden="1" x14ac:dyDescent="0.35">
      <c r="B147" s="57">
        <f t="shared" si="21"/>
        <v>0</v>
      </c>
      <c r="C147" s="58"/>
      <c r="D147" s="58">
        <v>0</v>
      </c>
      <c r="N147" s="16"/>
    </row>
    <row r="148" spans="2:14" hidden="1" x14ac:dyDescent="0.35">
      <c r="B148" s="57">
        <f t="shared" si="21"/>
        <v>0</v>
      </c>
      <c r="C148" s="58"/>
      <c r="D148" s="58">
        <v>0</v>
      </c>
      <c r="N148" s="16"/>
    </row>
    <row r="149" spans="2:14" hidden="1" x14ac:dyDescent="0.35">
      <c r="B149" s="57">
        <f t="shared" si="21"/>
        <v>0</v>
      </c>
      <c r="C149" s="58"/>
      <c r="D149" s="58">
        <v>0</v>
      </c>
      <c r="N149" s="16"/>
    </row>
    <row r="150" spans="2:14" hidden="1" x14ac:dyDescent="0.35">
      <c r="B150" s="57">
        <f t="shared" si="20"/>
        <v>0</v>
      </c>
      <c r="C150" s="58"/>
      <c r="D150" s="58">
        <v>0</v>
      </c>
      <c r="N150" s="16"/>
    </row>
    <row r="151" spans="2:14" hidden="1" x14ac:dyDescent="0.35">
      <c r="B151" s="5" t="s">
        <v>204</v>
      </c>
      <c r="C151" s="148"/>
      <c r="D151" s="148">
        <f>SUM(D136:D150)</f>
        <v>60000</v>
      </c>
      <c r="N151" s="16"/>
    </row>
    <row r="152" spans="2:14" x14ac:dyDescent="0.35">
      <c r="B152" s="5"/>
      <c r="N152" s="16"/>
    </row>
    <row r="153" spans="2:14" x14ac:dyDescent="0.35">
      <c r="B153" s="5"/>
      <c r="N153" s="16"/>
    </row>
    <row r="154" spans="2:14" x14ac:dyDescent="0.35">
      <c r="B154" s="5"/>
      <c r="N154" s="16"/>
    </row>
    <row r="155" spans="2:14" x14ac:dyDescent="0.35">
      <c r="B155" s="5"/>
      <c r="N155" s="16"/>
    </row>
    <row r="156" spans="2:14" x14ac:dyDescent="0.35">
      <c r="B156" s="5"/>
      <c r="N156" s="16"/>
    </row>
    <row r="157" spans="2:14" x14ac:dyDescent="0.35">
      <c r="B157" s="5"/>
      <c r="N157" s="16"/>
    </row>
    <row r="158" spans="2:14" x14ac:dyDescent="0.35">
      <c r="B158" s="5"/>
      <c r="N158" s="16"/>
    </row>
    <row r="159" spans="2:14" x14ac:dyDescent="0.35">
      <c r="B159" s="5"/>
      <c r="N159" s="16"/>
    </row>
    <row r="160" spans="2:14" x14ac:dyDescent="0.35">
      <c r="B160" s="5"/>
    </row>
    <row r="161" spans="2:2" x14ac:dyDescent="0.35">
      <c r="B161" s="5"/>
    </row>
    <row r="162" spans="2:2" x14ac:dyDescent="0.35">
      <c r="B162" s="5"/>
    </row>
    <row r="163" spans="2:2" x14ac:dyDescent="0.35">
      <c r="B163" s="5"/>
    </row>
    <row r="164" spans="2:2" x14ac:dyDescent="0.35">
      <c r="B164" s="5"/>
    </row>
    <row r="165" spans="2:2" x14ac:dyDescent="0.35">
      <c r="B165" s="5"/>
    </row>
    <row r="166" spans="2:2" x14ac:dyDescent="0.35">
      <c r="B166" s="5"/>
    </row>
    <row r="167" spans="2:2" x14ac:dyDescent="0.35">
      <c r="B167" s="5"/>
    </row>
    <row r="168" spans="2:2" x14ac:dyDescent="0.35">
      <c r="B168" s="5"/>
    </row>
    <row r="169" spans="2:2" x14ac:dyDescent="0.35">
      <c r="B169" s="5"/>
    </row>
    <row r="170" spans="2:2" x14ac:dyDescent="0.35">
      <c r="B170" s="5"/>
    </row>
    <row r="171" spans="2:2" x14ac:dyDescent="0.35">
      <c r="B171" s="5"/>
    </row>
    <row r="172" spans="2:2" x14ac:dyDescent="0.35">
      <c r="B172" s="5"/>
    </row>
    <row r="173" spans="2:2" x14ac:dyDescent="0.35">
      <c r="B173" s="5"/>
    </row>
    <row r="174" spans="2:2" x14ac:dyDescent="0.35">
      <c r="B174" s="5"/>
    </row>
    <row r="175" spans="2:2" x14ac:dyDescent="0.35">
      <c r="B175" s="5"/>
    </row>
    <row r="176" spans="2:2" x14ac:dyDescent="0.35">
      <c r="B176" s="5"/>
    </row>
    <row r="177" spans="2:2" x14ac:dyDescent="0.35">
      <c r="B177" s="5"/>
    </row>
    <row r="178" spans="2:2" x14ac:dyDescent="0.35">
      <c r="B178" s="5"/>
    </row>
    <row r="179" spans="2:2" x14ac:dyDescent="0.35">
      <c r="B179" s="5"/>
    </row>
    <row r="180" spans="2:2" x14ac:dyDescent="0.35">
      <c r="B180" s="5"/>
    </row>
    <row r="181" spans="2:2" x14ac:dyDescent="0.35">
      <c r="B181" s="5"/>
    </row>
    <row r="182" spans="2:2" x14ac:dyDescent="0.35">
      <c r="B182" s="5"/>
    </row>
    <row r="183" spans="2:2" x14ac:dyDescent="0.35">
      <c r="B183" s="5"/>
    </row>
    <row r="184" spans="2:2" x14ac:dyDescent="0.35">
      <c r="B184" s="5"/>
    </row>
    <row r="185" spans="2:2" x14ac:dyDescent="0.35">
      <c r="B185" s="5"/>
    </row>
    <row r="186" spans="2:2" x14ac:dyDescent="0.35">
      <c r="B186" s="5"/>
    </row>
    <row r="187" spans="2:2" x14ac:dyDescent="0.35">
      <c r="B187" s="5"/>
    </row>
    <row r="188" spans="2:2" x14ac:dyDescent="0.35">
      <c r="B188" s="5"/>
    </row>
  </sheetData>
  <sheetProtection selectLockedCells="1"/>
  <sortState xmlns:xlrd2="http://schemas.microsoft.com/office/spreadsheetml/2017/richdata2" ref="B102:B196">
    <sortCondition ref="B101"/>
  </sortState>
  <dataConsolidate/>
  <mergeCells count="20">
    <mergeCell ref="C96:G96"/>
    <mergeCell ref="F15:Q15"/>
    <mergeCell ref="B54:D54"/>
    <mergeCell ref="B45:C45"/>
    <mergeCell ref="B44:C44"/>
    <mergeCell ref="D42:F42"/>
    <mergeCell ref="E34:F34"/>
    <mergeCell ref="E36:F36"/>
    <mergeCell ref="E37:F37"/>
    <mergeCell ref="E38:F38"/>
    <mergeCell ref="E41:F41"/>
    <mergeCell ref="E44:F44"/>
    <mergeCell ref="E45:F45"/>
    <mergeCell ref="E43:F43"/>
    <mergeCell ref="A14:E14"/>
    <mergeCell ref="A15:E15"/>
    <mergeCell ref="E40:F40"/>
    <mergeCell ref="E35:F35"/>
    <mergeCell ref="E39:F39"/>
    <mergeCell ref="F14:O14"/>
  </mergeCells>
  <conditionalFormatting sqref="D52 D50 D44:D45">
    <cfRule type="containsText" dxfId="11" priority="6" operator="containsText" text="No">
      <formula>NOT(ISERROR(SEARCH("No",D44)))</formula>
    </cfRule>
  </conditionalFormatting>
  <conditionalFormatting sqref="D13">
    <cfRule type="expression" dxfId="10" priority="5">
      <formula>$D$13="ERROR"</formula>
    </cfRule>
  </conditionalFormatting>
  <conditionalFormatting sqref="E13">
    <cfRule type="expression" dxfId="9" priority="4">
      <formula>$D$13="Error"</formula>
    </cfRule>
  </conditionalFormatting>
  <conditionalFormatting sqref="L3">
    <cfRule type="expression" dxfId="8" priority="3">
      <formula>$D$13="Error"</formula>
    </cfRule>
  </conditionalFormatting>
  <conditionalFormatting sqref="B13">
    <cfRule type="expression" dxfId="7" priority="2">
      <formula>$D$13="Error"</formula>
    </cfRule>
  </conditionalFormatting>
  <conditionalFormatting sqref="C12">
    <cfRule type="expression" dxfId="6" priority="1">
      <formula>$C$11="No"</formula>
    </cfRule>
  </conditionalFormatting>
  <dataValidations xWindow="633" yWindow="692" count="11">
    <dataValidation type="list" allowBlank="1" showInputMessage="1" showErrorMessage="1" sqref="C11" xr:uid="{00000000-0002-0000-0700-000000000000}">
      <formula1>"CHOOSE ONE,Yes, No"</formula1>
    </dataValidation>
    <dataValidation type="list" allowBlank="1" showInputMessage="1" showErrorMessage="1" promptTitle="Note: " prompt="- Wet AD Systems generally contain &lt;15% Total Solids, the main component of the feedstock is water._x000a_- Dry AD Systems generally contain 15% to 40% Total Solids._x000a__x000a_Wet is used as the default System Type, but the user may override to select a Dry System." sqref="C9" xr:uid="{00000000-0002-0000-0700-000001000000}">
      <formula1>"CHOOSE ONE, Wet, Dry"</formula1>
    </dataValidation>
    <dataValidation type="list" allowBlank="1" showInputMessage="1" showErrorMessage="1" promptTitle="Temperature Range Definitions" prompt="- Unheated/Ambient (10 - 20 ˚C; 50 - 68 ˚F)_x000a_- Mesophilic (30 - 40 ˚C, 86 - 104 ˚F)_x000a_- Thermophilic (50 - 60 ˚C, 122 - 140 ˚F)_x000a__x000a_Mesophilic is used as the Default value. The user may choose to override._x000a_Source: AgSTAR Project Development Handbook " sqref="C10" xr:uid="{00000000-0002-0000-0700-000002000000}">
      <formula1>"Unheated/Ambient, Mesophilic, Thermophilic"</formula1>
    </dataValidation>
    <dataValidation type="decimal" allowBlank="1" showInputMessage="1" showErrorMessage="1" sqref="C12 C58:C61" xr:uid="{00000000-0002-0000-0700-000003000000}">
      <formula1>0</formula1>
      <formula2>1</formula2>
    </dataValidation>
    <dataValidation type="list" allowBlank="1" showInputMessage="1" showErrorMessage="1" sqref="C56" xr:uid="{00000000-0002-0000-0700-000004000000}">
      <formula1>$D$97:$G$97</formula1>
    </dataValidation>
    <dataValidation allowBlank="1" showInputMessage="1" showErrorMessage="1" promptTitle="Default Background" prompt="This default assumes a biogas cook stove consumes 300 liters biogas per person per day." sqref="C68" xr:uid="{00000000-0002-0000-0700-000005000000}"/>
    <dataValidation allowBlank="1" showInputMessage="1" showErrorMessage="1" promptTitle="Default Background" prompt="This default assumes a household heater consumes 200 liters per hour and burns gas for two hours per day." sqref="C69" xr:uid="{00000000-0002-0000-0700-000006000000}"/>
    <dataValidation allowBlank="1" showInputMessage="1" showErrorMessage="1" promptTitle="Default Background" prompt="This default assumes one gas lamp is on for 10 hours per day and consumes 150 liters per hour." sqref="C70" xr:uid="{00000000-0002-0000-0700-000007000000}"/>
    <dataValidation allowBlank="1" showInputMessage="1" showErrorMessage="1" promptTitle="Energy Content of Biogas" prompt="Biogas' average methane content ranges from 50-75%. This implies the energy content of biogas may range from 6 to 6.5 kWh/cubic meter." sqref="C67" xr:uid="{00000000-0002-0000-0700-000008000000}"/>
    <dataValidation type="list" allowBlank="1" showInputMessage="1" showErrorMessage="1" sqref="A17:A31" xr:uid="{5E223EFF-47FF-4CEE-8671-C26DD83C5B00}">
      <formula1>FeedstockList</formula1>
    </dataValidation>
    <dataValidation type="list" allowBlank="1" showInputMessage="1" showErrorMessage="1" sqref="B17:B31" xr:uid="{01E1AC84-AE3F-4884-9846-4160ED9845D3}">
      <formula1>INDIRECT(A17)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ResetEnergyConsumption">
                <anchor moveWithCells="1" sizeWithCells="1">
                  <from>
                    <xdr:col>4</xdr:col>
                    <xdr:colOff>108857</xdr:colOff>
                    <xdr:row>64</xdr:row>
                    <xdr:rowOff>0</xdr:rowOff>
                  </from>
                  <to>
                    <xdr:col>4</xdr:col>
                    <xdr:colOff>2209800</xdr:colOff>
                    <xdr:row>66</xdr:row>
                    <xdr:rowOff>70757</xdr:rowOff>
                  </to>
                </anchor>
              </controlPr>
            </control>
          </mc:Choice>
        </mc:AlternateContent>
        <mc:AlternateContent xmlns:mc="http://schemas.openxmlformats.org/markup-compatibility/2006">
          <mc:Choice Requires="x14">
            <control shapeId="1051" r:id="rId5" name="Button 27">
              <controlPr defaultSize="0" print="0" autoFill="0" autoPict="0" macro="[0]!MoistureContentReset">
                <anchor moveWithCells="1" sizeWithCells="1">
                  <from>
                    <xdr:col>5</xdr:col>
                    <xdr:colOff>212271</xdr:colOff>
                    <xdr:row>32</xdr:row>
                    <xdr:rowOff>217714</xdr:rowOff>
                  </from>
                  <to>
                    <xdr:col>5</xdr:col>
                    <xdr:colOff>1888671</xdr:colOff>
                    <xdr:row>32</xdr:row>
                    <xdr:rowOff>620486</xdr:rowOff>
                  </to>
                </anchor>
              </controlPr>
            </control>
          </mc:Choice>
        </mc:AlternateContent>
        <mc:AlternateContent xmlns:mc="http://schemas.openxmlformats.org/markup-compatibility/2006">
          <mc:Choice Requires="x14">
            <control shapeId="1052" r:id="rId6" name="Button 28">
              <controlPr defaultSize="0" print="0" autoFill="0" autoPict="0" macro="[0]!TotalSolidsReset">
                <anchor moveWithCells="1" sizeWithCells="1">
                  <from>
                    <xdr:col>6</xdr:col>
                    <xdr:colOff>174171</xdr:colOff>
                    <xdr:row>32</xdr:row>
                    <xdr:rowOff>206829</xdr:rowOff>
                  </from>
                  <to>
                    <xdr:col>6</xdr:col>
                    <xdr:colOff>1856014</xdr:colOff>
                    <xdr:row>32</xdr:row>
                    <xdr:rowOff>609600</xdr:rowOff>
                  </to>
                </anchor>
              </controlPr>
            </control>
          </mc:Choice>
        </mc:AlternateContent>
        <mc:AlternateContent xmlns:mc="http://schemas.openxmlformats.org/markup-compatibility/2006">
          <mc:Choice Requires="x14">
            <control shapeId="1053" r:id="rId7" name="Button 29">
              <controlPr defaultSize="0" print="0" autoFill="0" autoPict="0" macro="[0]!VolatileSolidsReset">
                <anchor moveWithCells="1" sizeWithCells="1">
                  <from>
                    <xdr:col>7</xdr:col>
                    <xdr:colOff>326571</xdr:colOff>
                    <xdr:row>32</xdr:row>
                    <xdr:rowOff>206829</xdr:rowOff>
                  </from>
                  <to>
                    <xdr:col>7</xdr:col>
                    <xdr:colOff>2013857</xdr:colOff>
                    <xdr:row>32</xdr:row>
                    <xdr:rowOff>609600</xdr:rowOff>
                  </to>
                </anchor>
              </controlPr>
            </control>
          </mc:Choice>
        </mc:AlternateContent>
        <mc:AlternateContent xmlns:mc="http://schemas.openxmlformats.org/markup-compatibility/2006">
          <mc:Choice Requires="x14">
            <control shapeId="1054" r:id="rId8" name="Button 30">
              <controlPr defaultSize="0" print="0" autoFill="0" autoPict="0" macro="[0]!InertsReset">
                <anchor moveWithCells="1" sizeWithCells="1">
                  <from>
                    <xdr:col>8</xdr:col>
                    <xdr:colOff>359229</xdr:colOff>
                    <xdr:row>32</xdr:row>
                    <xdr:rowOff>190500</xdr:rowOff>
                  </from>
                  <to>
                    <xdr:col>8</xdr:col>
                    <xdr:colOff>2046514</xdr:colOff>
                    <xdr:row>32</xdr:row>
                    <xdr:rowOff>598714</xdr:rowOff>
                  </to>
                </anchor>
              </controlPr>
            </control>
          </mc:Choice>
        </mc:AlternateContent>
        <mc:AlternateContent xmlns:mc="http://schemas.openxmlformats.org/markup-compatibility/2006">
          <mc:Choice Requires="x14">
            <control shapeId="1055" r:id="rId9" name="Button 31">
              <controlPr defaultSize="0" print="0" autoFill="0" autoPict="0" macro="[0]!NitrogenReset">
                <anchor moveWithCells="1" sizeWithCells="1">
                  <from>
                    <xdr:col>9</xdr:col>
                    <xdr:colOff>391886</xdr:colOff>
                    <xdr:row>32</xdr:row>
                    <xdr:rowOff>190500</xdr:rowOff>
                  </from>
                  <to>
                    <xdr:col>9</xdr:col>
                    <xdr:colOff>2079171</xdr:colOff>
                    <xdr:row>32</xdr:row>
                    <xdr:rowOff>598714</xdr:rowOff>
                  </to>
                </anchor>
              </controlPr>
            </control>
          </mc:Choice>
        </mc:AlternateContent>
        <mc:AlternateContent xmlns:mc="http://schemas.openxmlformats.org/markup-compatibility/2006">
          <mc:Choice Requires="x14">
            <control shapeId="1057" r:id="rId10" name="Button 33">
              <controlPr defaultSize="0" print="0" autoFill="0" autoPict="0" macro="[0]!CarbonReset">
                <anchor moveWithCells="1" sizeWithCells="1">
                  <from>
                    <xdr:col>10</xdr:col>
                    <xdr:colOff>440871</xdr:colOff>
                    <xdr:row>32</xdr:row>
                    <xdr:rowOff>185057</xdr:rowOff>
                  </from>
                  <to>
                    <xdr:col>10</xdr:col>
                    <xdr:colOff>2128157</xdr:colOff>
                    <xdr:row>32</xdr:row>
                    <xdr:rowOff>587829</xdr:rowOff>
                  </to>
                </anchor>
              </controlPr>
            </control>
          </mc:Choice>
        </mc:AlternateContent>
        <mc:AlternateContent xmlns:mc="http://schemas.openxmlformats.org/markup-compatibility/2006">
          <mc:Choice Requires="x14">
            <control shapeId="1062" r:id="rId11" name="Button 38">
              <controlPr defaultSize="0" print="0" autoFill="0" autoPict="0" macro="[0]!ProteinReset">
                <anchor moveWithCells="1" sizeWithCells="1">
                  <from>
                    <xdr:col>12</xdr:col>
                    <xdr:colOff>43543</xdr:colOff>
                    <xdr:row>32</xdr:row>
                    <xdr:rowOff>179614</xdr:rowOff>
                  </from>
                  <to>
                    <xdr:col>12</xdr:col>
                    <xdr:colOff>1730829</xdr:colOff>
                    <xdr:row>32</xdr:row>
                    <xdr:rowOff>587829</xdr:rowOff>
                  </to>
                </anchor>
              </controlPr>
            </control>
          </mc:Choice>
        </mc:AlternateContent>
        <mc:AlternateContent xmlns:mc="http://schemas.openxmlformats.org/markup-compatibility/2006">
          <mc:Choice Requires="x14">
            <control shapeId="1063" r:id="rId12" name="Button 39">
              <controlPr defaultSize="0" print="0" autoFill="0" autoPict="0" macro="[0]!FatsReset">
                <anchor moveWithCells="1" sizeWithCells="1">
                  <from>
                    <xdr:col>13</xdr:col>
                    <xdr:colOff>108857</xdr:colOff>
                    <xdr:row>32</xdr:row>
                    <xdr:rowOff>206829</xdr:rowOff>
                  </from>
                  <to>
                    <xdr:col>13</xdr:col>
                    <xdr:colOff>1796143</xdr:colOff>
                    <xdr:row>32</xdr:row>
                    <xdr:rowOff>609600</xdr:rowOff>
                  </to>
                </anchor>
              </controlPr>
            </control>
          </mc:Choice>
        </mc:AlternateContent>
        <mc:AlternateContent xmlns:mc="http://schemas.openxmlformats.org/markup-compatibility/2006">
          <mc:Choice Requires="x14">
            <control shapeId="1064" r:id="rId13" name="Button 40">
              <controlPr defaultSize="0" print="0" autoFill="0" autoPict="0" macro="[0]!SugarsReset">
                <anchor moveWithCells="1" sizeWithCells="1">
                  <from>
                    <xdr:col>14</xdr:col>
                    <xdr:colOff>130629</xdr:colOff>
                    <xdr:row>32</xdr:row>
                    <xdr:rowOff>217714</xdr:rowOff>
                  </from>
                  <to>
                    <xdr:col>14</xdr:col>
                    <xdr:colOff>1817914</xdr:colOff>
                    <xdr:row>32</xdr:row>
                    <xdr:rowOff>620486</xdr:rowOff>
                  </to>
                </anchor>
              </controlPr>
            </control>
          </mc:Choice>
        </mc:AlternateContent>
        <mc:AlternateContent xmlns:mc="http://schemas.openxmlformats.org/markup-compatibility/2006">
          <mc:Choice Requires="x14">
            <control shapeId="1067" r:id="rId14" name="Button 43">
              <controlPr defaultSize="0" print="0" autoFill="0" autoPict="0" macro="[0]!BiogasCompReset">
                <anchor moveWithCells="1" sizeWithCells="1">
                  <from>
                    <xdr:col>4</xdr:col>
                    <xdr:colOff>108857</xdr:colOff>
                    <xdr:row>53</xdr:row>
                    <xdr:rowOff>76200</xdr:rowOff>
                  </from>
                  <to>
                    <xdr:col>4</xdr:col>
                    <xdr:colOff>1937657</xdr:colOff>
                    <xdr:row>53</xdr:row>
                    <xdr:rowOff>636814</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633" yWindow="692" count="1">
        <x14:dataValidation type="list" allowBlank="1" showInputMessage="1" showErrorMessage="1" xr:uid="{5AE68050-A98B-4EBD-A749-8162895D2368}">
          <x14:formula1>
            <xm:f>'23-Look up values'!$A$4:$A$9</xm:f>
          </x14:formula1>
          <xm:sqref>D17:D31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EmissionsInputs">
    <tabColor rgb="FF25C6FF"/>
  </sheetPr>
  <dimension ref="A1:BH78"/>
  <sheetViews>
    <sheetView topLeftCell="B25" zoomScale="85" zoomScaleNormal="85" workbookViewId="0">
      <selection activeCell="B45" sqref="B45"/>
    </sheetView>
  </sheetViews>
  <sheetFormatPr defaultColWidth="8.5703125" defaultRowHeight="15" x14ac:dyDescent="0.35"/>
  <cols>
    <col min="1" max="1" width="68.5703125" style="207" customWidth="1"/>
    <col min="2" max="2" width="55.140625" style="207" bestFit="1" customWidth="1"/>
    <col min="3" max="3" width="27.5703125" style="207" customWidth="1"/>
    <col min="4" max="4" width="68.0703125" style="207" customWidth="1"/>
    <col min="5" max="5" width="8.5703125" style="207" customWidth="1"/>
    <col min="6" max="7" width="8.5703125" style="207"/>
    <col min="8" max="10" width="8.5703125" style="207" customWidth="1"/>
    <col min="11" max="11" width="12.5703125" style="207" customWidth="1"/>
    <col min="12" max="16384" width="8.5703125" style="207"/>
  </cols>
  <sheetData>
    <row r="1" spans="1:60" ht="17.600000000000001" x14ac:dyDescent="0.4">
      <c r="A1" s="287" t="s">
        <v>233</v>
      </c>
      <c r="B1" s="291"/>
      <c r="C1" s="291"/>
      <c r="D1" s="29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row>
    <row r="2" spans="1:60" ht="17.149999999999999" customHeight="1" x14ac:dyDescent="0.4">
      <c r="A2" s="18"/>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1:60" ht="17.600000000000001" x14ac:dyDescent="0.4">
      <c r="A3" s="18"/>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row>
    <row r="4" spans="1:60" ht="17.600000000000001" x14ac:dyDescent="0.4">
      <c r="A4" s="18"/>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row>
    <row r="5" spans="1:60" ht="17.600000000000001" x14ac:dyDescent="0.4">
      <c r="A5" s="18"/>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row>
    <row r="6" spans="1:60" x14ac:dyDescent="0.35">
      <c r="A6" s="206"/>
    </row>
    <row r="9" spans="1:60" ht="15.45" thickBot="1" x14ac:dyDescent="0.4"/>
    <row r="10" spans="1:60" ht="79.400000000000006" customHeight="1" x14ac:dyDescent="0.35">
      <c r="A10" s="599" t="s">
        <v>234</v>
      </c>
      <c r="B10" s="600"/>
      <c r="C10" s="600"/>
      <c r="D10" s="601"/>
    </row>
    <row r="11" spans="1:60" x14ac:dyDescent="0.35">
      <c r="A11" s="350" t="s">
        <v>235</v>
      </c>
      <c r="B11" s="351" t="s">
        <v>236</v>
      </c>
      <c r="C11" s="351" t="s">
        <v>151</v>
      </c>
      <c r="D11" s="352" t="s">
        <v>237</v>
      </c>
    </row>
    <row r="12" spans="1:60" x14ac:dyDescent="0.35">
      <c r="A12" s="353" t="s">
        <v>238</v>
      </c>
      <c r="B12" s="275" t="s">
        <v>542</v>
      </c>
      <c r="C12" s="209" t="s">
        <v>240</v>
      </c>
      <c r="D12" s="608"/>
    </row>
    <row r="13" spans="1:60" x14ac:dyDescent="0.35">
      <c r="A13" s="353" t="s">
        <v>241</v>
      </c>
      <c r="B13" s="275" t="s">
        <v>542</v>
      </c>
      <c r="C13" s="209" t="s">
        <v>240</v>
      </c>
      <c r="D13" s="608"/>
    </row>
    <row r="14" spans="1:60" x14ac:dyDescent="0.35">
      <c r="A14" s="353" t="s">
        <v>243</v>
      </c>
      <c r="B14" s="512">
        <v>20</v>
      </c>
      <c r="C14" s="209" t="s">
        <v>763</v>
      </c>
      <c r="D14" s="608"/>
    </row>
    <row r="15" spans="1:60" x14ac:dyDescent="0.35">
      <c r="A15" s="354" t="s">
        <v>244</v>
      </c>
      <c r="B15" s="231"/>
      <c r="C15" s="231"/>
      <c r="D15" s="355"/>
    </row>
    <row r="16" spans="1:60" x14ac:dyDescent="0.35">
      <c r="A16" s="353" t="s">
        <v>245</v>
      </c>
      <c r="B16" s="275" t="s">
        <v>760</v>
      </c>
      <c r="C16" s="209" t="s">
        <v>246</v>
      </c>
      <c r="D16" s="608"/>
    </row>
    <row r="17" spans="1:4" x14ac:dyDescent="0.35">
      <c r="A17" s="356" t="s">
        <v>247</v>
      </c>
      <c r="B17" s="274"/>
      <c r="C17" s="209" t="s">
        <v>240</v>
      </c>
      <c r="D17" s="608"/>
    </row>
    <row r="18" spans="1:4" ht="15.45" thickBot="1" x14ac:dyDescent="0.4">
      <c r="A18" s="357" t="s">
        <v>248</v>
      </c>
      <c r="B18" s="358"/>
      <c r="C18" s="359" t="s">
        <v>249</v>
      </c>
      <c r="D18" s="609"/>
    </row>
    <row r="19" spans="1:4" ht="28.4" customHeight="1" thickBot="1" x14ac:dyDescent="0.4"/>
    <row r="20" spans="1:4" ht="123.65" customHeight="1" thickBot="1" x14ac:dyDescent="0.4">
      <c r="A20" s="602" t="s">
        <v>724</v>
      </c>
      <c r="B20" s="603"/>
      <c r="C20" s="603"/>
      <c r="D20" s="604"/>
    </row>
    <row r="21" spans="1:4" x14ac:dyDescent="0.35">
      <c r="A21" s="350" t="s">
        <v>250</v>
      </c>
      <c r="B21" s="351" t="s">
        <v>187</v>
      </c>
      <c r="C21" s="351" t="s">
        <v>151</v>
      </c>
      <c r="D21" s="352" t="s">
        <v>180</v>
      </c>
    </row>
    <row r="22" spans="1:4" x14ac:dyDescent="0.35">
      <c r="A22" s="353" t="s">
        <v>251</v>
      </c>
      <c r="B22" s="502">
        <v>0.9</v>
      </c>
      <c r="C22" s="209" t="s">
        <v>252</v>
      </c>
      <c r="D22" s="608"/>
    </row>
    <row r="23" spans="1:4" ht="15.45" thickBot="1" x14ac:dyDescent="0.4">
      <c r="A23" s="360" t="s">
        <v>253</v>
      </c>
      <c r="B23" s="361" t="s">
        <v>254</v>
      </c>
      <c r="C23" s="359" t="s">
        <v>240</v>
      </c>
      <c r="D23" s="609"/>
    </row>
    <row r="24" spans="1:4" ht="27.65" customHeight="1" thickBot="1" x14ac:dyDescent="0.4"/>
    <row r="25" spans="1:4" ht="128.15" customHeight="1" x14ac:dyDescent="0.35">
      <c r="A25" s="605" t="s">
        <v>255</v>
      </c>
      <c r="B25" s="606"/>
      <c r="C25" s="606"/>
      <c r="D25" s="607"/>
    </row>
    <row r="26" spans="1:4" ht="27.65" customHeight="1" x14ac:dyDescent="0.35">
      <c r="A26" s="350" t="s">
        <v>256</v>
      </c>
      <c r="B26" s="351" t="s">
        <v>187</v>
      </c>
      <c r="C26" s="351" t="s">
        <v>151</v>
      </c>
      <c r="D26" s="352" t="s">
        <v>180</v>
      </c>
    </row>
    <row r="27" spans="1:4" ht="21" customHeight="1" x14ac:dyDescent="0.35">
      <c r="A27" s="353" t="s">
        <v>257</v>
      </c>
      <c r="B27" s="502">
        <f>1-Methane_Utilization_Percentage</f>
        <v>9.9999999999999978E-2</v>
      </c>
      <c r="C27" s="209" t="s">
        <v>258</v>
      </c>
      <c r="D27" s="610"/>
    </row>
    <row r="28" spans="1:4" x14ac:dyDescent="0.35">
      <c r="A28" s="353" t="s">
        <v>259</v>
      </c>
      <c r="B28" s="275" t="s">
        <v>703</v>
      </c>
      <c r="C28" s="209" t="s">
        <v>240</v>
      </c>
      <c r="D28" s="610"/>
    </row>
    <row r="29" spans="1:4" x14ac:dyDescent="0.35">
      <c r="A29" s="353" t="s">
        <v>261</v>
      </c>
      <c r="B29" s="275" t="s">
        <v>775</v>
      </c>
      <c r="C29" s="209" t="s">
        <v>240</v>
      </c>
      <c r="D29" s="610"/>
    </row>
    <row r="30" spans="1:4" ht="15.45" thickBot="1" x14ac:dyDescent="0.4">
      <c r="A30" s="360" t="s">
        <v>262</v>
      </c>
      <c r="B30" s="367">
        <f>IFERROR(IF(Use_Defaults_Flare="No","",VLOOKUP(FlareType,'22-Flaring &amp; Leakage'!$A$5:$B$7,2,FALSE)),0)</f>
        <v>0.96</v>
      </c>
      <c r="C30" s="359" t="s">
        <v>252</v>
      </c>
      <c r="D30" s="611"/>
    </row>
    <row r="31" spans="1:4" ht="27.65" customHeight="1" thickBot="1" x14ac:dyDescent="0.4"/>
    <row r="32" spans="1:4" ht="157.4" customHeight="1" thickBot="1" x14ac:dyDescent="0.4">
      <c r="A32" s="602" t="s">
        <v>773</v>
      </c>
      <c r="B32" s="603"/>
      <c r="C32" s="603"/>
      <c r="D32" s="604"/>
    </row>
    <row r="33" spans="1:4" x14ac:dyDescent="0.35">
      <c r="A33" s="350" t="s">
        <v>263</v>
      </c>
      <c r="B33" s="351" t="s">
        <v>187</v>
      </c>
      <c r="C33" s="351" t="s">
        <v>151</v>
      </c>
      <c r="D33" s="352" t="s">
        <v>180</v>
      </c>
    </row>
    <row r="34" spans="1:4" x14ac:dyDescent="0.35">
      <c r="A34" s="353" t="s">
        <v>129</v>
      </c>
      <c r="B34" s="275" t="s">
        <v>264</v>
      </c>
      <c r="C34" s="209" t="s">
        <v>240</v>
      </c>
      <c r="D34" s="362"/>
    </row>
    <row r="35" spans="1:4" x14ac:dyDescent="0.35">
      <c r="A35" s="363" t="s">
        <v>265</v>
      </c>
      <c r="B35" s="230"/>
      <c r="C35" s="230"/>
      <c r="D35" s="364"/>
    </row>
    <row r="36" spans="1:4" x14ac:dyDescent="0.35">
      <c r="A36" s="353" t="s">
        <v>266</v>
      </c>
      <c r="B36" s="501" t="s">
        <v>760</v>
      </c>
      <c r="C36" s="209" t="s">
        <v>246</v>
      </c>
      <c r="D36" s="362"/>
    </row>
    <row r="37" spans="1:4" x14ac:dyDescent="0.35">
      <c r="A37" s="353" t="s">
        <v>267</v>
      </c>
      <c r="B37" s="274"/>
      <c r="C37" s="209" t="s">
        <v>268</v>
      </c>
      <c r="D37" s="362"/>
    </row>
    <row r="38" spans="1:4" ht="17.600000000000001" x14ac:dyDescent="0.5">
      <c r="A38" s="353" t="s">
        <v>269</v>
      </c>
      <c r="B38" s="274" t="str">
        <f>IF($B$36="Yes",'21-Electricity Use'!$B$7,"")</f>
        <v/>
      </c>
      <c r="C38" s="209" t="s">
        <v>270</v>
      </c>
      <c r="D38" s="362"/>
    </row>
    <row r="39" spans="1:4" ht="17.600000000000001" x14ac:dyDescent="0.5">
      <c r="A39" s="353" t="s">
        <v>271</v>
      </c>
      <c r="B39" s="274" t="str">
        <f>IF($B$36="Yes",'21-Electricity Use'!$B$8,"")</f>
        <v/>
      </c>
      <c r="C39" s="209" t="s">
        <v>272</v>
      </c>
      <c r="D39" s="362"/>
    </row>
    <row r="40" spans="1:4" x14ac:dyDescent="0.35">
      <c r="A40" s="363" t="s">
        <v>273</v>
      </c>
      <c r="B40" s="230"/>
      <c r="C40" s="230"/>
      <c r="D40" s="364"/>
    </row>
    <row r="41" spans="1:4" x14ac:dyDescent="0.35">
      <c r="A41" s="353" t="s">
        <v>274</v>
      </c>
      <c r="B41" s="285">
        <v>0</v>
      </c>
      <c r="C41" s="209" t="s">
        <v>268</v>
      </c>
      <c r="D41" s="362"/>
    </row>
    <row r="42" spans="1:4" x14ac:dyDescent="0.35">
      <c r="A42" s="353" t="s">
        <v>275</v>
      </c>
      <c r="B42" s="275" t="s">
        <v>775</v>
      </c>
      <c r="C42" s="209" t="s">
        <v>240</v>
      </c>
      <c r="D42" s="362"/>
    </row>
    <row r="43" spans="1:4" ht="17.600000000000001" x14ac:dyDescent="0.5">
      <c r="A43" s="353" t="s">
        <v>276</v>
      </c>
      <c r="B43" s="276">
        <f>IFERROR(VLOOKUP($B$34,'21-Electricity Use'!$A$22:$I$51,8,FALSE),"")</f>
        <v>0.43553432762226502</v>
      </c>
      <c r="C43" s="209" t="s">
        <v>277</v>
      </c>
      <c r="D43" s="362"/>
    </row>
    <row r="44" spans="1:4" x14ac:dyDescent="0.35">
      <c r="A44" s="353" t="s">
        <v>278</v>
      </c>
      <c r="B44" s="365"/>
      <c r="C44" s="209"/>
      <c r="D44" s="362"/>
    </row>
    <row r="45" spans="1:4" ht="15.45" thickBot="1" x14ac:dyDescent="0.4">
      <c r="A45" s="360" t="s">
        <v>279</v>
      </c>
      <c r="B45" s="429">
        <v>4.4999999999999998E-2</v>
      </c>
      <c r="C45" s="359" t="s">
        <v>252</v>
      </c>
      <c r="D45" s="366"/>
    </row>
    <row r="46" spans="1:4" ht="27" customHeight="1" thickBot="1" x14ac:dyDescent="0.4"/>
    <row r="47" spans="1:4" ht="96.65" customHeight="1" x14ac:dyDescent="0.35">
      <c r="A47" s="605" t="s">
        <v>280</v>
      </c>
      <c r="B47" s="606"/>
      <c r="C47" s="606"/>
      <c r="D47" s="607"/>
    </row>
    <row r="48" spans="1:4" x14ac:dyDescent="0.35">
      <c r="A48" s="350" t="s">
        <v>281</v>
      </c>
      <c r="B48" s="351" t="s">
        <v>187</v>
      </c>
      <c r="C48" s="351" t="s">
        <v>151</v>
      </c>
      <c r="D48" s="352" t="s">
        <v>180</v>
      </c>
    </row>
    <row r="49" spans="1:4" ht="15.45" thickBot="1" x14ac:dyDescent="0.4">
      <c r="A49" s="360" t="s">
        <v>282</v>
      </c>
      <c r="B49" s="368">
        <v>0.1</v>
      </c>
      <c r="C49" s="369" t="s">
        <v>252</v>
      </c>
      <c r="D49" s="517"/>
    </row>
    <row r="71" spans="1:2" ht="15.45" hidden="1" x14ac:dyDescent="0.4">
      <c r="A71" s="375" t="s">
        <v>283</v>
      </c>
    </row>
    <row r="72" spans="1:2" hidden="1" x14ac:dyDescent="0.35">
      <c r="A72" s="209" t="s">
        <v>262</v>
      </c>
      <c r="B72" s="278">
        <f>IFERROR(IF(Use_Defaults_Flare="No","",VLOOKUP(FlareType,'22-Flaring &amp; Leakage'!$A$5:$B$7,2,FALSE)),0)</f>
        <v>0.96</v>
      </c>
    </row>
    <row r="73" spans="1:2" hidden="1" x14ac:dyDescent="0.35">
      <c r="A73" s="209" t="s">
        <v>282</v>
      </c>
      <c r="B73" s="278">
        <v>0.1</v>
      </c>
    </row>
    <row r="74" spans="1:2" hidden="1" x14ac:dyDescent="0.35">
      <c r="A74" s="209" t="s">
        <v>276</v>
      </c>
      <c r="B74" s="279">
        <f>IFERROR(VLOOKUP($B$34,'21-Electricity Use'!$A$22:$I$51,8,FALSE),"")</f>
        <v>0.43553432762226502</v>
      </c>
    </row>
    <row r="75" spans="1:2" hidden="1" x14ac:dyDescent="0.35">
      <c r="A75" s="209" t="s">
        <v>279</v>
      </c>
      <c r="B75" s="561">
        <v>4.4999999999999998E-2</v>
      </c>
    </row>
    <row r="76" spans="1:2" ht="17.600000000000001" hidden="1" x14ac:dyDescent="0.5">
      <c r="A76" s="209" t="s">
        <v>284</v>
      </c>
      <c r="B76" s="277" t="str">
        <f>IF($B$36="Yes",'21-Electricity Use'!$B$7,"")</f>
        <v/>
      </c>
    </row>
    <row r="77" spans="1:2" ht="17.600000000000001" hidden="1" x14ac:dyDescent="0.5">
      <c r="A77" s="209" t="s">
        <v>285</v>
      </c>
      <c r="B77" s="277" t="str">
        <f>IF($B$36="Yes",'21-Electricity Use'!$B$8,"")</f>
        <v/>
      </c>
    </row>
    <row r="78" spans="1:2" hidden="1" x14ac:dyDescent="0.35">
      <c r="A78" s="207" t="s">
        <v>286</v>
      </c>
      <c r="B78" s="207">
        <f>1-Methane_Utilization_Percentage</f>
        <v>9.9999999999999978E-2</v>
      </c>
    </row>
  </sheetData>
  <mergeCells count="9">
    <mergeCell ref="A10:D10"/>
    <mergeCell ref="A20:D20"/>
    <mergeCell ref="A32:D32"/>
    <mergeCell ref="A25:D25"/>
    <mergeCell ref="A47:D47"/>
    <mergeCell ref="D12:D14"/>
    <mergeCell ref="D16:D18"/>
    <mergeCell ref="D27:D30"/>
    <mergeCell ref="D22:D23"/>
  </mergeCells>
  <conditionalFormatting sqref="B37">
    <cfRule type="expression" dxfId="5" priority="7">
      <formula>$B$36="Yes"</formula>
    </cfRule>
  </conditionalFormatting>
  <conditionalFormatting sqref="B38:B39 B76:B77">
    <cfRule type="expression" dxfId="4" priority="6">
      <formula>$B$36="Yes"</formula>
    </cfRule>
  </conditionalFormatting>
  <conditionalFormatting sqref="B17">
    <cfRule type="expression" dxfId="3" priority="2">
      <formula>$B$16="Yes"</formula>
    </cfRule>
  </conditionalFormatting>
  <conditionalFormatting sqref="B18">
    <cfRule type="expression" dxfId="2" priority="1">
      <formula>$B$16="Yes"</formula>
    </cfRule>
  </conditionalFormatting>
  <conditionalFormatting sqref="B44">
    <cfRule type="expression" dxfId="1" priority="11">
      <formula>$B$42="No"</formula>
    </cfRule>
  </conditionalFormatting>
  <dataValidations count="4">
    <dataValidation type="list" allowBlank="1" showInputMessage="1" showErrorMessage="1" sqref="B29" xr:uid="{00000000-0002-0000-0800-000000000000}">
      <formula1>"Yes, No"</formula1>
    </dataValidation>
    <dataValidation type="list" allowBlank="1" showInputMessage="1" showErrorMessage="1" sqref="B42 B16 B36" xr:uid="{00000000-0002-0000-0800-000002000000}">
      <formula1>"Yes,No"</formula1>
    </dataValidation>
    <dataValidation allowBlank="1" showInputMessage="1" showErrorMessage="1" promptTitle="Note:" prompt="The default values for distance traveled and time spent idling are also based on EPA data for vehicles in the United States._x000a_" sqref="B78:B79" xr:uid="{00000000-0002-0000-0800-000003000000}"/>
    <dataValidation type="list" allowBlank="1" showInputMessage="1" showErrorMessage="1" sqref="C14" xr:uid="{AF0312B8-8967-42B5-AD0A-2B232A61D848}">
      <formula1>"Celsius, Fahrenheit"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55" r:id="rId4" name="Button 11">
              <controlPr defaultSize="0" print="0" autoFill="0" autoPict="0" macro="[0]!ElectricityUseDefaultReset">
                <anchor moveWithCells="1" sizeWithCells="1">
                  <from>
                    <xdr:col>4</xdr:col>
                    <xdr:colOff>103414</xdr:colOff>
                    <xdr:row>41</xdr:row>
                    <xdr:rowOff>70757</xdr:rowOff>
                  </from>
                  <to>
                    <xdr:col>6</xdr:col>
                    <xdr:colOff>609600</xdr:colOff>
                    <xdr:row>45</xdr:row>
                    <xdr:rowOff>0</xdr:rowOff>
                  </to>
                </anchor>
              </controlPr>
            </control>
          </mc:Choice>
        </mc:AlternateContent>
        <mc:AlternateContent xmlns:mc="http://schemas.openxmlformats.org/markup-compatibility/2006">
          <mc:Choice Requires="x14">
            <control shapeId="6156" r:id="rId5" name="Button 12">
              <controlPr defaultSize="0" print="0" autoFill="0" autoPict="0" macro="[0]!FlaringDefaultReset" altText="Reset Flaring Defaults">
                <anchor moveWithCells="1" sizeWithCells="1">
                  <from>
                    <xdr:col>4</xdr:col>
                    <xdr:colOff>76200</xdr:colOff>
                    <xdr:row>26</xdr:row>
                    <xdr:rowOff>223157</xdr:rowOff>
                  </from>
                  <to>
                    <xdr:col>6</xdr:col>
                    <xdr:colOff>598714</xdr:colOff>
                    <xdr:row>29</xdr:row>
                    <xdr:rowOff>179614</xdr:rowOff>
                  </to>
                </anchor>
              </controlPr>
            </control>
          </mc:Choice>
        </mc:AlternateContent>
        <mc:AlternateContent xmlns:mc="http://schemas.openxmlformats.org/markup-compatibility/2006">
          <mc:Choice Requires="x14">
            <control shapeId="6157" r:id="rId6" name="Button 13">
              <controlPr defaultSize="0" print="0" autoFill="0" autoPict="0" macro="[0]!LeakageDefaultReset">
                <anchor moveWithCells="1" sizeWithCells="1">
                  <from>
                    <xdr:col>4</xdr:col>
                    <xdr:colOff>65314</xdr:colOff>
                    <xdr:row>46</xdr:row>
                    <xdr:rowOff>865414</xdr:rowOff>
                  </from>
                  <to>
                    <xdr:col>6</xdr:col>
                    <xdr:colOff>598714</xdr:colOff>
                    <xdr:row>48</xdr:row>
                    <xdr:rowOff>185057</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 id="{2C157657-1718-47C2-803E-54D250AC6BE6}">
            <xm:f>$B$37*365&gt;'5-Annual Summary'!$B$17</xm:f>
            <x14:dxf>
              <fill>
                <patternFill>
                  <bgColor rgb="FFFF0000"/>
                </patternFill>
              </fill>
            </x14:dxf>
          </x14:cfRule>
          <xm:sqref>B37</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800-000005000000}">
          <x14:formula1>
            <xm:f>'20-Methane Gen. &amp; Utilization'!$A$6:$A$9</xm:f>
          </x14:formula1>
          <xm:sqref>B23</xm:sqref>
        </x14:dataValidation>
        <x14:dataValidation type="list" allowBlank="1" showInputMessage="1" showErrorMessage="1" xr:uid="{00000000-0002-0000-0800-000001000000}">
          <x14:formula1>
            <xm:f>'23-Look up values'!$A$30:$A$32</xm:f>
          </x14:formula1>
          <xm:sqref>B28</xm:sqref>
        </x14:dataValidation>
        <x14:dataValidation type="list" allowBlank="1" showInputMessage="1" showErrorMessage="1" xr:uid="{00000000-0002-0000-0800-000006000000}">
          <x14:formula1>
            <xm:f>'21-Electricity Use'!$A$22:$A$51</xm:f>
          </x14:formula1>
          <xm:sqref>B34</xm:sqref>
        </x14:dataValidation>
        <x14:dataValidation type="list" allowBlank="1" showInputMessage="1" showErrorMessage="1" xr:uid="{00000000-0002-0000-0800-000007000000}">
          <x14:formula1>
            <xm:f>'13-MCF'!$B$10:$B$32</xm:f>
          </x14:formula1>
          <xm:sqref>B12:B13</xm:sqref>
        </x14:dataValidation>
        <x14:dataValidation type="list" allowBlank="1" showInputMessage="1" showErrorMessage="1" xr:uid="{00000000-0002-0000-0800-000009000000}">
          <x14:formula1>
            <xm:f>'13-MCF'!$Y$12:$Y$18</xm:f>
          </x14:formula1>
          <xm:sqref>B17</xm:sqref>
        </x14:dataValidation>
        <x14:dataValidation type="decimal" errorStyle="warning" operator="lessThanOrEqual" allowBlank="1" showInputMessage="1" showErrorMessage="1" errorTitle="Electricity Consumption Error" error="Electricity consumption entered is greater than the amount that can be generated by the project" xr:uid="{00000000-0002-0000-0800-00000A000000}">
          <x14:formula1>
            <xm:f>'5-Annual Summary'!B17/365</xm:f>
          </x14:formula1>
          <xm:sqref>B37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pageSetUpPr fitToPage="1"/>
  </sheetPr>
  <dimension ref="A1:AK65"/>
  <sheetViews>
    <sheetView tabSelected="1" workbookViewId="0">
      <selection activeCell="B18" sqref="B18:D18"/>
    </sheetView>
  </sheetViews>
  <sheetFormatPr defaultColWidth="8.5703125" defaultRowHeight="15.9" x14ac:dyDescent="0.45"/>
  <cols>
    <col min="1" max="1" width="63.140625" customWidth="1"/>
    <col min="2" max="2" width="15.640625" customWidth="1"/>
    <col min="3" max="3" width="17.0703125" customWidth="1"/>
    <col min="4" max="4" width="14.0703125" customWidth="1"/>
    <col min="5" max="5" width="12.5703125" bestFit="1" customWidth="1"/>
    <col min="6" max="6" width="19.640625" bestFit="1" customWidth="1"/>
    <col min="10" max="10" width="18.640625" customWidth="1"/>
    <col min="12" max="12" width="12.640625" customWidth="1"/>
    <col min="35" max="36" width="54.0703125" customWidth="1"/>
    <col min="37" max="37" width="41" customWidth="1"/>
  </cols>
  <sheetData>
    <row r="1" spans="1:37" ht="30" customHeight="1" thickBot="1" x14ac:dyDescent="0.5">
      <c r="A1" s="287" t="s">
        <v>287</v>
      </c>
      <c r="B1" s="286"/>
      <c r="C1" s="286"/>
      <c r="D1" s="286"/>
      <c r="E1" s="286"/>
      <c r="F1" s="286"/>
      <c r="G1" s="286"/>
      <c r="H1" s="286"/>
      <c r="I1" s="286"/>
      <c r="J1" s="286"/>
    </row>
    <row r="2" spans="1:37" x14ac:dyDescent="0.45">
      <c r="A2" s="620" t="s">
        <v>288</v>
      </c>
      <c r="B2" s="621"/>
      <c r="C2" s="621"/>
      <c r="D2" s="621"/>
      <c r="E2" s="621"/>
      <c r="F2" s="621"/>
      <c r="G2" s="621"/>
      <c r="H2" s="621"/>
      <c r="I2" s="621"/>
      <c r="J2" s="622"/>
    </row>
    <row r="3" spans="1:37" ht="10.5" customHeight="1" x14ac:dyDescent="0.45">
      <c r="A3" s="623"/>
      <c r="B3" s="624"/>
      <c r="C3" s="624"/>
      <c r="D3" s="624"/>
      <c r="E3" s="624"/>
      <c r="F3" s="624"/>
      <c r="G3" s="624"/>
      <c r="H3" s="624"/>
      <c r="I3" s="624"/>
      <c r="J3" s="625"/>
    </row>
    <row r="4" spans="1:37" ht="16.399999999999999" customHeight="1" x14ac:dyDescent="0.45">
      <c r="A4" s="623"/>
      <c r="B4" s="624"/>
      <c r="C4" s="624"/>
      <c r="D4" s="624"/>
      <c r="E4" s="624"/>
      <c r="F4" s="624"/>
      <c r="G4" s="624"/>
      <c r="H4" s="624"/>
      <c r="I4" s="624"/>
      <c r="J4" s="625"/>
    </row>
    <row r="5" spans="1:37" ht="12" customHeight="1" x14ac:dyDescent="0.45">
      <c r="A5" s="623"/>
      <c r="B5" s="624"/>
      <c r="C5" s="624"/>
      <c r="D5" s="624"/>
      <c r="E5" s="624"/>
      <c r="F5" s="624"/>
      <c r="G5" s="624"/>
      <c r="H5" s="624"/>
      <c r="I5" s="624"/>
      <c r="J5" s="625"/>
    </row>
    <row r="6" spans="1:37" s="8" customFormat="1" ht="15.65" customHeight="1" thickBot="1" x14ac:dyDescent="0.5">
      <c r="A6" s="626"/>
      <c r="B6" s="627"/>
      <c r="C6" s="627"/>
      <c r="D6" s="627"/>
      <c r="E6" s="627"/>
      <c r="F6" s="627"/>
      <c r="G6" s="627"/>
      <c r="H6" s="627"/>
      <c r="I6" s="627"/>
      <c r="J6" s="628"/>
    </row>
    <row r="7" spans="1:37" s="8" customFormat="1" ht="87.65" customHeight="1" x14ac:dyDescent="0.45">
      <c r="A7" s="385" t="s">
        <v>289</v>
      </c>
      <c r="B7" s="33" t="s">
        <v>290</v>
      </c>
      <c r="C7" s="33" t="s">
        <v>291</v>
      </c>
      <c r="D7" s="33" t="s">
        <v>292</v>
      </c>
      <c r="E7" s="390" t="s">
        <v>188</v>
      </c>
      <c r="F7" s="618" t="s">
        <v>180</v>
      </c>
      <c r="G7" s="618"/>
      <c r="H7" s="618"/>
      <c r="I7" s="618"/>
      <c r="J7" s="619"/>
      <c r="AI7" s="484" t="s">
        <v>293</v>
      </c>
      <c r="AJ7" s="484" t="s">
        <v>294</v>
      </c>
      <c r="AK7" s="484" t="s">
        <v>295</v>
      </c>
    </row>
    <row r="8" spans="1:37" s="8" customFormat="1" ht="19.3" customHeight="1" x14ac:dyDescent="0.45">
      <c r="A8" s="381" t="s">
        <v>296</v>
      </c>
      <c r="B8" s="382">
        <f>IFERROR(($D$8*VLOOKUP(ReactorType&amp;"_"&amp;ReactorTemp,'11-Calibration Factors'!$A$4:$C$9,2,FALSE))," ")</f>
        <v>83947.694298344461</v>
      </c>
      <c r="C8" s="382">
        <f>IFERROR(($D$8*VLOOKUP(ReactorType&amp;"_"&amp;ReactorTemp,'11-Calibration Factors'!$A$4:$C$9,3,FALSE))," ")</f>
        <v>152967.51247031451</v>
      </c>
      <c r="D8" s="382">
        <f>IFERROR((Estimated_Max_Daily_Biogas_Production*365)*VLOOKUP('5-Annual Summary'!E8,'23-Look up values'!$A$13:$B$14,2,FALSE)," ")</f>
        <v>209424.56900692603</v>
      </c>
      <c r="E8" s="508" t="s">
        <v>723</v>
      </c>
      <c r="F8" s="612"/>
      <c r="G8" s="612"/>
      <c r="H8" s="612"/>
      <c r="I8" s="612"/>
      <c r="J8" s="613"/>
      <c r="L8" s="519"/>
      <c r="AI8" s="485"/>
      <c r="AJ8" s="485"/>
    </row>
    <row r="9" spans="1:37" s="8" customFormat="1" ht="19.3" customHeight="1" x14ac:dyDescent="0.45">
      <c r="A9" s="381" t="s">
        <v>298</v>
      </c>
      <c r="B9" s="382">
        <f>IFERROR($D$9*VLOOKUP(ReactorType&amp;"_"&amp;ReactorTemp,'11-Calibration Factors'!$A$4:$C$9,2,FALSE)," ")</f>
        <v>41889.899454873892</v>
      </c>
      <c r="C9" s="382">
        <f>IFERROR($D$9*VLOOKUP(ReactorType&amp;"_"&amp;ReactorTemp,'11-Calibration Factors'!$A$4:$C$9,3,FALSE)," ")</f>
        <v>76330.788722686935</v>
      </c>
      <c r="D9" s="382">
        <f>IFERROR((Estimated_Max_Daily_Methane_Production*365)*VLOOKUP(E9,'23-Look up values'!$A$13:$B$14,2,FALSE)," ")</f>
        <v>104502.85993445609</v>
      </c>
      <c r="E9" s="508" t="s">
        <v>723</v>
      </c>
      <c r="F9" s="612"/>
      <c r="G9" s="612"/>
      <c r="H9" s="612"/>
      <c r="I9" s="612"/>
      <c r="J9" s="613"/>
      <c r="L9" s="519"/>
    </row>
    <row r="10" spans="1:37" s="8" customFormat="1" ht="19.3" customHeight="1" x14ac:dyDescent="0.45">
      <c r="A10" s="380" t="s">
        <v>10</v>
      </c>
      <c r="B10" s="618" t="s">
        <v>187</v>
      </c>
      <c r="C10" s="618"/>
      <c r="D10" s="618"/>
      <c r="E10" s="390" t="s">
        <v>188</v>
      </c>
      <c r="F10" s="618" t="s">
        <v>180</v>
      </c>
      <c r="G10" s="618"/>
      <c r="H10" s="618"/>
      <c r="I10" s="618"/>
      <c r="J10" s="619"/>
    </row>
    <row r="11" spans="1:37" s="8" customFormat="1" ht="19.3" customHeight="1" x14ac:dyDescent="0.45">
      <c r="A11" s="381" t="s">
        <v>299</v>
      </c>
      <c r="B11" s="640">
        <f>'7-Digestate Production'!B87*365/VLOOKUP(E11,'23-Look up values'!$A$18:$B$21,2,FALSE)</f>
        <v>135158.48767944358</v>
      </c>
      <c r="C11" s="640"/>
      <c r="D11" s="640"/>
      <c r="E11" s="508" t="s">
        <v>300</v>
      </c>
      <c r="F11" s="612"/>
      <c r="G11" s="612"/>
      <c r="H11" s="612"/>
      <c r="I11" s="612"/>
      <c r="J11" s="613"/>
    </row>
    <row r="12" spans="1:37" s="8" customFormat="1" ht="19.3" customHeight="1" x14ac:dyDescent="0.45">
      <c r="A12" s="381" t="s">
        <v>301</v>
      </c>
      <c r="B12" s="640">
        <f>'7-Digestate Production'!C87*365/VLOOKUP(E12,'23-Look up values'!$A$18:$B$21,2,FALSE)</f>
        <v>544413.15221683064</v>
      </c>
      <c r="C12" s="640"/>
      <c r="D12" s="640"/>
      <c r="E12" s="508" t="s">
        <v>300</v>
      </c>
      <c r="F12" s="612"/>
      <c r="G12" s="612"/>
      <c r="H12" s="612"/>
      <c r="I12" s="612"/>
      <c r="J12" s="613"/>
    </row>
    <row r="13" spans="1:37" s="8" customFormat="1" ht="19.3" customHeight="1" x14ac:dyDescent="0.45">
      <c r="A13" s="381" t="s">
        <v>302</v>
      </c>
      <c r="B13" s="640">
        <f>'7-Digestate Production'!E87*365/VLOOKUP(E13,'23-Look up values'!$A$18:$B$21,2,FALSE)</f>
        <v>6766366.7997182747</v>
      </c>
      <c r="C13" s="640"/>
      <c r="D13" s="640"/>
      <c r="E13" s="508" t="s">
        <v>300</v>
      </c>
      <c r="F13" s="612"/>
      <c r="G13" s="612"/>
      <c r="H13" s="612"/>
      <c r="I13" s="612"/>
      <c r="J13" s="613"/>
    </row>
    <row r="14" spans="1:37" s="8" customFormat="1" ht="19.3" customHeight="1" x14ac:dyDescent="0.45">
      <c r="A14" s="381" t="s">
        <v>303</v>
      </c>
      <c r="B14" s="640" t="str">
        <f>IFERROR(IFERROR(IF('3-Digester Inputs'!$C$11="Yes",'7-Digestate Production'!F87,"")*365,"N/A")/VLOOKUP(E14,'23-Look up values'!$A$18:$B$21,2,FALSE),"N/A")</f>
        <v>N/A</v>
      </c>
      <c r="C14" s="640"/>
      <c r="D14" s="640"/>
      <c r="E14" s="508" t="s">
        <v>300</v>
      </c>
      <c r="F14" s="612"/>
      <c r="G14" s="612"/>
      <c r="H14" s="612"/>
      <c r="I14" s="612"/>
      <c r="J14" s="613"/>
    </row>
    <row r="15" spans="1:37" s="8" customFormat="1" ht="19.3" customHeight="1" x14ac:dyDescent="0.45">
      <c r="A15" s="381" t="s">
        <v>304</v>
      </c>
      <c r="B15" s="640">
        <f>IFERROR('7-Digestate Production'!G87*365*VLOOKUP(E15,'23-Look up values'!$A$18:$B$21,2,FALSE),"N/A")</f>
        <v>6766366.7997182747</v>
      </c>
      <c r="C15" s="640"/>
      <c r="D15" s="640"/>
      <c r="E15" s="508" t="s">
        <v>300</v>
      </c>
      <c r="F15" s="612"/>
      <c r="G15" s="612"/>
      <c r="H15" s="612"/>
      <c r="I15" s="612"/>
      <c r="J15" s="613"/>
    </row>
    <row r="16" spans="1:37" s="8" customFormat="1" ht="58.5" customHeight="1" thickBot="1" x14ac:dyDescent="0.5">
      <c r="A16" s="385" t="s">
        <v>306</v>
      </c>
      <c r="B16" s="618" t="s">
        <v>187</v>
      </c>
      <c r="C16" s="618"/>
      <c r="D16" s="618"/>
      <c r="E16" s="390" t="s">
        <v>188</v>
      </c>
      <c r="F16" s="618" t="s">
        <v>180</v>
      </c>
      <c r="G16" s="618"/>
      <c r="H16" s="618"/>
      <c r="I16" s="618"/>
      <c r="J16" s="619"/>
    </row>
    <row r="17" spans="1:10" s="8" customFormat="1" ht="19.3" customHeight="1" x14ac:dyDescent="0.45">
      <c r="A17" s="534" t="s">
        <v>307</v>
      </c>
      <c r="B17" s="641">
        <f>IFERROR(Annual_Avg_Biogas_Production*'3-Digester Inputs'!$C$58*'3-Digester Inputs'!C66/1000," ")</f>
        <v>568.11607828546232</v>
      </c>
      <c r="C17" s="641"/>
      <c r="D17" s="641"/>
      <c r="E17" s="536" t="s">
        <v>308</v>
      </c>
      <c r="F17" s="638"/>
      <c r="G17" s="638"/>
      <c r="H17" s="638"/>
      <c r="I17" s="638"/>
      <c r="J17" s="639"/>
    </row>
    <row r="18" spans="1:10" s="8" customFormat="1" ht="19.3" customHeight="1" x14ac:dyDescent="0.45">
      <c r="A18" s="381" t="s">
        <v>309</v>
      </c>
      <c r="B18" s="616">
        <f>IFERROR(Annual_Avg_Biogas_Production*'3-Digester Inputs'!$C$58*'3-Digester Inputs'!C67/1000," ")</f>
        <v>384.21723657707264</v>
      </c>
      <c r="C18" s="616"/>
      <c r="D18" s="616"/>
      <c r="E18" s="508" t="s">
        <v>308</v>
      </c>
      <c r="F18" s="612"/>
      <c r="G18" s="612"/>
      <c r="H18" s="612"/>
      <c r="I18" s="612"/>
      <c r="J18" s="613"/>
    </row>
    <row r="19" spans="1:10" s="8" customFormat="1" ht="19.3" customHeight="1" x14ac:dyDescent="0.45">
      <c r="A19" s="381" t="s">
        <v>310</v>
      </c>
      <c r="B19" s="616">
        <f>IFERROR(Annual_Avg_Biogas_Production*'3-Digester Inputs'!C58*VLOOKUP(E19,'23-Look up values'!$A$13:$B$14,2,FALSE)," ")</f>
        <v>59110.34408878041</v>
      </c>
      <c r="C19" s="616"/>
      <c r="D19" s="616"/>
      <c r="E19" s="508" t="s">
        <v>723</v>
      </c>
      <c r="F19" s="612"/>
      <c r="G19" s="612"/>
      <c r="H19" s="612"/>
      <c r="I19" s="612"/>
      <c r="J19" s="613"/>
    </row>
    <row r="20" spans="1:10" s="8" customFormat="1" ht="19.3" customHeight="1" x14ac:dyDescent="0.45">
      <c r="A20" s="381" t="s">
        <v>311</v>
      </c>
      <c r="B20" s="616">
        <f>IFERROR(CONVERT(Annual_Avg_Biogas_Production,"m^3","l")/('3-Digester Inputs'!C68*365)," ")</f>
        <v>1081.8045971171641</v>
      </c>
      <c r="C20" s="616"/>
      <c r="D20" s="616"/>
      <c r="E20" s="508" t="s">
        <v>312</v>
      </c>
      <c r="F20" s="612"/>
      <c r="G20" s="612"/>
      <c r="H20" s="612"/>
      <c r="I20" s="612"/>
      <c r="J20" s="613"/>
    </row>
    <row r="21" spans="1:10" s="8" customFormat="1" ht="19.3" customHeight="1" x14ac:dyDescent="0.45">
      <c r="A21" s="381" t="s">
        <v>313</v>
      </c>
      <c r="B21" s="616">
        <f>IFERROR(CONVERT(Annual_Avg_Biogas_Production,"m^3","l")/('3-Digester Inputs'!C69*365)," ")</f>
        <v>811.3534478378732</v>
      </c>
      <c r="C21" s="616"/>
      <c r="D21" s="616"/>
      <c r="E21" s="508" t="s">
        <v>312</v>
      </c>
      <c r="F21" s="612"/>
      <c r="G21" s="612"/>
      <c r="H21" s="612"/>
      <c r="I21" s="612"/>
      <c r="J21" s="613"/>
    </row>
    <row r="22" spans="1:10" s="8" customFormat="1" ht="19.3" customHeight="1" thickBot="1" x14ac:dyDescent="0.5">
      <c r="A22" s="535" t="s">
        <v>314</v>
      </c>
      <c r="B22" s="617">
        <f>IFERROR(CONVERT(Annual_Avg_Biogas_Production,"m^3","l")/('3-Digester Inputs'!C70*365), " ")</f>
        <v>216.36091942343285</v>
      </c>
      <c r="C22" s="617"/>
      <c r="D22" s="617"/>
      <c r="E22" s="518" t="s">
        <v>315</v>
      </c>
      <c r="F22" s="614"/>
      <c r="G22" s="614"/>
      <c r="H22" s="614"/>
      <c r="I22" s="614"/>
      <c r="J22" s="615"/>
    </row>
    <row r="23" spans="1:10" s="8" customFormat="1" ht="19.3" customHeight="1" thickBot="1" x14ac:dyDescent="0.5">
      <c r="A23" s="92"/>
      <c r="B23" s="383"/>
      <c r="C23" s="383"/>
      <c r="D23" s="383"/>
      <c r="E23" s="384"/>
      <c r="F23" s="384"/>
      <c r="G23" s="384"/>
      <c r="H23" s="384"/>
      <c r="I23" s="384"/>
      <c r="J23" s="384"/>
    </row>
    <row r="24" spans="1:10" x14ac:dyDescent="0.45">
      <c r="A24" s="629" t="s">
        <v>316</v>
      </c>
      <c r="B24" s="630"/>
      <c r="C24" s="630"/>
      <c r="D24" s="630"/>
      <c r="E24" s="630"/>
      <c r="F24" s="630"/>
      <c r="G24" s="630"/>
      <c r="H24" s="630"/>
      <c r="I24" s="630"/>
      <c r="J24" s="631"/>
    </row>
    <row r="25" spans="1:10" ht="15.75" customHeight="1" x14ac:dyDescent="0.45">
      <c r="A25" s="632"/>
      <c r="B25" s="633"/>
      <c r="C25" s="633"/>
      <c r="D25" s="633"/>
      <c r="E25" s="633"/>
      <c r="F25" s="633"/>
      <c r="G25" s="633"/>
      <c r="H25" s="633"/>
      <c r="I25" s="633"/>
      <c r="J25" s="634"/>
    </row>
    <row r="26" spans="1:10" x14ac:dyDescent="0.45">
      <c r="A26" s="632"/>
      <c r="B26" s="633"/>
      <c r="C26" s="633"/>
      <c r="D26" s="633"/>
      <c r="E26" s="633"/>
      <c r="F26" s="633"/>
      <c r="G26" s="633"/>
      <c r="H26" s="633"/>
      <c r="I26" s="633"/>
      <c r="J26" s="634"/>
    </row>
    <row r="27" spans="1:10" x14ac:dyDescent="0.45">
      <c r="A27" s="632"/>
      <c r="B27" s="633"/>
      <c r="C27" s="633"/>
      <c r="D27" s="633"/>
      <c r="E27" s="633"/>
      <c r="F27" s="633"/>
      <c r="G27" s="633"/>
      <c r="H27" s="633"/>
      <c r="I27" s="633"/>
      <c r="J27" s="634"/>
    </row>
    <row r="28" spans="1:10" ht="20.25" customHeight="1" thickBot="1" x14ac:dyDescent="0.5">
      <c r="A28" s="635"/>
      <c r="B28" s="636"/>
      <c r="C28" s="636"/>
      <c r="D28" s="636"/>
      <c r="E28" s="636"/>
      <c r="F28" s="636"/>
      <c r="G28" s="636"/>
      <c r="H28" s="636"/>
      <c r="I28" s="636"/>
      <c r="J28" s="637"/>
    </row>
    <row r="29" spans="1:10" x14ac:dyDescent="0.45">
      <c r="A29" s="376" t="s">
        <v>317</v>
      </c>
      <c r="B29" s="38" t="s">
        <v>318</v>
      </c>
      <c r="C29" s="38" t="s">
        <v>319</v>
      </c>
      <c r="D29" s="390" t="s">
        <v>320</v>
      </c>
      <c r="E29" s="390" t="s">
        <v>321</v>
      </c>
      <c r="F29" s="390" t="s">
        <v>322</v>
      </c>
      <c r="G29" s="618" t="s">
        <v>180</v>
      </c>
      <c r="H29" s="618"/>
      <c r="I29" s="618"/>
      <c r="J29" s="619"/>
    </row>
    <row r="30" spans="1:10" x14ac:dyDescent="0.45">
      <c r="A30" s="377" t="str">
        <f>IF('3-Digester Inputs'!B17=0,"-",'3-Digester Inputs'!B17)</f>
        <v>Calf</v>
      </c>
      <c r="B30" s="36" t="str">
        <f>IF(COUNTIFS('10-Feedstock Toxicity Info'!$A$6:$A$113,'5-Annual Summary'!$A30,'10-Feedstock Toxicity Info'!B$6:B$113,"*")&gt;0,"Yes","")</f>
        <v>Yes</v>
      </c>
      <c r="C30" s="36" t="str">
        <f>IF(COUNTIFS('10-Feedstock Toxicity Info'!$A$6:$A$113,'5-Annual Summary'!$A30,'10-Feedstock Toxicity Info'!C$6:C$113,"*")&gt;0,"Yes","")</f>
        <v/>
      </c>
      <c r="D30" s="36" t="str">
        <f>IF(COUNTIFS('10-Feedstock Toxicity Info'!$A$6:$A$113,'5-Annual Summary'!$A30,'10-Feedstock Toxicity Info'!T$6:T$113,"*")&gt;0,"Yes","")</f>
        <v/>
      </c>
      <c r="E30" s="36" t="str">
        <f>IF(COUNTIFS('10-Feedstock Toxicity Info'!$A$6:$A$113,'5-Annual Summary'!$A30,'10-Feedstock Toxicity Info'!I$6:I$113,"*")&gt;0,"Yes","")</f>
        <v/>
      </c>
      <c r="F30" s="36" t="str">
        <f>IF(COUNTIFS('10-Feedstock Toxicity Info'!$A$6:$A$113,'5-Annual Summary'!$A30,'10-Feedstock Toxicity Info'!J$6:J$113,"*")&gt;0,"Yes","")</f>
        <v>Yes</v>
      </c>
      <c r="G30" s="36"/>
      <c r="H30" s="36"/>
      <c r="I30" s="36"/>
      <c r="J30" s="378"/>
    </row>
    <row r="31" spans="1:10" x14ac:dyDescent="0.45">
      <c r="A31" s="377" t="str">
        <f>IF('3-Digester Inputs'!B18=0,"-",'3-Digester Inputs'!B18)</f>
        <v>Adolescents Pigs</v>
      </c>
      <c r="B31" s="36" t="str">
        <f>IF(COUNTIFS('10-Feedstock Toxicity Info'!$A$6:$A$113,'5-Annual Summary'!$A31,'10-Feedstock Toxicity Info'!B$6:B$113,"*")&gt;0,"Yes","")</f>
        <v>Yes</v>
      </c>
      <c r="C31" s="36" t="str">
        <f>IF(COUNTIFS('10-Feedstock Toxicity Info'!$A$6:$A$113,'5-Annual Summary'!$A31,'10-Feedstock Toxicity Info'!C$6:C$113,"*")&gt;0,"Yes","")</f>
        <v>Yes</v>
      </c>
      <c r="D31" s="36" t="str">
        <f>IF(COUNTIFS('10-Feedstock Toxicity Info'!$A$6:$A$113,'5-Annual Summary'!$A31,'10-Feedstock Toxicity Info'!T$6:T$113,"*")&gt;0,"Yes","")</f>
        <v/>
      </c>
      <c r="E31" s="36" t="str">
        <f>IF(COUNTIFS('10-Feedstock Toxicity Info'!$A$6:$A$113,'5-Annual Summary'!$A31,'10-Feedstock Toxicity Info'!I$6:I$113,"*")&gt;0,"Yes","")</f>
        <v/>
      </c>
      <c r="F31" s="36" t="str">
        <f>IF(COUNTIFS('10-Feedstock Toxicity Info'!$A$6:$A$113,'5-Annual Summary'!$A31,'10-Feedstock Toxicity Info'!J$6:J$113,"*")&gt;0,"Yes","")</f>
        <v>Yes</v>
      </c>
      <c r="G31" s="37"/>
      <c r="H31" s="37"/>
      <c r="I31" s="37"/>
      <c r="J31" s="379"/>
    </row>
    <row r="32" spans="1:10" x14ac:dyDescent="0.45">
      <c r="A32" s="377" t="str">
        <f>IF('3-Digester Inputs'!B19=0,"-",'3-Digester Inputs'!B19)</f>
        <v>Poultry Chicken</v>
      </c>
      <c r="B32" s="36" t="str">
        <f>IF(COUNTIFS('10-Feedstock Toxicity Info'!$A$6:$A$113,'5-Annual Summary'!$A32,'10-Feedstock Toxicity Info'!B$6:B$113,"*")&gt;0,"Yes","")</f>
        <v>Yes</v>
      </c>
      <c r="C32" s="36" t="str">
        <f>IF(COUNTIFS('10-Feedstock Toxicity Info'!$A$6:$A$113,'5-Annual Summary'!$A32,'10-Feedstock Toxicity Info'!C$6:C$113,"*")&gt;0,"Yes","")</f>
        <v/>
      </c>
      <c r="D32" s="36" t="str">
        <f>IF(COUNTIFS('10-Feedstock Toxicity Info'!$A$6:$A$113,'5-Annual Summary'!$A32,'10-Feedstock Toxicity Info'!T$6:T$113,"*")&gt;0,"Yes","")</f>
        <v/>
      </c>
      <c r="E32" s="36" t="str">
        <f>IF(COUNTIFS('10-Feedstock Toxicity Info'!$A$6:$A$113,'5-Annual Summary'!$A32,'10-Feedstock Toxicity Info'!I$6:I$113,"*")&gt;0,"Yes","")</f>
        <v/>
      </c>
      <c r="F32" s="36" t="str">
        <f>IF(COUNTIFS('10-Feedstock Toxicity Info'!$A$6:$A$113,'5-Annual Summary'!$A32,'10-Feedstock Toxicity Info'!J$6:J$113,"*")&gt;0,"Yes","")</f>
        <v>Yes</v>
      </c>
      <c r="G32" s="37"/>
      <c r="H32" s="37"/>
      <c r="I32" s="37"/>
      <c r="J32" s="379"/>
    </row>
    <row r="33" spans="1:10" x14ac:dyDescent="0.45">
      <c r="A33" s="377" t="str">
        <f>IF('3-Digester Inputs'!B20=0,"-",'3-Digester Inputs'!B20)</f>
        <v>-</v>
      </c>
      <c r="B33" s="36" t="str">
        <f>IF(COUNTIFS('10-Feedstock Toxicity Info'!$A$6:$A$113,'5-Annual Summary'!$A33,'10-Feedstock Toxicity Info'!B$6:B$113,"*")&gt;0,"Yes","")</f>
        <v/>
      </c>
      <c r="C33" s="36" t="str">
        <f>IF(COUNTIFS('10-Feedstock Toxicity Info'!$A$6:$A$113,'5-Annual Summary'!$A33,'10-Feedstock Toxicity Info'!C$6:C$113,"*")&gt;0,"Yes","")</f>
        <v/>
      </c>
      <c r="D33" s="36" t="str">
        <f>IF(COUNTIFS('10-Feedstock Toxicity Info'!$A$6:$A$113,'5-Annual Summary'!$A33,'10-Feedstock Toxicity Info'!T$6:T$113,"*")&gt;0,"Yes","")</f>
        <v/>
      </c>
      <c r="E33" s="36" t="str">
        <f>IF(COUNTIFS('10-Feedstock Toxicity Info'!$A$6:$A$113,'5-Annual Summary'!$A33,'10-Feedstock Toxicity Info'!I$6:I$113,"*")&gt;0,"Yes","")</f>
        <v/>
      </c>
      <c r="F33" s="36" t="str">
        <f>IF(COUNTIFS('10-Feedstock Toxicity Info'!$A$6:$A$113,'5-Annual Summary'!$A33,'10-Feedstock Toxicity Info'!J$6:J$113,"*")&gt;0,"Yes","")</f>
        <v/>
      </c>
      <c r="G33" s="37"/>
      <c r="H33" s="37"/>
      <c r="I33" s="37"/>
      <c r="J33" s="379"/>
    </row>
    <row r="34" spans="1:10" x14ac:dyDescent="0.45">
      <c r="A34" s="377" t="str">
        <f>IF('3-Digester Inputs'!B21=0,"-",'3-Digester Inputs'!B21)</f>
        <v>-</v>
      </c>
      <c r="B34" s="36" t="str">
        <f>IF(COUNTIFS('10-Feedstock Toxicity Info'!$A$6:$A$113,'5-Annual Summary'!$A34,'10-Feedstock Toxicity Info'!B$6:B$113,"*")&gt;0,"Yes","")</f>
        <v/>
      </c>
      <c r="C34" s="36" t="str">
        <f>IF(COUNTIFS('10-Feedstock Toxicity Info'!$A$6:$A$113,'5-Annual Summary'!$A34,'10-Feedstock Toxicity Info'!C$6:C$113,"*")&gt;0,"Yes","")</f>
        <v/>
      </c>
      <c r="D34" s="36" t="str">
        <f>IF(COUNTIFS('10-Feedstock Toxicity Info'!$A$6:$A$113,'5-Annual Summary'!$A34,'10-Feedstock Toxicity Info'!T$6:T$113,"*")&gt;0,"Yes","")</f>
        <v/>
      </c>
      <c r="E34" s="36" t="str">
        <f>IF(COUNTIFS('10-Feedstock Toxicity Info'!$A$6:$A$113,'5-Annual Summary'!$A34,'10-Feedstock Toxicity Info'!I$6:I$113,"*")&gt;0,"Yes","")</f>
        <v/>
      </c>
      <c r="F34" s="36" t="str">
        <f>IF(COUNTIFS('10-Feedstock Toxicity Info'!$A$6:$A$113,'5-Annual Summary'!$A34,'10-Feedstock Toxicity Info'!J$6:J$113,"*")&gt;0,"Yes","")</f>
        <v/>
      </c>
      <c r="G34" s="37"/>
      <c r="H34" s="37"/>
      <c r="I34" s="37"/>
      <c r="J34" s="379"/>
    </row>
    <row r="35" spans="1:10" x14ac:dyDescent="0.45">
      <c r="A35" s="377" t="str">
        <f>IF('3-Digester Inputs'!B22=0,"-",'3-Digester Inputs'!B22)</f>
        <v>-</v>
      </c>
      <c r="B35" s="36" t="str">
        <f>IF(COUNTIFS('10-Feedstock Toxicity Info'!$A$6:$A$113,'5-Annual Summary'!$A35,'10-Feedstock Toxicity Info'!B$6:B$113,"*")&gt;0,"Yes","")</f>
        <v/>
      </c>
      <c r="C35" s="36" t="str">
        <f>IF(COUNTIFS('10-Feedstock Toxicity Info'!$A$6:$A$113,'5-Annual Summary'!$A35,'10-Feedstock Toxicity Info'!C$6:C$113,"*")&gt;0,"Yes","")</f>
        <v/>
      </c>
      <c r="D35" s="36" t="str">
        <f>IF(COUNTIFS('10-Feedstock Toxicity Info'!$A$6:$A$113,'5-Annual Summary'!$A35,'10-Feedstock Toxicity Info'!T$6:T$113,"*")&gt;0,"Yes","")</f>
        <v/>
      </c>
      <c r="E35" s="36" t="str">
        <f>IF(COUNTIFS('10-Feedstock Toxicity Info'!$A$6:$A$113,'5-Annual Summary'!$A35,'10-Feedstock Toxicity Info'!I$6:I$113,"*")&gt;0,"Yes","")</f>
        <v/>
      </c>
      <c r="F35" s="36" t="str">
        <f>IF(COUNTIFS('10-Feedstock Toxicity Info'!$A$6:$A$113,'5-Annual Summary'!$A35,'10-Feedstock Toxicity Info'!J$6:J$113,"*")&gt;0,"Yes","")</f>
        <v/>
      </c>
      <c r="G35" s="37"/>
      <c r="H35" s="37"/>
      <c r="I35" s="37"/>
      <c r="J35" s="379"/>
    </row>
    <row r="36" spans="1:10" x14ac:dyDescent="0.45">
      <c r="A36" s="377" t="str">
        <f>IF('3-Digester Inputs'!B23=0,"-",'3-Digester Inputs'!B23)</f>
        <v>-</v>
      </c>
      <c r="B36" s="36" t="str">
        <f>IF(COUNTIFS('10-Feedstock Toxicity Info'!$A$6:$A$113,'5-Annual Summary'!$A36,'10-Feedstock Toxicity Info'!B$6:B$113,"*")&gt;0,"Yes","")</f>
        <v/>
      </c>
      <c r="C36" s="36" t="str">
        <f>IF(COUNTIFS('10-Feedstock Toxicity Info'!$A$6:$A$113,'5-Annual Summary'!$A36,'10-Feedstock Toxicity Info'!C$6:C$113,"*")&gt;0,"Yes","")</f>
        <v/>
      </c>
      <c r="D36" s="36" t="str">
        <f>IF(COUNTIFS('10-Feedstock Toxicity Info'!$A$6:$A$113,'5-Annual Summary'!$A36,'10-Feedstock Toxicity Info'!T$6:T$113,"*")&gt;0,"Yes","")</f>
        <v/>
      </c>
      <c r="E36" s="36" t="str">
        <f>IF(COUNTIFS('10-Feedstock Toxicity Info'!$A$6:$A$113,'5-Annual Summary'!$A36,'10-Feedstock Toxicity Info'!I$6:I$113,"*")&gt;0,"Yes","")</f>
        <v/>
      </c>
      <c r="F36" s="36" t="str">
        <f>IF(COUNTIFS('10-Feedstock Toxicity Info'!$A$6:$A$113,'5-Annual Summary'!$A36,'10-Feedstock Toxicity Info'!J$6:J$113,"*")&gt;0,"Yes","")</f>
        <v/>
      </c>
      <c r="G36" s="37"/>
      <c r="H36" s="37"/>
      <c r="I36" s="37"/>
      <c r="J36" s="379"/>
    </row>
    <row r="37" spans="1:10" x14ac:dyDescent="0.45">
      <c r="A37" s="377" t="str">
        <f>IF('3-Digester Inputs'!B24=0,"-",'3-Digester Inputs'!B24)</f>
        <v>-</v>
      </c>
      <c r="B37" s="36" t="str">
        <f>IF(COUNTIFS('10-Feedstock Toxicity Info'!$A$6:$A$113,'5-Annual Summary'!$A37,'10-Feedstock Toxicity Info'!B$6:B$113,"*")&gt;0,"Yes","")</f>
        <v/>
      </c>
      <c r="C37" s="36" t="str">
        <f>IF(COUNTIFS('10-Feedstock Toxicity Info'!$A$6:$A$113,'5-Annual Summary'!$A37,'10-Feedstock Toxicity Info'!C$6:C$113,"*")&gt;0,"Yes","")</f>
        <v/>
      </c>
      <c r="D37" s="36" t="str">
        <f>IF(COUNTIFS('10-Feedstock Toxicity Info'!$A$6:$A$113,'5-Annual Summary'!$A37,'10-Feedstock Toxicity Info'!T$6:T$113,"*")&gt;0,"Yes","")</f>
        <v/>
      </c>
      <c r="E37" s="36" t="str">
        <f>IF(COUNTIFS('10-Feedstock Toxicity Info'!$A$6:$A$113,'5-Annual Summary'!$A37,'10-Feedstock Toxicity Info'!I$6:I$113,"*")&gt;0,"Yes","")</f>
        <v/>
      </c>
      <c r="F37" s="36" t="str">
        <f>IF(COUNTIFS('10-Feedstock Toxicity Info'!$A$6:$A$113,'5-Annual Summary'!$A37,'10-Feedstock Toxicity Info'!J$6:J$113,"*")&gt;0,"Yes","")</f>
        <v/>
      </c>
      <c r="G37" s="37"/>
      <c r="H37" s="37"/>
      <c r="I37" s="37"/>
      <c r="J37" s="379"/>
    </row>
    <row r="38" spans="1:10" x14ac:dyDescent="0.45">
      <c r="A38" s="377" t="str">
        <f>IF('3-Digester Inputs'!B25=0,"-",'3-Digester Inputs'!B25)</f>
        <v>-</v>
      </c>
      <c r="B38" s="36" t="str">
        <f>IF(COUNTIFS('10-Feedstock Toxicity Info'!$A$6:$A$113,'5-Annual Summary'!$A38,'10-Feedstock Toxicity Info'!B$6:B$113,"*")&gt;0,"Yes","")</f>
        <v/>
      </c>
      <c r="C38" s="36" t="str">
        <f>IF(COUNTIFS('10-Feedstock Toxicity Info'!$A$6:$A$113,'5-Annual Summary'!$A38,'10-Feedstock Toxicity Info'!C$6:C$113,"*")&gt;0,"Yes","")</f>
        <v/>
      </c>
      <c r="D38" s="36" t="str">
        <f>IF(COUNTIFS('10-Feedstock Toxicity Info'!$A$6:$A$113,'5-Annual Summary'!$A38,'10-Feedstock Toxicity Info'!T$6:T$113,"*")&gt;0,"Yes","")</f>
        <v/>
      </c>
      <c r="E38" s="36" t="str">
        <f>IF(COUNTIFS('10-Feedstock Toxicity Info'!$A$6:$A$113,'5-Annual Summary'!$A38,'10-Feedstock Toxicity Info'!I$6:I$113,"*")&gt;0,"Yes","")</f>
        <v/>
      </c>
      <c r="F38" s="36" t="str">
        <f>IF(COUNTIFS('10-Feedstock Toxicity Info'!$A$6:$A$113,'5-Annual Summary'!$A38,'10-Feedstock Toxicity Info'!J$6:J$113,"*")&gt;0,"Yes","")</f>
        <v/>
      </c>
      <c r="G38" s="37"/>
      <c r="H38" s="37"/>
      <c r="I38" s="37"/>
      <c r="J38" s="379"/>
    </row>
    <row r="39" spans="1:10" x14ac:dyDescent="0.45">
      <c r="A39" s="377" t="str">
        <f>IF('3-Digester Inputs'!B26=0,"-",'3-Digester Inputs'!B26)</f>
        <v>-</v>
      </c>
      <c r="B39" s="36" t="str">
        <f>IF(COUNTIFS('10-Feedstock Toxicity Info'!$A$6:$A$113,'5-Annual Summary'!$A39,'10-Feedstock Toxicity Info'!B$6:B$113,"*")&gt;0,"Yes","")</f>
        <v/>
      </c>
      <c r="C39" s="36" t="str">
        <f>IF(COUNTIFS('10-Feedstock Toxicity Info'!$A$6:$A$113,'5-Annual Summary'!$A39,'10-Feedstock Toxicity Info'!C$6:C$113,"*")&gt;0,"Yes","")</f>
        <v/>
      </c>
      <c r="D39" s="36" t="str">
        <f>IF(COUNTIFS('10-Feedstock Toxicity Info'!$A$6:$A$113,'5-Annual Summary'!$A39,'10-Feedstock Toxicity Info'!T$6:T$113,"*")&gt;0,"Yes","")</f>
        <v/>
      </c>
      <c r="E39" s="36" t="str">
        <f>IF(COUNTIFS('10-Feedstock Toxicity Info'!$A$6:$A$113,'5-Annual Summary'!$A39,'10-Feedstock Toxicity Info'!I$6:I$113,"*")&gt;0,"Yes","")</f>
        <v/>
      </c>
      <c r="F39" s="36" t="str">
        <f>IF(COUNTIFS('10-Feedstock Toxicity Info'!$A$6:$A$113,'5-Annual Summary'!$A39,'10-Feedstock Toxicity Info'!J$6:J$113,"*")&gt;0,"Yes","")</f>
        <v/>
      </c>
      <c r="G39" s="37"/>
      <c r="H39" s="37"/>
      <c r="I39" s="37"/>
      <c r="J39" s="379"/>
    </row>
    <row r="40" spans="1:10" x14ac:dyDescent="0.45">
      <c r="A40" s="377" t="str">
        <f>IF('3-Digester Inputs'!B27=0,"-",'3-Digester Inputs'!B27)</f>
        <v>-</v>
      </c>
      <c r="B40" s="36" t="str">
        <f>IF(COUNTIFS('10-Feedstock Toxicity Info'!$A$6:$A$113,'5-Annual Summary'!$A40,'10-Feedstock Toxicity Info'!B$6:B$113,"*")&gt;0,"Yes","")</f>
        <v/>
      </c>
      <c r="C40" s="36" t="str">
        <f>IF(COUNTIFS('10-Feedstock Toxicity Info'!$A$6:$A$113,'5-Annual Summary'!$A40,'10-Feedstock Toxicity Info'!C$6:C$113,"*")&gt;0,"Yes","")</f>
        <v/>
      </c>
      <c r="D40" s="36" t="str">
        <f>IF(COUNTIFS('10-Feedstock Toxicity Info'!$A$6:$A$113,'5-Annual Summary'!$A40,'10-Feedstock Toxicity Info'!T$6:T$113,"*")&gt;0,"Yes","")</f>
        <v/>
      </c>
      <c r="E40" s="36" t="str">
        <f>IF(COUNTIFS('10-Feedstock Toxicity Info'!$A$6:$A$113,'5-Annual Summary'!$A40,'10-Feedstock Toxicity Info'!I$6:I$113,"*")&gt;0,"Yes","")</f>
        <v/>
      </c>
      <c r="F40" s="36" t="str">
        <f>IF(COUNTIFS('10-Feedstock Toxicity Info'!$A$6:$A$113,'5-Annual Summary'!$A40,'10-Feedstock Toxicity Info'!J$6:J$113,"*")&gt;0,"Yes","")</f>
        <v/>
      </c>
      <c r="G40" s="37"/>
      <c r="H40" s="37"/>
      <c r="I40" s="37"/>
      <c r="J40" s="379"/>
    </row>
    <row r="41" spans="1:10" x14ac:dyDescent="0.45">
      <c r="A41" s="377" t="str">
        <f>IF('3-Digester Inputs'!B28=0,"-",'3-Digester Inputs'!B28)</f>
        <v>-</v>
      </c>
      <c r="B41" s="36" t="str">
        <f>IF(COUNTIFS('10-Feedstock Toxicity Info'!$A$6:$A$113,'5-Annual Summary'!$A41,'10-Feedstock Toxicity Info'!B$6:B$113,"*")&gt;0,"Yes","")</f>
        <v/>
      </c>
      <c r="C41" s="36" t="str">
        <f>IF(COUNTIFS('10-Feedstock Toxicity Info'!$A$6:$A$113,'5-Annual Summary'!$A41,'10-Feedstock Toxicity Info'!C$6:C$113,"*")&gt;0,"Yes","")</f>
        <v/>
      </c>
      <c r="D41" s="36" t="str">
        <f>IF(COUNTIFS('10-Feedstock Toxicity Info'!$A$6:$A$113,'5-Annual Summary'!$A41,'10-Feedstock Toxicity Info'!T$6:T$113,"*")&gt;0,"Yes","")</f>
        <v/>
      </c>
      <c r="E41" s="36" t="str">
        <f>IF(COUNTIFS('10-Feedstock Toxicity Info'!$A$6:$A$113,'5-Annual Summary'!$A41,'10-Feedstock Toxicity Info'!I$6:I$113,"*")&gt;0,"Yes","")</f>
        <v/>
      </c>
      <c r="F41" s="36" t="str">
        <f>IF(COUNTIFS('10-Feedstock Toxicity Info'!$A$6:$A$113,'5-Annual Summary'!$A41,'10-Feedstock Toxicity Info'!J$6:J$113,"*")&gt;0,"Yes","")</f>
        <v/>
      </c>
      <c r="G41" s="37"/>
      <c r="H41" s="37"/>
      <c r="I41" s="37"/>
      <c r="J41" s="379"/>
    </row>
    <row r="42" spans="1:10" x14ac:dyDescent="0.45">
      <c r="A42" s="377" t="str">
        <f>IF('3-Digester Inputs'!B29=0,"-",'3-Digester Inputs'!B29)</f>
        <v>-</v>
      </c>
      <c r="B42" s="36" t="str">
        <f>IF(COUNTIFS('10-Feedstock Toxicity Info'!$A$6:$A$113,'5-Annual Summary'!$A42,'10-Feedstock Toxicity Info'!B$6:B$113,"*")&gt;0,"Yes","")</f>
        <v/>
      </c>
      <c r="C42" s="36" t="str">
        <f>IF(COUNTIFS('10-Feedstock Toxicity Info'!$A$6:$A$113,'5-Annual Summary'!$A42,'10-Feedstock Toxicity Info'!C$6:C$113,"*")&gt;0,"Yes","")</f>
        <v/>
      </c>
      <c r="D42" s="36" t="str">
        <f>IF(COUNTIFS('10-Feedstock Toxicity Info'!$A$6:$A$113,'5-Annual Summary'!$A42,'10-Feedstock Toxicity Info'!T$6:T$113,"*")&gt;0,"Yes","")</f>
        <v/>
      </c>
      <c r="E42" s="36" t="str">
        <f>IF(COUNTIFS('10-Feedstock Toxicity Info'!$A$6:$A$113,'5-Annual Summary'!$A42,'10-Feedstock Toxicity Info'!I$6:I$113,"*")&gt;0,"Yes","")</f>
        <v/>
      </c>
      <c r="F42" s="36" t="str">
        <f>IF(COUNTIFS('10-Feedstock Toxicity Info'!$A$6:$A$113,'5-Annual Summary'!$A42,'10-Feedstock Toxicity Info'!J$6:J$113,"*")&gt;0,"Yes","")</f>
        <v/>
      </c>
      <c r="G42" s="37"/>
      <c r="H42" s="37"/>
      <c r="I42" s="37"/>
      <c r="J42" s="379"/>
    </row>
    <row r="43" spans="1:10" x14ac:dyDescent="0.45">
      <c r="A43" s="377" t="str">
        <f>IF('3-Digester Inputs'!B30=0,"-",'3-Digester Inputs'!B30)</f>
        <v>-</v>
      </c>
      <c r="B43" s="36" t="str">
        <f>IF(COUNTIFS('10-Feedstock Toxicity Info'!$A$6:$A$113,'5-Annual Summary'!$A43,'10-Feedstock Toxicity Info'!B$6:B$113,"*")&gt;0,"Yes","")</f>
        <v/>
      </c>
      <c r="C43" s="36" t="str">
        <f>IF(COUNTIFS('10-Feedstock Toxicity Info'!$A$6:$A$113,'5-Annual Summary'!$A43,'10-Feedstock Toxicity Info'!C$6:C$113,"*")&gt;0,"Yes","")</f>
        <v/>
      </c>
      <c r="D43" s="36" t="str">
        <f>IF(COUNTIFS('10-Feedstock Toxicity Info'!$A$6:$A$113,'5-Annual Summary'!$A43,'10-Feedstock Toxicity Info'!T$6:T$113,"*")&gt;0,"Yes","")</f>
        <v/>
      </c>
      <c r="E43" s="36" t="str">
        <f>IF(COUNTIFS('10-Feedstock Toxicity Info'!$A$6:$A$113,'5-Annual Summary'!$A43,'10-Feedstock Toxicity Info'!I$6:I$113,"*")&gt;0,"Yes","")</f>
        <v/>
      </c>
      <c r="F43" s="36" t="str">
        <f>IF(COUNTIFS('10-Feedstock Toxicity Info'!$A$6:$A$113,'5-Annual Summary'!$A43,'10-Feedstock Toxicity Info'!J$6:J$113,"*")&gt;0,"Yes","")</f>
        <v/>
      </c>
      <c r="G43" s="37"/>
      <c r="H43" s="37"/>
      <c r="I43" s="37"/>
      <c r="J43" s="379"/>
    </row>
    <row r="44" spans="1:10" x14ac:dyDescent="0.45">
      <c r="A44" s="377" t="str">
        <f>IF('3-Digester Inputs'!B31=0,"-",'3-Digester Inputs'!B31)</f>
        <v>-</v>
      </c>
      <c r="B44" s="36" t="str">
        <f>IF(COUNTIFS('10-Feedstock Toxicity Info'!$A$6:$A$113,'5-Annual Summary'!$A44,'10-Feedstock Toxicity Info'!B$6:B$113,"*")&gt;0,"Yes","")</f>
        <v/>
      </c>
      <c r="C44" s="36" t="str">
        <f>IF(COUNTIFS('10-Feedstock Toxicity Info'!$A$6:$A$113,'5-Annual Summary'!$A44,'10-Feedstock Toxicity Info'!C$6:C$113,"*")&gt;0,"Yes","")</f>
        <v/>
      </c>
      <c r="D44" s="36" t="str">
        <f>IF(COUNTIFS('10-Feedstock Toxicity Info'!$A$6:$A$113,'5-Annual Summary'!$A44,'10-Feedstock Toxicity Info'!T$6:T$113,"*")&gt;0,"Yes","")</f>
        <v/>
      </c>
      <c r="E44" s="36" t="str">
        <f>IF(COUNTIFS('10-Feedstock Toxicity Info'!$A$6:$A$113,'5-Annual Summary'!$A44,'10-Feedstock Toxicity Info'!I$6:I$113,"*")&gt;0,"Yes","")</f>
        <v/>
      </c>
      <c r="F44" s="36" t="str">
        <f>IF(COUNTIFS('10-Feedstock Toxicity Info'!$A$6:$A$113,'5-Annual Summary'!$A44,'10-Feedstock Toxicity Info'!J$6:J$113,"*")&gt;0,"Yes","")</f>
        <v/>
      </c>
      <c r="G44" s="37"/>
      <c r="H44" s="37"/>
      <c r="I44" s="37"/>
      <c r="J44" s="379"/>
    </row>
    <row r="45" spans="1:10" x14ac:dyDescent="0.45">
      <c r="A45" s="376" t="s">
        <v>323</v>
      </c>
      <c r="B45" s="38"/>
      <c r="C45" s="38"/>
      <c r="D45" s="390"/>
      <c r="E45" s="390"/>
      <c r="F45" s="390"/>
      <c r="G45" s="618"/>
      <c r="H45" s="618"/>
      <c r="I45" s="618"/>
      <c r="J45" s="619"/>
    </row>
    <row r="65" spans="3:3" x14ac:dyDescent="0.45">
      <c r="C65" s="513"/>
    </row>
  </sheetData>
  <sheetProtection selectLockedCells="1"/>
  <mergeCells count="33">
    <mergeCell ref="G45:J45"/>
    <mergeCell ref="A2:J6"/>
    <mergeCell ref="A24:J28"/>
    <mergeCell ref="G29:J29"/>
    <mergeCell ref="F17:J17"/>
    <mergeCell ref="F18:J18"/>
    <mergeCell ref="B10:D10"/>
    <mergeCell ref="B11:D11"/>
    <mergeCell ref="B12:D12"/>
    <mergeCell ref="B13:D13"/>
    <mergeCell ref="B14:D14"/>
    <mergeCell ref="B15:D15"/>
    <mergeCell ref="B16:D16"/>
    <mergeCell ref="B17:D17"/>
    <mergeCell ref="B18:D18"/>
    <mergeCell ref="F12:J12"/>
    <mergeCell ref="F13:J13"/>
    <mergeCell ref="F14:J14"/>
    <mergeCell ref="F15:J15"/>
    <mergeCell ref="F16:J16"/>
    <mergeCell ref="F7:J7"/>
    <mergeCell ref="F8:J8"/>
    <mergeCell ref="F9:J9"/>
    <mergeCell ref="F10:J10"/>
    <mergeCell ref="F11:J11"/>
    <mergeCell ref="F19:J19"/>
    <mergeCell ref="F20:J20"/>
    <mergeCell ref="F21:J21"/>
    <mergeCell ref="F22:J22"/>
    <mergeCell ref="B19:D19"/>
    <mergeCell ref="B20:D20"/>
    <mergeCell ref="B21:D21"/>
    <mergeCell ref="B22:D22"/>
  </mergeCells>
  <pageMargins left="0.7" right="0.7" top="0.75" bottom="0.75" header="0.3" footer="0.3"/>
  <pageSetup scale="50" orientation="portrait" r:id="rId1"/>
  <headerFooter>
    <oddHeader>&amp;C&amp;G</oddHeader>
  </headerFooter>
  <drawing r:id="rId2"/>
  <legacyDrawingHF r:id="rId3"/>
  <extLst>
    <ext xmlns:x14="http://schemas.microsoft.com/office/spreadsheetml/2009/9/main" uri="{CCE6A557-97BC-4b89-ADB6-D9C93CAAB3DF}">
      <x14:dataValidations xmlns:xm="http://schemas.microsoft.com/office/excel/2006/main" count="2">
        <x14:dataValidation type="list" allowBlank="1" showInputMessage="1" showErrorMessage="1" xr:uid="{9E184795-E6F7-4EFA-A3D1-E1C185BE5538}">
          <x14:formula1>
            <xm:f>'23-Look up values'!$A$13:$A$14</xm:f>
          </x14:formula1>
          <xm:sqref>E8:E9 E19</xm:sqref>
        </x14:dataValidation>
        <x14:dataValidation type="list" allowBlank="1" showInputMessage="1" showErrorMessage="1" xr:uid="{98C4F9C4-0389-46CA-AC38-73476BC25AEA}">
          <x14:formula1>
            <xm:f>'23-Look up values'!$A$18:$A$21</xm:f>
          </x14:formula1>
          <xm:sqref>E11:E15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pageSetUpPr fitToPage="1"/>
  </sheetPr>
  <dimension ref="A1:AA81"/>
  <sheetViews>
    <sheetView topLeftCell="A3" workbookViewId="0">
      <selection activeCell="A81" sqref="A54:XFD81"/>
    </sheetView>
  </sheetViews>
  <sheetFormatPr defaultColWidth="9" defaultRowHeight="15" x14ac:dyDescent="0.35"/>
  <cols>
    <col min="1" max="1" width="42.5703125" style="9" customWidth="1"/>
    <col min="2" max="2" width="22.0703125" style="9" bestFit="1" customWidth="1"/>
    <col min="3" max="4" width="26.640625" style="9" bestFit="1" customWidth="1"/>
    <col min="5" max="5" width="19.640625" style="9" bestFit="1" customWidth="1"/>
    <col min="6" max="6" width="36.5" style="9" customWidth="1"/>
    <col min="7" max="7" width="8" style="9" customWidth="1"/>
    <col min="8" max="8" width="39.140625" style="9" customWidth="1"/>
    <col min="9" max="9" width="12.140625" style="9" bestFit="1" customWidth="1"/>
    <col min="10" max="10" width="8.92578125" style="9" bestFit="1" customWidth="1"/>
    <col min="11" max="11" width="18.42578125" style="9" customWidth="1"/>
    <col min="12" max="12" width="11.5" style="9" bestFit="1" customWidth="1"/>
    <col min="13" max="13" width="11.0703125" style="9" bestFit="1" customWidth="1"/>
    <col min="14" max="14" width="9" style="9"/>
    <col min="15" max="15" width="21.5" style="9" customWidth="1"/>
    <col min="16" max="16" width="15.5703125" style="9" customWidth="1"/>
    <col min="17" max="18" width="14.140625" style="9" customWidth="1"/>
    <col min="19" max="19" width="15.5703125" style="9" customWidth="1"/>
    <col min="20" max="20" width="19.0703125" style="9" customWidth="1"/>
    <col min="21" max="21" width="9" style="9"/>
    <col min="22" max="22" width="15.140625" style="9" customWidth="1"/>
    <col min="23" max="23" width="13.640625" style="9" customWidth="1"/>
    <col min="24" max="24" width="13.0703125" style="9" customWidth="1"/>
    <col min="25" max="25" width="12.640625" style="9" customWidth="1"/>
    <col min="26" max="26" width="11.640625" style="9" customWidth="1"/>
    <col min="27" max="27" width="12.42578125" style="9" customWidth="1"/>
    <col min="28" max="28" width="11.92578125" style="9" customWidth="1"/>
    <col min="29" max="16384" width="9" style="9"/>
  </cols>
  <sheetData>
    <row r="1" spans="1:6" s="1" customFormat="1" ht="30" customHeight="1" x14ac:dyDescent="0.4">
      <c r="A1" s="287" t="s">
        <v>324</v>
      </c>
      <c r="B1" s="291"/>
      <c r="C1" s="291"/>
      <c r="D1" s="291"/>
      <c r="E1" s="291"/>
      <c r="F1" s="291"/>
    </row>
    <row r="2" spans="1:6" s="1" customFormat="1" ht="14.15" x14ac:dyDescent="0.35">
      <c r="A2" s="2"/>
    </row>
    <row r="3" spans="1:6" s="1" customFormat="1" ht="14.15" x14ac:dyDescent="0.35">
      <c r="A3" s="2"/>
    </row>
    <row r="4" spans="1:6" s="1" customFormat="1" ht="32.25" customHeight="1" x14ac:dyDescent="0.35">
      <c r="A4" s="2"/>
    </row>
    <row r="5" spans="1:6" s="1" customFormat="1" ht="32.25" customHeight="1" x14ac:dyDescent="0.35">
      <c r="A5" s="2"/>
    </row>
    <row r="6" spans="1:6" ht="86.05" customHeight="1" x14ac:dyDescent="0.35">
      <c r="A6" s="642" t="s">
        <v>745</v>
      </c>
      <c r="B6" s="643"/>
      <c r="C6" s="644"/>
    </row>
    <row r="7" spans="1:6" ht="17.600000000000001" x14ac:dyDescent="0.4">
      <c r="A7" s="281" t="s">
        <v>746</v>
      </c>
      <c r="B7" s="537">
        <f>F53</f>
        <v>324.54137913514933</v>
      </c>
      <c r="C7" s="646" t="s">
        <v>734</v>
      </c>
      <c r="D7" s="538"/>
    </row>
    <row r="8" spans="1:6" ht="17.25" customHeight="1" x14ac:dyDescent="0.4">
      <c r="A8" s="281" t="s">
        <v>732</v>
      </c>
      <c r="B8" s="514">
        <f>D53</f>
        <v>161.94614818843951</v>
      </c>
      <c r="C8" s="647"/>
    </row>
    <row r="9" spans="1:6" ht="17.25" customHeight="1" x14ac:dyDescent="0.35"/>
    <row r="10" spans="1:6" ht="27" customHeight="1" x14ac:dyDescent="0.35">
      <c r="A10" s="618" t="str">
        <f>"Biogas Production per Retention Period by Organic Waste (" &amp; C7&amp;")"</f>
        <v>Biogas Production per Retention Period by Organic Waste (m3/day)</v>
      </c>
      <c r="B10" s="618"/>
      <c r="C10" s="618"/>
      <c r="D10" s="618"/>
      <c r="E10" s="618"/>
      <c r="F10" s="618"/>
    </row>
    <row r="34" spans="1:6" ht="16.3" customHeight="1" x14ac:dyDescent="0.35"/>
    <row r="35" spans="1:6" ht="16.3" customHeight="1" x14ac:dyDescent="0.35"/>
    <row r="36" spans="1:6" ht="29.4" customHeight="1" x14ac:dyDescent="0.35">
      <c r="A36" s="645" t="str">
        <f>"Average Biogas Production per Retention Period by Organic Waste (" &amp; C7&amp;")"</f>
        <v>Average Biogas Production per Retention Period by Organic Waste (m3/day)</v>
      </c>
      <c r="B36" s="645"/>
      <c r="C36" s="645"/>
      <c r="D36" s="645"/>
      <c r="E36" s="645"/>
      <c r="F36" s="645"/>
    </row>
    <row r="37" spans="1:6" s="268" customFormat="1" ht="30" x14ac:dyDescent="0.35">
      <c r="A37" s="525" t="s">
        <v>149</v>
      </c>
      <c r="B37" s="33" t="s">
        <v>325</v>
      </c>
      <c r="C37" s="33" t="s">
        <v>326</v>
      </c>
      <c r="D37" s="33" t="str">
        <f>"Methane Production ("&amp;C7&amp;")"</f>
        <v>Methane Production (m3/day)</v>
      </c>
      <c r="E37" s="33" t="str">
        <f>"Other Gases ("&amp;C7&amp;")"</f>
        <v>Other Gases (m3/day)</v>
      </c>
      <c r="F37" s="33" t="str">
        <f>"Total Biogas Production ("&amp;C7&amp;")"</f>
        <v>Total Biogas Production (m3/day)</v>
      </c>
    </row>
    <row r="38" spans="1:6" ht="16.3" customHeight="1" x14ac:dyDescent="0.35">
      <c r="A38" s="29" t="str">
        <f>IF('3-Digester Inputs'!B17=0,"",'3-Digester Inputs'!B17)</f>
        <v>Calf</v>
      </c>
      <c r="B38" s="12">
        <f>'3-Digester Inputs'!P17</f>
        <v>1820.6007912771083</v>
      </c>
      <c r="C38" s="205">
        <f>IFERROR(VLOOKUP(A38,'9-Feedstock Characteristics'!$A$10:$R$117,17,FALSE)/1000,"")</f>
        <v>0.14799999999999999</v>
      </c>
      <c r="D38" s="342">
        <f>IFERROR(AVERAGE(D58,K58)*VLOOKUP($C$7,'23-Look up values'!$A$15:$B$16,2,FALSE),"")</f>
        <v>152.40940022744337</v>
      </c>
      <c r="E38" s="342">
        <f>IFERROR(F38-D38,"")</f>
        <v>153.02025954699224</v>
      </c>
      <c r="F38" s="342">
        <f>IFERROR(D38/Methane_CH4_Percent,"")</f>
        <v>305.42965977443561</v>
      </c>
    </row>
    <row r="39" spans="1:6" ht="16.3" customHeight="1" x14ac:dyDescent="0.35">
      <c r="A39" s="29" t="str">
        <f>IF('3-Digester Inputs'!B18=0,"",'3-Digester Inputs'!B18)</f>
        <v>Adolescents Pigs</v>
      </c>
      <c r="B39" s="12">
        <f>'3-Digester Inputs'!P18</f>
        <v>24.795432221538455</v>
      </c>
      <c r="C39" s="205">
        <f>IFERROR(VLOOKUP(A39,'9-Feedstock Characteristics'!$A$10:$R$117,17,FALSE)/1000,"")</f>
        <v>0.35599999999999998</v>
      </c>
      <c r="D39" s="342">
        <f>IFERROR(AVERAGE(D59,K59)*VLOOKUP($C$7,'23-Look up values'!$A$15:$B$16,2,FALSE),"")</f>
        <v>4.9929474194843868</v>
      </c>
      <c r="E39" s="342">
        <f>IFERROR(F39-D39,"")</f>
        <v>5.0129592327889343</v>
      </c>
      <c r="F39" s="342">
        <f>IFERROR(D39/Methane_CH4_Percent,"")</f>
        <v>10.005906652273321</v>
      </c>
    </row>
    <row r="40" spans="1:6" ht="16.3" customHeight="1" x14ac:dyDescent="0.35">
      <c r="A40" s="29" t="str">
        <f>IF('3-Digester Inputs'!B19=0,"",'3-Digester Inputs'!B19)</f>
        <v>Poultry Chicken</v>
      </c>
      <c r="B40" s="12">
        <f>'3-Digester Inputs'!P19</f>
        <v>29.105486666666661</v>
      </c>
      <c r="C40" s="205">
        <f>IFERROR(VLOOKUP(A40,'9-Feedstock Characteristics'!$A$10:$R$117,17,FALSE)/1000,"")</f>
        <v>0.27600000000000002</v>
      </c>
      <c r="D40" s="342">
        <f>IFERROR(AVERAGE(D60,K60)*VLOOKUP($C$7,'23-Look up values'!$A$15:$B$16,2,FALSE),"")</f>
        <v>4.5438005415117608</v>
      </c>
      <c r="E40" s="12">
        <f t="shared" ref="E40:E52" si="0">IFERROR(F40-D40,"")</f>
        <v>4.5620121669286409</v>
      </c>
      <c r="F40" s="12">
        <f t="shared" ref="F40:F52" si="1">IFERROR(D40/Methane_CH4_Percent,"")</f>
        <v>9.1058127084404017</v>
      </c>
    </row>
    <row r="41" spans="1:6" ht="16.3" customHeight="1" x14ac:dyDescent="0.35">
      <c r="A41" s="29" t="str">
        <f>IF('3-Digester Inputs'!B20=0,"",'3-Digester Inputs'!B20)</f>
        <v/>
      </c>
      <c r="B41" s="12" t="str">
        <f>'3-Digester Inputs'!P20</f>
        <v/>
      </c>
      <c r="C41" s="205" t="str">
        <f>IFERROR(VLOOKUP(A41,'9-Feedstock Characteristics'!$A$10:$R$117,17,FALSE)/1000,"")</f>
        <v/>
      </c>
      <c r="D41" s="342" t="str">
        <f>IFERROR(AVERAGE(D61,K61)*VLOOKUP($C$7,'23-Look up values'!$A$15:$B$16,2,FALSE),"")</f>
        <v/>
      </c>
      <c r="E41" s="12" t="str">
        <f t="shared" si="0"/>
        <v/>
      </c>
      <c r="F41" s="12" t="str">
        <f t="shared" si="1"/>
        <v/>
      </c>
    </row>
    <row r="42" spans="1:6" ht="16.3" customHeight="1" x14ac:dyDescent="0.35">
      <c r="A42" s="29" t="str">
        <f>IF('3-Digester Inputs'!B21=0,"",'3-Digester Inputs'!B21)</f>
        <v/>
      </c>
      <c r="B42" s="12" t="str">
        <f>'3-Digester Inputs'!P21</f>
        <v/>
      </c>
      <c r="C42" s="205" t="str">
        <f>IFERROR(VLOOKUP(A42,'9-Feedstock Characteristics'!$A$10:$R$117,17,FALSE)/1000,"")</f>
        <v/>
      </c>
      <c r="D42" s="342" t="str">
        <f>IFERROR(AVERAGE(D62,K62)*VLOOKUP($C$7,'23-Look up values'!$A$15:$B$16,2,FALSE),"")</f>
        <v/>
      </c>
      <c r="E42" s="12" t="str">
        <f t="shared" si="0"/>
        <v/>
      </c>
      <c r="F42" s="12" t="str">
        <f t="shared" si="1"/>
        <v/>
      </c>
    </row>
    <row r="43" spans="1:6" ht="16.3" customHeight="1" x14ac:dyDescent="0.35">
      <c r="A43" s="29" t="str">
        <f>IF('3-Digester Inputs'!B22=0,"",'3-Digester Inputs'!B22)</f>
        <v/>
      </c>
      <c r="B43" s="12" t="str">
        <f>'3-Digester Inputs'!P22</f>
        <v/>
      </c>
      <c r="C43" s="205" t="str">
        <f>IFERROR(VLOOKUP(A43,'9-Feedstock Characteristics'!$A$10:$R$117,17,FALSE)/1000,"")</f>
        <v/>
      </c>
      <c r="D43" s="342" t="str">
        <f>IFERROR(AVERAGE(D63,K63)*VLOOKUP($C$7,'23-Look up values'!$A$15:$B$16,2,FALSE),"")</f>
        <v/>
      </c>
      <c r="E43" s="12" t="str">
        <f t="shared" si="0"/>
        <v/>
      </c>
      <c r="F43" s="12" t="str">
        <f t="shared" si="1"/>
        <v/>
      </c>
    </row>
    <row r="44" spans="1:6" ht="16.3" customHeight="1" x14ac:dyDescent="0.35">
      <c r="A44" s="29" t="str">
        <f>IF('3-Digester Inputs'!B23=0,"",'3-Digester Inputs'!B23)</f>
        <v/>
      </c>
      <c r="B44" s="12" t="str">
        <f>'3-Digester Inputs'!P23</f>
        <v/>
      </c>
      <c r="C44" s="12" t="str">
        <f>IFERROR(VLOOKUP(A44,'9-Feedstock Characteristics'!$A$10:$R$117,17,FALSE)/1000,"")</f>
        <v/>
      </c>
      <c r="D44" s="342" t="str">
        <f>IFERROR(AVERAGE(D64,K64)*VLOOKUP($C$7,'23-Look up values'!$A$15:$B$16,2,FALSE),"")</f>
        <v/>
      </c>
      <c r="E44" s="12" t="str">
        <f t="shared" si="0"/>
        <v/>
      </c>
      <c r="F44" s="12" t="str">
        <f t="shared" si="1"/>
        <v/>
      </c>
    </row>
    <row r="45" spans="1:6" ht="16.3" customHeight="1" x14ac:dyDescent="0.35">
      <c r="A45" s="29" t="str">
        <f>IF('3-Digester Inputs'!B24=0,"",'3-Digester Inputs'!B24)</f>
        <v/>
      </c>
      <c r="B45" s="12" t="str">
        <f>'3-Digester Inputs'!P24</f>
        <v/>
      </c>
      <c r="C45" s="12" t="str">
        <f>IFERROR(VLOOKUP(A45,'9-Feedstock Characteristics'!$A$10:$R$117,17,FALSE)/1000,"")</f>
        <v/>
      </c>
      <c r="D45" s="342" t="str">
        <f>IFERROR(AVERAGE(D65,K65)*VLOOKUP($C$7,'23-Look up values'!$A$15:$B$16,2,FALSE),"")</f>
        <v/>
      </c>
      <c r="E45" s="12" t="str">
        <f t="shared" si="0"/>
        <v/>
      </c>
      <c r="F45" s="12" t="str">
        <f t="shared" si="1"/>
        <v/>
      </c>
    </row>
    <row r="46" spans="1:6" ht="16.3" customHeight="1" x14ac:dyDescent="0.35">
      <c r="A46" s="29" t="str">
        <f>IF('3-Digester Inputs'!B25=0,"",'3-Digester Inputs'!B25)</f>
        <v/>
      </c>
      <c r="B46" s="12" t="str">
        <f>'3-Digester Inputs'!P25</f>
        <v/>
      </c>
      <c r="C46" s="12" t="str">
        <f>IFERROR(VLOOKUP(A46,'9-Feedstock Characteristics'!$A$10:$R$117,17,FALSE)/1000,"")</f>
        <v/>
      </c>
      <c r="D46" s="342" t="str">
        <f>IFERROR(AVERAGE(D66,K66)*VLOOKUP($C$7,'23-Look up values'!$A$15:$B$16,2,FALSE),"")</f>
        <v/>
      </c>
      <c r="E46" s="12" t="str">
        <f t="shared" si="0"/>
        <v/>
      </c>
      <c r="F46" s="12" t="str">
        <f t="shared" si="1"/>
        <v/>
      </c>
    </row>
    <row r="47" spans="1:6" ht="16.3" customHeight="1" x14ac:dyDescent="0.35">
      <c r="A47" s="29" t="str">
        <f>IF('3-Digester Inputs'!B26=0,"",'3-Digester Inputs'!B26)</f>
        <v/>
      </c>
      <c r="B47" s="12" t="str">
        <f>'3-Digester Inputs'!P26</f>
        <v/>
      </c>
      <c r="C47" s="12" t="str">
        <f>IFERROR(VLOOKUP(A47,'9-Feedstock Characteristics'!$A$10:$R$117,17,FALSE)/1000,"")</f>
        <v/>
      </c>
      <c r="D47" s="342" t="str">
        <f>IFERROR(AVERAGE(D67,K67)*VLOOKUP($C$7,'23-Look up values'!$A$15:$B$16,2,FALSE),"")</f>
        <v/>
      </c>
      <c r="E47" s="12" t="str">
        <f t="shared" si="0"/>
        <v/>
      </c>
      <c r="F47" s="12" t="str">
        <f t="shared" si="1"/>
        <v/>
      </c>
    </row>
    <row r="48" spans="1:6" ht="16.3" customHeight="1" x14ac:dyDescent="0.35">
      <c r="A48" s="29" t="str">
        <f>IF('3-Digester Inputs'!B27=0,"",'3-Digester Inputs'!B27)</f>
        <v/>
      </c>
      <c r="B48" s="12" t="str">
        <f>'3-Digester Inputs'!P27</f>
        <v/>
      </c>
      <c r="C48" s="12" t="str">
        <f>IFERROR(VLOOKUP(A48,'9-Feedstock Characteristics'!$A$10:$R$117,17,FALSE)/1000,"")</f>
        <v/>
      </c>
      <c r="D48" s="342" t="str">
        <f>IFERROR(AVERAGE(D68,K68)*VLOOKUP($C$7,'23-Look up values'!$A$15:$B$16,2,FALSE),"")</f>
        <v/>
      </c>
      <c r="E48" s="12" t="str">
        <f t="shared" si="0"/>
        <v/>
      </c>
      <c r="F48" s="12" t="str">
        <f t="shared" si="1"/>
        <v/>
      </c>
    </row>
    <row r="49" spans="1:27" ht="16.3" customHeight="1" x14ac:dyDescent="0.35">
      <c r="A49" s="29" t="str">
        <f>IF('3-Digester Inputs'!B28=0,"",'3-Digester Inputs'!B28)</f>
        <v/>
      </c>
      <c r="B49" s="12" t="str">
        <f>'3-Digester Inputs'!P28</f>
        <v/>
      </c>
      <c r="C49" s="12" t="str">
        <f>IFERROR(VLOOKUP(A49,'9-Feedstock Characteristics'!$A$10:$R$117,17,FALSE)/1000,"")</f>
        <v/>
      </c>
      <c r="D49" s="342" t="str">
        <f>IFERROR(AVERAGE(D69,K69)*VLOOKUP($C$7,'23-Look up values'!$A$15:$B$16,2,FALSE),"")</f>
        <v/>
      </c>
      <c r="E49" s="12" t="str">
        <f t="shared" si="0"/>
        <v/>
      </c>
      <c r="F49" s="12" t="str">
        <f t="shared" si="1"/>
        <v/>
      </c>
    </row>
    <row r="50" spans="1:27" ht="16.3" customHeight="1" x14ac:dyDescent="0.35">
      <c r="A50" s="29" t="str">
        <f>IF('3-Digester Inputs'!B29=0,"",'3-Digester Inputs'!B29)</f>
        <v/>
      </c>
      <c r="B50" s="12" t="str">
        <f>'3-Digester Inputs'!P29</f>
        <v/>
      </c>
      <c r="C50" s="12" t="str">
        <f>IFERROR(VLOOKUP(A50,'9-Feedstock Characteristics'!$A$10:$R$117,17,FALSE)/1000,"")</f>
        <v/>
      </c>
      <c r="D50" s="342" t="str">
        <f>IFERROR(AVERAGE(D70,K70)*VLOOKUP($C$7,'23-Look up values'!$A$15:$B$16,2,FALSE),"")</f>
        <v/>
      </c>
      <c r="E50" s="12" t="str">
        <f t="shared" si="0"/>
        <v/>
      </c>
      <c r="F50" s="12" t="str">
        <f t="shared" si="1"/>
        <v/>
      </c>
    </row>
    <row r="51" spans="1:27" ht="16.3" customHeight="1" x14ac:dyDescent="0.35">
      <c r="A51" s="29" t="str">
        <f>IF('3-Digester Inputs'!B30=0,"",'3-Digester Inputs'!B30)</f>
        <v/>
      </c>
      <c r="B51" s="12" t="str">
        <f>'3-Digester Inputs'!P30</f>
        <v/>
      </c>
      <c r="C51" s="12" t="str">
        <f>IFERROR(VLOOKUP(A51,'9-Feedstock Characteristics'!$A$10:$R$117,17,FALSE)/1000,"")</f>
        <v/>
      </c>
      <c r="D51" s="342" t="str">
        <f>IFERROR(AVERAGE(D71,K71)*VLOOKUP($C$7,'23-Look up values'!$A$15:$B$16,2,FALSE),"")</f>
        <v/>
      </c>
      <c r="E51" s="12" t="str">
        <f t="shared" si="0"/>
        <v/>
      </c>
      <c r="F51" s="12" t="str">
        <f t="shared" si="1"/>
        <v/>
      </c>
    </row>
    <row r="52" spans="1:27" ht="16.3" customHeight="1" x14ac:dyDescent="0.35">
      <c r="A52" s="29" t="str">
        <f>IF('3-Digester Inputs'!B31=0,"",'3-Digester Inputs'!B31)</f>
        <v/>
      </c>
      <c r="B52" s="12" t="str">
        <f>'3-Digester Inputs'!P31</f>
        <v/>
      </c>
      <c r="C52" s="12" t="str">
        <f>IFERROR(VLOOKUP(A52,'9-Feedstock Characteristics'!$A$10:$R$117,17,FALSE)/1000,"")</f>
        <v/>
      </c>
      <c r="D52" s="342" t="str">
        <f>IFERROR(AVERAGE(D72,K72)*VLOOKUP($C$7,'23-Look up values'!$A$15:$B$16,2,FALSE),"")</f>
        <v/>
      </c>
      <c r="E52" s="12" t="str">
        <f t="shared" si="0"/>
        <v/>
      </c>
      <c r="F52" s="12" t="str">
        <f t="shared" si="1"/>
        <v/>
      </c>
    </row>
    <row r="53" spans="1:27" ht="16.3" customHeight="1" x14ac:dyDescent="0.35">
      <c r="A53" s="32" t="s">
        <v>204</v>
      </c>
      <c r="B53" s="280">
        <f>SUM(B38:B52)</f>
        <v>1874.5017101653134</v>
      </c>
      <c r="C53" s="280">
        <f>SUMPRODUCT(B38:B52,C38:C52)/SUM(B38:B52)</f>
        <v>0.15273883387101841</v>
      </c>
      <c r="D53" s="280">
        <f>SUM(D38:D52)</f>
        <v>161.94614818843951</v>
      </c>
      <c r="E53" s="280">
        <f>IFERROR(F53-D53,"")</f>
        <v>162.59523094670982</v>
      </c>
      <c r="F53" s="280">
        <f>SUM(F38:F52)</f>
        <v>324.54137913514933</v>
      </c>
    </row>
    <row r="54" spans="1:27" ht="35.4" hidden="1" customHeight="1" x14ac:dyDescent="0.35">
      <c r="J54" s="207"/>
    </row>
    <row r="55" spans="1:27" ht="16.3" hidden="1" customHeight="1" x14ac:dyDescent="0.35"/>
    <row r="56" spans="1:27" ht="21" hidden="1" customHeight="1" x14ac:dyDescent="0.35">
      <c r="A56" s="618" t="s">
        <v>748</v>
      </c>
      <c r="B56" s="618"/>
      <c r="C56" s="618"/>
      <c r="D56" s="618"/>
      <c r="E56" s="618"/>
      <c r="F56" s="618"/>
      <c r="H56" s="618" t="s">
        <v>747</v>
      </c>
      <c r="I56" s="618"/>
      <c r="J56" s="618"/>
      <c r="K56" s="618"/>
      <c r="L56" s="618"/>
      <c r="M56" s="618"/>
      <c r="O56" s="618" t="s">
        <v>749</v>
      </c>
      <c r="P56" s="618"/>
      <c r="Q56" s="618"/>
      <c r="R56" s="618"/>
      <c r="S56" s="618"/>
      <c r="T56" s="618"/>
      <c r="V56" s="618" t="s">
        <v>750</v>
      </c>
      <c r="W56" s="618"/>
      <c r="X56" s="618"/>
      <c r="Y56" s="618"/>
      <c r="Z56" s="618"/>
      <c r="AA56" s="618"/>
    </row>
    <row r="57" spans="1:27" s="268" customFormat="1" ht="58.3" hidden="1" x14ac:dyDescent="0.35">
      <c r="A57" s="525" t="s">
        <v>149</v>
      </c>
      <c r="B57" s="33" t="s">
        <v>739</v>
      </c>
      <c r="C57" s="33" t="s">
        <v>326</v>
      </c>
      <c r="D57" s="33" t="s">
        <v>327</v>
      </c>
      <c r="E57" s="33" t="s">
        <v>328</v>
      </c>
      <c r="F57" s="33" t="s">
        <v>329</v>
      </c>
      <c r="H57" s="525" t="s">
        <v>149</v>
      </c>
      <c r="I57" s="33" t="s">
        <v>739</v>
      </c>
      <c r="J57" s="33" t="s">
        <v>326</v>
      </c>
      <c r="K57" s="33" t="s">
        <v>327</v>
      </c>
      <c r="L57" s="33" t="s">
        <v>328</v>
      </c>
      <c r="M57" s="33" t="s">
        <v>329</v>
      </c>
      <c r="O57" s="525" t="s">
        <v>149</v>
      </c>
      <c r="P57" s="33" t="s">
        <v>739</v>
      </c>
      <c r="Q57" s="33" t="s">
        <v>326</v>
      </c>
      <c r="R57" s="33" t="s">
        <v>327</v>
      </c>
      <c r="S57" s="33" t="s">
        <v>328</v>
      </c>
      <c r="T57" s="33" t="s">
        <v>329</v>
      </c>
      <c r="V57" s="525" t="s">
        <v>149</v>
      </c>
      <c r="W57" s="33" t="s">
        <v>739</v>
      </c>
      <c r="X57" s="33" t="s">
        <v>326</v>
      </c>
      <c r="Y57" s="33" t="s">
        <v>327</v>
      </c>
      <c r="Z57" s="33" t="s">
        <v>328</v>
      </c>
      <c r="AA57" s="33" t="s">
        <v>329</v>
      </c>
    </row>
    <row r="58" spans="1:27" ht="19.3" hidden="1" customHeight="1" x14ac:dyDescent="0.35">
      <c r="A58" s="29" t="str">
        <f>IF('3-Digester Inputs'!B17=0,"",'3-Digester Inputs'!B17)</f>
        <v>Calf</v>
      </c>
      <c r="B58" s="528">
        <f>'3-Digester Inputs'!P17</f>
        <v>1820.6007912771083</v>
      </c>
      <c r="C58" s="528">
        <f>IFERROR(VLOOKUP(A58,'9-Feedstock Characteristics'!$A$10:$R$117,17,FALSE)/1000,"")</f>
        <v>0.14799999999999999</v>
      </c>
      <c r="D58" s="528">
        <f>IFERROR(C58*B58*VLOOKUP(ReactorType&amp;"_"&amp;ReactorTemp,'11-Calibration Factors'!$A$4:$C$9,2,FALSE),"")</f>
        <v>108.00841290851233</v>
      </c>
      <c r="E58" s="528">
        <f>IFERROR(F58-D58,"")</f>
        <v>108.44131235904746</v>
      </c>
      <c r="F58" s="528">
        <f>IFERROR(D58/Methane_CH4_Percent,"")</f>
        <v>216.44972526755978</v>
      </c>
      <c r="H58" s="529" t="str">
        <f>IF('3-Digester Inputs'!B17=0,"",'3-Digester Inputs'!B17)</f>
        <v>Calf</v>
      </c>
      <c r="I58" s="528">
        <f>'3-Digester Inputs'!P17</f>
        <v>1820.6007912771083</v>
      </c>
      <c r="J58" s="528">
        <f>IFERROR(VLOOKUP(H58,'9-Feedstock Characteristics'!$A$10:$R$117,17,FALSE)/1000,"")</f>
        <v>0.14799999999999999</v>
      </c>
      <c r="K58" s="528">
        <f>IFERROR(J58*I58*VLOOKUP(ReactorType&amp;"_"&amp;ReactorTemp,'11-Calibration Factors'!$A$4:$C$9,3,FALSE),"")</f>
        <v>196.81038754637439</v>
      </c>
      <c r="L58" s="528">
        <f>IFERROR(M58-K58,"")</f>
        <v>197.59920673493701</v>
      </c>
      <c r="M58" s="528">
        <f>IFERROR(K58/Methane_CH4_Percent,"")</f>
        <v>394.4095942813114</v>
      </c>
      <c r="N58" s="530"/>
      <c r="O58" s="529" t="str">
        <f>IF('3-Digester Inputs'!B17=0,"",'3-Digester Inputs'!B17)</f>
        <v>Calf</v>
      </c>
      <c r="P58" s="528">
        <f>'3-Digester Inputs'!P17</f>
        <v>1820.6007912771083</v>
      </c>
      <c r="Q58" s="528">
        <f>IFERROR(VLOOKUP(O58,'9-Feedstock Characteristics'!$A$10:$R$117,17,FALSE)/1000,"")</f>
        <v>0.14799999999999999</v>
      </c>
      <c r="R58" s="528">
        <f>IFERROR(Q58*P58,"")</f>
        <v>269.44891710901203</v>
      </c>
      <c r="S58" s="528">
        <f>IFERROR(T58-R58,"")</f>
        <v>270.52887268860724</v>
      </c>
      <c r="T58" s="528">
        <f>IFERROR(R58/Methane_CH4_Percent,"")</f>
        <v>539.97778979761927</v>
      </c>
      <c r="V58" s="529" t="str">
        <f>IF('3-Digester Inputs'!B17=0,"",'3-Digester Inputs'!B17)</f>
        <v>Calf</v>
      </c>
      <c r="W58" s="528">
        <f>'3-Digester Inputs'!P17</f>
        <v>1820.6007912771083</v>
      </c>
      <c r="X58" s="528">
        <f>IFERROR(VLOOKUP(V58,'9-Feedstock Characteristics'!$A$10:$R$117,17,FALSE)/1000,"")</f>
        <v>0.14799999999999999</v>
      </c>
      <c r="Y58" s="528">
        <f>IFERROR(AVERAGE(D58,K58)," ")</f>
        <v>152.40940022744337</v>
      </c>
      <c r="Z58" s="528">
        <f>IFERROR(AA58-Y58,"")</f>
        <v>153.02025954699224</v>
      </c>
      <c r="AA58" s="528">
        <f t="shared" ref="AA58:AA72" si="2">IFERROR(Y58/Methane_CH4_Percent,"")</f>
        <v>305.42965977443561</v>
      </c>
    </row>
    <row r="59" spans="1:27" ht="19.3" hidden="1" customHeight="1" x14ac:dyDescent="0.35">
      <c r="A59" s="29" t="str">
        <f>IF('3-Digester Inputs'!B18=0,"",'3-Digester Inputs'!B18)</f>
        <v>Adolescents Pigs</v>
      </c>
      <c r="B59" s="12">
        <f>'3-Digester Inputs'!P18</f>
        <v>24.795432221538455</v>
      </c>
      <c r="C59" s="205">
        <f>IFERROR(VLOOKUP(A59,'9-Feedstock Characteristics'!$A$10:$R$117,17,FALSE)/1000,"")</f>
        <v>0.35599999999999998</v>
      </c>
      <c r="D59" s="528">
        <f>IFERROR(C59*B59*VLOOKUP(ReactorType&amp;"_"&amp;ReactorTemp,'11-Calibration Factors'!$A$4:$C$9,2,FALSE),"")</f>
        <v>3.538366568659038</v>
      </c>
      <c r="E59" s="342">
        <f>IFERROR(F59-D59,"")</f>
        <v>3.5525483985935429</v>
      </c>
      <c r="F59" s="342">
        <f>IFERROR(D59/Methane_CH4_Percent,"")</f>
        <v>7.0909149672525809</v>
      </c>
      <c r="H59" s="529" t="str">
        <f>IF('3-Digester Inputs'!B18=0,"",'3-Digester Inputs'!B18)</f>
        <v>Adolescents Pigs</v>
      </c>
      <c r="I59" s="528">
        <f>'3-Digester Inputs'!P18</f>
        <v>24.795432221538455</v>
      </c>
      <c r="J59" s="528">
        <f>IFERROR(VLOOKUP(H59,'9-Feedstock Characteristics'!$A$10:$R$117,17,FALSE)/1000,"")</f>
        <v>0.35599999999999998</v>
      </c>
      <c r="K59" s="528">
        <f>IFERROR(J59*I59*VLOOKUP(ReactorType&amp;"_"&amp;ReactorTemp,'11-Calibration Factors'!$A$4:$C$9,3,FALSE),"")</f>
        <v>6.4475282703097356</v>
      </c>
      <c r="L59" s="528">
        <f>IFERROR(M59-K59,"")</f>
        <v>6.473370066984323</v>
      </c>
      <c r="M59" s="528">
        <f>IFERROR(K59/Methane_CH4_Percent,"")</f>
        <v>12.920898337294059</v>
      </c>
      <c r="N59" s="530"/>
      <c r="O59" s="529" t="str">
        <f>IF('3-Digester Inputs'!B18=0,"",'3-Digester Inputs'!B18)</f>
        <v>Adolescents Pigs</v>
      </c>
      <c r="P59" s="528">
        <f>'3-Digester Inputs'!P18</f>
        <v>24.795432221538455</v>
      </c>
      <c r="Q59" s="528">
        <f>IFERROR(VLOOKUP(O59,'9-Feedstock Characteristics'!$A$10:$R$117,17,FALSE)/1000,"")</f>
        <v>0.35599999999999998</v>
      </c>
      <c r="R59" s="528">
        <f>IFERROR(Q59*P59,"")</f>
        <v>8.8271738708676892</v>
      </c>
      <c r="S59" s="528">
        <f>IFERROR(T59-R59,"")</f>
        <v>8.8625533252599453</v>
      </c>
      <c r="T59" s="528">
        <f>IFERROR(R59/Methane_CH4_Percent,"")</f>
        <v>17.689727196127635</v>
      </c>
      <c r="V59" s="529" t="str">
        <f>IF('3-Digester Inputs'!B18=0,"",'3-Digester Inputs'!B18)</f>
        <v>Adolescents Pigs</v>
      </c>
      <c r="W59" s="528">
        <f>'3-Digester Inputs'!P18</f>
        <v>24.795432221538455</v>
      </c>
      <c r="X59" s="528">
        <f>IFERROR(VLOOKUP(V59,'9-Feedstock Characteristics'!$A$10:$R$117,17,FALSE)/1000,"")</f>
        <v>0.35599999999999998</v>
      </c>
      <c r="Y59" s="528">
        <f>IFERROR(AVERAGE(D59,K59)," ")</f>
        <v>4.9929474194843868</v>
      </c>
      <c r="Z59" s="528">
        <f t="shared" ref="Z59:Z72" si="3">IFERROR(AA59-Y59,"")</f>
        <v>5.0129592327889343</v>
      </c>
      <c r="AA59" s="528">
        <f t="shared" si="2"/>
        <v>10.005906652273321</v>
      </c>
    </row>
    <row r="60" spans="1:27" ht="19.3" hidden="1" customHeight="1" x14ac:dyDescent="0.35">
      <c r="A60" s="29" t="str">
        <f>IF('3-Digester Inputs'!B19=0,"",'3-Digester Inputs'!B19)</f>
        <v>Poultry Chicken</v>
      </c>
      <c r="B60" s="12">
        <f>'3-Digester Inputs'!P19</f>
        <v>29.105486666666661</v>
      </c>
      <c r="C60" s="205">
        <f>IFERROR(VLOOKUP(A60,'9-Feedstock Characteristics'!$A$10:$R$117,17,FALSE)/1000,"")</f>
        <v>0.27600000000000002</v>
      </c>
      <c r="D60" s="528">
        <f>IFERROR(C60*B60*VLOOKUP(ReactorType&amp;"_"&amp;ReactorTemp,'11-Calibration Factors'!$A$4:$C$9,2,FALSE),"")</f>
        <v>3.2200683444009424</v>
      </c>
      <c r="E60" s="12">
        <f t="shared" ref="E60:E72" si="4">IFERROR(F60-D60,"")</f>
        <v>3.2329744299496439</v>
      </c>
      <c r="F60" s="12">
        <f t="shared" ref="F60:F72" si="5">IFERROR(D60/Methane_CH4_Percent,"")</f>
        <v>6.4530427743505863</v>
      </c>
      <c r="H60" s="529" t="str">
        <f>IF('3-Digester Inputs'!B19=0,"",'3-Digester Inputs'!B19)</f>
        <v>Poultry Chicken</v>
      </c>
      <c r="I60" s="528">
        <f>'3-Digester Inputs'!P19</f>
        <v>29.105486666666661</v>
      </c>
      <c r="J60" s="528">
        <f>IFERROR(VLOOKUP(H60,'9-Feedstock Characteristics'!$A$10:$R$117,17,FALSE)/1000,"")</f>
        <v>0.27600000000000002</v>
      </c>
      <c r="K60" s="528">
        <f>IFERROR(J60*I60*VLOOKUP(ReactorType&amp;"_"&amp;ReactorTemp,'11-Calibration Factors'!$A$4:$C$9,3,FALSE),"")</f>
        <v>5.8675327386225788</v>
      </c>
      <c r="L60" s="528">
        <f t="shared" ref="L60:L72" si="6">IFERROR(M60-K60,"")</f>
        <v>5.8910499039076392</v>
      </c>
      <c r="M60" s="528">
        <f t="shared" ref="M60:M72" si="7">IFERROR(K60/Methane_CH4_Percent,"")</f>
        <v>11.758582642530218</v>
      </c>
      <c r="N60" s="530"/>
      <c r="O60" s="529" t="str">
        <f>IF('3-Digester Inputs'!B19=0,"",'3-Digester Inputs'!B19)</f>
        <v>Poultry Chicken</v>
      </c>
      <c r="P60" s="528">
        <f>'3-Digester Inputs'!P19</f>
        <v>29.105486666666661</v>
      </c>
      <c r="Q60" s="528">
        <f>IFERROR(VLOOKUP(O60,'9-Feedstock Characteristics'!$A$10:$R$117,17,FALSE)/1000,"")</f>
        <v>0.27600000000000002</v>
      </c>
      <c r="R60" s="528">
        <f t="shared" ref="R60:R72" si="8">IFERROR(Q60*P60,"")</f>
        <v>8.0331143199999993</v>
      </c>
      <c r="S60" s="528">
        <f t="shared" ref="S60:S72" si="9">IFERROR(T60-R60,"")</f>
        <v>8.065311170981964</v>
      </c>
      <c r="T60" s="528">
        <f t="shared" ref="T60:T72" si="10">IFERROR(R60/Methane_CH4_Percent,"")</f>
        <v>16.098425490981963</v>
      </c>
      <c r="V60" s="529" t="str">
        <f>IF('3-Digester Inputs'!B19=0,"",'3-Digester Inputs'!B19)</f>
        <v>Poultry Chicken</v>
      </c>
      <c r="W60" s="528">
        <f>'3-Digester Inputs'!P19</f>
        <v>29.105486666666661</v>
      </c>
      <c r="X60" s="528">
        <f>IFERROR(VLOOKUP(V60,'9-Feedstock Characteristics'!$A$10:$R$117,17,FALSE)/1000,"")</f>
        <v>0.27600000000000002</v>
      </c>
      <c r="Y60" s="528">
        <f t="shared" ref="Y60:Y72" si="11">IFERROR(AVERAGE(D60,K60)," ")</f>
        <v>4.5438005415117608</v>
      </c>
      <c r="Z60" s="528">
        <f t="shared" si="3"/>
        <v>4.5620121669286409</v>
      </c>
      <c r="AA60" s="528">
        <f t="shared" si="2"/>
        <v>9.1058127084404017</v>
      </c>
    </row>
    <row r="61" spans="1:27" ht="19.3" hidden="1" customHeight="1" x14ac:dyDescent="0.35">
      <c r="A61" s="29" t="str">
        <f>IF('3-Digester Inputs'!B20=0,"",'3-Digester Inputs'!B20)</f>
        <v/>
      </c>
      <c r="B61" s="12" t="str">
        <f>'3-Digester Inputs'!P20</f>
        <v/>
      </c>
      <c r="C61" s="205" t="str">
        <f>IFERROR(VLOOKUP(A61,'9-Feedstock Characteristics'!$A$10:$R$117,17,FALSE)/1000,"")</f>
        <v/>
      </c>
      <c r="D61" s="528" t="str">
        <f>IFERROR(C61*B61*VLOOKUP(ReactorType&amp;"_"&amp;ReactorTemp,'11-Calibration Factors'!$A$4:$C$9,2,FALSE),"")</f>
        <v/>
      </c>
      <c r="E61" s="12" t="str">
        <f t="shared" si="4"/>
        <v/>
      </c>
      <c r="F61" s="12" t="str">
        <f t="shared" si="5"/>
        <v/>
      </c>
      <c r="H61" s="529" t="str">
        <f>IF('3-Digester Inputs'!B20=0,"",'3-Digester Inputs'!B20)</f>
        <v/>
      </c>
      <c r="I61" s="528" t="str">
        <f>'3-Digester Inputs'!P20</f>
        <v/>
      </c>
      <c r="J61" s="528" t="str">
        <f>IFERROR(VLOOKUP(H61,'9-Feedstock Characteristics'!$A$10:$R$117,17,FALSE)/1000,"")</f>
        <v/>
      </c>
      <c r="K61" s="528" t="str">
        <f>IFERROR(J61*I61*VLOOKUP(ReactorType&amp;"_"&amp;ReactorTemp,'11-Calibration Factors'!$A$4:$C$9,3,FALSE),"")</f>
        <v/>
      </c>
      <c r="L61" s="528" t="str">
        <f t="shared" si="6"/>
        <v/>
      </c>
      <c r="M61" s="528" t="str">
        <f t="shared" si="7"/>
        <v/>
      </c>
      <c r="N61" s="530"/>
      <c r="O61" s="529" t="str">
        <f>IF('3-Digester Inputs'!B20=0,"",'3-Digester Inputs'!B20)</f>
        <v/>
      </c>
      <c r="P61" s="528" t="str">
        <f>'3-Digester Inputs'!P20</f>
        <v/>
      </c>
      <c r="Q61" s="528" t="str">
        <f>IFERROR(VLOOKUP(O61,'9-Feedstock Characteristics'!$A$10:$R$117,17,FALSE)/1000,"")</f>
        <v/>
      </c>
      <c r="R61" s="528" t="str">
        <f t="shared" si="8"/>
        <v/>
      </c>
      <c r="S61" s="528" t="str">
        <f t="shared" si="9"/>
        <v/>
      </c>
      <c r="T61" s="528" t="str">
        <f t="shared" si="10"/>
        <v/>
      </c>
      <c r="V61" s="529" t="str">
        <f>IF('3-Digester Inputs'!B20=0,"",'3-Digester Inputs'!B20)</f>
        <v/>
      </c>
      <c r="W61" s="528" t="str">
        <f>'3-Digester Inputs'!P20</f>
        <v/>
      </c>
      <c r="X61" s="528" t="str">
        <f>IFERROR(VLOOKUP(V61,'9-Feedstock Characteristics'!$A$10:$R$117,17,FALSE)/1000,"")</f>
        <v/>
      </c>
      <c r="Y61" s="528" t="str">
        <f t="shared" si="11"/>
        <v xml:space="preserve"> </v>
      </c>
      <c r="Z61" s="528" t="str">
        <f t="shared" si="3"/>
        <v/>
      </c>
      <c r="AA61" s="528" t="str">
        <f t="shared" si="2"/>
        <v/>
      </c>
    </row>
    <row r="62" spans="1:27" ht="19.3" hidden="1" customHeight="1" x14ac:dyDescent="0.35">
      <c r="A62" s="29" t="str">
        <f>IF('3-Digester Inputs'!B21=0,"",'3-Digester Inputs'!B21)</f>
        <v/>
      </c>
      <c r="B62" s="12" t="str">
        <f>'3-Digester Inputs'!P21</f>
        <v/>
      </c>
      <c r="C62" s="205" t="str">
        <f>IFERROR(VLOOKUP(A62,'9-Feedstock Characteristics'!$A$10:$R$117,17,FALSE)/1000,"")</f>
        <v/>
      </c>
      <c r="D62" s="528" t="str">
        <f>IFERROR(C62*B62*VLOOKUP(ReactorType&amp;"_"&amp;ReactorTemp,'11-Calibration Factors'!$A$4:$C$9,2,FALSE),"")</f>
        <v/>
      </c>
      <c r="E62" s="12" t="str">
        <f t="shared" si="4"/>
        <v/>
      </c>
      <c r="F62" s="12" t="str">
        <f t="shared" si="5"/>
        <v/>
      </c>
      <c r="H62" s="529" t="str">
        <f>IF('3-Digester Inputs'!B21=0,"",'3-Digester Inputs'!B21)</f>
        <v/>
      </c>
      <c r="I62" s="528" t="str">
        <f>'3-Digester Inputs'!P21</f>
        <v/>
      </c>
      <c r="J62" s="528" t="str">
        <f>IFERROR(VLOOKUP(H62,'9-Feedstock Characteristics'!$A$10:$R$117,17,FALSE)/1000,"")</f>
        <v/>
      </c>
      <c r="K62" s="528" t="str">
        <f>IFERROR(J62*I62*VLOOKUP(ReactorType&amp;"_"&amp;ReactorTemp,'11-Calibration Factors'!$A$4:$C$9,3,FALSE),"")</f>
        <v/>
      </c>
      <c r="L62" s="528" t="str">
        <f t="shared" si="6"/>
        <v/>
      </c>
      <c r="M62" s="528" t="str">
        <f t="shared" si="7"/>
        <v/>
      </c>
      <c r="N62" s="530"/>
      <c r="O62" s="529" t="str">
        <f>IF('3-Digester Inputs'!B21=0,"",'3-Digester Inputs'!B21)</f>
        <v/>
      </c>
      <c r="P62" s="528" t="str">
        <f>'3-Digester Inputs'!P21</f>
        <v/>
      </c>
      <c r="Q62" s="528" t="str">
        <f>IFERROR(VLOOKUP(O62,'9-Feedstock Characteristics'!$A$10:$R$117,17,FALSE)/1000,"")</f>
        <v/>
      </c>
      <c r="R62" s="528" t="str">
        <f t="shared" si="8"/>
        <v/>
      </c>
      <c r="S62" s="528" t="str">
        <f t="shared" si="9"/>
        <v/>
      </c>
      <c r="T62" s="528" t="str">
        <f t="shared" si="10"/>
        <v/>
      </c>
      <c r="V62" s="529" t="str">
        <f>IF('3-Digester Inputs'!B21=0,"",'3-Digester Inputs'!B21)</f>
        <v/>
      </c>
      <c r="W62" s="528" t="str">
        <f>'3-Digester Inputs'!P21</f>
        <v/>
      </c>
      <c r="X62" s="528" t="str">
        <f>IFERROR(VLOOKUP(V62,'9-Feedstock Characteristics'!$A$10:$R$117,17,FALSE)/1000,"")</f>
        <v/>
      </c>
      <c r="Y62" s="528" t="str">
        <f t="shared" si="11"/>
        <v xml:space="preserve"> </v>
      </c>
      <c r="Z62" s="528" t="str">
        <f t="shared" si="3"/>
        <v/>
      </c>
      <c r="AA62" s="528" t="str">
        <f t="shared" si="2"/>
        <v/>
      </c>
    </row>
    <row r="63" spans="1:27" ht="19.3" hidden="1" customHeight="1" x14ac:dyDescent="0.35">
      <c r="A63" s="29" t="str">
        <f>IF('3-Digester Inputs'!B22=0,"",'3-Digester Inputs'!B22)</f>
        <v/>
      </c>
      <c r="B63" s="12" t="str">
        <f>'3-Digester Inputs'!P22</f>
        <v/>
      </c>
      <c r="C63" s="205" t="str">
        <f>IFERROR(VLOOKUP(A63,'9-Feedstock Characteristics'!$A$10:$R$117,17,FALSE)/1000,"")</f>
        <v/>
      </c>
      <c r="D63" s="528" t="str">
        <f>IFERROR(C63*B63*VLOOKUP(ReactorType&amp;"_"&amp;ReactorTemp,'11-Calibration Factors'!$A$4:$C$9,2,FALSE),"")</f>
        <v/>
      </c>
      <c r="E63" s="12" t="str">
        <f t="shared" si="4"/>
        <v/>
      </c>
      <c r="F63" s="12" t="str">
        <f t="shared" si="5"/>
        <v/>
      </c>
      <c r="H63" s="529" t="str">
        <f>IF('3-Digester Inputs'!B22=0,"",'3-Digester Inputs'!B22)</f>
        <v/>
      </c>
      <c r="I63" s="528" t="str">
        <f>'3-Digester Inputs'!P22</f>
        <v/>
      </c>
      <c r="J63" s="528" t="str">
        <f>IFERROR(VLOOKUP(H63,'9-Feedstock Characteristics'!$A$10:$R$117,17,FALSE)/1000,"")</f>
        <v/>
      </c>
      <c r="K63" s="528" t="str">
        <f>IFERROR(J63*I63*VLOOKUP(ReactorType&amp;"_"&amp;ReactorTemp,'11-Calibration Factors'!$A$4:$C$9,3,FALSE),"")</f>
        <v/>
      </c>
      <c r="L63" s="528" t="str">
        <f t="shared" si="6"/>
        <v/>
      </c>
      <c r="M63" s="528" t="str">
        <f t="shared" si="7"/>
        <v/>
      </c>
      <c r="N63" s="530"/>
      <c r="O63" s="529" t="str">
        <f>IF('3-Digester Inputs'!B22=0,"",'3-Digester Inputs'!B22)</f>
        <v/>
      </c>
      <c r="P63" s="528" t="str">
        <f>'3-Digester Inputs'!P22</f>
        <v/>
      </c>
      <c r="Q63" s="528" t="str">
        <f>IFERROR(VLOOKUP(O63,'9-Feedstock Characteristics'!$A$10:$R$117,17,FALSE)/1000,"")</f>
        <v/>
      </c>
      <c r="R63" s="528" t="str">
        <f t="shared" si="8"/>
        <v/>
      </c>
      <c r="S63" s="528" t="str">
        <f t="shared" si="9"/>
        <v/>
      </c>
      <c r="T63" s="528" t="str">
        <f t="shared" si="10"/>
        <v/>
      </c>
      <c r="V63" s="529" t="str">
        <f>IF('3-Digester Inputs'!B22=0,"",'3-Digester Inputs'!B22)</f>
        <v/>
      </c>
      <c r="W63" s="528" t="str">
        <f>'3-Digester Inputs'!P22</f>
        <v/>
      </c>
      <c r="X63" s="528" t="str">
        <f>IFERROR(VLOOKUP(V63,'9-Feedstock Characteristics'!$A$10:$R$117,17,FALSE)/1000,"")</f>
        <v/>
      </c>
      <c r="Y63" s="528" t="str">
        <f t="shared" si="11"/>
        <v xml:space="preserve"> </v>
      </c>
      <c r="Z63" s="528" t="str">
        <f t="shared" si="3"/>
        <v/>
      </c>
      <c r="AA63" s="528" t="str">
        <f t="shared" si="2"/>
        <v/>
      </c>
    </row>
    <row r="64" spans="1:27" ht="19.3" hidden="1" customHeight="1" x14ac:dyDescent="0.35">
      <c r="A64" s="29" t="str">
        <f>IF('3-Digester Inputs'!B23=0,"",'3-Digester Inputs'!B23)</f>
        <v/>
      </c>
      <c r="B64" s="12" t="str">
        <f>'3-Digester Inputs'!P23</f>
        <v/>
      </c>
      <c r="C64" s="12" t="str">
        <f>IFERROR(VLOOKUP(A64,'9-Feedstock Characteristics'!$A$10:$R$117,17,FALSE)/1000,"")</f>
        <v/>
      </c>
      <c r="D64" s="528" t="str">
        <f>IFERROR(C64*B64*VLOOKUP(ReactorType&amp;"_"&amp;ReactorTemp,'11-Calibration Factors'!$A$4:$C$9,2,FALSE),"")</f>
        <v/>
      </c>
      <c r="E64" s="12" t="str">
        <f t="shared" si="4"/>
        <v/>
      </c>
      <c r="F64" s="12" t="str">
        <f t="shared" si="5"/>
        <v/>
      </c>
      <c r="H64" s="529" t="str">
        <f>IF('3-Digester Inputs'!B23=0,"",'3-Digester Inputs'!B23)</f>
        <v/>
      </c>
      <c r="I64" s="528" t="str">
        <f>'3-Digester Inputs'!P23</f>
        <v/>
      </c>
      <c r="J64" s="528" t="str">
        <f>IFERROR(VLOOKUP(H64,'9-Feedstock Characteristics'!$A$10:$R$117,17,FALSE)/1000,"")</f>
        <v/>
      </c>
      <c r="K64" s="528" t="str">
        <f>IFERROR(J64*I64*VLOOKUP(ReactorType&amp;"_"&amp;ReactorTemp,'11-Calibration Factors'!$A$4:$C$9,3,FALSE),"")</f>
        <v/>
      </c>
      <c r="L64" s="528" t="str">
        <f t="shared" si="6"/>
        <v/>
      </c>
      <c r="M64" s="528" t="str">
        <f t="shared" si="7"/>
        <v/>
      </c>
      <c r="N64" s="530"/>
      <c r="O64" s="529" t="str">
        <f>IF('3-Digester Inputs'!B23=0,"",'3-Digester Inputs'!B23)</f>
        <v/>
      </c>
      <c r="P64" s="528" t="str">
        <f>'3-Digester Inputs'!P23</f>
        <v/>
      </c>
      <c r="Q64" s="528" t="str">
        <f>IFERROR(VLOOKUP(O64,'9-Feedstock Characteristics'!$A$10:$R$117,17,FALSE)/1000,"")</f>
        <v/>
      </c>
      <c r="R64" s="528" t="str">
        <f t="shared" si="8"/>
        <v/>
      </c>
      <c r="S64" s="528" t="str">
        <f t="shared" si="9"/>
        <v/>
      </c>
      <c r="T64" s="528" t="str">
        <f t="shared" si="10"/>
        <v/>
      </c>
      <c r="V64" s="529" t="str">
        <f>IF('3-Digester Inputs'!B23=0,"",'3-Digester Inputs'!B23)</f>
        <v/>
      </c>
      <c r="W64" s="528" t="str">
        <f>'3-Digester Inputs'!P23</f>
        <v/>
      </c>
      <c r="X64" s="528" t="str">
        <f>IFERROR(VLOOKUP(V64,'9-Feedstock Characteristics'!$A$10:$R$117,17,FALSE)/1000,"")</f>
        <v/>
      </c>
      <c r="Y64" s="528" t="str">
        <f t="shared" si="11"/>
        <v xml:space="preserve"> </v>
      </c>
      <c r="Z64" s="528" t="str">
        <f t="shared" si="3"/>
        <v/>
      </c>
      <c r="AA64" s="528" t="str">
        <f t="shared" si="2"/>
        <v/>
      </c>
    </row>
    <row r="65" spans="1:27" ht="19.3" hidden="1" customHeight="1" x14ac:dyDescent="0.35">
      <c r="A65" s="29" t="str">
        <f>IF('3-Digester Inputs'!B24=0,"",'3-Digester Inputs'!B24)</f>
        <v/>
      </c>
      <c r="B65" s="12" t="str">
        <f>'3-Digester Inputs'!P24</f>
        <v/>
      </c>
      <c r="C65" s="12" t="str">
        <f>IFERROR(VLOOKUP(A65,'9-Feedstock Characteristics'!$A$10:$R$117,17,FALSE)/1000,"")</f>
        <v/>
      </c>
      <c r="D65" s="528" t="str">
        <f>IFERROR(C65*B65*VLOOKUP(ReactorType&amp;"_"&amp;ReactorTemp,'11-Calibration Factors'!$A$4:$C$9,2,FALSE),"")</f>
        <v/>
      </c>
      <c r="E65" s="12" t="str">
        <f t="shared" si="4"/>
        <v/>
      </c>
      <c r="F65" s="12" t="str">
        <f t="shared" si="5"/>
        <v/>
      </c>
      <c r="H65" s="529" t="str">
        <f>IF('3-Digester Inputs'!B24=0,"",'3-Digester Inputs'!B24)</f>
        <v/>
      </c>
      <c r="I65" s="528" t="str">
        <f>'3-Digester Inputs'!P24</f>
        <v/>
      </c>
      <c r="J65" s="528" t="str">
        <f>IFERROR(VLOOKUP(H65,'9-Feedstock Characteristics'!$A$10:$R$117,17,FALSE)/1000,"")</f>
        <v/>
      </c>
      <c r="K65" s="528" t="str">
        <f>IFERROR(J65*I65*VLOOKUP(ReactorType&amp;"_"&amp;ReactorTemp,'11-Calibration Factors'!$A$4:$C$9,3,FALSE),"")</f>
        <v/>
      </c>
      <c r="L65" s="528" t="str">
        <f t="shared" si="6"/>
        <v/>
      </c>
      <c r="M65" s="528" t="str">
        <f t="shared" si="7"/>
        <v/>
      </c>
      <c r="N65" s="530"/>
      <c r="O65" s="529" t="str">
        <f>IF('3-Digester Inputs'!B24=0,"",'3-Digester Inputs'!B24)</f>
        <v/>
      </c>
      <c r="P65" s="528" t="str">
        <f>'3-Digester Inputs'!P24</f>
        <v/>
      </c>
      <c r="Q65" s="528" t="str">
        <f>IFERROR(VLOOKUP(O65,'9-Feedstock Characteristics'!$A$10:$R$117,17,FALSE)/1000,"")</f>
        <v/>
      </c>
      <c r="R65" s="528" t="str">
        <f t="shared" si="8"/>
        <v/>
      </c>
      <c r="S65" s="528" t="str">
        <f t="shared" si="9"/>
        <v/>
      </c>
      <c r="T65" s="528" t="str">
        <f t="shared" si="10"/>
        <v/>
      </c>
      <c r="V65" s="529" t="str">
        <f>IF('3-Digester Inputs'!B24=0,"",'3-Digester Inputs'!B24)</f>
        <v/>
      </c>
      <c r="W65" s="528" t="str">
        <f>'3-Digester Inputs'!P24</f>
        <v/>
      </c>
      <c r="X65" s="528" t="str">
        <f>IFERROR(VLOOKUP(V65,'9-Feedstock Characteristics'!$A$10:$R$117,17,FALSE)/1000,"")</f>
        <v/>
      </c>
      <c r="Y65" s="528" t="str">
        <f t="shared" si="11"/>
        <v xml:space="preserve"> </v>
      </c>
      <c r="Z65" s="528" t="str">
        <f t="shared" si="3"/>
        <v/>
      </c>
      <c r="AA65" s="528" t="str">
        <f t="shared" si="2"/>
        <v/>
      </c>
    </row>
    <row r="66" spans="1:27" ht="19.3" hidden="1" customHeight="1" x14ac:dyDescent="0.35">
      <c r="A66" s="29" t="str">
        <f>IF('3-Digester Inputs'!B25=0,"",'3-Digester Inputs'!B25)</f>
        <v/>
      </c>
      <c r="B66" s="12" t="str">
        <f>'3-Digester Inputs'!P25</f>
        <v/>
      </c>
      <c r="C66" s="12" t="str">
        <f>IFERROR(VLOOKUP(A66,'9-Feedstock Characteristics'!$A$10:$R$117,17,FALSE)/1000,"")</f>
        <v/>
      </c>
      <c r="D66" s="528" t="str">
        <f>IFERROR(C66*B66*VLOOKUP(ReactorType&amp;"_"&amp;ReactorTemp,'11-Calibration Factors'!$A$4:$C$9,2,FALSE),"")</f>
        <v/>
      </c>
      <c r="E66" s="12" t="str">
        <f t="shared" si="4"/>
        <v/>
      </c>
      <c r="F66" s="12" t="str">
        <f t="shared" si="5"/>
        <v/>
      </c>
      <c r="H66" s="529" t="str">
        <f>IF('3-Digester Inputs'!B25=0,"",'3-Digester Inputs'!B25)</f>
        <v/>
      </c>
      <c r="I66" s="528" t="str">
        <f>'3-Digester Inputs'!P25</f>
        <v/>
      </c>
      <c r="J66" s="528" t="str">
        <f>IFERROR(VLOOKUP(H66,'9-Feedstock Characteristics'!$A$10:$R$117,17,FALSE)/1000,"")</f>
        <v/>
      </c>
      <c r="K66" s="528" t="str">
        <f>IFERROR(J66*I66*VLOOKUP(ReactorType&amp;"_"&amp;ReactorTemp,'11-Calibration Factors'!$A$4:$C$9,3,FALSE),"")</f>
        <v/>
      </c>
      <c r="L66" s="528" t="str">
        <f t="shared" si="6"/>
        <v/>
      </c>
      <c r="M66" s="528" t="str">
        <f t="shared" si="7"/>
        <v/>
      </c>
      <c r="N66" s="530"/>
      <c r="O66" s="529" t="str">
        <f>IF('3-Digester Inputs'!B25=0,"",'3-Digester Inputs'!B25)</f>
        <v/>
      </c>
      <c r="P66" s="528" t="str">
        <f>'3-Digester Inputs'!P25</f>
        <v/>
      </c>
      <c r="Q66" s="528" t="str">
        <f>IFERROR(VLOOKUP(O66,'9-Feedstock Characteristics'!$A$10:$R$117,17,FALSE)/1000,"")</f>
        <v/>
      </c>
      <c r="R66" s="528" t="str">
        <f t="shared" si="8"/>
        <v/>
      </c>
      <c r="S66" s="528" t="str">
        <f t="shared" si="9"/>
        <v/>
      </c>
      <c r="T66" s="528" t="str">
        <f t="shared" si="10"/>
        <v/>
      </c>
      <c r="V66" s="529" t="str">
        <f>IF('3-Digester Inputs'!B25=0,"",'3-Digester Inputs'!B25)</f>
        <v/>
      </c>
      <c r="W66" s="528" t="str">
        <f>'3-Digester Inputs'!P25</f>
        <v/>
      </c>
      <c r="X66" s="528" t="str">
        <f>IFERROR(VLOOKUP(V66,'9-Feedstock Characteristics'!$A$10:$R$117,17,FALSE)/1000,"")</f>
        <v/>
      </c>
      <c r="Y66" s="528" t="str">
        <f t="shared" si="11"/>
        <v xml:space="preserve"> </v>
      </c>
      <c r="Z66" s="528" t="str">
        <f t="shared" si="3"/>
        <v/>
      </c>
      <c r="AA66" s="528" t="str">
        <f t="shared" si="2"/>
        <v/>
      </c>
    </row>
    <row r="67" spans="1:27" ht="19.3" hidden="1" customHeight="1" x14ac:dyDescent="0.35">
      <c r="A67" s="29" t="str">
        <f>IF('3-Digester Inputs'!B26=0,"",'3-Digester Inputs'!B26)</f>
        <v/>
      </c>
      <c r="B67" s="12" t="str">
        <f>'3-Digester Inputs'!P26</f>
        <v/>
      </c>
      <c r="C67" s="12" t="str">
        <f>IFERROR(VLOOKUP(A67,'9-Feedstock Characteristics'!$A$10:$R$117,17,FALSE)/1000,"")</f>
        <v/>
      </c>
      <c r="D67" s="528" t="str">
        <f>IFERROR(C67*B67*VLOOKUP(ReactorType&amp;"_"&amp;ReactorTemp,'11-Calibration Factors'!$A$4:$C$9,2,FALSE),"")</f>
        <v/>
      </c>
      <c r="E67" s="12" t="str">
        <f t="shared" si="4"/>
        <v/>
      </c>
      <c r="F67" s="12" t="str">
        <f t="shared" si="5"/>
        <v/>
      </c>
      <c r="H67" s="529" t="str">
        <f>IF('3-Digester Inputs'!B26=0,"",'3-Digester Inputs'!B26)</f>
        <v/>
      </c>
      <c r="I67" s="528" t="str">
        <f>'3-Digester Inputs'!P26</f>
        <v/>
      </c>
      <c r="J67" s="528" t="str">
        <f>IFERROR(VLOOKUP(H67,'9-Feedstock Characteristics'!$A$10:$R$117,17,FALSE)/1000,"")</f>
        <v/>
      </c>
      <c r="K67" s="528" t="str">
        <f>IFERROR(J67*I67*VLOOKUP(ReactorType&amp;"_"&amp;ReactorTemp,'11-Calibration Factors'!$A$4:$C$9,3,FALSE),"")</f>
        <v/>
      </c>
      <c r="L67" s="528" t="str">
        <f t="shared" si="6"/>
        <v/>
      </c>
      <c r="M67" s="528" t="str">
        <f t="shared" si="7"/>
        <v/>
      </c>
      <c r="N67" s="530"/>
      <c r="O67" s="529" t="str">
        <f>IF('3-Digester Inputs'!B26=0,"",'3-Digester Inputs'!B26)</f>
        <v/>
      </c>
      <c r="P67" s="528" t="str">
        <f>'3-Digester Inputs'!P26</f>
        <v/>
      </c>
      <c r="Q67" s="528" t="str">
        <f>IFERROR(VLOOKUP(O67,'9-Feedstock Characteristics'!$A$10:$R$117,17,FALSE)/1000,"")</f>
        <v/>
      </c>
      <c r="R67" s="528" t="str">
        <f t="shared" si="8"/>
        <v/>
      </c>
      <c r="S67" s="528" t="str">
        <f t="shared" si="9"/>
        <v/>
      </c>
      <c r="T67" s="528" t="str">
        <f t="shared" si="10"/>
        <v/>
      </c>
      <c r="V67" s="529" t="str">
        <f>IF('3-Digester Inputs'!B26=0,"",'3-Digester Inputs'!B26)</f>
        <v/>
      </c>
      <c r="W67" s="528" t="str">
        <f>'3-Digester Inputs'!P26</f>
        <v/>
      </c>
      <c r="X67" s="528" t="str">
        <f>IFERROR(VLOOKUP(V67,'9-Feedstock Characteristics'!$A$10:$R$117,17,FALSE)/1000,"")</f>
        <v/>
      </c>
      <c r="Y67" s="528" t="str">
        <f t="shared" si="11"/>
        <v xml:space="preserve"> </v>
      </c>
      <c r="Z67" s="528" t="str">
        <f t="shared" si="3"/>
        <v/>
      </c>
      <c r="AA67" s="528" t="str">
        <f t="shared" si="2"/>
        <v/>
      </c>
    </row>
    <row r="68" spans="1:27" ht="19.3" hidden="1" customHeight="1" x14ac:dyDescent="0.35">
      <c r="A68" s="29" t="str">
        <f>IF('3-Digester Inputs'!B27=0,"",'3-Digester Inputs'!B27)</f>
        <v/>
      </c>
      <c r="B68" s="12" t="str">
        <f>'3-Digester Inputs'!P27</f>
        <v/>
      </c>
      <c r="C68" s="12" t="str">
        <f>IFERROR(VLOOKUP(A68,'9-Feedstock Characteristics'!$A$10:$R$117,17,FALSE)/1000,"")</f>
        <v/>
      </c>
      <c r="D68" s="528" t="str">
        <f>IFERROR(C68*B68*VLOOKUP(ReactorType&amp;"_"&amp;ReactorTemp,'11-Calibration Factors'!$A$4:$C$9,2,FALSE),"")</f>
        <v/>
      </c>
      <c r="E68" s="12" t="str">
        <f t="shared" si="4"/>
        <v/>
      </c>
      <c r="F68" s="12" t="str">
        <f t="shared" si="5"/>
        <v/>
      </c>
      <c r="H68" s="529" t="str">
        <f>IF('3-Digester Inputs'!B27=0,"",'3-Digester Inputs'!B27)</f>
        <v/>
      </c>
      <c r="I68" s="528" t="str">
        <f>'3-Digester Inputs'!P27</f>
        <v/>
      </c>
      <c r="J68" s="528" t="str">
        <f>IFERROR(VLOOKUP(H68,'9-Feedstock Characteristics'!$A$10:$R$117,17,FALSE)/1000,"")</f>
        <v/>
      </c>
      <c r="K68" s="528" t="str">
        <f>IFERROR(J68*I68*VLOOKUP(ReactorType&amp;"_"&amp;ReactorTemp,'11-Calibration Factors'!$A$4:$C$9,3,FALSE),"")</f>
        <v/>
      </c>
      <c r="L68" s="528" t="str">
        <f t="shared" si="6"/>
        <v/>
      </c>
      <c r="M68" s="528" t="str">
        <f t="shared" si="7"/>
        <v/>
      </c>
      <c r="N68" s="530"/>
      <c r="O68" s="529" t="str">
        <f>IF('3-Digester Inputs'!B27=0,"",'3-Digester Inputs'!B27)</f>
        <v/>
      </c>
      <c r="P68" s="528" t="str">
        <f>'3-Digester Inputs'!P27</f>
        <v/>
      </c>
      <c r="Q68" s="528" t="str">
        <f>IFERROR(VLOOKUP(O68,'9-Feedstock Characteristics'!$A$10:$R$117,17,FALSE)/1000,"")</f>
        <v/>
      </c>
      <c r="R68" s="528" t="str">
        <f t="shared" si="8"/>
        <v/>
      </c>
      <c r="S68" s="528" t="str">
        <f t="shared" si="9"/>
        <v/>
      </c>
      <c r="T68" s="528" t="str">
        <f t="shared" si="10"/>
        <v/>
      </c>
      <c r="V68" s="529" t="str">
        <f>IF('3-Digester Inputs'!B27=0,"",'3-Digester Inputs'!B27)</f>
        <v/>
      </c>
      <c r="W68" s="528" t="str">
        <f>'3-Digester Inputs'!P27</f>
        <v/>
      </c>
      <c r="X68" s="528" t="str">
        <f>IFERROR(VLOOKUP(V68,'9-Feedstock Characteristics'!$A$10:$R$117,17,FALSE)/1000,"")</f>
        <v/>
      </c>
      <c r="Y68" s="528" t="str">
        <f t="shared" si="11"/>
        <v xml:space="preserve"> </v>
      </c>
      <c r="Z68" s="528" t="str">
        <f t="shared" si="3"/>
        <v/>
      </c>
      <c r="AA68" s="528" t="str">
        <f t="shared" si="2"/>
        <v/>
      </c>
    </row>
    <row r="69" spans="1:27" ht="19.3" hidden="1" customHeight="1" x14ac:dyDescent="0.35">
      <c r="A69" s="29" t="str">
        <f>IF('3-Digester Inputs'!B28=0,"",'3-Digester Inputs'!B28)</f>
        <v/>
      </c>
      <c r="B69" s="12" t="str">
        <f>'3-Digester Inputs'!P28</f>
        <v/>
      </c>
      <c r="C69" s="12" t="str">
        <f>IFERROR(VLOOKUP(A69,'9-Feedstock Characteristics'!$A$10:$R$117,17,FALSE)/1000,"")</f>
        <v/>
      </c>
      <c r="D69" s="528" t="str">
        <f>IFERROR(C69*B69*VLOOKUP(ReactorType&amp;"_"&amp;ReactorTemp,'11-Calibration Factors'!$A$4:$C$9,2,FALSE),"")</f>
        <v/>
      </c>
      <c r="E69" s="12" t="str">
        <f t="shared" si="4"/>
        <v/>
      </c>
      <c r="F69" s="12" t="str">
        <f t="shared" si="5"/>
        <v/>
      </c>
      <c r="H69" s="529" t="str">
        <f>IF('3-Digester Inputs'!B28=0,"",'3-Digester Inputs'!B28)</f>
        <v/>
      </c>
      <c r="I69" s="528" t="str">
        <f>'3-Digester Inputs'!P28</f>
        <v/>
      </c>
      <c r="J69" s="528" t="str">
        <f>IFERROR(VLOOKUP(H69,'9-Feedstock Characteristics'!$A$10:$R$117,17,FALSE)/1000,"")</f>
        <v/>
      </c>
      <c r="K69" s="528" t="str">
        <f>IFERROR(J69*I69*VLOOKUP(ReactorType&amp;"_"&amp;ReactorTemp,'11-Calibration Factors'!$A$4:$C$9,3,FALSE),"")</f>
        <v/>
      </c>
      <c r="L69" s="528" t="str">
        <f t="shared" si="6"/>
        <v/>
      </c>
      <c r="M69" s="528" t="str">
        <f t="shared" si="7"/>
        <v/>
      </c>
      <c r="N69" s="530"/>
      <c r="O69" s="529" t="str">
        <f>IF('3-Digester Inputs'!B28=0,"",'3-Digester Inputs'!B28)</f>
        <v/>
      </c>
      <c r="P69" s="528" t="str">
        <f>'3-Digester Inputs'!P28</f>
        <v/>
      </c>
      <c r="Q69" s="528" t="str">
        <f>IFERROR(VLOOKUP(O69,'9-Feedstock Characteristics'!$A$10:$R$117,17,FALSE)/1000,"")</f>
        <v/>
      </c>
      <c r="R69" s="528" t="str">
        <f t="shared" si="8"/>
        <v/>
      </c>
      <c r="S69" s="528" t="str">
        <f t="shared" si="9"/>
        <v/>
      </c>
      <c r="T69" s="528" t="str">
        <f t="shared" si="10"/>
        <v/>
      </c>
      <c r="V69" s="529" t="str">
        <f>IF('3-Digester Inputs'!B28=0,"",'3-Digester Inputs'!B28)</f>
        <v/>
      </c>
      <c r="W69" s="528" t="str">
        <f>'3-Digester Inputs'!P28</f>
        <v/>
      </c>
      <c r="X69" s="528" t="str">
        <f>IFERROR(VLOOKUP(V69,'9-Feedstock Characteristics'!$A$10:$R$117,17,FALSE)/1000,"")</f>
        <v/>
      </c>
      <c r="Y69" s="528" t="str">
        <f t="shared" si="11"/>
        <v xml:space="preserve"> </v>
      </c>
      <c r="Z69" s="528" t="str">
        <f t="shared" si="3"/>
        <v/>
      </c>
      <c r="AA69" s="528" t="str">
        <f t="shared" si="2"/>
        <v/>
      </c>
    </row>
    <row r="70" spans="1:27" ht="19.3" hidden="1" customHeight="1" x14ac:dyDescent="0.35">
      <c r="A70" s="29" t="str">
        <f>IF('3-Digester Inputs'!B29=0,"",'3-Digester Inputs'!B29)</f>
        <v/>
      </c>
      <c r="B70" s="12" t="str">
        <f>'3-Digester Inputs'!P29</f>
        <v/>
      </c>
      <c r="C70" s="12" t="str">
        <f>IFERROR(VLOOKUP(A70,'9-Feedstock Characteristics'!$A$10:$R$117,17,FALSE)/1000,"")</f>
        <v/>
      </c>
      <c r="D70" s="528" t="str">
        <f>IFERROR(C70*B70*VLOOKUP(ReactorType&amp;"_"&amp;ReactorTemp,'11-Calibration Factors'!$A$4:$C$9,2,FALSE),"")</f>
        <v/>
      </c>
      <c r="E70" s="12" t="str">
        <f t="shared" si="4"/>
        <v/>
      </c>
      <c r="F70" s="12" t="str">
        <f t="shared" si="5"/>
        <v/>
      </c>
      <c r="H70" s="529" t="str">
        <f>IF('3-Digester Inputs'!B29=0,"",'3-Digester Inputs'!B29)</f>
        <v/>
      </c>
      <c r="I70" s="528" t="str">
        <f>'3-Digester Inputs'!P29</f>
        <v/>
      </c>
      <c r="J70" s="528" t="str">
        <f>IFERROR(VLOOKUP(H70,'9-Feedstock Characteristics'!$A$10:$R$117,17,FALSE)/1000,"")</f>
        <v/>
      </c>
      <c r="K70" s="528" t="str">
        <f>IFERROR(J70*I70*VLOOKUP(ReactorType&amp;"_"&amp;ReactorTemp,'11-Calibration Factors'!$A$4:$C$9,3,FALSE),"")</f>
        <v/>
      </c>
      <c r="L70" s="528" t="str">
        <f t="shared" si="6"/>
        <v/>
      </c>
      <c r="M70" s="528" t="str">
        <f t="shared" si="7"/>
        <v/>
      </c>
      <c r="N70" s="530"/>
      <c r="O70" s="529" t="str">
        <f>IF('3-Digester Inputs'!B29=0,"",'3-Digester Inputs'!B29)</f>
        <v/>
      </c>
      <c r="P70" s="528" t="str">
        <f>'3-Digester Inputs'!P29</f>
        <v/>
      </c>
      <c r="Q70" s="528" t="str">
        <f>IFERROR(VLOOKUP(O70,'9-Feedstock Characteristics'!$A$10:$R$117,17,FALSE)/1000,"")</f>
        <v/>
      </c>
      <c r="R70" s="528" t="str">
        <f t="shared" si="8"/>
        <v/>
      </c>
      <c r="S70" s="528" t="str">
        <f t="shared" si="9"/>
        <v/>
      </c>
      <c r="T70" s="528" t="str">
        <f t="shared" si="10"/>
        <v/>
      </c>
      <c r="V70" s="529" t="str">
        <f>IF('3-Digester Inputs'!B29=0,"",'3-Digester Inputs'!B29)</f>
        <v/>
      </c>
      <c r="W70" s="528" t="str">
        <f>'3-Digester Inputs'!P29</f>
        <v/>
      </c>
      <c r="X70" s="528" t="str">
        <f>IFERROR(VLOOKUP(V70,'9-Feedstock Characteristics'!$A$10:$R$117,17,FALSE)/1000,"")</f>
        <v/>
      </c>
      <c r="Y70" s="528" t="str">
        <f t="shared" si="11"/>
        <v xml:space="preserve"> </v>
      </c>
      <c r="Z70" s="528" t="str">
        <f t="shared" si="3"/>
        <v/>
      </c>
      <c r="AA70" s="528" t="str">
        <f t="shared" si="2"/>
        <v/>
      </c>
    </row>
    <row r="71" spans="1:27" ht="19.3" hidden="1" customHeight="1" x14ac:dyDescent="0.35">
      <c r="A71" s="29" t="str">
        <f>IF('3-Digester Inputs'!B30=0,"",'3-Digester Inputs'!B30)</f>
        <v/>
      </c>
      <c r="B71" s="12" t="str">
        <f>'3-Digester Inputs'!P30</f>
        <v/>
      </c>
      <c r="C71" s="12" t="str">
        <f>IFERROR(VLOOKUP(A71,'9-Feedstock Characteristics'!$A$10:$R$117,17,FALSE)/1000,"")</f>
        <v/>
      </c>
      <c r="D71" s="528" t="str">
        <f>IFERROR(C71*B71*VLOOKUP(ReactorType&amp;"_"&amp;ReactorTemp,'11-Calibration Factors'!$A$4:$C$9,2,FALSE),"")</f>
        <v/>
      </c>
      <c r="E71" s="12" t="str">
        <f t="shared" si="4"/>
        <v/>
      </c>
      <c r="F71" s="12" t="str">
        <f t="shared" si="5"/>
        <v/>
      </c>
      <c r="H71" s="529" t="str">
        <f>IF('3-Digester Inputs'!B30=0,"",'3-Digester Inputs'!B30)</f>
        <v/>
      </c>
      <c r="I71" s="528" t="str">
        <f>'3-Digester Inputs'!P30</f>
        <v/>
      </c>
      <c r="J71" s="528" t="str">
        <f>IFERROR(VLOOKUP(H71,'9-Feedstock Characteristics'!$A$10:$R$117,17,FALSE)/1000,"")</f>
        <v/>
      </c>
      <c r="K71" s="528" t="str">
        <f>IFERROR(J71*I71*VLOOKUP(ReactorType&amp;"_"&amp;ReactorTemp,'11-Calibration Factors'!$A$4:$C$9,3,FALSE),"")</f>
        <v/>
      </c>
      <c r="L71" s="528" t="str">
        <f t="shared" si="6"/>
        <v/>
      </c>
      <c r="M71" s="528" t="str">
        <f t="shared" si="7"/>
        <v/>
      </c>
      <c r="N71" s="530"/>
      <c r="O71" s="529" t="str">
        <f>IF('3-Digester Inputs'!B30=0,"",'3-Digester Inputs'!B30)</f>
        <v/>
      </c>
      <c r="P71" s="528" t="str">
        <f>'3-Digester Inputs'!P30</f>
        <v/>
      </c>
      <c r="Q71" s="528" t="str">
        <f>IFERROR(VLOOKUP(O71,'9-Feedstock Characteristics'!$A$10:$R$117,17,FALSE)/1000,"")</f>
        <v/>
      </c>
      <c r="R71" s="528" t="str">
        <f t="shared" si="8"/>
        <v/>
      </c>
      <c r="S71" s="528" t="str">
        <f t="shared" si="9"/>
        <v/>
      </c>
      <c r="T71" s="528" t="str">
        <f t="shared" si="10"/>
        <v/>
      </c>
      <c r="V71" s="529" t="str">
        <f>IF('3-Digester Inputs'!B30=0,"",'3-Digester Inputs'!B30)</f>
        <v/>
      </c>
      <c r="W71" s="528" t="str">
        <f>'3-Digester Inputs'!P30</f>
        <v/>
      </c>
      <c r="X71" s="528" t="str">
        <f>IFERROR(VLOOKUP(V71,'9-Feedstock Characteristics'!$A$10:$R$117,17,FALSE)/1000,"")</f>
        <v/>
      </c>
      <c r="Y71" s="528" t="str">
        <f t="shared" si="11"/>
        <v xml:space="preserve"> </v>
      </c>
      <c r="Z71" s="528" t="str">
        <f t="shared" si="3"/>
        <v/>
      </c>
      <c r="AA71" s="528" t="str">
        <f t="shared" si="2"/>
        <v/>
      </c>
    </row>
    <row r="72" spans="1:27" ht="19.3" hidden="1" customHeight="1" x14ac:dyDescent="0.35">
      <c r="A72" s="29" t="str">
        <f>IF('3-Digester Inputs'!B31=0,"",'3-Digester Inputs'!B31)</f>
        <v/>
      </c>
      <c r="B72" s="12" t="str">
        <f>'3-Digester Inputs'!P31</f>
        <v/>
      </c>
      <c r="C72" s="12" t="str">
        <f>IFERROR(VLOOKUP(A72,'9-Feedstock Characteristics'!$A$10:$R$117,17,FALSE)/1000,"")</f>
        <v/>
      </c>
      <c r="D72" s="528" t="str">
        <f>IFERROR(C72*B72*VLOOKUP(ReactorType&amp;"_"&amp;ReactorTemp,'11-Calibration Factors'!$A$4:$C$9,2,FALSE),"")</f>
        <v/>
      </c>
      <c r="E72" s="12" t="str">
        <f t="shared" si="4"/>
        <v/>
      </c>
      <c r="F72" s="12" t="str">
        <f t="shared" si="5"/>
        <v/>
      </c>
      <c r="H72" s="529" t="str">
        <f>IF('3-Digester Inputs'!B31=0,"",'3-Digester Inputs'!B31)</f>
        <v/>
      </c>
      <c r="I72" s="528" t="str">
        <f>'3-Digester Inputs'!P31</f>
        <v/>
      </c>
      <c r="J72" s="528" t="str">
        <f>IFERROR(VLOOKUP(H72,'9-Feedstock Characteristics'!$A$10:$R$117,17,FALSE)/1000,"")</f>
        <v/>
      </c>
      <c r="K72" s="528" t="str">
        <f>IFERROR(J72*I72*VLOOKUP(ReactorType&amp;"_"&amp;ReactorTemp,'11-Calibration Factors'!$A$4:$C$9,3,FALSE),"")</f>
        <v/>
      </c>
      <c r="L72" s="528" t="str">
        <f t="shared" si="6"/>
        <v/>
      </c>
      <c r="M72" s="528" t="str">
        <f t="shared" si="7"/>
        <v/>
      </c>
      <c r="N72" s="530"/>
      <c r="O72" s="529" t="str">
        <f>IF('3-Digester Inputs'!B31=0,"",'3-Digester Inputs'!B31)</f>
        <v/>
      </c>
      <c r="P72" s="528" t="str">
        <f>'3-Digester Inputs'!P31</f>
        <v/>
      </c>
      <c r="Q72" s="528" t="str">
        <f>IFERROR(VLOOKUP(O72,'9-Feedstock Characteristics'!$A$10:$R$117,17,FALSE)/1000,"")</f>
        <v/>
      </c>
      <c r="R72" s="528" t="str">
        <f t="shared" si="8"/>
        <v/>
      </c>
      <c r="S72" s="528" t="str">
        <f t="shared" si="9"/>
        <v/>
      </c>
      <c r="T72" s="528" t="str">
        <f t="shared" si="10"/>
        <v/>
      </c>
      <c r="V72" s="529" t="str">
        <f>IF('3-Digester Inputs'!B31=0,"",'3-Digester Inputs'!B31)</f>
        <v/>
      </c>
      <c r="W72" s="528" t="str">
        <f>'3-Digester Inputs'!P31</f>
        <v/>
      </c>
      <c r="X72" s="528" t="str">
        <f>IFERROR(VLOOKUP(V72,'9-Feedstock Characteristics'!$A$10:$R$117,17,FALSE)/1000,"")</f>
        <v/>
      </c>
      <c r="Y72" s="528" t="str">
        <f t="shared" si="11"/>
        <v xml:space="preserve"> </v>
      </c>
      <c r="Z72" s="528" t="str">
        <f t="shared" si="3"/>
        <v/>
      </c>
      <c r="AA72" s="528" t="str">
        <f t="shared" si="2"/>
        <v/>
      </c>
    </row>
    <row r="73" spans="1:27" ht="19.3" hidden="1" customHeight="1" x14ac:dyDescent="0.35">
      <c r="A73" s="32" t="s">
        <v>204</v>
      </c>
      <c r="B73" s="280">
        <f>SUM(B58:B72)</f>
        <v>1874.5017101653134</v>
      </c>
      <c r="C73" s="280">
        <f>SUMPRODUCT(B58:B72,C58:C72)/SUM(B58:B72)</f>
        <v>0.15273883387101841</v>
      </c>
      <c r="D73" s="280">
        <f>SUM(D58:D72)</f>
        <v>114.76684782157231</v>
      </c>
      <c r="E73" s="280">
        <f>IFERROR(F73-D73,"")</f>
        <v>115.22683518759065</v>
      </c>
      <c r="F73" s="280">
        <f>SUM(F58:F72)</f>
        <v>229.99368300916296</v>
      </c>
      <c r="H73" s="531" t="s">
        <v>204</v>
      </c>
      <c r="I73" s="532">
        <f>SUM(I58:I72)</f>
        <v>1874.5017101653134</v>
      </c>
      <c r="J73" s="532">
        <f>SUMPRODUCT(I58:I72,J58:J72)/SUM(I58:I72)</f>
        <v>0.15273883387101841</v>
      </c>
      <c r="K73" s="532">
        <f>SUM(K58:K72)</f>
        <v>209.12544855530669</v>
      </c>
      <c r="L73" s="532">
        <f>IFERROR(M73-K73,"")</f>
        <v>209.96362670582894</v>
      </c>
      <c r="M73" s="532">
        <f>SUM(M58:M72)</f>
        <v>419.08907526113563</v>
      </c>
      <c r="N73" s="530"/>
      <c r="O73" s="531" t="s">
        <v>204</v>
      </c>
      <c r="P73" s="532">
        <f>SUM(P58:P72)</f>
        <v>1874.5017101653134</v>
      </c>
      <c r="Q73" s="532">
        <f>SUMPRODUCT(P58:P72,Q58:Q72)/SUM(P58:P72)</f>
        <v>0.15273883387101841</v>
      </c>
      <c r="R73" s="532">
        <f>SUM(R58:R72)</f>
        <v>286.30920529987969</v>
      </c>
      <c r="S73" s="532">
        <f>IFERROR(T73-R73,"")</f>
        <v>287.45673718484915</v>
      </c>
      <c r="T73" s="532">
        <f>SUM(T58:T72)</f>
        <v>573.76594248472884</v>
      </c>
      <c r="V73" s="531" t="s">
        <v>204</v>
      </c>
      <c r="W73" s="532">
        <f>SUM(W58:W72)</f>
        <v>1874.5017101653134</v>
      </c>
      <c r="X73" s="532">
        <f>SUMPRODUCT(W58:W72,X58:X72)/SUM(W58:W72)</f>
        <v>0.15273883387101841</v>
      </c>
      <c r="Y73" s="532">
        <f>SUM(Y58:Y72)</f>
        <v>161.94614818843951</v>
      </c>
      <c r="Z73" s="532">
        <f>IFERROR(AA73-Y73,"")</f>
        <v>162.59523094670982</v>
      </c>
      <c r="AA73" s="532">
        <f>SUM(AA58:AA72)</f>
        <v>324.54137913514933</v>
      </c>
    </row>
    <row r="74" spans="1:27" ht="15.45" hidden="1" x14ac:dyDescent="0.4">
      <c r="H74" s="146"/>
    </row>
    <row r="75" spans="1:27" ht="101.15" hidden="1" x14ac:dyDescent="0.35">
      <c r="A75" s="385" t="s">
        <v>289</v>
      </c>
      <c r="B75" s="33" t="s">
        <v>290</v>
      </c>
      <c r="C75" s="33" t="s">
        <v>291</v>
      </c>
      <c r="D75" s="33" t="s">
        <v>292</v>
      </c>
      <c r="E75" s="390" t="s">
        <v>188</v>
      </c>
      <c r="F75" s="390" t="s">
        <v>740</v>
      </c>
      <c r="H75" s="527"/>
      <c r="I75" s="526"/>
    </row>
    <row r="76" spans="1:27" ht="15.45" hidden="1" x14ac:dyDescent="0.4">
      <c r="A76" s="381" t="s">
        <v>296</v>
      </c>
      <c r="B76" s="382">
        <f>IFERROR((D76*VLOOKUP(ReactorType&amp;"_"&amp;ReactorTemp,'11-Calibration Factors'!$A$4:$C$9,2,FALSE))*VLOOKUP(E76,'23-Look up values'!$A$13:$B$14,2,FALSE)," ")</f>
        <v>83947.694298344461</v>
      </c>
      <c r="C76" s="382">
        <f>IFERROR((D76*VLOOKUP(ReactorType&amp;"_"&amp;ReactorTemp,'11-Calibration Factors'!$A$4:$C$9,3,FALSE))*VLOOKUP(E76,'23-Look up values'!$A$13:$B$14,2,FALSE)," ")</f>
        <v>152967.51247031451</v>
      </c>
      <c r="D76" s="382">
        <f>IFERROR(T73*365*VLOOKUP(E76,'23-Look up values'!$A$13:$B$14,2,FALSE)," ")</f>
        <v>209424.56900692603</v>
      </c>
      <c r="E76" s="508" t="s">
        <v>723</v>
      </c>
      <c r="F76" s="382">
        <f>AVERAGE(B76:C76)</f>
        <v>118457.60338432949</v>
      </c>
      <c r="H76" s="146"/>
    </row>
    <row r="77" spans="1:27" hidden="1" x14ac:dyDescent="0.35">
      <c r="A77" s="381" t="s">
        <v>296</v>
      </c>
      <c r="B77" s="382">
        <f>B76/365</f>
        <v>229.99368300916291</v>
      </c>
      <c r="C77" s="382">
        <f t="shared" ref="C77:D77" si="12">C76/365</f>
        <v>419.08907526113563</v>
      </c>
      <c r="D77" s="382">
        <f t="shared" si="12"/>
        <v>573.76594248472884</v>
      </c>
      <c r="E77" s="508" t="s">
        <v>734</v>
      </c>
      <c r="F77" s="382">
        <f>AVERAGE(B77:C77)</f>
        <v>324.54137913514927</v>
      </c>
      <c r="G77" s="9" t="b">
        <f>F77=F53</f>
        <v>1</v>
      </c>
    </row>
    <row r="78" spans="1:27" hidden="1" x14ac:dyDescent="0.35">
      <c r="A78" s="381" t="s">
        <v>298</v>
      </c>
      <c r="B78" s="382">
        <f>IFERROR($D$78*VLOOKUP(ReactorType&amp;"_"&amp;ReactorTemp,'11-Calibration Factors'!$A$4:$C$9,2,FALSE)," ")</f>
        <v>41889.899454873892</v>
      </c>
      <c r="C78" s="382">
        <f>IFERROR($D$78*VLOOKUP(ReactorType&amp;"_"&amp;ReactorTemp,'11-Calibration Factors'!$A$4:$C$9,3,FALSE)," ")</f>
        <v>76330.788722686935</v>
      </c>
      <c r="D78" s="382">
        <f>IFERROR(R73*365*VLOOKUP(E78,'23-Look up values'!$A$13:$B$14,2,FALSE)," ")</f>
        <v>104502.85993445609</v>
      </c>
      <c r="E78" s="508" t="s">
        <v>723</v>
      </c>
      <c r="F78" s="382">
        <f>AVERAGE(B78:C78)</f>
        <v>59110.344088780417</v>
      </c>
    </row>
    <row r="79" spans="1:27" hidden="1" x14ac:dyDescent="0.35">
      <c r="A79" s="381" t="s">
        <v>298</v>
      </c>
      <c r="B79" s="382">
        <f>B78/365</f>
        <v>114.76684782157231</v>
      </c>
      <c r="C79" s="382">
        <f t="shared" ref="C79" si="13">C78/365</f>
        <v>209.12544855530666</v>
      </c>
      <c r="D79" s="382">
        <f>D78/365</f>
        <v>286.30920529987969</v>
      </c>
      <c r="E79" s="508" t="s">
        <v>734</v>
      </c>
      <c r="F79" s="382">
        <f>AVERAGE(B79:C79)</f>
        <v>161.94614818843948</v>
      </c>
      <c r="G79" s="9" t="b">
        <f>Estimated_Avg_Daily_Methane_Production=D53</f>
        <v>0</v>
      </c>
    </row>
    <row r="80" spans="1:27" hidden="1" x14ac:dyDescent="0.35"/>
    <row r="81" hidden="1" x14ac:dyDescent="0.35"/>
  </sheetData>
  <sheetProtection selectLockedCells="1"/>
  <mergeCells count="8">
    <mergeCell ref="A6:C6"/>
    <mergeCell ref="A36:F36"/>
    <mergeCell ref="V56:AA56"/>
    <mergeCell ref="A10:F10"/>
    <mergeCell ref="O56:T56"/>
    <mergeCell ref="C7:C8"/>
    <mergeCell ref="A56:F56"/>
    <mergeCell ref="H56:M56"/>
  </mergeCells>
  <printOptions horizontalCentered="1" verticalCentered="1"/>
  <pageMargins left="0.7" right="0.7" top="0.75" bottom="0.75" header="0.3" footer="0.3"/>
  <pageSetup scale="51" orientation="portrait" r:id="rId1"/>
  <headerFooter>
    <oddHeader>&amp;L&amp;"Arial,Regular"&amp;14&amp;D&amp;C&amp;G</oddHeader>
  </headerFooter>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C2E848BA-7F16-44F5-9BD2-C9D41C629FF6}">
          <x14:formula1>
            <xm:f>'23-Look up values'!$A$15:$A$16</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1"/>
    <pageSetUpPr fitToPage="1"/>
  </sheetPr>
  <dimension ref="A1:G88"/>
  <sheetViews>
    <sheetView topLeftCell="A9" zoomScale="106" zoomScaleNormal="106" workbookViewId="0"/>
  </sheetViews>
  <sheetFormatPr defaultColWidth="9" defaultRowHeight="15" x14ac:dyDescent="0.35"/>
  <cols>
    <col min="1" max="1" width="52.140625" style="9" bestFit="1" customWidth="1"/>
    <col min="2" max="6" width="27.640625" style="9" customWidth="1"/>
    <col min="7" max="7" width="18.0703125" style="9" customWidth="1"/>
    <col min="8" max="16384" width="9" style="9"/>
  </cols>
  <sheetData>
    <row r="1" spans="1:6" s="1" customFormat="1" ht="30" customHeight="1" x14ac:dyDescent="0.4">
      <c r="A1" s="287" t="s">
        <v>330</v>
      </c>
      <c r="B1" s="291"/>
      <c r="C1" s="291"/>
      <c r="D1" s="291"/>
      <c r="E1" s="291"/>
      <c r="F1" s="291"/>
    </row>
    <row r="2" spans="1:6" s="1" customFormat="1" ht="14.15" x14ac:dyDescent="0.35">
      <c r="A2" s="2"/>
    </row>
    <row r="3" spans="1:6" s="1" customFormat="1" ht="14.15" x14ac:dyDescent="0.35">
      <c r="A3" s="2"/>
    </row>
    <row r="6" spans="1:6" ht="17.600000000000001" x14ac:dyDescent="0.4">
      <c r="A6" s="281" t="s">
        <v>733</v>
      </c>
      <c r="B6" s="516">
        <f>SUM(F50:G50)</f>
        <v>18537.991232104861</v>
      </c>
      <c r="C6" s="515" t="s">
        <v>176</v>
      </c>
    </row>
    <row r="8" spans="1:6" ht="24" customHeight="1" x14ac:dyDescent="0.35">
      <c r="A8" s="618" t="str">
        <f>"Total Digestate Production  ("&amp;C6&amp;")"</f>
        <v>Total Digestate Production  (kg/day)</v>
      </c>
      <c r="B8" s="618"/>
      <c r="C8" s="618"/>
      <c r="D8" s="618"/>
      <c r="E8" s="618"/>
      <c r="F8" s="618"/>
    </row>
    <row r="33" spans="1:7" x14ac:dyDescent="0.35">
      <c r="A33" s="618" t="str">
        <f>"Total Digestate Production  ("&amp;C6&amp;")"</f>
        <v>Total Digestate Production  (kg/day)</v>
      </c>
      <c r="B33" s="618"/>
      <c r="C33" s="618"/>
      <c r="D33" s="618"/>
      <c r="E33" s="618"/>
      <c r="F33" s="618"/>
      <c r="G33" s="618"/>
    </row>
    <row r="34" spans="1:7" x14ac:dyDescent="0.35">
      <c r="A34" s="390" t="s">
        <v>332</v>
      </c>
      <c r="B34" s="390" t="s">
        <v>333</v>
      </c>
      <c r="C34" s="390" t="s">
        <v>301</v>
      </c>
      <c r="D34" s="390" t="s">
        <v>145</v>
      </c>
      <c r="E34" s="35" t="s">
        <v>302</v>
      </c>
      <c r="F34" s="33" t="s">
        <v>303</v>
      </c>
      <c r="G34" s="33" t="s">
        <v>304</v>
      </c>
    </row>
    <row r="35" spans="1:7" x14ac:dyDescent="0.35">
      <c r="A35" s="3" t="str">
        <f>IF('3-Digester Inputs'!B17=0,"",'3-Digester Inputs'!B17)</f>
        <v>Calf</v>
      </c>
      <c r="B35" s="12">
        <f>IFERROR('3-Digester Inputs'!BE17*'3-Digester Inputs'!I17/VLOOKUP($C$6,'23-Look up values'!$A$4:$B$5,2,FALSE),"")</f>
        <v>354.66249180722866</v>
      </c>
      <c r="C35" s="12">
        <f>IFERROR(C72/VLOOKUP($C$6,'23-Look up values'!$A$4:$B$5,2,FALSE),"")</f>
        <v>1460.1937927432743</v>
      </c>
      <c r="D35" s="12">
        <f>IFERROR('3-Digester Inputs'!F17*'3-Digester Inputs'!C17/VLOOKUP($C$6,'23-Look up values'!$A$4:$B$5,2,FALSE),"")</f>
        <v>16288.466040399999</v>
      </c>
      <c r="E35" s="89">
        <f>IFERROR(C35+B35+D35,"")</f>
        <v>18103.322324950503</v>
      </c>
      <c r="F35" s="12">
        <f>IFERROR(IF('3-Digester Inputs'!$C$11="Yes",E35*solid_capture_efficenicy_of_dewatering_equipment,0),"")</f>
        <v>0</v>
      </c>
      <c r="G35" s="12">
        <f>IFERROR(E35-F35,"")</f>
        <v>18103.322324950503</v>
      </c>
    </row>
    <row r="36" spans="1:7" x14ac:dyDescent="0.35">
      <c r="A36" s="3" t="str">
        <f>IF('3-Digester Inputs'!B18=0,"",'3-Digester Inputs'!B18)</f>
        <v>Adolescents Pigs</v>
      </c>
      <c r="B36" s="12">
        <f>IFERROR('3-Digester Inputs'!BE18*'3-Digester Inputs'!I18/VLOOKUP($C$6,'23-Look up values'!$A$4:$B$5,2,FALSE),"")</f>
        <v>5.0509213784615357</v>
      </c>
      <c r="C36" s="12">
        <f>IFERROR(C73/VLOOKUP($C$6,'23-Look up values'!$A$4:$B$5,2,FALSE),"")</f>
        <v>12.988462371855936</v>
      </c>
      <c r="D36" s="12">
        <f>IFERROR('3-Digester Inputs'!F18*'3-Digester Inputs'!C18,"")</f>
        <v>268.61718239999999</v>
      </c>
      <c r="E36" s="89">
        <f t="shared" ref="E36:E49" si="0">IFERROR(C36+B36+D36,"")</f>
        <v>286.65656615031747</v>
      </c>
      <c r="F36" s="12">
        <f>IFERROR(IF('3-Digester Inputs'!$C$11="Yes",E36*solid_capture_efficenicy_of_dewatering_equipment,0),"")</f>
        <v>0</v>
      </c>
      <c r="G36" s="12">
        <f t="shared" ref="G36:G49" si="1">IFERROR(E36-F36,"")</f>
        <v>286.65656615031747</v>
      </c>
    </row>
    <row r="37" spans="1:7" x14ac:dyDescent="0.35">
      <c r="A37" s="3" t="str">
        <f>IF('3-Digester Inputs'!B19=0,"",'3-Digester Inputs'!B19)</f>
        <v>Poultry Chicken</v>
      </c>
      <c r="B37" s="12">
        <f>IFERROR('3-Digester Inputs'!BE19*'3-Digester Inputs'!I19/VLOOKUP($C$6,'23-Look up values'!$A$4:$B$5,2,FALSE),"")</f>
        <v>10.583813333333334</v>
      </c>
      <c r="C37" s="12">
        <f>IFERROR(C74/VLOOKUP($C$6,'23-Look up values'!$A$4:$B$5,2,FALSE),"")</f>
        <v>18.36062767070699</v>
      </c>
      <c r="D37" s="12">
        <f>IFERROR('3-Digester Inputs'!F19*'3-Digester Inputs'!C19,"")</f>
        <v>119.06789999999998</v>
      </c>
      <c r="E37" s="89">
        <f t="shared" si="0"/>
        <v>148.01234100404031</v>
      </c>
      <c r="F37" s="12">
        <f>IFERROR(IF('3-Digester Inputs'!$C$11="Yes",E37*solid_capture_efficenicy_of_dewatering_equipment,0),"")</f>
        <v>0</v>
      </c>
      <c r="G37" s="12">
        <f t="shared" si="1"/>
        <v>148.01234100404031</v>
      </c>
    </row>
    <row r="38" spans="1:7" x14ac:dyDescent="0.35">
      <c r="A38" s="3" t="str">
        <f>IF('3-Digester Inputs'!B20=0,"",'3-Digester Inputs'!B20)</f>
        <v/>
      </c>
      <c r="B38" s="12" t="str">
        <f>IFERROR('3-Digester Inputs'!BE20*'3-Digester Inputs'!I20/VLOOKUP($C$6,'23-Look up values'!$A$4:$B$5,2,FALSE),"")</f>
        <v/>
      </c>
      <c r="C38" s="12" t="str">
        <f>IFERROR(C75/VLOOKUP($C$6,'23-Look up values'!$A$4:$B$5,2,FALSE),"")</f>
        <v/>
      </c>
      <c r="D38" s="12" t="str">
        <f>IFERROR('3-Digester Inputs'!F20*'3-Digester Inputs'!C20,"")</f>
        <v/>
      </c>
      <c r="E38" s="89" t="str">
        <f t="shared" si="0"/>
        <v/>
      </c>
      <c r="F38" s="12">
        <f>IFERROR(IF('3-Digester Inputs'!$C$11="Yes",E38*solid_capture_efficenicy_of_dewatering_equipment,0),"")</f>
        <v>0</v>
      </c>
      <c r="G38" s="12" t="str">
        <f t="shared" si="1"/>
        <v/>
      </c>
    </row>
    <row r="39" spans="1:7" x14ac:dyDescent="0.35">
      <c r="A39" s="3" t="str">
        <f>IF('3-Digester Inputs'!B21=0,"",'3-Digester Inputs'!B21)</f>
        <v/>
      </c>
      <c r="B39" s="12" t="str">
        <f>IFERROR('3-Digester Inputs'!BE21*'3-Digester Inputs'!I21/VLOOKUP($C$6,'23-Look up values'!$A$4:$B$5,2,FALSE),"")</f>
        <v/>
      </c>
      <c r="C39" s="12" t="str">
        <f>IFERROR(C76/VLOOKUP($C$6,'23-Look up values'!$A$4:$B$5,2,FALSE),"")</f>
        <v/>
      </c>
      <c r="D39" s="12" t="str">
        <f>IFERROR('3-Digester Inputs'!F21*'3-Digester Inputs'!C21,"")</f>
        <v/>
      </c>
      <c r="E39" s="89" t="str">
        <f t="shared" si="0"/>
        <v/>
      </c>
      <c r="F39" s="12">
        <f>IFERROR(IF('3-Digester Inputs'!$C$11="Yes",E39*solid_capture_efficenicy_of_dewatering_equipment,0),"")</f>
        <v>0</v>
      </c>
      <c r="G39" s="12" t="str">
        <f t="shared" si="1"/>
        <v/>
      </c>
    </row>
    <row r="40" spans="1:7" x14ac:dyDescent="0.35">
      <c r="A40" s="3" t="str">
        <f>IF('3-Digester Inputs'!B22=0,"",'3-Digester Inputs'!B22)</f>
        <v/>
      </c>
      <c r="B40" s="12" t="str">
        <f>IFERROR('3-Digester Inputs'!BE22*'3-Digester Inputs'!I22/VLOOKUP($C$6,'23-Look up values'!$A$4:$B$5,2,FALSE),"")</f>
        <v/>
      </c>
      <c r="C40" s="12" t="str">
        <f>IFERROR(C77/VLOOKUP($C$6,'23-Look up values'!$A$4:$B$5,2,FALSE),"")</f>
        <v/>
      </c>
      <c r="D40" s="12" t="str">
        <f>IFERROR('3-Digester Inputs'!F22*'3-Digester Inputs'!C22,"")</f>
        <v/>
      </c>
      <c r="E40" s="89" t="str">
        <f t="shared" si="0"/>
        <v/>
      </c>
      <c r="F40" s="12">
        <f>IFERROR(IF('3-Digester Inputs'!$C$11="Yes",E40*solid_capture_efficenicy_of_dewatering_equipment,0),"")</f>
        <v>0</v>
      </c>
      <c r="G40" s="12" t="str">
        <f t="shared" si="1"/>
        <v/>
      </c>
    </row>
    <row r="41" spans="1:7" x14ac:dyDescent="0.35">
      <c r="A41" s="3" t="str">
        <f>IF('3-Digester Inputs'!B23=0,"",'3-Digester Inputs'!B23)</f>
        <v/>
      </c>
      <c r="B41" s="12" t="str">
        <f>IFERROR('3-Digester Inputs'!BE23*'3-Digester Inputs'!I23/VLOOKUP($C$6,'23-Look up values'!$A$4:$B$5,2,FALSE),"")</f>
        <v/>
      </c>
      <c r="C41" s="12" t="str">
        <f>IFERROR(C78/VLOOKUP($C$6,'23-Look up values'!$A$4:$B$5,2,FALSE),"")</f>
        <v/>
      </c>
      <c r="D41" s="12" t="str">
        <f>IFERROR('3-Digester Inputs'!F23*'3-Digester Inputs'!C23,"")</f>
        <v/>
      </c>
      <c r="E41" s="89" t="str">
        <f t="shared" si="0"/>
        <v/>
      </c>
      <c r="F41" s="12">
        <f>IFERROR(IF('3-Digester Inputs'!$C$11="Yes",E41*solid_capture_efficenicy_of_dewatering_equipment,0),"")</f>
        <v>0</v>
      </c>
      <c r="G41" s="12" t="str">
        <f t="shared" si="1"/>
        <v/>
      </c>
    </row>
    <row r="42" spans="1:7" x14ac:dyDescent="0.35">
      <c r="A42" s="3" t="str">
        <f>IF('3-Digester Inputs'!B24=0,"",'3-Digester Inputs'!B24)</f>
        <v/>
      </c>
      <c r="B42" s="12" t="str">
        <f>IFERROR('3-Digester Inputs'!BE24*'3-Digester Inputs'!I24/VLOOKUP($C$6,'23-Look up values'!$A$4:$B$5,2,FALSE),"")</f>
        <v/>
      </c>
      <c r="C42" s="12" t="str">
        <f>IFERROR(C79/VLOOKUP($C$6,'23-Look up values'!$A$4:$B$5,2,FALSE),"")</f>
        <v/>
      </c>
      <c r="D42" s="12" t="str">
        <f>IFERROR('3-Digester Inputs'!F24*'3-Digester Inputs'!C24,"")</f>
        <v/>
      </c>
      <c r="E42" s="89" t="str">
        <f t="shared" si="0"/>
        <v/>
      </c>
      <c r="F42" s="12">
        <f>IFERROR(IF('3-Digester Inputs'!$C$11="Yes",E42*solid_capture_efficenicy_of_dewatering_equipment,0),"")</f>
        <v>0</v>
      </c>
      <c r="G42" s="12" t="str">
        <f t="shared" si="1"/>
        <v/>
      </c>
    </row>
    <row r="43" spans="1:7" x14ac:dyDescent="0.35">
      <c r="A43" s="3" t="str">
        <f>IF('3-Digester Inputs'!B25=0,"",'3-Digester Inputs'!B25)</f>
        <v/>
      </c>
      <c r="B43" s="12" t="str">
        <f>IFERROR('3-Digester Inputs'!BE25*'3-Digester Inputs'!I25/VLOOKUP($C$6,'23-Look up values'!$A$4:$B$5,2,FALSE),"")</f>
        <v/>
      </c>
      <c r="C43" s="12" t="str">
        <f>IFERROR(C80/VLOOKUP($C$6,'23-Look up values'!$A$4:$B$5,2,FALSE),"")</f>
        <v/>
      </c>
      <c r="D43" s="12" t="str">
        <f>IFERROR('3-Digester Inputs'!F25*'3-Digester Inputs'!C25,"")</f>
        <v/>
      </c>
      <c r="E43" s="89" t="str">
        <f t="shared" si="0"/>
        <v/>
      </c>
      <c r="F43" s="12">
        <f>IFERROR(IF('3-Digester Inputs'!$C$11="Yes",E43*solid_capture_efficenicy_of_dewatering_equipment,0),"")</f>
        <v>0</v>
      </c>
      <c r="G43" s="12" t="str">
        <f t="shared" si="1"/>
        <v/>
      </c>
    </row>
    <row r="44" spans="1:7" x14ac:dyDescent="0.35">
      <c r="A44" s="3" t="str">
        <f>IF('3-Digester Inputs'!B26=0,"",'3-Digester Inputs'!B26)</f>
        <v/>
      </c>
      <c r="B44" s="12" t="str">
        <f>IFERROR('3-Digester Inputs'!BE26*'3-Digester Inputs'!I26/VLOOKUP($C$6,'23-Look up values'!$A$4:$B$5,2,FALSE),"")</f>
        <v/>
      </c>
      <c r="C44" s="12" t="str">
        <f>IFERROR(C81/VLOOKUP($C$6,'23-Look up values'!$A$4:$B$5,2,FALSE),"")</f>
        <v/>
      </c>
      <c r="D44" s="12" t="str">
        <f>IFERROR('3-Digester Inputs'!F26*'3-Digester Inputs'!C26,"")</f>
        <v/>
      </c>
      <c r="E44" s="89" t="str">
        <f t="shared" si="0"/>
        <v/>
      </c>
      <c r="F44" s="12">
        <f>IFERROR(IF('3-Digester Inputs'!$C$11="Yes",E44*solid_capture_efficenicy_of_dewatering_equipment,0),"")</f>
        <v>0</v>
      </c>
      <c r="G44" s="12" t="str">
        <f t="shared" si="1"/>
        <v/>
      </c>
    </row>
    <row r="45" spans="1:7" x14ac:dyDescent="0.35">
      <c r="A45" s="3" t="str">
        <f>IF('3-Digester Inputs'!B27=0,"",'3-Digester Inputs'!B27)</f>
        <v/>
      </c>
      <c r="B45" s="12" t="str">
        <f>IFERROR('3-Digester Inputs'!BE27*'3-Digester Inputs'!I27/VLOOKUP($C$6,'23-Look up values'!$A$4:$B$5,2,FALSE),"")</f>
        <v/>
      </c>
      <c r="C45" s="12" t="str">
        <f>IFERROR(C82/VLOOKUP($C$6,'23-Look up values'!$A$4:$B$5,2,FALSE),"")</f>
        <v/>
      </c>
      <c r="D45" s="12" t="str">
        <f>IFERROR('3-Digester Inputs'!F27*'3-Digester Inputs'!C27,"")</f>
        <v/>
      </c>
      <c r="E45" s="89" t="str">
        <f t="shared" si="0"/>
        <v/>
      </c>
      <c r="F45" s="12">
        <f>IFERROR(IF('3-Digester Inputs'!$C$11="Yes",E45*solid_capture_efficenicy_of_dewatering_equipment,0),"")</f>
        <v>0</v>
      </c>
      <c r="G45" s="12" t="str">
        <f t="shared" si="1"/>
        <v/>
      </c>
    </row>
    <row r="46" spans="1:7" x14ac:dyDescent="0.35">
      <c r="A46" s="3" t="str">
        <f>IF('3-Digester Inputs'!B28=0,"",'3-Digester Inputs'!B28)</f>
        <v/>
      </c>
      <c r="B46" s="12" t="str">
        <f>IFERROR('3-Digester Inputs'!BE28*'3-Digester Inputs'!I28/VLOOKUP($C$6,'23-Look up values'!$A$4:$B$5,2,FALSE),"")</f>
        <v/>
      </c>
      <c r="C46" s="12" t="str">
        <f>IFERROR(C83/VLOOKUP($C$6,'23-Look up values'!$A$4:$B$5,2,FALSE),"")</f>
        <v/>
      </c>
      <c r="D46" s="12" t="str">
        <f>IFERROR('3-Digester Inputs'!F28*'3-Digester Inputs'!C28,"")</f>
        <v/>
      </c>
      <c r="E46" s="89" t="str">
        <f t="shared" si="0"/>
        <v/>
      </c>
      <c r="F46" s="12">
        <f>IFERROR(IF('3-Digester Inputs'!$C$11="Yes",E46*solid_capture_efficenicy_of_dewatering_equipment,0),"")</f>
        <v>0</v>
      </c>
      <c r="G46" s="12" t="str">
        <f t="shared" si="1"/>
        <v/>
      </c>
    </row>
    <row r="47" spans="1:7" x14ac:dyDescent="0.35">
      <c r="A47" s="3" t="str">
        <f>IF('3-Digester Inputs'!B29=0,"",'3-Digester Inputs'!B29)</f>
        <v/>
      </c>
      <c r="B47" s="12" t="str">
        <f>IFERROR('3-Digester Inputs'!BE29*'3-Digester Inputs'!I29/VLOOKUP($C$6,'23-Look up values'!$A$4:$B$5,2,FALSE),"")</f>
        <v/>
      </c>
      <c r="C47" s="12" t="str">
        <f>IFERROR(C84/VLOOKUP($C$6,'23-Look up values'!$A$4:$B$5,2,FALSE),"")</f>
        <v/>
      </c>
      <c r="D47" s="12" t="str">
        <f>IFERROR('3-Digester Inputs'!F29*'3-Digester Inputs'!C29,"")</f>
        <v/>
      </c>
      <c r="E47" s="89" t="str">
        <f t="shared" si="0"/>
        <v/>
      </c>
      <c r="F47" s="12">
        <f>IFERROR(IF('3-Digester Inputs'!$C$11="Yes",E47*solid_capture_efficenicy_of_dewatering_equipment,0),"")</f>
        <v>0</v>
      </c>
      <c r="G47" s="12" t="str">
        <f t="shared" si="1"/>
        <v/>
      </c>
    </row>
    <row r="48" spans="1:7" x14ac:dyDescent="0.35">
      <c r="A48" s="3" t="str">
        <f>IF('3-Digester Inputs'!B30=0,"",'3-Digester Inputs'!B30)</f>
        <v/>
      </c>
      <c r="B48" s="12" t="str">
        <f>IFERROR('3-Digester Inputs'!BE30*'3-Digester Inputs'!I30/VLOOKUP($C$6,'23-Look up values'!$A$4:$B$5,2,FALSE),"")</f>
        <v/>
      </c>
      <c r="C48" s="12" t="str">
        <f>IFERROR(C85/VLOOKUP($C$6,'23-Look up values'!$A$4:$B$5,2,FALSE),"")</f>
        <v/>
      </c>
      <c r="D48" s="12" t="str">
        <f>IFERROR('3-Digester Inputs'!F30*'3-Digester Inputs'!C30,"")</f>
        <v/>
      </c>
      <c r="E48" s="89" t="str">
        <f t="shared" si="0"/>
        <v/>
      </c>
      <c r="F48" s="12">
        <f>IFERROR(IF('3-Digester Inputs'!$C$11="Yes",E48*solid_capture_efficenicy_of_dewatering_equipment,0),"")</f>
        <v>0</v>
      </c>
      <c r="G48" s="12" t="str">
        <f t="shared" si="1"/>
        <v/>
      </c>
    </row>
    <row r="49" spans="1:7" x14ac:dyDescent="0.35">
      <c r="A49" s="3" t="str">
        <f>IF('3-Digester Inputs'!B31=0,"",'3-Digester Inputs'!B31)</f>
        <v/>
      </c>
      <c r="B49" s="12" t="str">
        <f>IFERROR('3-Digester Inputs'!BE31*'3-Digester Inputs'!I31/VLOOKUP($C$6,'23-Look up values'!$A$4:$B$5,2,FALSE),"")</f>
        <v/>
      </c>
      <c r="C49" s="12" t="str">
        <f>IFERROR(C86/VLOOKUP($C$6,'23-Look up values'!$A$4:$B$5,2,FALSE),"")</f>
        <v/>
      </c>
      <c r="D49" s="12" t="str">
        <f>IFERROR('3-Digester Inputs'!F31*'3-Digester Inputs'!C31,"")</f>
        <v/>
      </c>
      <c r="E49" s="89" t="str">
        <f t="shared" si="0"/>
        <v/>
      </c>
      <c r="F49" s="12">
        <f>IFERROR(IF('3-Digester Inputs'!$C$11="Yes",E49*solid_capture_efficenicy_of_dewatering_equipment,0),"")</f>
        <v>0</v>
      </c>
      <c r="G49" s="12" t="str">
        <f t="shared" si="1"/>
        <v/>
      </c>
    </row>
    <row r="50" spans="1:7" x14ac:dyDescent="0.35">
      <c r="A50" s="23" t="s">
        <v>204</v>
      </c>
      <c r="B50" s="88">
        <f t="shared" ref="B50:C50" si="2">SUM(B35:B49)</f>
        <v>370.29722651902352</v>
      </c>
      <c r="C50" s="88">
        <f t="shared" si="2"/>
        <v>1491.5428827858373</v>
      </c>
      <c r="D50" s="88">
        <f>SUM(D35:D49)</f>
        <v>16676.151122799998</v>
      </c>
      <c r="E50" s="90">
        <f>SUM(E35:E49)</f>
        <v>18537.991232104861</v>
      </c>
      <c r="F50" s="88">
        <f>SUM(F35:F48)</f>
        <v>0</v>
      </c>
      <c r="G50" s="88">
        <f>SUM(G35:G48)</f>
        <v>18537.991232104861</v>
      </c>
    </row>
    <row r="70" spans="1:7" s="34" customFormat="1" ht="22.5" hidden="1" customHeight="1" x14ac:dyDescent="0.45">
      <c r="A70" s="618" t="s">
        <v>331</v>
      </c>
      <c r="B70" s="618"/>
      <c r="C70" s="618"/>
      <c r="D70" s="618"/>
      <c r="E70" s="618"/>
      <c r="F70" s="618"/>
      <c r="G70" s="618"/>
    </row>
    <row r="71" spans="1:7" s="34" customFormat="1" ht="22.5" hidden="1" customHeight="1" x14ac:dyDescent="0.45">
      <c r="A71" s="390" t="s">
        <v>332</v>
      </c>
      <c r="B71" s="390" t="s">
        <v>333</v>
      </c>
      <c r="C71" s="390" t="s">
        <v>301</v>
      </c>
      <c r="D71" s="390" t="s">
        <v>145</v>
      </c>
      <c r="E71" s="35" t="s">
        <v>302</v>
      </c>
      <c r="F71" s="33" t="s">
        <v>303</v>
      </c>
      <c r="G71" s="33" t="s">
        <v>304</v>
      </c>
    </row>
    <row r="72" spans="1:7" ht="19.3" hidden="1" customHeight="1" x14ac:dyDescent="0.35">
      <c r="A72" s="3" t="str">
        <f>IF('3-Digester Inputs'!B17=0,"",'3-Digester Inputs'!B17)</f>
        <v>Calf</v>
      </c>
      <c r="B72" s="12">
        <f>IFERROR('3-Digester Inputs'!BE17*'3-Digester Inputs'!I17,"")</f>
        <v>354.66249180722866</v>
      </c>
      <c r="C72" s="12">
        <f>IFERROR('6-Biogas Production'!W58-'6-Biogas Production'!AA58*Assumed_Biogas_Density,"")</f>
        <v>1460.1937927432743</v>
      </c>
      <c r="D72" s="12">
        <f>IFERROR('3-Digester Inputs'!F17*'3-Digester Inputs'!C17,"")</f>
        <v>16288.466040399999</v>
      </c>
      <c r="E72" s="89">
        <f>IFERROR(C72+B72+D72,"")</f>
        <v>18103.322324950503</v>
      </c>
      <c r="F72" s="12">
        <f>IFERROR(IF('3-Digester Inputs'!$C$11="Yes",E72*solid_capture_efficenicy_of_dewatering_equipment,0),"")</f>
        <v>0</v>
      </c>
      <c r="G72" s="12">
        <f>IFERROR(E72-F72,"")</f>
        <v>18103.322324950503</v>
      </c>
    </row>
    <row r="73" spans="1:7" ht="19.3" hidden="1" customHeight="1" x14ac:dyDescent="0.35">
      <c r="A73" s="3" t="str">
        <f>IF('3-Digester Inputs'!B18=0,"",'3-Digester Inputs'!B18)</f>
        <v>Adolescents Pigs</v>
      </c>
      <c r="B73" s="12">
        <f>IFERROR('3-Digester Inputs'!BE18*'3-Digester Inputs'!I18,"")</f>
        <v>5.0509213784615357</v>
      </c>
      <c r="C73" s="12">
        <f>IFERROR('6-Biogas Production'!W59-'6-Biogas Production'!AA59*Assumed_Biogas_Density,"")</f>
        <v>12.988462371855936</v>
      </c>
      <c r="D73" s="12">
        <f>IFERROR('3-Digester Inputs'!F18*'3-Digester Inputs'!C18,"")</f>
        <v>268.61718239999999</v>
      </c>
      <c r="E73" s="89">
        <f t="shared" ref="E73:E86" si="3">IFERROR(C73+B73+D73,"")</f>
        <v>286.65656615031747</v>
      </c>
      <c r="F73" s="12">
        <f>IFERROR(IF('3-Digester Inputs'!$C$11="Yes",E73*solid_capture_efficenicy_of_dewatering_equipment,0),"")</f>
        <v>0</v>
      </c>
      <c r="G73" s="12">
        <f t="shared" ref="G73:G86" si="4">IFERROR(E73-F73,"")</f>
        <v>286.65656615031747</v>
      </c>
    </row>
    <row r="74" spans="1:7" ht="19.3" hidden="1" customHeight="1" x14ac:dyDescent="0.35">
      <c r="A74" s="3" t="str">
        <f>IF('3-Digester Inputs'!B19=0,"",'3-Digester Inputs'!B19)</f>
        <v>Poultry Chicken</v>
      </c>
      <c r="B74" s="12">
        <f>IFERROR('3-Digester Inputs'!BE19*'3-Digester Inputs'!I19,"")</f>
        <v>10.583813333333334</v>
      </c>
      <c r="C74" s="12">
        <f>IFERROR('6-Biogas Production'!W60-'6-Biogas Production'!AA60*Assumed_Biogas_Density,"")</f>
        <v>18.36062767070699</v>
      </c>
      <c r="D74" s="12">
        <f>IFERROR('3-Digester Inputs'!F19*'3-Digester Inputs'!C19,"")</f>
        <v>119.06789999999998</v>
      </c>
      <c r="E74" s="89">
        <f t="shared" si="3"/>
        <v>148.01234100404031</v>
      </c>
      <c r="F74" s="12">
        <f>IFERROR(IF('3-Digester Inputs'!$C$11="Yes",E74*solid_capture_efficenicy_of_dewatering_equipment,0),"")</f>
        <v>0</v>
      </c>
      <c r="G74" s="12">
        <f t="shared" si="4"/>
        <v>148.01234100404031</v>
      </c>
    </row>
    <row r="75" spans="1:7" ht="19.3" hidden="1" customHeight="1" x14ac:dyDescent="0.35">
      <c r="A75" s="3" t="str">
        <f>IF('3-Digester Inputs'!B20=0,"",'3-Digester Inputs'!B20)</f>
        <v/>
      </c>
      <c r="B75" s="12" t="str">
        <f>IFERROR('3-Digester Inputs'!BE20*'3-Digester Inputs'!I20,"")</f>
        <v/>
      </c>
      <c r="C75" s="12" t="str">
        <f>IFERROR('6-Biogas Production'!W61-'6-Biogas Production'!AA61*Assumed_Biogas_Density,"")</f>
        <v/>
      </c>
      <c r="D75" s="12" t="str">
        <f>IFERROR('3-Digester Inputs'!F20*'3-Digester Inputs'!C20,"")</f>
        <v/>
      </c>
      <c r="E75" s="89" t="str">
        <f t="shared" si="3"/>
        <v/>
      </c>
      <c r="F75" s="12">
        <f>IFERROR(IF('3-Digester Inputs'!$C$11="Yes",E75*solid_capture_efficenicy_of_dewatering_equipment,0),"")</f>
        <v>0</v>
      </c>
      <c r="G75" s="12" t="str">
        <f t="shared" si="4"/>
        <v/>
      </c>
    </row>
    <row r="76" spans="1:7" ht="19.3" hidden="1" customHeight="1" x14ac:dyDescent="0.35">
      <c r="A76" s="3" t="str">
        <f>IF('3-Digester Inputs'!B21=0,"",'3-Digester Inputs'!B21)</f>
        <v/>
      </c>
      <c r="B76" s="12" t="str">
        <f>IFERROR('3-Digester Inputs'!BE21*'3-Digester Inputs'!I21,"")</f>
        <v/>
      </c>
      <c r="C76" s="12" t="str">
        <f>IFERROR('6-Biogas Production'!W62-'6-Biogas Production'!AA62*Assumed_Biogas_Density,"")</f>
        <v/>
      </c>
      <c r="D76" s="12" t="str">
        <f>IFERROR('3-Digester Inputs'!F21*'3-Digester Inputs'!C21,"")</f>
        <v/>
      </c>
      <c r="E76" s="89" t="str">
        <f t="shared" si="3"/>
        <v/>
      </c>
      <c r="F76" s="12">
        <f>IFERROR(IF('3-Digester Inputs'!$C$11="Yes",E76*solid_capture_efficenicy_of_dewatering_equipment,0),"")</f>
        <v>0</v>
      </c>
      <c r="G76" s="12" t="str">
        <f t="shared" si="4"/>
        <v/>
      </c>
    </row>
    <row r="77" spans="1:7" ht="19.3" hidden="1" customHeight="1" x14ac:dyDescent="0.35">
      <c r="A77" s="3" t="str">
        <f>IF('3-Digester Inputs'!B22=0,"",'3-Digester Inputs'!B22)</f>
        <v/>
      </c>
      <c r="B77" s="12" t="str">
        <f>IFERROR('3-Digester Inputs'!BE22*'3-Digester Inputs'!I22,"")</f>
        <v/>
      </c>
      <c r="C77" s="12" t="str">
        <f>IFERROR('6-Biogas Production'!W63-'6-Biogas Production'!AA63*Assumed_Biogas_Density,"")</f>
        <v/>
      </c>
      <c r="D77" s="12" t="str">
        <f>IFERROR('3-Digester Inputs'!F22*'3-Digester Inputs'!C22,"")</f>
        <v/>
      </c>
      <c r="E77" s="89" t="str">
        <f t="shared" si="3"/>
        <v/>
      </c>
      <c r="F77" s="12">
        <f>IFERROR(IF('3-Digester Inputs'!$C$11="Yes",E77*solid_capture_efficenicy_of_dewatering_equipment,0),"")</f>
        <v>0</v>
      </c>
      <c r="G77" s="12" t="str">
        <f t="shared" si="4"/>
        <v/>
      </c>
    </row>
    <row r="78" spans="1:7" ht="19.3" hidden="1" customHeight="1" x14ac:dyDescent="0.35">
      <c r="A78" s="3" t="str">
        <f>IF('3-Digester Inputs'!B23=0,"",'3-Digester Inputs'!B23)</f>
        <v/>
      </c>
      <c r="B78" s="12" t="str">
        <f>IFERROR('3-Digester Inputs'!BE23*'3-Digester Inputs'!I23,"")</f>
        <v/>
      </c>
      <c r="C78" s="12" t="str">
        <f>IFERROR('6-Biogas Production'!W64-'6-Biogas Production'!AA64*Assumed_Biogas_Density,"")</f>
        <v/>
      </c>
      <c r="D78" s="12" t="str">
        <f>IFERROR('3-Digester Inputs'!F23*'3-Digester Inputs'!C23,"")</f>
        <v/>
      </c>
      <c r="E78" s="89" t="str">
        <f t="shared" si="3"/>
        <v/>
      </c>
      <c r="F78" s="12">
        <f>IFERROR(IF('3-Digester Inputs'!$C$11="Yes",E78*solid_capture_efficenicy_of_dewatering_equipment,0),"")</f>
        <v>0</v>
      </c>
      <c r="G78" s="12" t="str">
        <f t="shared" si="4"/>
        <v/>
      </c>
    </row>
    <row r="79" spans="1:7" ht="19.3" hidden="1" customHeight="1" x14ac:dyDescent="0.35">
      <c r="A79" s="3" t="str">
        <f>IF('3-Digester Inputs'!B24=0,"",'3-Digester Inputs'!B24)</f>
        <v/>
      </c>
      <c r="B79" s="12" t="str">
        <f>IFERROR('3-Digester Inputs'!BE24*'3-Digester Inputs'!I24,"")</f>
        <v/>
      </c>
      <c r="C79" s="12" t="str">
        <f>IFERROR('6-Biogas Production'!W65-'6-Biogas Production'!AA65*Assumed_Biogas_Density,"")</f>
        <v/>
      </c>
      <c r="D79" s="12" t="str">
        <f>IFERROR('3-Digester Inputs'!F24*'3-Digester Inputs'!C24,"")</f>
        <v/>
      </c>
      <c r="E79" s="89" t="str">
        <f t="shared" si="3"/>
        <v/>
      </c>
      <c r="F79" s="12">
        <f>IFERROR(IF('3-Digester Inputs'!$C$11="Yes",E79*solid_capture_efficenicy_of_dewatering_equipment,0),"")</f>
        <v>0</v>
      </c>
      <c r="G79" s="12" t="str">
        <f t="shared" si="4"/>
        <v/>
      </c>
    </row>
    <row r="80" spans="1:7" ht="19.3" hidden="1" customHeight="1" x14ac:dyDescent="0.35">
      <c r="A80" s="3" t="str">
        <f>IF('3-Digester Inputs'!B25=0,"",'3-Digester Inputs'!B25)</f>
        <v/>
      </c>
      <c r="B80" s="12" t="str">
        <f>IFERROR('3-Digester Inputs'!BE25*'3-Digester Inputs'!I25,"")</f>
        <v/>
      </c>
      <c r="C80" s="12" t="str">
        <f>IFERROR('6-Biogas Production'!W66-'6-Biogas Production'!AA66*Assumed_Biogas_Density,"")</f>
        <v/>
      </c>
      <c r="D80" s="12" t="str">
        <f>IFERROR('3-Digester Inputs'!F25*'3-Digester Inputs'!C25,"")</f>
        <v/>
      </c>
      <c r="E80" s="89" t="str">
        <f t="shared" si="3"/>
        <v/>
      </c>
      <c r="F80" s="12">
        <f>IFERROR(IF('3-Digester Inputs'!$C$11="Yes",E80*solid_capture_efficenicy_of_dewatering_equipment,0),"")</f>
        <v>0</v>
      </c>
      <c r="G80" s="12" t="str">
        <f t="shared" si="4"/>
        <v/>
      </c>
    </row>
    <row r="81" spans="1:7" ht="19.3" hidden="1" customHeight="1" x14ac:dyDescent="0.35">
      <c r="A81" s="3" t="str">
        <f>IF('3-Digester Inputs'!B26=0,"",'3-Digester Inputs'!B26)</f>
        <v/>
      </c>
      <c r="B81" s="12" t="str">
        <f>IFERROR('3-Digester Inputs'!BE26*'3-Digester Inputs'!I26,"")</f>
        <v/>
      </c>
      <c r="C81" s="12" t="str">
        <f>IFERROR('6-Biogas Production'!W67-'6-Biogas Production'!AA67*Assumed_Biogas_Density,"")</f>
        <v/>
      </c>
      <c r="D81" s="12" t="str">
        <f>IFERROR('3-Digester Inputs'!F26*'3-Digester Inputs'!C26,"")</f>
        <v/>
      </c>
      <c r="E81" s="89" t="str">
        <f t="shared" si="3"/>
        <v/>
      </c>
      <c r="F81" s="12">
        <f>IFERROR(IF('3-Digester Inputs'!$C$11="Yes",E81*solid_capture_efficenicy_of_dewatering_equipment,0),"")</f>
        <v>0</v>
      </c>
      <c r="G81" s="12" t="str">
        <f t="shared" si="4"/>
        <v/>
      </c>
    </row>
    <row r="82" spans="1:7" ht="19.3" hidden="1" customHeight="1" x14ac:dyDescent="0.35">
      <c r="A82" s="3" t="str">
        <f>IF('3-Digester Inputs'!B27=0,"",'3-Digester Inputs'!B27)</f>
        <v/>
      </c>
      <c r="B82" s="12" t="str">
        <f>IFERROR('3-Digester Inputs'!BE27*'3-Digester Inputs'!I27,"")</f>
        <v/>
      </c>
      <c r="C82" s="12" t="str">
        <f>IFERROR('6-Biogas Production'!W68-'6-Biogas Production'!AA68*Assumed_Biogas_Density,"")</f>
        <v/>
      </c>
      <c r="D82" s="12" t="str">
        <f>IFERROR('3-Digester Inputs'!F27*'3-Digester Inputs'!C27,"")</f>
        <v/>
      </c>
      <c r="E82" s="89" t="str">
        <f t="shared" si="3"/>
        <v/>
      </c>
      <c r="F82" s="12">
        <f>IFERROR(IF('3-Digester Inputs'!$C$11="Yes",E82*solid_capture_efficenicy_of_dewatering_equipment,0),"")</f>
        <v>0</v>
      </c>
      <c r="G82" s="12" t="str">
        <f t="shared" si="4"/>
        <v/>
      </c>
    </row>
    <row r="83" spans="1:7" ht="19.3" hidden="1" customHeight="1" x14ac:dyDescent="0.35">
      <c r="A83" s="3" t="str">
        <f>IF('3-Digester Inputs'!B28=0,"",'3-Digester Inputs'!B28)</f>
        <v/>
      </c>
      <c r="B83" s="12" t="str">
        <f>IFERROR('3-Digester Inputs'!BE28*'3-Digester Inputs'!I28,"")</f>
        <v/>
      </c>
      <c r="C83" s="12" t="str">
        <f>IFERROR('6-Biogas Production'!W69-'6-Biogas Production'!AA69*Assumed_Biogas_Density,"")</f>
        <v/>
      </c>
      <c r="D83" s="12" t="str">
        <f>IFERROR('3-Digester Inputs'!F28*'3-Digester Inputs'!C28,"")</f>
        <v/>
      </c>
      <c r="E83" s="89" t="str">
        <f t="shared" si="3"/>
        <v/>
      </c>
      <c r="F83" s="12">
        <f>IFERROR(IF('3-Digester Inputs'!$C$11="Yes",E83*solid_capture_efficenicy_of_dewatering_equipment,0),"")</f>
        <v>0</v>
      </c>
      <c r="G83" s="12" t="str">
        <f t="shared" si="4"/>
        <v/>
      </c>
    </row>
    <row r="84" spans="1:7" ht="19.3" hidden="1" customHeight="1" x14ac:dyDescent="0.35">
      <c r="A84" s="3" t="str">
        <f>IF('3-Digester Inputs'!B29=0,"",'3-Digester Inputs'!B29)</f>
        <v/>
      </c>
      <c r="B84" s="12" t="str">
        <f>IFERROR('3-Digester Inputs'!BE29*'3-Digester Inputs'!I29,"")</f>
        <v/>
      </c>
      <c r="C84" s="12" t="str">
        <f>IFERROR('6-Biogas Production'!W70-'6-Biogas Production'!AA70*Assumed_Biogas_Density,"")</f>
        <v/>
      </c>
      <c r="D84" s="12" t="str">
        <f>IFERROR('3-Digester Inputs'!F29*'3-Digester Inputs'!C29,"")</f>
        <v/>
      </c>
      <c r="E84" s="89" t="str">
        <f t="shared" si="3"/>
        <v/>
      </c>
      <c r="F84" s="12">
        <f>IFERROR(IF('3-Digester Inputs'!$C$11="Yes",E84*solid_capture_efficenicy_of_dewatering_equipment,0),"")</f>
        <v>0</v>
      </c>
      <c r="G84" s="12" t="str">
        <f t="shared" si="4"/>
        <v/>
      </c>
    </row>
    <row r="85" spans="1:7" ht="19.3" hidden="1" customHeight="1" x14ac:dyDescent="0.35">
      <c r="A85" s="3" t="str">
        <f>IF('3-Digester Inputs'!B30=0,"",'3-Digester Inputs'!B30)</f>
        <v/>
      </c>
      <c r="B85" s="12" t="str">
        <f>IFERROR('3-Digester Inputs'!BE30*'3-Digester Inputs'!I30,"")</f>
        <v/>
      </c>
      <c r="C85" s="12" t="str">
        <f>IFERROR('6-Biogas Production'!W71-'6-Biogas Production'!AA71*Assumed_Biogas_Density,"")</f>
        <v/>
      </c>
      <c r="D85" s="12" t="str">
        <f>IFERROR('3-Digester Inputs'!F30*'3-Digester Inputs'!C30,"")</f>
        <v/>
      </c>
      <c r="E85" s="89" t="str">
        <f t="shared" si="3"/>
        <v/>
      </c>
      <c r="F85" s="12">
        <f>IFERROR(IF('3-Digester Inputs'!$C$11="Yes",E85*solid_capture_efficenicy_of_dewatering_equipment,0),"")</f>
        <v>0</v>
      </c>
      <c r="G85" s="12" t="str">
        <f t="shared" si="4"/>
        <v/>
      </c>
    </row>
    <row r="86" spans="1:7" ht="19.3" hidden="1" customHeight="1" x14ac:dyDescent="0.35">
      <c r="A86" s="3" t="str">
        <f>IF('3-Digester Inputs'!B31=0,"",'3-Digester Inputs'!B31)</f>
        <v/>
      </c>
      <c r="B86" s="12" t="str">
        <f>IFERROR('3-Digester Inputs'!BE31*'3-Digester Inputs'!I31,"")</f>
        <v/>
      </c>
      <c r="C86" s="12" t="str">
        <f>IFERROR('6-Biogas Production'!W72-'6-Biogas Production'!AA72*Assumed_Biogas_Density,"")</f>
        <v/>
      </c>
      <c r="D86" s="12" t="str">
        <f>IFERROR('3-Digester Inputs'!F31*'3-Digester Inputs'!C31,"")</f>
        <v/>
      </c>
      <c r="E86" s="89" t="str">
        <f t="shared" si="3"/>
        <v/>
      </c>
      <c r="F86" s="12">
        <f>IFERROR(IF('3-Digester Inputs'!$C$11="Yes",E86*solid_capture_efficenicy_of_dewatering_equipment,0),"")</f>
        <v>0</v>
      </c>
      <c r="G86" s="12" t="str">
        <f t="shared" si="4"/>
        <v/>
      </c>
    </row>
    <row r="87" spans="1:7" ht="19.3" hidden="1" customHeight="1" x14ac:dyDescent="0.35">
      <c r="A87" s="23" t="s">
        <v>204</v>
      </c>
      <c r="B87" s="88">
        <f>SUM(B72:B86)</f>
        <v>370.29722651902352</v>
      </c>
      <c r="C87" s="88">
        <f t="shared" ref="C87" si="5">SUM(C72:C86)</f>
        <v>1491.5428827858373</v>
      </c>
      <c r="D87" s="88">
        <f>SUM(D72:D86)</f>
        <v>16676.151122799998</v>
      </c>
      <c r="E87" s="90">
        <f>SUM(E72:E86)</f>
        <v>18537.991232104861</v>
      </c>
      <c r="F87" s="88">
        <f>SUM(F72:F85)</f>
        <v>0</v>
      </c>
      <c r="G87" s="88">
        <f>SUM(G72:G85)</f>
        <v>18537.991232104861</v>
      </c>
    </row>
    <row r="88" spans="1:7" ht="30" hidden="1" customHeight="1" x14ac:dyDescent="0.35"/>
  </sheetData>
  <sheetProtection selectLockedCells="1"/>
  <mergeCells count="3">
    <mergeCell ref="A8:F8"/>
    <mergeCell ref="A70:G70"/>
    <mergeCell ref="A33:G33"/>
  </mergeCells>
  <pageMargins left="0.7" right="0.7" top="0.75" bottom="0.75" header="0.3" footer="0.3"/>
  <pageSetup scale="47" orientation="portrait" verticalDpi="0" r:id="rId1"/>
  <headerFooter>
    <oddHeader>&amp;C&amp;G</oddHead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843CDCDE-DFDB-480E-BD59-730AD255EC69}">
          <x14:formula1>
            <xm:f>'23-Look up values'!$A$4:$A$5</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tabColor theme="1"/>
  </sheetPr>
  <dimension ref="A1:AH67"/>
  <sheetViews>
    <sheetView topLeftCell="A9" workbookViewId="0">
      <selection activeCell="C41" sqref="C41"/>
    </sheetView>
  </sheetViews>
  <sheetFormatPr defaultColWidth="8.5703125" defaultRowHeight="14.15" x14ac:dyDescent="0.35"/>
  <cols>
    <col min="1" max="1" width="64.140625" style="198" bestFit="1" customWidth="1"/>
    <col min="2" max="2" width="19.5703125" style="198" customWidth="1"/>
    <col min="3" max="3" width="21.640625" style="198" customWidth="1"/>
    <col min="4" max="4" width="18" style="198" customWidth="1"/>
    <col min="5" max="5" width="19.5" style="198" bestFit="1" customWidth="1"/>
    <col min="6" max="6" width="40" style="198" bestFit="1" customWidth="1"/>
    <col min="7" max="16384" width="8.5703125" style="198"/>
  </cols>
  <sheetData>
    <row r="1" spans="1:34" ht="17.600000000000001" x14ac:dyDescent="0.4">
      <c r="A1" s="287" t="s">
        <v>334</v>
      </c>
      <c r="B1" s="287"/>
      <c r="C1" s="287"/>
      <c r="D1" s="287"/>
      <c r="E1" s="287"/>
      <c r="F1" s="287"/>
      <c r="G1" s="287"/>
      <c r="H1" s="18"/>
      <c r="I1" s="18"/>
      <c r="J1" s="18"/>
      <c r="K1" s="18"/>
      <c r="L1" s="18"/>
      <c r="M1" s="18"/>
      <c r="N1" s="18"/>
      <c r="O1" s="18"/>
      <c r="P1" s="18"/>
      <c r="Q1" s="18"/>
      <c r="R1" s="18"/>
      <c r="S1" s="18"/>
      <c r="T1" s="18"/>
      <c r="U1" s="18"/>
      <c r="V1" s="18"/>
      <c r="W1" s="18"/>
      <c r="X1" s="18"/>
      <c r="Y1" s="18"/>
      <c r="Z1" s="18"/>
      <c r="AA1" s="18"/>
      <c r="AB1" s="18"/>
      <c r="AC1" s="18"/>
      <c r="AD1" s="18"/>
      <c r="AE1" s="18"/>
      <c r="AF1" s="18"/>
      <c r="AG1" s="18"/>
      <c r="AH1" s="18"/>
    </row>
    <row r="7" spans="1:34" ht="14.6" thickBot="1" x14ac:dyDescent="0.4"/>
    <row r="8" spans="1:34" ht="21" x14ac:dyDescent="0.6">
      <c r="A8" s="308" t="s">
        <v>335</v>
      </c>
      <c r="B8" s="387">
        <f>IFERROR(SUM(E28:E29),"-")</f>
        <v>1989.7344531520444</v>
      </c>
    </row>
    <row r="9" spans="1:34" ht="21" x14ac:dyDescent="0.6">
      <c r="A9" s="309" t="s">
        <v>336</v>
      </c>
      <c r="B9" s="388">
        <f>IFERROR(SUM(E31:E34),"-")</f>
        <v>137.30623607694628</v>
      </c>
    </row>
    <row r="10" spans="1:34" ht="21.45" thickBot="1" x14ac:dyDescent="0.65">
      <c r="A10" s="310" t="s">
        <v>337</v>
      </c>
      <c r="B10" s="389">
        <f>IFERROR(B8-B9,"-")</f>
        <v>1852.428217075098</v>
      </c>
    </row>
    <row r="11" spans="1:34" ht="14.6" thickBot="1" x14ac:dyDescent="0.4"/>
    <row r="12" spans="1:34" x14ac:dyDescent="0.35">
      <c r="A12" s="430" t="s">
        <v>338</v>
      </c>
      <c r="B12" s="431" t="s">
        <v>215</v>
      </c>
      <c r="C12" s="432" t="s">
        <v>215</v>
      </c>
    </row>
    <row r="13" spans="1:34" ht="16.75" x14ac:dyDescent="0.5">
      <c r="A13" s="433" t="s">
        <v>339</v>
      </c>
      <c r="B13" s="434" t="s">
        <v>340</v>
      </c>
      <c r="C13" s="435" t="s">
        <v>341</v>
      </c>
    </row>
    <row r="14" spans="1:34" x14ac:dyDescent="0.35">
      <c r="A14" s="436" t="s">
        <v>342</v>
      </c>
      <c r="B14" s="437"/>
      <c r="C14" s="438"/>
    </row>
    <row r="15" spans="1:34" x14ac:dyDescent="0.35">
      <c r="A15" s="439" t="s">
        <v>343</v>
      </c>
      <c r="B15" s="440">
        <f>ManureMethane</f>
        <v>71061.944755430159</v>
      </c>
      <c r="C15" s="441">
        <f>B15/1000</f>
        <v>71.061944755430162</v>
      </c>
    </row>
    <row r="16" spans="1:34" x14ac:dyDescent="0.35">
      <c r="A16" s="439" t="s">
        <v>344</v>
      </c>
      <c r="B16" s="440">
        <f>OtherWasteMethane</f>
        <v>0</v>
      </c>
      <c r="C16" s="441">
        <f t="shared" ref="C16:C22" si="0">B16/1000</f>
        <v>0</v>
      </c>
    </row>
    <row r="17" spans="1:5" x14ac:dyDescent="0.35">
      <c r="A17" s="442" t="s">
        <v>345</v>
      </c>
      <c r="B17" s="443"/>
      <c r="C17" s="444"/>
    </row>
    <row r="18" spans="1:5" x14ac:dyDescent="0.35">
      <c r="A18" s="439" t="s">
        <v>346</v>
      </c>
      <c r="B18" s="440">
        <f>ProjectMethaneLeakage</f>
        <v>4019.5033980370686</v>
      </c>
      <c r="C18" s="441">
        <f t="shared" si="0"/>
        <v>4.0195033980370685</v>
      </c>
    </row>
    <row r="19" spans="1:5" x14ac:dyDescent="0.35">
      <c r="A19" s="439" t="s">
        <v>347</v>
      </c>
      <c r="B19" s="497">
        <f>IFERROR(FlareRelatedEmissions,"-")</f>
        <v>160.78013592148287</v>
      </c>
      <c r="C19" s="498">
        <f>IFERROR(B19/1000,"-")</f>
        <v>0.16078013592148285</v>
      </c>
    </row>
    <row r="20" spans="1:5" x14ac:dyDescent="0.35">
      <c r="A20" s="439" t="s">
        <v>348</v>
      </c>
      <c r="B20" s="497">
        <f>Methane_Utilization_Related_Emissions</f>
        <v>723.51061164667294</v>
      </c>
      <c r="C20" s="498">
        <f>IFERROR(B20/1000,"-")</f>
        <v>0.72351061164667296</v>
      </c>
    </row>
    <row r="21" spans="1:5" x14ac:dyDescent="0.35">
      <c r="A21" s="439" t="s">
        <v>349</v>
      </c>
      <c r="B21" s="445">
        <f>CH4_Emissions_from_Consumption/1000</f>
        <v>0</v>
      </c>
      <c r="C21" s="441">
        <f t="shared" si="0"/>
        <v>0</v>
      </c>
    </row>
    <row r="22" spans="1:5" x14ac:dyDescent="0.35">
      <c r="A22" s="439" t="s">
        <v>350</v>
      </c>
      <c r="B22" s="440">
        <f>TempStorage</f>
        <v>0</v>
      </c>
      <c r="C22" s="441">
        <f t="shared" si="0"/>
        <v>0</v>
      </c>
    </row>
    <row r="23" spans="1:5" ht="14.6" thickBot="1" x14ac:dyDescent="0.4">
      <c r="A23" s="446" t="s">
        <v>351</v>
      </c>
      <c r="B23" s="495">
        <f>IFERROR(SUM(B15:B16)-(B18+B19+B20+B21+B22),"-")</f>
        <v>66158.150609824937</v>
      </c>
      <c r="C23" s="496">
        <f>IFERROR(SUM(C15:C16)-(C18+C19+C20+C21+C22),"-")</f>
        <v>66.158150609824943</v>
      </c>
    </row>
    <row r="24" spans="1:5" ht="14.6" thickBot="1" x14ac:dyDescent="0.4">
      <c r="B24" s="312"/>
      <c r="C24" s="312"/>
    </row>
    <row r="25" spans="1:5" ht="16.75" x14ac:dyDescent="0.5">
      <c r="A25" s="430" t="s">
        <v>352</v>
      </c>
      <c r="B25" s="449"/>
      <c r="C25" s="449"/>
      <c r="D25" s="450"/>
      <c r="E25" s="451"/>
    </row>
    <row r="26" spans="1:5" x14ac:dyDescent="0.35">
      <c r="A26" s="433" t="s">
        <v>339</v>
      </c>
      <c r="B26" s="452" t="s">
        <v>215</v>
      </c>
      <c r="C26" s="452" t="s">
        <v>216</v>
      </c>
      <c r="D26" s="452" t="s">
        <v>353</v>
      </c>
      <c r="E26" s="453" t="s">
        <v>354</v>
      </c>
    </row>
    <row r="27" spans="1:5" x14ac:dyDescent="0.35">
      <c r="A27" s="436" t="s">
        <v>342</v>
      </c>
      <c r="B27" s="454"/>
      <c r="C27" s="454"/>
      <c r="D27" s="454"/>
      <c r="E27" s="455"/>
    </row>
    <row r="28" spans="1:5" x14ac:dyDescent="0.35">
      <c r="A28" s="439" t="s">
        <v>343</v>
      </c>
      <c r="B28" s="456">
        <f>B15*Methane_fossil_GWP/1000</f>
        <v>1989.7344531520444</v>
      </c>
      <c r="C28" s="457"/>
      <c r="D28" s="440"/>
      <c r="E28" s="441">
        <f>SUM(B28:D28)</f>
        <v>1989.7344531520444</v>
      </c>
    </row>
    <row r="29" spans="1:5" x14ac:dyDescent="0.35">
      <c r="A29" s="439" t="s">
        <v>344</v>
      </c>
      <c r="B29" s="456">
        <f>B16*Methane_fossil_GWP/1000</f>
        <v>0</v>
      </c>
      <c r="C29" s="440"/>
      <c r="D29" s="440"/>
      <c r="E29" s="441">
        <f t="shared" ref="E29:E34" si="1">SUM(B29:D29)</f>
        <v>0</v>
      </c>
    </row>
    <row r="30" spans="1:5" x14ac:dyDescent="0.35">
      <c r="A30" s="442" t="s">
        <v>345</v>
      </c>
      <c r="B30" s="458"/>
      <c r="C30" s="443"/>
      <c r="D30" s="443"/>
      <c r="E30" s="444"/>
    </row>
    <row r="31" spans="1:5" x14ac:dyDescent="0.35">
      <c r="A31" s="439" t="s">
        <v>346</v>
      </c>
      <c r="B31" s="456">
        <f>IFERROR(B18*Methane_fossil_GWP/1000,"-")</f>
        <v>112.54609514503792</v>
      </c>
      <c r="C31" s="440"/>
      <c r="D31" s="440"/>
      <c r="E31" s="441">
        <f t="shared" si="1"/>
        <v>112.54609514503792</v>
      </c>
    </row>
    <row r="32" spans="1:5" x14ac:dyDescent="0.35">
      <c r="A32" s="439" t="s">
        <v>347</v>
      </c>
      <c r="B32" s="494">
        <f>IFERROR(B19*Methane_fossil_GWP/1000, "-")</f>
        <v>4.5018438058015198</v>
      </c>
      <c r="C32" s="440"/>
      <c r="D32" s="440"/>
      <c r="E32" s="441">
        <f>SUM(B32:D32)</f>
        <v>4.5018438058015198</v>
      </c>
    </row>
    <row r="33" spans="1:5" x14ac:dyDescent="0.35">
      <c r="A33" s="439" t="s">
        <v>348</v>
      </c>
      <c r="B33" s="494">
        <f>IFERROR(B20*Methane_fossil_GWP/1000,"-")</f>
        <v>20.258297126106843</v>
      </c>
      <c r="C33" s="440"/>
      <c r="D33" s="440"/>
      <c r="E33" s="441">
        <f>SUM(B33:D33)</f>
        <v>20.258297126106843</v>
      </c>
    </row>
    <row r="34" spans="1:5" x14ac:dyDescent="0.35">
      <c r="A34" s="439" t="s">
        <v>355</v>
      </c>
      <c r="B34" s="456">
        <f>IFERROR(B21*Methane_fossil_GWP/1000,"-")</f>
        <v>0</v>
      </c>
      <c r="C34" s="499">
        <f>IFERROR(SUM('21-Electricity Use'!$B$15:$B$16)/1000,"-")</f>
        <v>0</v>
      </c>
      <c r="D34" s="440"/>
      <c r="E34" s="441">
        <f t="shared" si="1"/>
        <v>0</v>
      </c>
    </row>
    <row r="35" spans="1:5" x14ac:dyDescent="0.35">
      <c r="A35" s="439" t="s">
        <v>350</v>
      </c>
      <c r="B35" s="456">
        <f>IFERROR(B22*Methane_fossil_GWP/1000,"-")</f>
        <v>0</v>
      </c>
      <c r="C35" s="497"/>
      <c r="D35" s="440"/>
      <c r="E35" s="441">
        <f>SUM(B35:D35)</f>
        <v>0</v>
      </c>
    </row>
    <row r="36" spans="1:5" ht="14.6" thickBot="1" x14ac:dyDescent="0.4">
      <c r="A36" s="446" t="s">
        <v>356</v>
      </c>
      <c r="B36" s="495">
        <f>IFERROR(SUM(B28:B29)-(B31+B32+B33+B34+B35),"-")</f>
        <v>1852.428217075098</v>
      </c>
      <c r="C36" s="495">
        <f>IFERROR(SUM(C28:C29)-(C31+C32+C33+C34+C35),"-")</f>
        <v>0</v>
      </c>
      <c r="D36" s="447">
        <f t="shared" ref="D36" si="2">SUM(D28:D29)-(D31+D32+D33+D34+D35)</f>
        <v>0</v>
      </c>
      <c r="E36" s="448">
        <f>SUM(E28:E29)-(E31+E32+E33+E34+E35)</f>
        <v>1852.428217075098</v>
      </c>
    </row>
    <row r="38" spans="1:5" ht="14.6" thickBot="1" x14ac:dyDescent="0.4">
      <c r="A38" s="203" t="s">
        <v>357</v>
      </c>
      <c r="B38" s="203"/>
      <c r="C38" s="204"/>
      <c r="D38" s="203"/>
    </row>
    <row r="39" spans="1:5" x14ac:dyDescent="0.35">
      <c r="A39" s="459" t="s">
        <v>358</v>
      </c>
      <c r="B39" s="460"/>
      <c r="C39" s="461" t="s">
        <v>180</v>
      </c>
      <c r="D39" s="462" t="s">
        <v>359</v>
      </c>
    </row>
    <row r="40" spans="1:5" ht="30.9" x14ac:dyDescent="0.35">
      <c r="A40" s="463" t="s">
        <v>353</v>
      </c>
      <c r="B40" s="282">
        <v>900</v>
      </c>
      <c r="C40" s="232" t="s">
        <v>360</v>
      </c>
      <c r="D40" s="464" t="s">
        <v>361</v>
      </c>
    </row>
    <row r="41" spans="1:5" ht="41.15" x14ac:dyDescent="0.35">
      <c r="A41" s="465" t="s">
        <v>362</v>
      </c>
      <c r="B41" s="283">
        <v>28</v>
      </c>
      <c r="C41" s="233" t="s">
        <v>766</v>
      </c>
      <c r="D41" s="466" t="s">
        <v>363</v>
      </c>
    </row>
    <row r="42" spans="1:5" ht="41.6" thickBot="1" x14ac:dyDescent="0.4">
      <c r="A42" s="467" t="s">
        <v>364</v>
      </c>
      <c r="B42" s="468">
        <v>28</v>
      </c>
      <c r="C42" s="469" t="s">
        <v>766</v>
      </c>
      <c r="D42" s="470" t="s">
        <v>363</v>
      </c>
    </row>
    <row r="46" spans="1:5" hidden="1" x14ac:dyDescent="0.35">
      <c r="B46" s="198">
        <v>900</v>
      </c>
    </row>
    <row r="47" spans="1:5" hidden="1" x14ac:dyDescent="0.35">
      <c r="B47" s="198">
        <v>28</v>
      </c>
    </row>
    <row r="48" spans="1:5" hidden="1" x14ac:dyDescent="0.35">
      <c r="B48" s="198">
        <v>28</v>
      </c>
    </row>
    <row r="57" spans="3:3" hidden="1" x14ac:dyDescent="0.35"/>
    <row r="58" spans="3:3" hidden="1" x14ac:dyDescent="0.35">
      <c r="C58" s="198">
        <f>N58</f>
        <v>0</v>
      </c>
    </row>
    <row r="59" spans="3:3" hidden="1" x14ac:dyDescent="0.35"/>
    <row r="60" spans="3:3" hidden="1" x14ac:dyDescent="0.35">
      <c r="C60" s="198">
        <f>N60</f>
        <v>0</v>
      </c>
    </row>
    <row r="61" spans="3:3" hidden="1" x14ac:dyDescent="0.35">
      <c r="C61" s="198">
        <f>N61</f>
        <v>0</v>
      </c>
    </row>
    <row r="62" spans="3:3" hidden="1" x14ac:dyDescent="0.35">
      <c r="C62" s="198">
        <f>N62</f>
        <v>0</v>
      </c>
    </row>
    <row r="63" spans="3:3" hidden="1" x14ac:dyDescent="0.35">
      <c r="C63" s="198">
        <f>N63</f>
        <v>0</v>
      </c>
    </row>
    <row r="64" spans="3:3" hidden="1" x14ac:dyDescent="0.35"/>
    <row r="65" spans="3:3" hidden="1" x14ac:dyDescent="0.35">
      <c r="C65" s="198">
        <f>1.18</f>
        <v>1.18</v>
      </c>
    </row>
    <row r="66" spans="3:3" hidden="1" x14ac:dyDescent="0.35"/>
    <row r="67" spans="3:3" hidden="1" x14ac:dyDescent="0.35"/>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4" r:id="rId4" name="Button 10">
              <controlPr defaultSize="0" print="0" autoFill="0" autoPict="0" macro="[0]!GWPvalues">
                <anchor moveWithCells="1" sizeWithCells="1">
                  <from>
                    <xdr:col>4</xdr:col>
                    <xdr:colOff>299357</xdr:colOff>
                    <xdr:row>40</xdr:row>
                    <xdr:rowOff>65314</xdr:rowOff>
                  </from>
                  <to>
                    <xdr:col>5</xdr:col>
                    <xdr:colOff>794657</xdr:colOff>
                    <xdr:row>40</xdr:row>
                    <xdr:rowOff>522514</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tabColor rgb="FFE8D548"/>
  </sheetPr>
  <dimension ref="A1:W128"/>
  <sheetViews>
    <sheetView workbookViewId="0"/>
  </sheetViews>
  <sheetFormatPr defaultColWidth="9" defaultRowHeight="14.15" x14ac:dyDescent="0.35"/>
  <cols>
    <col min="1" max="1" width="39.5" style="4" customWidth="1"/>
    <col min="2" max="3" width="16" style="4" customWidth="1"/>
    <col min="4" max="4" width="23.5703125" style="4" hidden="1" customWidth="1"/>
    <col min="5" max="5" width="21.5" style="4" hidden="1" customWidth="1"/>
    <col min="6" max="7" width="16.5" style="4" customWidth="1"/>
    <col min="8" max="8" width="17.5703125" style="4" customWidth="1"/>
    <col min="9" max="9" width="19.0703125" style="4" hidden="1" customWidth="1"/>
    <col min="10" max="11" width="15.0703125" style="4" hidden="1" customWidth="1"/>
    <col min="12" max="12" width="17.5703125" style="4" customWidth="1"/>
    <col min="13" max="13" width="16.5703125" style="4" customWidth="1"/>
    <col min="14" max="15" width="16.0703125" style="4" customWidth="1"/>
    <col min="16" max="16" width="1.5703125" style="4" customWidth="1"/>
    <col min="17" max="20" width="16.0703125" style="4" customWidth="1"/>
    <col min="21" max="21" width="20" style="4" bestFit="1" customWidth="1"/>
    <col min="22" max="22" width="117.0703125" style="4" customWidth="1"/>
    <col min="23" max="23" width="90.0703125" style="4" customWidth="1"/>
    <col min="24" max="16384" width="9" style="4"/>
  </cols>
  <sheetData>
    <row r="1" spans="1:23" s="10" customFormat="1" ht="30" customHeight="1" x14ac:dyDescent="0.4">
      <c r="A1" s="287" t="s">
        <v>365</v>
      </c>
      <c r="B1" s="292"/>
      <c r="C1" s="292"/>
      <c r="D1" s="292"/>
      <c r="E1" s="292"/>
      <c r="F1" s="292"/>
      <c r="G1" s="292"/>
      <c r="H1" s="292"/>
      <c r="I1" s="292"/>
      <c r="J1" s="292"/>
      <c r="K1" s="292"/>
      <c r="L1" s="292"/>
      <c r="M1" s="292"/>
      <c r="N1" s="292"/>
      <c r="O1" s="292"/>
      <c r="P1" s="292"/>
      <c r="Q1" s="292"/>
      <c r="R1" s="292"/>
      <c r="S1" s="292"/>
      <c r="T1" s="292"/>
      <c r="U1" s="292"/>
      <c r="V1" s="292"/>
      <c r="W1" s="292"/>
    </row>
    <row r="2" spans="1:23" s="16" customFormat="1" hidden="1" x14ac:dyDescent="0.35">
      <c r="A2" s="19">
        <f>1</f>
        <v>1</v>
      </c>
      <c r="B2" s="20">
        <f>A2+1</f>
        <v>2</v>
      </c>
      <c r="C2" s="20">
        <f t="shared" ref="C2:E2" si="0">B2+1</f>
        <v>3</v>
      </c>
      <c r="D2" s="20">
        <f t="shared" si="0"/>
        <v>4</v>
      </c>
      <c r="E2" s="20">
        <f t="shared" si="0"/>
        <v>5</v>
      </c>
      <c r="F2" s="20">
        <f t="shared" ref="F2" si="1">E2+1</f>
        <v>6</v>
      </c>
      <c r="G2" s="20">
        <f t="shared" ref="G2" si="2">F2+1</f>
        <v>7</v>
      </c>
      <c r="H2" s="20">
        <f t="shared" ref="H2" si="3">G2+1</f>
        <v>8</v>
      </c>
      <c r="I2" s="20">
        <f t="shared" ref="I2" si="4">H2+1</f>
        <v>9</v>
      </c>
      <c r="J2" s="20">
        <f t="shared" ref="J2" si="5">I2+1</f>
        <v>10</v>
      </c>
      <c r="K2" s="20">
        <f t="shared" ref="K2" si="6">J2+1</f>
        <v>11</v>
      </c>
      <c r="L2" s="20">
        <f t="shared" ref="L2" si="7">K2+1</f>
        <v>12</v>
      </c>
      <c r="M2" s="20">
        <f t="shared" ref="M2" si="8">L2+1</f>
        <v>13</v>
      </c>
      <c r="N2" s="20">
        <f t="shared" ref="N2" si="9">M2+1</f>
        <v>14</v>
      </c>
      <c r="O2" s="20">
        <f t="shared" ref="O2" si="10">N2+1</f>
        <v>15</v>
      </c>
      <c r="P2" s="20">
        <f t="shared" ref="P2" si="11">O2+1</f>
        <v>16</v>
      </c>
      <c r="Q2" s="20">
        <f t="shared" ref="Q2" si="12">P2+1</f>
        <v>17</v>
      </c>
      <c r="R2" s="20">
        <f t="shared" ref="R2" si="13">Q2+1</f>
        <v>18</v>
      </c>
      <c r="S2" s="20"/>
      <c r="T2" s="20"/>
      <c r="U2" s="20"/>
      <c r="V2" s="17">
        <f t="shared" ref="V2" si="14">R2+1</f>
        <v>19</v>
      </c>
      <c r="W2" s="17">
        <f t="shared" ref="W2" si="15">V2+1</f>
        <v>20</v>
      </c>
    </row>
    <row r="3" spans="1:23" s="1" customFormat="1" x14ac:dyDescent="0.35"/>
    <row r="4" spans="1:23" s="1" customFormat="1" x14ac:dyDescent="0.35"/>
    <row r="5" spans="1:23" x14ac:dyDescent="0.35">
      <c r="A5" s="1"/>
      <c r="B5" s="1"/>
      <c r="C5" s="1"/>
      <c r="D5" s="1"/>
      <c r="E5" s="1"/>
    </row>
    <row r="7" spans="1:23" ht="39.65" customHeight="1" x14ac:dyDescent="0.35">
      <c r="A7" s="5"/>
      <c r="B7" s="5"/>
      <c r="C7" s="5"/>
      <c r="D7" s="5"/>
      <c r="E7" s="5"/>
      <c r="F7" s="5"/>
      <c r="G7" s="5"/>
      <c r="H7" s="5"/>
      <c r="I7" s="5"/>
      <c r="J7" s="5"/>
      <c r="K7" s="5"/>
      <c r="L7" s="5"/>
      <c r="M7" s="5"/>
      <c r="N7" s="5"/>
      <c r="O7" s="5"/>
      <c r="P7" s="5"/>
      <c r="Q7" s="5"/>
      <c r="R7" s="5"/>
      <c r="S7" s="5"/>
      <c r="T7" s="5"/>
      <c r="U7" s="5"/>
    </row>
    <row r="8" spans="1:23" s="486" customFormat="1" ht="19.3" customHeight="1" x14ac:dyDescent="0.45">
      <c r="A8" s="38" t="s">
        <v>188</v>
      </c>
      <c r="B8" s="38" t="s">
        <v>182</v>
      </c>
      <c r="C8" s="38" t="s">
        <v>182</v>
      </c>
      <c r="D8" s="39" t="s">
        <v>366</v>
      </c>
      <c r="E8" s="39" t="s">
        <v>366</v>
      </c>
      <c r="F8" s="38" t="s">
        <v>367</v>
      </c>
      <c r="G8" s="38" t="s">
        <v>182</v>
      </c>
      <c r="H8" s="38" t="s">
        <v>182</v>
      </c>
      <c r="I8" s="39" t="s">
        <v>366</v>
      </c>
      <c r="J8" s="39" t="s">
        <v>366</v>
      </c>
      <c r="K8" s="39" t="s">
        <v>366</v>
      </c>
      <c r="L8" s="38" t="s">
        <v>182</v>
      </c>
      <c r="M8" s="38" t="s">
        <v>367</v>
      </c>
      <c r="N8" s="38" t="s">
        <v>367</v>
      </c>
      <c r="O8" s="38" t="s">
        <v>367</v>
      </c>
      <c r="P8" s="38"/>
      <c r="Q8" s="38" t="s">
        <v>368</v>
      </c>
      <c r="R8" s="38" t="s">
        <v>369</v>
      </c>
      <c r="S8" s="82"/>
      <c r="T8" s="648" t="s">
        <v>165</v>
      </c>
      <c r="U8" s="648"/>
      <c r="V8" s="38"/>
      <c r="W8" s="40"/>
    </row>
    <row r="9" spans="1:23" s="486" customFormat="1" ht="19.3" customHeight="1" x14ac:dyDescent="0.45">
      <c r="A9" s="38" t="s">
        <v>370</v>
      </c>
      <c r="B9" s="38" t="s">
        <v>145</v>
      </c>
      <c r="C9" s="38" t="s">
        <v>371</v>
      </c>
      <c r="D9" s="39" t="s">
        <v>183</v>
      </c>
      <c r="E9" s="39" t="s">
        <v>372</v>
      </c>
      <c r="F9" s="43" t="s">
        <v>372</v>
      </c>
      <c r="G9" s="38" t="s">
        <v>372</v>
      </c>
      <c r="H9" s="38" t="s">
        <v>373</v>
      </c>
      <c r="I9" s="39" t="s">
        <v>374</v>
      </c>
      <c r="J9" s="39" t="s">
        <v>375</v>
      </c>
      <c r="K9" s="39" t="s">
        <v>376</v>
      </c>
      <c r="L9" s="38" t="s">
        <v>376</v>
      </c>
      <c r="M9" s="38" t="s">
        <v>377</v>
      </c>
      <c r="N9" s="38" t="s">
        <v>378</v>
      </c>
      <c r="O9" s="38" t="s">
        <v>379</v>
      </c>
      <c r="P9" s="38"/>
      <c r="Q9" s="38" t="s">
        <v>147</v>
      </c>
      <c r="R9" s="38" t="s">
        <v>380</v>
      </c>
      <c r="S9" s="82" t="s">
        <v>381</v>
      </c>
      <c r="T9" s="82" t="s">
        <v>382</v>
      </c>
      <c r="U9" s="82" t="s">
        <v>383</v>
      </c>
      <c r="V9" s="38" t="s">
        <v>180</v>
      </c>
      <c r="W9" s="38" t="s">
        <v>384</v>
      </c>
    </row>
    <row r="10" spans="1:23" s="41" customFormat="1" ht="19.3" customHeight="1" x14ac:dyDescent="0.45">
      <c r="A10" s="40"/>
      <c r="B10" s="649" t="s">
        <v>23</v>
      </c>
      <c r="C10" s="649"/>
      <c r="D10" s="649"/>
      <c r="E10" s="649"/>
      <c r="F10" s="649"/>
      <c r="G10" s="649"/>
      <c r="H10" s="649"/>
      <c r="I10" s="649"/>
      <c r="J10" s="649"/>
      <c r="K10" s="649"/>
      <c r="L10" s="649"/>
      <c r="M10" s="649"/>
      <c r="N10" s="649"/>
      <c r="O10" s="649"/>
      <c r="P10" s="649"/>
      <c r="Q10" s="649"/>
      <c r="R10" s="649"/>
      <c r="S10" s="83"/>
      <c r="T10" s="83"/>
      <c r="U10" s="83"/>
      <c r="V10" s="45"/>
      <c r="W10" s="45"/>
    </row>
    <row r="11" spans="1:23" s="41" customFormat="1" ht="19.3" customHeight="1" x14ac:dyDescent="0.45">
      <c r="A11" s="331" t="s">
        <v>98</v>
      </c>
      <c r="B11" s="150">
        <v>0.87</v>
      </c>
      <c r="C11" s="151">
        <f>15/119</f>
        <v>0.12605042016806722</v>
      </c>
      <c r="D11" s="152">
        <v>15</v>
      </c>
      <c r="E11" s="152">
        <v>12</v>
      </c>
      <c r="F11" s="320">
        <f>G11/C11</f>
        <v>0.8</v>
      </c>
      <c r="G11" s="151">
        <f>12/119</f>
        <v>0.10084033613445378</v>
      </c>
      <c r="H11" s="154">
        <f>C11-G11</f>
        <v>2.5210084033613439E-2</v>
      </c>
      <c r="I11" s="152">
        <f>D11-E11</f>
        <v>3</v>
      </c>
      <c r="J11" s="152">
        <v>2.1</v>
      </c>
      <c r="K11" s="152">
        <v>0.76</v>
      </c>
      <c r="L11" s="151">
        <f>(K11/D11)*((1-B11)/1)</f>
        <v>6.5866666666666669E-3</v>
      </c>
      <c r="M11" s="151">
        <f>1-SUM(N11:O11)-H11</f>
        <v>0.87008991596638652</v>
      </c>
      <c r="N11" s="151">
        <v>1.9400000000000001E-2</v>
      </c>
      <c r="O11" s="151">
        <v>8.5300000000000001E-2</v>
      </c>
      <c r="P11" s="152"/>
      <c r="Q11" s="155">
        <f>0.148*1000</f>
        <v>148</v>
      </c>
      <c r="R11" s="156">
        <f>CONVERT(119,"lbm","kg")/CONVERT(2.1,"ft^3","m^3")</f>
        <v>907.71292452440787</v>
      </c>
      <c r="S11" s="157">
        <f t="shared" ref="S11:S31" si="16">R11/DensityofWater</f>
        <v>0.90771292452440788</v>
      </c>
      <c r="T11" s="157" t="s">
        <v>385</v>
      </c>
      <c r="U11" s="157" t="s">
        <v>168</v>
      </c>
      <c r="V11" s="651" t="s">
        <v>386</v>
      </c>
      <c r="W11" s="325" t="s">
        <v>387</v>
      </c>
    </row>
    <row r="12" spans="1:23" s="41" customFormat="1" ht="19.3" customHeight="1" x14ac:dyDescent="0.45">
      <c r="A12" s="331" t="s">
        <v>57</v>
      </c>
      <c r="B12" s="158">
        <v>0.83</v>
      </c>
      <c r="C12" s="159">
        <f>9.2/83</f>
        <v>0.1108433734939759</v>
      </c>
      <c r="D12" s="160">
        <v>9.1999999999999993</v>
      </c>
      <c r="E12" s="160">
        <v>7.7</v>
      </c>
      <c r="F12" s="321">
        <f t="shared" ref="F12:F14" si="17">G12/C12</f>
        <v>0.83695652173913049</v>
      </c>
      <c r="G12" s="159">
        <f>7.7/83</f>
        <v>9.2771084337349402E-2</v>
      </c>
      <c r="H12" s="161">
        <f t="shared" ref="H12:H31" si="18">C12-G12</f>
        <v>1.8072289156626495E-2</v>
      </c>
      <c r="I12" s="160">
        <f t="shared" ref="I12:I31" si="19">D12-E12</f>
        <v>1.4999999999999991</v>
      </c>
      <c r="J12" s="160"/>
      <c r="K12" s="160">
        <v>0.42</v>
      </c>
      <c r="L12" s="151">
        <f t="shared" ref="L12:L31" si="20">(K12/D12)*((1-B12)/1)</f>
        <v>7.760869565217393E-3</v>
      </c>
      <c r="M12" s="159">
        <f t="shared" ref="M12:M25" si="21">1-SUM(N12:O12)-H12</f>
        <v>0.87722771084337348</v>
      </c>
      <c r="N12" s="159">
        <v>1.9400000000000001E-2</v>
      </c>
      <c r="O12" s="159">
        <v>8.5300000000000001E-2</v>
      </c>
      <c r="P12" s="160"/>
      <c r="Q12" s="162">
        <f t="shared" ref="Q12:Q14" si="22">0.148*1000</f>
        <v>148</v>
      </c>
      <c r="R12" s="163">
        <f>CONVERT(83,"lbm","kg")/CONVERT(21.3,"ft^3","m^3")</f>
        <v>62.419364321065338</v>
      </c>
      <c r="S12" s="157">
        <f t="shared" si="16"/>
        <v>6.2419364321065339E-2</v>
      </c>
      <c r="T12" s="157" t="s">
        <v>385</v>
      </c>
      <c r="U12" s="157" t="s">
        <v>168</v>
      </c>
      <c r="V12" s="650"/>
      <c r="W12" s="326" t="s">
        <v>387</v>
      </c>
    </row>
    <row r="13" spans="1:23" s="41" customFormat="1" ht="19.3" customHeight="1" x14ac:dyDescent="0.45">
      <c r="A13" s="331" t="s">
        <v>91</v>
      </c>
      <c r="B13" s="158">
        <v>0.83</v>
      </c>
      <c r="C13" s="159">
        <f>8.5/56</f>
        <v>0.15178571428571427</v>
      </c>
      <c r="D13" s="160">
        <v>8.5</v>
      </c>
      <c r="E13" s="160">
        <v>7.3</v>
      </c>
      <c r="F13" s="321">
        <f t="shared" si="17"/>
        <v>0.85882352941176487</v>
      </c>
      <c r="G13" s="159">
        <f>7.3/56</f>
        <v>0.13035714285714287</v>
      </c>
      <c r="H13" s="161">
        <f t="shared" si="18"/>
        <v>2.1428571428571408E-2</v>
      </c>
      <c r="I13" s="160">
        <f t="shared" si="19"/>
        <v>1.2000000000000002</v>
      </c>
      <c r="J13" s="160">
        <v>1.2</v>
      </c>
      <c r="K13" s="160">
        <v>0.27</v>
      </c>
      <c r="L13" s="151">
        <f t="shared" si="20"/>
        <v>5.400000000000002E-3</v>
      </c>
      <c r="M13" s="159">
        <f t="shared" si="21"/>
        <v>0.87387142857142863</v>
      </c>
      <c r="N13" s="159">
        <v>1.9400000000000001E-2</v>
      </c>
      <c r="O13" s="159">
        <v>8.5300000000000001E-2</v>
      </c>
      <c r="P13" s="160"/>
      <c r="Q13" s="162">
        <f t="shared" si="22"/>
        <v>148</v>
      </c>
      <c r="R13" s="163">
        <f>CONVERT(56,"lbm","kg")/CONVERT(0.9,"ft^3","m^3")</f>
        <v>996.70438771307545</v>
      </c>
      <c r="S13" s="157">
        <f t="shared" si="16"/>
        <v>0.99670438771307546</v>
      </c>
      <c r="T13" s="157" t="s">
        <v>385</v>
      </c>
      <c r="U13" s="157" t="s">
        <v>168</v>
      </c>
      <c r="V13" s="650"/>
      <c r="W13" s="326" t="s">
        <v>387</v>
      </c>
    </row>
    <row r="14" spans="1:23" s="41" customFormat="1" ht="18.75" customHeight="1" x14ac:dyDescent="0.45">
      <c r="A14" s="331" t="s">
        <v>83</v>
      </c>
      <c r="B14" s="158">
        <v>0.87</v>
      </c>
      <c r="C14" s="159">
        <f>6.6/51</f>
        <v>0.12941176470588234</v>
      </c>
      <c r="D14" s="160">
        <v>6.6</v>
      </c>
      <c r="E14" s="160">
        <v>5.6</v>
      </c>
      <c r="F14" s="321">
        <f t="shared" si="17"/>
        <v>0.84848484848484862</v>
      </c>
      <c r="G14" s="159">
        <f>5.6/51</f>
        <v>0.10980392156862745</v>
      </c>
      <c r="H14" s="161">
        <f t="shared" si="18"/>
        <v>1.9607843137254888E-2</v>
      </c>
      <c r="I14" s="160">
        <f t="shared" si="19"/>
        <v>1</v>
      </c>
      <c r="J14" s="160">
        <v>0.84</v>
      </c>
      <c r="K14" s="160">
        <v>0.3</v>
      </c>
      <c r="L14" s="151">
        <f t="shared" si="20"/>
        <v>5.9090909090909098E-3</v>
      </c>
      <c r="M14" s="159">
        <f t="shared" si="21"/>
        <v>0.87569215686274515</v>
      </c>
      <c r="N14" s="159">
        <v>1.9400000000000001E-2</v>
      </c>
      <c r="O14" s="159">
        <v>8.5300000000000001E-2</v>
      </c>
      <c r="P14" s="160"/>
      <c r="Q14" s="162">
        <f t="shared" si="22"/>
        <v>148</v>
      </c>
      <c r="R14" s="163">
        <f>CONVERT(51,"lbm","kg")/CONVERT(0.84,"ft^3","m^3")</f>
        <v>972.54956199043704</v>
      </c>
      <c r="S14" s="157">
        <f t="shared" si="16"/>
        <v>0.97254956199043707</v>
      </c>
      <c r="T14" s="157" t="s">
        <v>385</v>
      </c>
      <c r="U14" s="157" t="s">
        <v>168</v>
      </c>
      <c r="V14" s="650"/>
      <c r="W14" s="326" t="s">
        <v>387</v>
      </c>
    </row>
    <row r="15" spans="1:23" s="41" customFormat="1" ht="19.3" customHeight="1" x14ac:dyDescent="0.45">
      <c r="A15" s="331" t="s">
        <v>79</v>
      </c>
      <c r="B15" s="158">
        <v>0.88</v>
      </c>
      <c r="C15" s="158">
        <f t="shared" ref="C15:C31" si="23">1-B15</f>
        <v>0.12</v>
      </c>
      <c r="D15" s="160">
        <v>13</v>
      </c>
      <c r="E15" s="160">
        <v>11</v>
      </c>
      <c r="F15" s="321">
        <f t="shared" ref="F15:F31" si="24">E15/D15</f>
        <v>0.84615384615384615</v>
      </c>
      <c r="G15" s="158">
        <f t="shared" ref="G15:G30" si="25">F15*C15</f>
        <v>0.10153846153846154</v>
      </c>
      <c r="H15" s="158">
        <f t="shared" si="18"/>
        <v>1.846153846153846E-2</v>
      </c>
      <c r="I15" s="164">
        <f t="shared" si="19"/>
        <v>2</v>
      </c>
      <c r="J15" s="160">
        <v>2.5</v>
      </c>
      <c r="K15" s="160">
        <v>0.35</v>
      </c>
      <c r="L15" s="151">
        <f t="shared" si="20"/>
        <v>3.2307692307692302E-3</v>
      </c>
      <c r="M15" s="159">
        <f t="shared" si="21"/>
        <v>0.87683846153846157</v>
      </c>
      <c r="N15" s="159">
        <v>1.9400000000000001E-2</v>
      </c>
      <c r="O15" s="159">
        <v>8.5300000000000001E-2</v>
      </c>
      <c r="P15" s="160"/>
      <c r="Q15" s="162">
        <f>0.328*1000</f>
        <v>328</v>
      </c>
      <c r="R15" s="163">
        <f>CONVERT(104,"lbm","kg")/CONVERT(1.7,"ft^3","m^3")</f>
        <v>979.95305346579687</v>
      </c>
      <c r="S15" s="157">
        <f t="shared" si="16"/>
        <v>0.97995305346579686</v>
      </c>
      <c r="T15" s="157" t="s">
        <v>385</v>
      </c>
      <c r="U15" s="157" t="s">
        <v>168</v>
      </c>
      <c r="V15" s="650"/>
      <c r="W15" s="326" t="s">
        <v>387</v>
      </c>
    </row>
    <row r="16" spans="1:23" s="41" customFormat="1" ht="19.3" customHeight="1" x14ac:dyDescent="0.45">
      <c r="A16" s="331" t="s">
        <v>63</v>
      </c>
      <c r="B16" s="158">
        <v>0.88</v>
      </c>
      <c r="C16" s="158">
        <f t="shared" si="23"/>
        <v>0.12</v>
      </c>
      <c r="D16" s="160">
        <v>9.1999999999999993</v>
      </c>
      <c r="E16" s="160">
        <v>7.7</v>
      </c>
      <c r="F16" s="321">
        <f t="shared" si="24"/>
        <v>0.83695652173913049</v>
      </c>
      <c r="G16" s="158">
        <f t="shared" si="25"/>
        <v>0.10043478260869565</v>
      </c>
      <c r="H16" s="158">
        <f>C16-G16</f>
        <v>1.9565217391304346E-2</v>
      </c>
      <c r="I16" s="164">
        <f t="shared" si="19"/>
        <v>1.4999999999999991</v>
      </c>
      <c r="J16" s="160">
        <v>1.7</v>
      </c>
      <c r="K16" s="160">
        <v>0.45</v>
      </c>
      <c r="L16" s="151">
        <f t="shared" si="20"/>
        <v>5.8695652173913048E-3</v>
      </c>
      <c r="M16" s="159">
        <f t="shared" si="21"/>
        <v>0.87573478260869564</v>
      </c>
      <c r="N16" s="159">
        <v>1.9400000000000001E-2</v>
      </c>
      <c r="O16" s="159">
        <v>8.5300000000000001E-2</v>
      </c>
      <c r="P16" s="160"/>
      <c r="Q16" s="162">
        <f t="shared" ref="Q16:Q17" si="26">0.328*1000</f>
        <v>328</v>
      </c>
      <c r="R16" s="163">
        <f>CONVERT(77,"lbm","kg")/CONVERT(1.2,"ft^3","m^3")</f>
        <v>1027.8513998291091</v>
      </c>
      <c r="S16" s="157">
        <f t="shared" si="16"/>
        <v>1.0278513998291092</v>
      </c>
      <c r="T16" s="157" t="s">
        <v>385</v>
      </c>
      <c r="U16" s="157" t="s">
        <v>168</v>
      </c>
      <c r="V16" s="650"/>
      <c r="W16" s="326" t="s">
        <v>387</v>
      </c>
    </row>
    <row r="17" spans="1:23" s="41" customFormat="1" ht="19.3" customHeight="1" x14ac:dyDescent="0.45">
      <c r="A17" s="331" t="s">
        <v>69</v>
      </c>
      <c r="B17" s="158">
        <v>0.92</v>
      </c>
      <c r="C17" s="158">
        <f t="shared" si="23"/>
        <v>7.999999999999996E-2</v>
      </c>
      <c r="D17" s="160">
        <v>5.2</v>
      </c>
      <c r="E17" s="160">
        <v>4.3</v>
      </c>
      <c r="F17" s="321">
        <f t="shared" si="24"/>
        <v>0.82692307692307687</v>
      </c>
      <c r="G17" s="158">
        <f t="shared" si="25"/>
        <v>6.6153846153846119E-2</v>
      </c>
      <c r="H17" s="158">
        <f t="shared" si="18"/>
        <v>1.3846153846153841E-2</v>
      </c>
      <c r="I17" s="164">
        <f t="shared" si="19"/>
        <v>0.90000000000000036</v>
      </c>
      <c r="J17" s="160">
        <v>1</v>
      </c>
      <c r="K17" s="160">
        <v>0.36</v>
      </c>
      <c r="L17" s="151">
        <f t="shared" si="20"/>
        <v>5.5384615384615346E-3</v>
      </c>
      <c r="M17" s="159">
        <f t="shared" si="21"/>
        <v>0.88145384615384614</v>
      </c>
      <c r="N17" s="159">
        <v>1.9400000000000001E-2</v>
      </c>
      <c r="O17" s="159">
        <v>8.5300000000000001E-2</v>
      </c>
      <c r="P17" s="160"/>
      <c r="Q17" s="162">
        <f t="shared" si="26"/>
        <v>328</v>
      </c>
      <c r="R17" s="163">
        <f>CONVERT(9800,"lbm","kg")/CONVERT(160,"ft^3","m^3")</f>
        <v>981.1308816550586</v>
      </c>
      <c r="S17" s="157">
        <f t="shared" si="16"/>
        <v>0.98113088165505857</v>
      </c>
      <c r="T17" s="157" t="s">
        <v>385</v>
      </c>
      <c r="U17" s="157" t="s">
        <v>168</v>
      </c>
      <c r="V17" s="650"/>
      <c r="W17" s="326" t="s">
        <v>387</v>
      </c>
    </row>
    <row r="18" spans="1:23" s="41" customFormat="1" ht="19.3" customHeight="1" x14ac:dyDescent="0.45">
      <c r="A18" s="331" t="s">
        <v>74</v>
      </c>
      <c r="B18" s="158">
        <v>0.92</v>
      </c>
      <c r="C18" s="158">
        <f t="shared" si="23"/>
        <v>7.999999999999996E-2</v>
      </c>
      <c r="D18" s="160">
        <v>5.2</v>
      </c>
      <c r="E18" s="160">
        <v>4.3</v>
      </c>
      <c r="F18" s="321">
        <f t="shared" si="24"/>
        <v>0.82692307692307687</v>
      </c>
      <c r="G18" s="158">
        <f t="shared" si="25"/>
        <v>6.6153846153846119E-2</v>
      </c>
      <c r="H18" s="158">
        <f t="shared" si="18"/>
        <v>1.3846153846153841E-2</v>
      </c>
      <c r="I18" s="164">
        <f t="shared" si="19"/>
        <v>0.90000000000000036</v>
      </c>
      <c r="J18" s="160">
        <v>1</v>
      </c>
      <c r="K18" s="160">
        <v>0.36</v>
      </c>
      <c r="L18" s="151">
        <f t="shared" si="20"/>
        <v>5.5384615384615346E-3</v>
      </c>
      <c r="M18" s="159">
        <f t="shared" si="21"/>
        <v>0.88145384615384614</v>
      </c>
      <c r="N18" s="159">
        <v>1.9400000000000001E-2</v>
      </c>
      <c r="O18" s="159">
        <v>8.5300000000000001E-2</v>
      </c>
      <c r="P18" s="160"/>
      <c r="Q18" s="162">
        <f>0.275*1000</f>
        <v>275</v>
      </c>
      <c r="R18" s="163">
        <f>CONVERT(9800,"lbm","kg")/CONVERT(160,"ft^3","m^3")</f>
        <v>981.1308816550586</v>
      </c>
      <c r="S18" s="157">
        <f t="shared" si="16"/>
        <v>0.98113088165505857</v>
      </c>
      <c r="T18" s="157" t="s">
        <v>385</v>
      </c>
      <c r="U18" s="157" t="s">
        <v>168</v>
      </c>
      <c r="V18" s="650"/>
      <c r="W18" s="326" t="s">
        <v>387</v>
      </c>
    </row>
    <row r="19" spans="1:23" s="41" customFormat="1" ht="19.3" customHeight="1" x14ac:dyDescent="0.45">
      <c r="A19" s="331" t="s">
        <v>110</v>
      </c>
      <c r="B19" s="158">
        <v>0.9</v>
      </c>
      <c r="C19" s="158">
        <f t="shared" si="23"/>
        <v>9.9999999999999978E-2</v>
      </c>
      <c r="D19" s="160">
        <v>2.5</v>
      </c>
      <c r="E19" s="160">
        <v>2.2999999999999998</v>
      </c>
      <c r="F19" s="321">
        <f t="shared" si="24"/>
        <v>0.91999999999999993</v>
      </c>
      <c r="G19" s="158">
        <f t="shared" si="25"/>
        <v>9.1999999999999971E-2</v>
      </c>
      <c r="H19" s="158">
        <f t="shared" si="18"/>
        <v>8.0000000000000071E-3</v>
      </c>
      <c r="I19" s="164">
        <f t="shared" si="19"/>
        <v>0.20000000000000018</v>
      </c>
      <c r="J19" s="160">
        <v>0.84</v>
      </c>
      <c r="K19" s="160">
        <v>0.16</v>
      </c>
      <c r="L19" s="151">
        <f t="shared" si="20"/>
        <v>6.3999999999999986E-3</v>
      </c>
      <c r="M19" s="159">
        <f t="shared" si="21"/>
        <v>0.876</v>
      </c>
      <c r="N19" s="159">
        <v>2.2100000000000002E-2</v>
      </c>
      <c r="O19" s="159">
        <v>9.3899999999999997E-2</v>
      </c>
      <c r="P19" s="160"/>
      <c r="Q19" s="162">
        <f>0.275*1000</f>
        <v>275</v>
      </c>
      <c r="R19" s="163">
        <f>CONVERT(11,"lbm","kg")/CONVERT(0.18,"ft^3","m^3")</f>
        <v>978.90609507534202</v>
      </c>
      <c r="S19" s="157">
        <f t="shared" si="16"/>
        <v>0.97890609507534199</v>
      </c>
      <c r="T19" s="157" t="s">
        <v>385</v>
      </c>
      <c r="U19" s="157" t="s">
        <v>168</v>
      </c>
      <c r="V19" s="650"/>
      <c r="W19" s="326" t="s">
        <v>387</v>
      </c>
    </row>
    <row r="20" spans="1:23" s="41" customFormat="1" ht="19.3" customHeight="1" x14ac:dyDescent="0.45">
      <c r="A20" s="331" t="s">
        <v>112</v>
      </c>
      <c r="B20" s="158">
        <v>0.9</v>
      </c>
      <c r="C20" s="158">
        <f t="shared" si="23"/>
        <v>9.9999999999999978E-2</v>
      </c>
      <c r="D20" s="160">
        <v>5.9</v>
      </c>
      <c r="E20" s="160">
        <v>5.4</v>
      </c>
      <c r="F20" s="321">
        <f t="shared" si="24"/>
        <v>0.9152542372881356</v>
      </c>
      <c r="G20" s="158">
        <f t="shared" si="25"/>
        <v>9.1525423728813546E-2</v>
      </c>
      <c r="H20" s="158">
        <f t="shared" si="18"/>
        <v>8.474576271186432E-3</v>
      </c>
      <c r="I20" s="164">
        <f t="shared" si="19"/>
        <v>0.5</v>
      </c>
      <c r="J20" s="160">
        <v>2</v>
      </c>
      <c r="K20" s="160">
        <v>0.45</v>
      </c>
      <c r="L20" s="151">
        <f>(K20/D20)*((1-B20)/1)</f>
        <v>7.6271186440677943E-3</v>
      </c>
      <c r="M20" s="159">
        <f t="shared" si="21"/>
        <v>0.87552542372881359</v>
      </c>
      <c r="N20" s="159">
        <v>2.2100000000000002E-2</v>
      </c>
      <c r="O20" s="159">
        <v>9.3899999999999997E-2</v>
      </c>
      <c r="P20" s="160"/>
      <c r="Q20" s="162">
        <f t="shared" ref="Q20:Q22" si="27">0.356*1000</f>
        <v>356</v>
      </c>
      <c r="R20" s="163">
        <f>CONVERT(25,"lbm","kg")/CONVERT(0.41,"ft^3","m^3")</f>
        <v>976.73557158293534</v>
      </c>
      <c r="S20" s="157">
        <f t="shared" si="16"/>
        <v>0.97673557158293534</v>
      </c>
      <c r="T20" s="157" t="s">
        <v>385</v>
      </c>
      <c r="U20" s="157" t="s">
        <v>168</v>
      </c>
      <c r="V20" s="650"/>
      <c r="W20" s="326" t="s">
        <v>387</v>
      </c>
    </row>
    <row r="21" spans="1:23" s="41" customFormat="1" ht="19.3" customHeight="1" x14ac:dyDescent="0.45">
      <c r="A21" s="331" t="s">
        <v>41</v>
      </c>
      <c r="B21" s="158">
        <v>0.9</v>
      </c>
      <c r="C21" s="158">
        <f t="shared" si="23"/>
        <v>9.9999999999999978E-2</v>
      </c>
      <c r="D21" s="160">
        <v>1.9</v>
      </c>
      <c r="E21" s="160">
        <v>1.7</v>
      </c>
      <c r="F21" s="321">
        <f t="shared" si="24"/>
        <v>0.89473684210526316</v>
      </c>
      <c r="G21" s="158">
        <f t="shared" si="25"/>
        <v>8.9473684210526302E-2</v>
      </c>
      <c r="H21" s="158">
        <f t="shared" si="18"/>
        <v>1.0526315789473675E-2</v>
      </c>
      <c r="I21" s="164">
        <f t="shared" si="19"/>
        <v>0.19999999999999996</v>
      </c>
      <c r="J21" s="160">
        <v>0.66</v>
      </c>
      <c r="K21" s="160">
        <v>0.14000000000000001</v>
      </c>
      <c r="L21" s="151">
        <f t="shared" si="20"/>
        <v>7.3684210526315779E-3</v>
      </c>
      <c r="M21" s="159">
        <f t="shared" si="21"/>
        <v>0.87347368421052629</v>
      </c>
      <c r="N21" s="159">
        <v>2.2100000000000002E-2</v>
      </c>
      <c r="O21" s="159">
        <v>9.3899999999999997E-2</v>
      </c>
      <c r="P21" s="160"/>
      <c r="Q21" s="162">
        <f t="shared" si="27"/>
        <v>356</v>
      </c>
      <c r="R21" s="163">
        <f>CONVERT(8.4,"lbm","kg")/CONVERT(0.13,"ft^3","m^3")</f>
        <v>1035.039171855886</v>
      </c>
      <c r="S21" s="157">
        <f t="shared" si="16"/>
        <v>1.035039171855886</v>
      </c>
      <c r="T21" s="157" t="s">
        <v>385</v>
      </c>
      <c r="U21" s="157" t="s">
        <v>168</v>
      </c>
      <c r="V21" s="650"/>
      <c r="W21" s="326" t="s">
        <v>387</v>
      </c>
    </row>
    <row r="22" spans="1:23" s="41" customFormat="1" ht="19.3" customHeight="1" x14ac:dyDescent="0.45">
      <c r="A22" s="331" t="s">
        <v>104</v>
      </c>
      <c r="B22" s="158">
        <v>0.9</v>
      </c>
      <c r="C22" s="158">
        <f t="shared" si="23"/>
        <v>9.9999999999999978E-2</v>
      </c>
      <c r="D22" s="160">
        <v>10</v>
      </c>
      <c r="E22" s="160">
        <v>8.8000000000000007</v>
      </c>
      <c r="F22" s="321">
        <f>E22/D22</f>
        <v>0.88000000000000012</v>
      </c>
      <c r="G22" s="158">
        <f t="shared" si="25"/>
        <v>8.7999999999999995E-2</v>
      </c>
      <c r="H22" s="158">
        <f t="shared" si="18"/>
        <v>1.1999999999999983E-2</v>
      </c>
      <c r="I22" s="164">
        <f t="shared" si="19"/>
        <v>1.1999999999999993</v>
      </c>
      <c r="J22" s="160">
        <v>3.4</v>
      </c>
      <c r="K22" s="160">
        <v>0.92</v>
      </c>
      <c r="L22" s="151">
        <f t="shared" si="20"/>
        <v>9.1999999999999981E-3</v>
      </c>
      <c r="M22" s="159">
        <f t="shared" si="21"/>
        <v>0.872</v>
      </c>
      <c r="N22" s="159">
        <v>2.2100000000000002E-2</v>
      </c>
      <c r="O22" s="159">
        <v>9.3899999999999997E-2</v>
      </c>
      <c r="P22" s="160"/>
      <c r="Q22" s="162">
        <f t="shared" si="27"/>
        <v>356</v>
      </c>
      <c r="R22" s="163">
        <f>CONVERT(87,"lbm","kg")/CONVERT(1.4,"ft^3","m^3")</f>
        <v>995.43308109609438</v>
      </c>
      <c r="S22" s="157">
        <f t="shared" si="16"/>
        <v>0.99543308109609441</v>
      </c>
      <c r="T22" s="157" t="s">
        <v>385</v>
      </c>
      <c r="U22" s="157" t="s">
        <v>168</v>
      </c>
      <c r="V22" s="650"/>
      <c r="W22" s="326" t="s">
        <v>387</v>
      </c>
    </row>
    <row r="23" spans="1:23" s="41" customFormat="1" ht="19.3" customHeight="1" x14ac:dyDescent="0.45">
      <c r="A23" s="331" t="s">
        <v>32</v>
      </c>
      <c r="B23" s="158">
        <v>0.9</v>
      </c>
      <c r="C23" s="158">
        <f t="shared" si="23"/>
        <v>9.9999999999999978E-2</v>
      </c>
      <c r="D23" s="160">
        <v>6.5</v>
      </c>
      <c r="E23" s="160">
        <v>5.4</v>
      </c>
      <c r="F23" s="321">
        <f t="shared" si="24"/>
        <v>0.83076923076923082</v>
      </c>
      <c r="G23" s="158">
        <f t="shared" si="25"/>
        <v>8.3076923076923062E-2</v>
      </c>
      <c r="H23" s="158">
        <f t="shared" si="18"/>
        <v>1.6923076923076916E-2</v>
      </c>
      <c r="I23" s="164">
        <f t="shared" si="19"/>
        <v>1.0999999999999996</v>
      </c>
      <c r="J23" s="160">
        <v>2.1</v>
      </c>
      <c r="K23" s="160">
        <v>0.54</v>
      </c>
      <c r="L23" s="151">
        <f t="shared" si="20"/>
        <v>8.3076923076923059E-3</v>
      </c>
      <c r="M23" s="159">
        <f t="shared" si="21"/>
        <v>0.86707692307692308</v>
      </c>
      <c r="N23" s="159">
        <v>2.2100000000000002E-2</v>
      </c>
      <c r="O23" s="159">
        <v>9.3899999999999997E-2</v>
      </c>
      <c r="P23" s="160"/>
      <c r="Q23" s="162">
        <f>0.356*1000</f>
        <v>356</v>
      </c>
      <c r="R23" s="163">
        <f t="shared" ref="R23:R31" si="28">CONVERT(119,"lbm","kg")/CONVERT(2.1,"ft^3","m^3")</f>
        <v>907.71292452440787</v>
      </c>
      <c r="S23" s="157">
        <f t="shared" si="16"/>
        <v>0.90771292452440788</v>
      </c>
      <c r="T23" s="157" t="s">
        <v>385</v>
      </c>
      <c r="U23" s="157" t="s">
        <v>168</v>
      </c>
      <c r="V23" s="650"/>
      <c r="W23" s="326" t="s">
        <v>387</v>
      </c>
    </row>
    <row r="24" spans="1:23" s="41" customFormat="1" ht="19.3" customHeight="1" x14ac:dyDescent="0.45">
      <c r="A24" s="331" t="s">
        <v>107</v>
      </c>
      <c r="B24" s="158">
        <v>0.75</v>
      </c>
      <c r="C24" s="158">
        <f t="shared" si="23"/>
        <v>0.25</v>
      </c>
      <c r="D24" s="160">
        <v>15</v>
      </c>
      <c r="E24" s="160">
        <v>11</v>
      </c>
      <c r="F24" s="321">
        <f t="shared" si="24"/>
        <v>0.73333333333333328</v>
      </c>
      <c r="G24" s="158">
        <f t="shared" si="25"/>
        <v>0.18333333333333332</v>
      </c>
      <c r="H24" s="158">
        <f t="shared" si="18"/>
        <v>6.666666666666668E-2</v>
      </c>
      <c r="I24" s="164">
        <f t="shared" si="19"/>
        <v>4</v>
      </c>
      <c r="J24" s="160">
        <v>3.3</v>
      </c>
      <c r="K24" s="160">
        <v>1.1000000000000001</v>
      </c>
      <c r="L24" s="151">
        <f t="shared" si="20"/>
        <v>1.8333333333333333E-2</v>
      </c>
      <c r="M24" s="159">
        <f t="shared" si="21"/>
        <v>0.77443333333333331</v>
      </c>
      <c r="N24" s="159">
        <v>2.7900000000000001E-2</v>
      </c>
      <c r="O24" s="159">
        <v>0.13100000000000001</v>
      </c>
      <c r="P24" s="160"/>
      <c r="Q24" s="162">
        <f>460*0.6</f>
        <v>276</v>
      </c>
      <c r="R24" s="163">
        <f t="shared" si="28"/>
        <v>907.71292452440787</v>
      </c>
      <c r="S24" s="157">
        <f t="shared" si="16"/>
        <v>0.90771292452440788</v>
      </c>
      <c r="T24" s="157" t="s">
        <v>385</v>
      </c>
      <c r="U24" s="157" t="s">
        <v>168</v>
      </c>
      <c r="V24" s="650" t="s">
        <v>388</v>
      </c>
      <c r="W24" s="326" t="s">
        <v>389</v>
      </c>
    </row>
    <row r="25" spans="1:23" s="41" customFormat="1" ht="19.3" customHeight="1" x14ac:dyDescent="0.45">
      <c r="A25" s="331" t="s">
        <v>49</v>
      </c>
      <c r="B25" s="158">
        <v>0.74</v>
      </c>
      <c r="C25" s="158">
        <f t="shared" si="23"/>
        <v>0.26</v>
      </c>
      <c r="D25" s="160">
        <v>22</v>
      </c>
      <c r="E25" s="160">
        <v>17</v>
      </c>
      <c r="F25" s="321">
        <f t="shared" si="24"/>
        <v>0.77272727272727271</v>
      </c>
      <c r="G25" s="158">
        <f>F25*C25</f>
        <v>0.2009090909090909</v>
      </c>
      <c r="H25" s="158">
        <f t="shared" si="18"/>
        <v>5.9090909090909111E-2</v>
      </c>
      <c r="I25" s="164">
        <f t="shared" si="19"/>
        <v>5</v>
      </c>
      <c r="J25" s="160">
        <v>5.3</v>
      </c>
      <c r="K25" s="160">
        <v>0.96</v>
      </c>
      <c r="L25" s="151">
        <f t="shared" si="20"/>
        <v>1.1345454545454546E-2</v>
      </c>
      <c r="M25" s="159">
        <f t="shared" si="21"/>
        <v>0.78200909090909088</v>
      </c>
      <c r="N25" s="159">
        <v>2.7900000000000001E-2</v>
      </c>
      <c r="O25" s="159">
        <v>0.13100000000000001</v>
      </c>
      <c r="P25" s="160"/>
      <c r="Q25" s="162">
        <f>460*0.6</f>
        <v>276</v>
      </c>
      <c r="R25" s="163">
        <f t="shared" si="28"/>
        <v>907.71292452440787</v>
      </c>
      <c r="S25" s="157">
        <f t="shared" si="16"/>
        <v>0.90771292452440788</v>
      </c>
      <c r="T25" s="157" t="s">
        <v>385</v>
      </c>
      <c r="U25" s="157" t="s">
        <v>168</v>
      </c>
      <c r="V25" s="650"/>
      <c r="W25" s="326" t="s">
        <v>389</v>
      </c>
    </row>
    <row r="26" spans="1:23" s="41" customFormat="1" ht="19.3" customHeight="1" x14ac:dyDescent="0.45">
      <c r="A26" s="331" t="s">
        <v>116</v>
      </c>
      <c r="B26" s="158">
        <v>0.74</v>
      </c>
      <c r="C26" s="158">
        <f t="shared" si="23"/>
        <v>0.26</v>
      </c>
      <c r="D26" s="160">
        <v>8.8000000000000007</v>
      </c>
      <c r="E26" s="160">
        <v>7.1</v>
      </c>
      <c r="F26" s="321">
        <f t="shared" si="24"/>
        <v>0.80681818181818177</v>
      </c>
      <c r="G26" s="158">
        <f t="shared" si="25"/>
        <v>0.20977272727272728</v>
      </c>
      <c r="H26" s="158">
        <f t="shared" si="18"/>
        <v>5.0227272727272732E-2</v>
      </c>
      <c r="I26" s="164">
        <f t="shared" si="19"/>
        <v>1.7000000000000011</v>
      </c>
      <c r="J26" s="160">
        <v>2.2999999999999998</v>
      </c>
      <c r="K26" s="160">
        <v>0.53</v>
      </c>
      <c r="L26" s="151">
        <f t="shared" si="20"/>
        <v>1.5659090909090911E-2</v>
      </c>
      <c r="M26" s="159">
        <f>1-SUM(N26:O26)-H26</f>
        <v>0.79087272727272717</v>
      </c>
      <c r="N26" s="159">
        <v>2.7900000000000001E-2</v>
      </c>
      <c r="O26" s="159">
        <v>0.13100000000000001</v>
      </c>
      <c r="P26" s="160"/>
      <c r="Q26" s="162">
        <f>460*0.6</f>
        <v>276</v>
      </c>
      <c r="R26" s="163">
        <f t="shared" si="28"/>
        <v>907.71292452440787</v>
      </c>
      <c r="S26" s="157">
        <f t="shared" si="16"/>
        <v>0.90771292452440788</v>
      </c>
      <c r="T26" s="157" t="s">
        <v>385</v>
      </c>
      <c r="U26" s="157" t="s">
        <v>168</v>
      </c>
      <c r="V26" s="650"/>
      <c r="W26" s="326" t="s">
        <v>389</v>
      </c>
    </row>
    <row r="27" spans="1:23" s="41" customFormat="1" ht="19.3" customHeight="1" x14ac:dyDescent="0.45">
      <c r="A27" s="331" t="s">
        <v>114</v>
      </c>
      <c r="B27" s="158">
        <v>0.74</v>
      </c>
      <c r="C27" s="158">
        <f t="shared" si="23"/>
        <v>0.26</v>
      </c>
      <c r="D27" s="160">
        <v>12</v>
      </c>
      <c r="E27" s="160">
        <v>9.8000000000000007</v>
      </c>
      <c r="F27" s="321">
        <f t="shared" si="24"/>
        <v>0.81666666666666676</v>
      </c>
      <c r="G27" s="158">
        <f t="shared" si="25"/>
        <v>0.21233333333333337</v>
      </c>
      <c r="H27" s="158">
        <f t="shared" si="18"/>
        <v>4.7666666666666635E-2</v>
      </c>
      <c r="I27" s="164">
        <f t="shared" si="19"/>
        <v>2.1999999999999993</v>
      </c>
      <c r="J27" s="160">
        <v>3</v>
      </c>
      <c r="K27" s="160">
        <v>0.72</v>
      </c>
      <c r="L27" s="151">
        <f t="shared" si="20"/>
        <v>1.5599999999999999E-2</v>
      </c>
      <c r="M27" s="159">
        <f t="shared" ref="M27:M28" si="29">1-SUM(N27:O27)-H27</f>
        <v>0.79343333333333332</v>
      </c>
      <c r="N27" s="159">
        <v>2.7900000000000001E-2</v>
      </c>
      <c r="O27" s="159">
        <v>0.13100000000000001</v>
      </c>
      <c r="P27" s="160"/>
      <c r="Q27" s="162">
        <f>460*0.6</f>
        <v>276</v>
      </c>
      <c r="R27" s="163">
        <f t="shared" si="28"/>
        <v>907.71292452440787</v>
      </c>
      <c r="S27" s="157">
        <f t="shared" si="16"/>
        <v>0.90771292452440788</v>
      </c>
      <c r="T27" s="157" t="s">
        <v>385</v>
      </c>
      <c r="U27" s="157" t="s">
        <v>168</v>
      </c>
      <c r="V27" s="650"/>
      <c r="W27" s="326" t="s">
        <v>389</v>
      </c>
    </row>
    <row r="28" spans="1:23" s="41" customFormat="1" ht="19.3" customHeight="1" x14ac:dyDescent="0.45">
      <c r="A28" s="331" t="s">
        <v>87</v>
      </c>
      <c r="B28" s="158">
        <v>0.74</v>
      </c>
      <c r="C28" s="158">
        <f t="shared" si="23"/>
        <v>0.26</v>
      </c>
      <c r="D28" s="160">
        <v>27</v>
      </c>
      <c r="E28" s="160">
        <v>16</v>
      </c>
      <c r="F28" s="321">
        <f t="shared" si="24"/>
        <v>0.59259259259259256</v>
      </c>
      <c r="G28" s="158">
        <f t="shared" si="25"/>
        <v>0.15407407407407406</v>
      </c>
      <c r="H28" s="158">
        <f t="shared" si="18"/>
        <v>0.10592592592592595</v>
      </c>
      <c r="I28" s="164">
        <f t="shared" si="19"/>
        <v>11</v>
      </c>
      <c r="J28" s="160">
        <v>4.5</v>
      </c>
      <c r="K28" s="160">
        <v>1</v>
      </c>
      <c r="L28" s="151">
        <f t="shared" si="20"/>
        <v>9.6296296296296286E-3</v>
      </c>
      <c r="M28" s="159">
        <f t="shared" si="29"/>
        <v>0.73517407407407398</v>
      </c>
      <c r="N28" s="159">
        <v>2.7900000000000001E-2</v>
      </c>
      <c r="O28" s="159">
        <v>0.13100000000000001</v>
      </c>
      <c r="P28" s="160"/>
      <c r="Q28" s="162">
        <f>460*0.6</f>
        <v>276</v>
      </c>
      <c r="R28" s="163">
        <f t="shared" si="28"/>
        <v>907.71292452440787</v>
      </c>
      <c r="S28" s="157">
        <f t="shared" si="16"/>
        <v>0.90771292452440788</v>
      </c>
      <c r="T28" s="157" t="s">
        <v>385</v>
      </c>
      <c r="U28" s="157" t="s">
        <v>168</v>
      </c>
      <c r="V28" s="650"/>
      <c r="W28" s="326" t="s">
        <v>389</v>
      </c>
    </row>
    <row r="29" spans="1:23" s="41" customFormat="1" ht="19.3" customHeight="1" x14ac:dyDescent="0.45">
      <c r="A29" s="331" t="s">
        <v>101</v>
      </c>
      <c r="B29" s="158">
        <v>0.75</v>
      </c>
      <c r="C29" s="158">
        <f t="shared" si="23"/>
        <v>0.25</v>
      </c>
      <c r="D29" s="160">
        <v>25</v>
      </c>
      <c r="E29" s="160">
        <v>8.3000000000000007</v>
      </c>
      <c r="F29" s="321">
        <f t="shared" si="24"/>
        <v>0.33200000000000002</v>
      </c>
      <c r="G29" s="158">
        <f t="shared" si="25"/>
        <v>8.3000000000000004E-2</v>
      </c>
      <c r="H29" s="158">
        <f t="shared" si="18"/>
        <v>0.16699999999999998</v>
      </c>
      <c r="I29" s="164">
        <f t="shared" si="19"/>
        <v>16.7</v>
      </c>
      <c r="J29" s="160">
        <v>1</v>
      </c>
      <c r="K29" s="160">
        <v>0.45</v>
      </c>
      <c r="L29" s="151">
        <f>(K29/D29)*((1-B29)/1)</f>
        <v>4.5000000000000005E-3</v>
      </c>
      <c r="M29" s="159">
        <f>1-N29-O29-H29</f>
        <v>0.65270000000000006</v>
      </c>
      <c r="N29" s="159">
        <v>3.3300000000000003E-2</v>
      </c>
      <c r="O29" s="159">
        <v>0.14699999999999999</v>
      </c>
      <c r="P29" s="160"/>
      <c r="Q29" s="162">
        <f>200*0.6</f>
        <v>120</v>
      </c>
      <c r="R29" s="163">
        <f t="shared" si="28"/>
        <v>907.71292452440787</v>
      </c>
      <c r="S29" s="157">
        <f t="shared" si="16"/>
        <v>0.90771292452440788</v>
      </c>
      <c r="T29" s="157" t="s">
        <v>385</v>
      </c>
      <c r="U29" s="157" t="s">
        <v>168</v>
      </c>
      <c r="V29" s="650"/>
      <c r="W29" s="326" t="s">
        <v>389</v>
      </c>
    </row>
    <row r="30" spans="1:23" s="41" customFormat="1" ht="19.3" customHeight="1" x14ac:dyDescent="0.45">
      <c r="A30" s="331" t="s">
        <v>118</v>
      </c>
      <c r="B30" s="158">
        <v>0.98</v>
      </c>
      <c r="C30" s="158">
        <f t="shared" si="23"/>
        <v>2.0000000000000018E-2</v>
      </c>
      <c r="D30" s="160">
        <v>1.5</v>
      </c>
      <c r="E30" s="160">
        <v>0.85</v>
      </c>
      <c r="F30" s="321">
        <f t="shared" si="24"/>
        <v>0.56666666666666665</v>
      </c>
      <c r="G30" s="158">
        <f t="shared" si="25"/>
        <v>1.1333333333333343E-2</v>
      </c>
      <c r="H30" s="158">
        <f t="shared" si="18"/>
        <v>8.6666666666666749E-3</v>
      </c>
      <c r="I30" s="164">
        <f t="shared" si="19"/>
        <v>0.65</v>
      </c>
      <c r="J30" s="160">
        <v>0.37</v>
      </c>
      <c r="K30" s="160">
        <v>0.2</v>
      </c>
      <c r="L30" s="151">
        <f t="shared" si="20"/>
        <v>2.6666666666666692E-3</v>
      </c>
      <c r="M30" s="159">
        <f t="shared" ref="M30" si="30">1-SUM(N30:O30)-H30</f>
        <v>0.88663333333333327</v>
      </c>
      <c r="N30" s="159">
        <v>1.9400000000000001E-2</v>
      </c>
      <c r="O30" s="159">
        <v>8.5300000000000001E-2</v>
      </c>
      <c r="P30" s="160"/>
      <c r="Q30" s="162">
        <f>Q12</f>
        <v>148</v>
      </c>
      <c r="R30" s="163">
        <f t="shared" si="28"/>
        <v>907.71292452440787</v>
      </c>
      <c r="S30" s="157">
        <f t="shared" si="16"/>
        <v>0.90771292452440788</v>
      </c>
      <c r="T30" s="157" t="s">
        <v>385</v>
      </c>
      <c r="U30" s="157" t="s">
        <v>168</v>
      </c>
      <c r="V30" s="650"/>
      <c r="W30" s="326" t="s">
        <v>390</v>
      </c>
    </row>
    <row r="31" spans="1:23" s="41" customFormat="1" ht="19.3" customHeight="1" x14ac:dyDescent="0.45">
      <c r="A31" s="331" t="s">
        <v>95</v>
      </c>
      <c r="B31" s="313">
        <v>0.85</v>
      </c>
      <c r="C31" s="313">
        <f t="shared" si="23"/>
        <v>0.15000000000000002</v>
      </c>
      <c r="D31" s="314">
        <v>7.8</v>
      </c>
      <c r="E31" s="314">
        <v>6.2</v>
      </c>
      <c r="F31" s="322">
        <f t="shared" si="24"/>
        <v>0.79487179487179493</v>
      </c>
      <c r="G31" s="313">
        <f>F31*C31</f>
        <v>0.11923076923076925</v>
      </c>
      <c r="H31" s="313">
        <f t="shared" si="18"/>
        <v>3.0769230769230771E-2</v>
      </c>
      <c r="I31" s="315">
        <f t="shared" si="19"/>
        <v>1.5999999999999996</v>
      </c>
      <c r="J31" s="314">
        <v>1</v>
      </c>
      <c r="K31" s="314">
        <v>0.31</v>
      </c>
      <c r="L31" s="316">
        <f t="shared" si="20"/>
        <v>5.9615384615384617E-3</v>
      </c>
      <c r="M31" s="316">
        <f>1-H31-N31-O31</f>
        <v>0.85823076923076924</v>
      </c>
      <c r="N31" s="316">
        <v>8.2400000000000001E-2</v>
      </c>
      <c r="O31" s="316">
        <v>2.86E-2</v>
      </c>
      <c r="P31" s="314"/>
      <c r="Q31" s="317">
        <f>250*0.6</f>
        <v>150</v>
      </c>
      <c r="R31" s="318">
        <f t="shared" si="28"/>
        <v>907.71292452440787</v>
      </c>
      <c r="S31" s="319">
        <f t="shared" si="16"/>
        <v>0.90771292452440788</v>
      </c>
      <c r="T31" s="319" t="s">
        <v>385</v>
      </c>
      <c r="U31" s="319" t="s">
        <v>168</v>
      </c>
      <c r="V31" s="652"/>
      <c r="W31" s="327" t="s">
        <v>391</v>
      </c>
    </row>
    <row r="32" spans="1:23" s="47" customFormat="1" ht="19.3" customHeight="1" x14ac:dyDescent="0.45">
      <c r="A32" s="46"/>
      <c r="B32" s="649" t="s">
        <v>392</v>
      </c>
      <c r="C32" s="649"/>
      <c r="D32" s="649"/>
      <c r="E32" s="649"/>
      <c r="F32" s="649"/>
      <c r="G32" s="649"/>
      <c r="H32" s="649"/>
      <c r="I32" s="649"/>
      <c r="J32" s="649"/>
      <c r="K32" s="649"/>
      <c r="L32" s="649"/>
      <c r="M32" s="649"/>
      <c r="N32" s="649"/>
      <c r="O32" s="649"/>
      <c r="P32" s="649"/>
      <c r="Q32" s="649"/>
      <c r="R32" s="649"/>
      <c r="S32" s="83"/>
      <c r="T32" s="83"/>
      <c r="U32" s="83"/>
      <c r="V32" s="45"/>
      <c r="W32" s="45"/>
    </row>
    <row r="33" spans="1:23" s="41" customFormat="1" ht="19.3" customHeight="1" x14ac:dyDescent="0.45">
      <c r="A33" s="331" t="s">
        <v>31</v>
      </c>
      <c r="B33" s="150">
        <v>0.57999999999999996</v>
      </c>
      <c r="C33" s="150">
        <f>1-B33</f>
        <v>0.42000000000000004</v>
      </c>
      <c r="D33" s="171"/>
      <c r="E33" s="152"/>
      <c r="F33" s="320">
        <f t="shared" ref="F33:F36" si="31">G33/C33</f>
        <v>0.91</v>
      </c>
      <c r="G33" s="150">
        <f>91%*C33</f>
        <v>0.38220000000000004</v>
      </c>
      <c r="H33" s="150">
        <f>9%*C33</f>
        <v>3.78E-2</v>
      </c>
      <c r="I33" s="172"/>
      <c r="J33" s="152"/>
      <c r="K33" s="152"/>
      <c r="L33" s="173">
        <v>2.2499999999999999E-2</v>
      </c>
      <c r="M33" s="151">
        <f>1-N33-O33-H33</f>
        <v>0.91539999999999999</v>
      </c>
      <c r="N33" s="151">
        <v>6.8999999999999999E-3</v>
      </c>
      <c r="O33" s="151">
        <v>3.9899999999999998E-2</v>
      </c>
      <c r="P33" s="152"/>
      <c r="Q33" s="155">
        <v>300</v>
      </c>
      <c r="R33" s="156">
        <v>230</v>
      </c>
      <c r="S33" s="157">
        <f t="shared" ref="S33:S60" si="32">R33/DensityofWater</f>
        <v>0.23</v>
      </c>
      <c r="T33" s="157" t="s">
        <v>376</v>
      </c>
      <c r="U33" s="157" t="s">
        <v>167</v>
      </c>
      <c r="V33" s="325"/>
      <c r="W33" s="325" t="s">
        <v>393</v>
      </c>
    </row>
    <row r="34" spans="1:23" s="41" customFormat="1" ht="19.3" customHeight="1" x14ac:dyDescent="0.45">
      <c r="A34" s="331" t="s">
        <v>40</v>
      </c>
      <c r="B34" s="158">
        <v>0.84</v>
      </c>
      <c r="C34" s="158">
        <v>0.16</v>
      </c>
      <c r="D34" s="174"/>
      <c r="E34" s="160"/>
      <c r="F34" s="321">
        <f t="shared" si="31"/>
        <v>0.87500000000000011</v>
      </c>
      <c r="G34" s="158">
        <v>0.14000000000000001</v>
      </c>
      <c r="H34" s="158">
        <v>0.02</v>
      </c>
      <c r="I34" s="175"/>
      <c r="J34" s="160"/>
      <c r="K34" s="160"/>
      <c r="L34" s="176">
        <v>5.3E-3</v>
      </c>
      <c r="M34" s="159">
        <f t="shared" ref="M34:M51" si="33">1-N34-O34-H34</f>
        <v>0.96579999999999999</v>
      </c>
      <c r="N34" s="159">
        <v>3.3E-3</v>
      </c>
      <c r="O34" s="159">
        <v>1.09E-2</v>
      </c>
      <c r="P34" s="160"/>
      <c r="Q34" s="162">
        <f>0.277*1000</f>
        <v>277</v>
      </c>
      <c r="R34" s="163">
        <f>(225)*(1/1000)*(4226.75)</f>
        <v>951.01875000000007</v>
      </c>
      <c r="S34" s="157">
        <f t="shared" si="32"/>
        <v>0.95101875000000002</v>
      </c>
      <c r="T34" s="157" t="s">
        <v>376</v>
      </c>
      <c r="U34" s="157" t="s">
        <v>167</v>
      </c>
      <c r="V34" s="326" t="s">
        <v>394</v>
      </c>
      <c r="W34" s="326" t="s">
        <v>395</v>
      </c>
    </row>
    <row r="35" spans="1:23" s="41" customFormat="1" ht="19.3" customHeight="1" x14ac:dyDescent="0.45">
      <c r="A35" s="331" t="s">
        <v>48</v>
      </c>
      <c r="B35" s="158">
        <f>1-C35</f>
        <v>0.91039999999999999</v>
      </c>
      <c r="C35" s="158">
        <v>8.9599999999999999E-2</v>
      </c>
      <c r="D35" s="174"/>
      <c r="E35" s="160"/>
      <c r="F35" s="321">
        <f t="shared" si="31"/>
        <v>0.90401785714285721</v>
      </c>
      <c r="G35" s="158">
        <v>8.1000000000000003E-2</v>
      </c>
      <c r="H35" s="158">
        <f>C35-G35</f>
        <v>8.5999999999999965E-3</v>
      </c>
      <c r="I35" s="175"/>
      <c r="J35" s="177"/>
      <c r="K35" s="160"/>
      <c r="L35" s="176">
        <v>6.2307692307692316E-3</v>
      </c>
      <c r="M35" s="159">
        <f t="shared" si="33"/>
        <v>0.95950000000000002</v>
      </c>
      <c r="N35" s="159">
        <v>3.7000000000000002E-3</v>
      </c>
      <c r="O35" s="159">
        <v>2.8199999999999999E-2</v>
      </c>
      <c r="P35" s="160"/>
      <c r="Q35" s="163">
        <v>246.87</v>
      </c>
      <c r="R35" s="163">
        <v>513</v>
      </c>
      <c r="S35" s="157">
        <f t="shared" si="32"/>
        <v>0.51300000000000001</v>
      </c>
      <c r="T35" s="157" t="s">
        <v>376</v>
      </c>
      <c r="U35" s="157" t="s">
        <v>167</v>
      </c>
      <c r="V35" s="326"/>
      <c r="W35" s="326" t="s">
        <v>396</v>
      </c>
    </row>
    <row r="36" spans="1:23" s="41" customFormat="1" ht="19.3" customHeight="1" x14ac:dyDescent="0.45">
      <c r="A36" s="331" t="s">
        <v>56</v>
      </c>
      <c r="B36" s="158">
        <v>0.9</v>
      </c>
      <c r="C36" s="158">
        <v>9.6000000000000002E-2</v>
      </c>
      <c r="D36" s="174"/>
      <c r="E36" s="160"/>
      <c r="F36" s="321">
        <f t="shared" si="31"/>
        <v>0.89583333333333326</v>
      </c>
      <c r="G36" s="158">
        <v>8.5999999999999993E-2</v>
      </c>
      <c r="H36" s="158">
        <v>0.01</v>
      </c>
      <c r="I36" s="175"/>
      <c r="J36" s="160"/>
      <c r="K36" s="160"/>
      <c r="L36" s="176">
        <v>1.4000000000000002E-3</v>
      </c>
      <c r="M36" s="159">
        <f t="shared" si="33"/>
        <v>0.97619999999999996</v>
      </c>
      <c r="N36" s="159">
        <v>1E-3</v>
      </c>
      <c r="O36" s="159">
        <v>1.2800000000000001E-2</v>
      </c>
      <c r="P36" s="160"/>
      <c r="Q36" s="162">
        <f>0.277*1000</f>
        <v>277</v>
      </c>
      <c r="R36" s="163">
        <f>70*(1/1000)*(4226.75)</f>
        <v>295.8725</v>
      </c>
      <c r="S36" s="157">
        <f t="shared" si="32"/>
        <v>0.29587249999999998</v>
      </c>
      <c r="T36" s="157" t="s">
        <v>376</v>
      </c>
      <c r="U36" s="157" t="s">
        <v>167</v>
      </c>
      <c r="V36" s="326" t="s">
        <v>397</v>
      </c>
      <c r="W36" s="326" t="s">
        <v>396</v>
      </c>
    </row>
    <row r="37" spans="1:23" s="41" customFormat="1" ht="19.3" customHeight="1" x14ac:dyDescent="0.45">
      <c r="A37" s="331" t="s">
        <v>73</v>
      </c>
      <c r="B37" s="158">
        <f>1-C37</f>
        <v>0.96579999999999999</v>
      </c>
      <c r="C37" s="158">
        <v>3.4200000000000001E-2</v>
      </c>
      <c r="D37" s="174"/>
      <c r="E37" s="160"/>
      <c r="F37" s="321">
        <f>G37/C37</f>
        <v>0.83625730994152048</v>
      </c>
      <c r="G37" s="158">
        <v>2.86E-2</v>
      </c>
      <c r="H37" s="158">
        <f>C37-G37</f>
        <v>5.6000000000000008E-3</v>
      </c>
      <c r="I37" s="175"/>
      <c r="J37" s="160"/>
      <c r="K37" s="160"/>
      <c r="L37" s="178">
        <v>2.3654135338345866E-3</v>
      </c>
      <c r="M37" s="159">
        <f t="shared" si="33"/>
        <v>0.97739999999999994</v>
      </c>
      <c r="N37" s="159">
        <v>2E-3</v>
      </c>
      <c r="O37" s="159">
        <v>1.4999999999999999E-2</v>
      </c>
      <c r="P37" s="160"/>
      <c r="Q37" s="163">
        <v>204</v>
      </c>
      <c r="R37" s="163">
        <v>43</v>
      </c>
      <c r="S37" s="157">
        <f t="shared" si="32"/>
        <v>4.2999999999999997E-2</v>
      </c>
      <c r="T37" s="157" t="s">
        <v>376</v>
      </c>
      <c r="U37" s="157" t="s">
        <v>167</v>
      </c>
      <c r="V37" s="326"/>
      <c r="W37" s="326" t="s">
        <v>396</v>
      </c>
    </row>
    <row r="38" spans="1:23" s="41" customFormat="1" ht="19.3" customHeight="1" x14ac:dyDescent="0.45">
      <c r="A38" s="331" t="s">
        <v>62</v>
      </c>
      <c r="B38" s="158">
        <v>0.87</v>
      </c>
      <c r="C38" s="158">
        <v>0.13</v>
      </c>
      <c r="D38" s="174"/>
      <c r="E38" s="160"/>
      <c r="F38" s="321">
        <f>G38/C38</f>
        <v>0.84615384615384615</v>
      </c>
      <c r="G38" s="158">
        <v>0.11</v>
      </c>
      <c r="H38" s="158">
        <v>0.02</v>
      </c>
      <c r="I38" s="175"/>
      <c r="J38" s="160"/>
      <c r="K38" s="160"/>
      <c r="L38" s="176">
        <v>2.5000000000000001E-3</v>
      </c>
      <c r="M38" s="159">
        <f t="shared" si="33"/>
        <v>0.96830000000000005</v>
      </c>
      <c r="N38" s="159">
        <v>2.3999999999999998E-3</v>
      </c>
      <c r="O38" s="159">
        <v>9.2999999999999992E-3</v>
      </c>
      <c r="P38" s="160"/>
      <c r="Q38" s="162">
        <f>0.309*1000</f>
        <v>309</v>
      </c>
      <c r="R38" s="163">
        <v>540</v>
      </c>
      <c r="S38" s="157">
        <f t="shared" si="32"/>
        <v>0.54</v>
      </c>
      <c r="T38" s="157" t="s">
        <v>376</v>
      </c>
      <c r="U38" s="157" t="s">
        <v>167</v>
      </c>
      <c r="V38" s="326"/>
      <c r="W38" s="326" t="s">
        <v>398</v>
      </c>
    </row>
    <row r="39" spans="1:23" s="41" customFormat="1" ht="19.3" customHeight="1" x14ac:dyDescent="0.45">
      <c r="A39" s="331" t="s">
        <v>68</v>
      </c>
      <c r="B39" s="158">
        <f>1-C39</f>
        <v>0.94310000000000005</v>
      </c>
      <c r="C39" s="158">
        <v>5.6899999999999999E-2</v>
      </c>
      <c r="D39" s="174"/>
      <c r="E39" s="160"/>
      <c r="F39" s="321">
        <f t="shared" ref="F39:F46" si="34">G39/C39</f>
        <v>0.90158172231985934</v>
      </c>
      <c r="G39" s="158">
        <v>5.1299999999999998E-2</v>
      </c>
      <c r="H39" s="158">
        <f>C39-G39</f>
        <v>5.6000000000000008E-3</v>
      </c>
      <c r="I39" s="175"/>
      <c r="J39" s="160"/>
      <c r="K39" s="160"/>
      <c r="L39" s="176">
        <v>4.1431718061674012E-3</v>
      </c>
      <c r="M39" s="159">
        <f t="shared" si="33"/>
        <v>0.97299999999999998</v>
      </c>
      <c r="N39" s="159">
        <v>2.2000000000000001E-3</v>
      </c>
      <c r="O39" s="159">
        <v>1.9199999999999998E-2</v>
      </c>
      <c r="P39" s="160"/>
      <c r="Q39" s="162">
        <v>250</v>
      </c>
      <c r="R39" s="163">
        <f>107*(1/1000)*(4226.75)</f>
        <v>452.26224999999999</v>
      </c>
      <c r="S39" s="157">
        <f t="shared" si="32"/>
        <v>0.45226224999999998</v>
      </c>
      <c r="T39" s="157" t="s">
        <v>376</v>
      </c>
      <c r="U39" s="157" t="s">
        <v>167</v>
      </c>
      <c r="V39" s="326" t="s">
        <v>399</v>
      </c>
      <c r="W39" s="326" t="s">
        <v>400</v>
      </c>
    </row>
    <row r="40" spans="1:23" s="41" customFormat="1" ht="19.3" customHeight="1" x14ac:dyDescent="0.45">
      <c r="A40" s="331" t="s">
        <v>121</v>
      </c>
      <c r="B40" s="158">
        <v>0.8</v>
      </c>
      <c r="C40" s="158">
        <v>0.2</v>
      </c>
      <c r="D40" s="174"/>
      <c r="E40" s="160"/>
      <c r="F40" s="321">
        <f t="shared" si="34"/>
        <v>0.95</v>
      </c>
      <c r="G40" s="158">
        <v>0.19</v>
      </c>
      <c r="H40" s="158">
        <v>0.01</v>
      </c>
      <c r="I40" s="175"/>
      <c r="J40" s="160"/>
      <c r="K40" s="160"/>
      <c r="L40" s="176">
        <v>6.9999999999999993E-3</v>
      </c>
      <c r="M40" s="159">
        <f t="shared" si="33"/>
        <v>0.94380000000000008</v>
      </c>
      <c r="N40" s="159">
        <v>1.35E-2</v>
      </c>
      <c r="O40" s="159">
        <v>3.27E-2</v>
      </c>
      <c r="P40" s="160"/>
      <c r="Q40" s="162">
        <v>375</v>
      </c>
      <c r="R40" s="163">
        <v>610</v>
      </c>
      <c r="S40" s="157">
        <f t="shared" si="32"/>
        <v>0.61</v>
      </c>
      <c r="T40" s="157" t="s">
        <v>376</v>
      </c>
      <c r="U40" s="157" t="s">
        <v>167</v>
      </c>
      <c r="V40" s="326"/>
      <c r="W40" s="326" t="s">
        <v>401</v>
      </c>
    </row>
    <row r="41" spans="1:23" s="41" customFormat="1" ht="19.3" customHeight="1" x14ac:dyDescent="0.45">
      <c r="A41" s="331" t="s">
        <v>82</v>
      </c>
      <c r="B41" s="158">
        <v>0.88</v>
      </c>
      <c r="C41" s="158">
        <v>0.12</v>
      </c>
      <c r="D41" s="174"/>
      <c r="E41" s="160"/>
      <c r="F41" s="321">
        <f t="shared" si="34"/>
        <v>0.83333333333333337</v>
      </c>
      <c r="G41" s="158">
        <v>0.1</v>
      </c>
      <c r="H41" s="158">
        <v>0.02</v>
      </c>
      <c r="I41" s="175"/>
      <c r="J41" s="160"/>
      <c r="K41" s="160"/>
      <c r="L41" s="176">
        <v>2.2000000000000001E-3</v>
      </c>
      <c r="M41" s="159">
        <f t="shared" si="33"/>
        <v>0.92790000000000006</v>
      </c>
      <c r="N41" s="159">
        <v>9.2999999999999992E-3</v>
      </c>
      <c r="O41" s="159">
        <v>4.2799999999999998E-2</v>
      </c>
      <c r="P41" s="160"/>
      <c r="Q41" s="163">
        <f>(240+334)/2</f>
        <v>287</v>
      </c>
      <c r="R41" s="163">
        <f>130*(1/1000)*(4226.75)</f>
        <v>549.47749999999996</v>
      </c>
      <c r="S41" s="157">
        <f t="shared" si="32"/>
        <v>0.54947749999999995</v>
      </c>
      <c r="T41" s="157" t="s">
        <v>376</v>
      </c>
      <c r="U41" s="157" t="s">
        <v>167</v>
      </c>
      <c r="V41" s="326" t="s">
        <v>402</v>
      </c>
      <c r="W41" s="326" t="s">
        <v>403</v>
      </c>
    </row>
    <row r="42" spans="1:23" s="41" customFormat="1" ht="19.3" customHeight="1" x14ac:dyDescent="0.45">
      <c r="A42" s="331" t="s">
        <v>86</v>
      </c>
      <c r="B42" s="158">
        <v>0.95</v>
      </c>
      <c r="C42" s="158">
        <v>5.3999999999999999E-2</v>
      </c>
      <c r="D42" s="174"/>
      <c r="E42" s="160"/>
      <c r="F42" s="321">
        <f t="shared" si="34"/>
        <v>0.83333333333333326</v>
      </c>
      <c r="G42" s="158">
        <v>4.4999999999999998E-2</v>
      </c>
      <c r="H42" s="158">
        <v>9.0000000000000011E-3</v>
      </c>
      <c r="I42" s="175"/>
      <c r="J42" s="160"/>
      <c r="K42" s="160"/>
      <c r="L42" s="176">
        <v>5.0000000000000001E-4</v>
      </c>
      <c r="M42" s="159">
        <f t="shared" si="33"/>
        <v>0.9759000000000001</v>
      </c>
      <c r="N42" s="159">
        <v>1.5E-3</v>
      </c>
      <c r="O42" s="159">
        <v>1.3599999999999999E-2</v>
      </c>
      <c r="P42" s="160"/>
      <c r="Q42" s="163">
        <f>(199.07+244.41)/2</f>
        <v>221.74</v>
      </c>
      <c r="R42" s="163">
        <f>36*(1/1000)*(4226.75)</f>
        <v>152.16300000000001</v>
      </c>
      <c r="S42" s="157">
        <f t="shared" si="32"/>
        <v>0.15216300000000002</v>
      </c>
      <c r="T42" s="157" t="s">
        <v>376</v>
      </c>
      <c r="U42" s="157" t="s">
        <v>167</v>
      </c>
      <c r="V42" s="326" t="s">
        <v>404</v>
      </c>
      <c r="W42" s="326" t="s">
        <v>396</v>
      </c>
    </row>
    <row r="43" spans="1:23" s="41" customFormat="1" ht="19.3" customHeight="1" x14ac:dyDescent="0.45">
      <c r="A43" s="331" t="s">
        <v>100</v>
      </c>
      <c r="B43" s="158">
        <v>8.5999999999999993E-2</v>
      </c>
      <c r="C43" s="158">
        <v>0.91</v>
      </c>
      <c r="D43" s="174"/>
      <c r="E43" s="160"/>
      <c r="F43" s="321">
        <f t="shared" si="34"/>
        <v>0.93406593406593397</v>
      </c>
      <c r="G43" s="158">
        <v>0.85</v>
      </c>
      <c r="H43" s="158">
        <v>0.06</v>
      </c>
      <c r="I43" s="175"/>
      <c r="J43" s="160"/>
      <c r="K43" s="160"/>
      <c r="L43" s="176">
        <v>1.3999999999999999E-2</v>
      </c>
      <c r="M43" s="159">
        <f t="shared" si="33"/>
        <v>0.92799999999999994</v>
      </c>
      <c r="N43" s="159">
        <v>1E-3</v>
      </c>
      <c r="O43" s="159">
        <v>1.0999999999999999E-2</v>
      </c>
      <c r="P43" s="160"/>
      <c r="Q43" s="162">
        <f>0.4*1000</f>
        <v>400</v>
      </c>
      <c r="R43" s="163">
        <v>220</v>
      </c>
      <c r="S43" s="157">
        <f t="shared" si="32"/>
        <v>0.22</v>
      </c>
      <c r="T43" s="157" t="s">
        <v>376</v>
      </c>
      <c r="U43" s="157" t="s">
        <v>167</v>
      </c>
      <c r="V43" s="326"/>
      <c r="W43" s="326" t="s">
        <v>395</v>
      </c>
    </row>
    <row r="44" spans="1:23" s="41" customFormat="1" ht="19.3" customHeight="1" x14ac:dyDescent="0.45">
      <c r="A44" s="331" t="s">
        <v>405</v>
      </c>
      <c r="B44" s="158">
        <v>0.87</v>
      </c>
      <c r="C44" s="158">
        <v>0.13</v>
      </c>
      <c r="D44" s="174"/>
      <c r="E44" s="160"/>
      <c r="F44" s="321">
        <f t="shared" si="34"/>
        <v>0.92307692307692302</v>
      </c>
      <c r="G44" s="158">
        <v>0.12</v>
      </c>
      <c r="H44" s="158">
        <v>0.01</v>
      </c>
      <c r="I44" s="175"/>
      <c r="J44" s="160"/>
      <c r="K44" s="160"/>
      <c r="L44" s="176">
        <v>2.5999999999999999E-3</v>
      </c>
      <c r="M44" s="159">
        <f t="shared" si="33"/>
        <v>0.97940000000000005</v>
      </c>
      <c r="N44" s="159">
        <v>1.1999999999999999E-3</v>
      </c>
      <c r="O44" s="159">
        <v>9.4000000000000004E-3</v>
      </c>
      <c r="P44" s="160"/>
      <c r="Q44" s="162">
        <v>73.500000000000014</v>
      </c>
      <c r="R44" s="163">
        <f>6*(1/1000)*67628</f>
        <v>405.76800000000003</v>
      </c>
      <c r="S44" s="157">
        <f t="shared" si="32"/>
        <v>0.40576800000000002</v>
      </c>
      <c r="T44" s="157" t="s">
        <v>376</v>
      </c>
      <c r="U44" s="157" t="s">
        <v>167</v>
      </c>
      <c r="V44" s="326" t="s">
        <v>406</v>
      </c>
      <c r="W44" s="326" t="s">
        <v>407</v>
      </c>
    </row>
    <row r="45" spans="1:23" s="41" customFormat="1" ht="19.3" customHeight="1" x14ac:dyDescent="0.45">
      <c r="A45" s="331" t="s">
        <v>103</v>
      </c>
      <c r="B45" s="158">
        <v>0.84</v>
      </c>
      <c r="C45" s="158">
        <v>0.16</v>
      </c>
      <c r="D45" s="174"/>
      <c r="E45" s="160"/>
      <c r="F45" s="321">
        <f t="shared" si="34"/>
        <v>0.9375</v>
      </c>
      <c r="G45" s="158">
        <v>0.15</v>
      </c>
      <c r="H45" s="158">
        <v>0.01</v>
      </c>
      <c r="I45" s="175"/>
      <c r="J45" s="160"/>
      <c r="K45" s="160"/>
      <c r="L45" s="176">
        <v>2.3999999999999998E-3</v>
      </c>
      <c r="M45" s="159">
        <f t="shared" si="33"/>
        <v>0.97940000000000005</v>
      </c>
      <c r="N45" s="159">
        <v>1.1999999999999999E-3</v>
      </c>
      <c r="O45" s="159">
        <v>9.4000000000000004E-3</v>
      </c>
      <c r="P45" s="160"/>
      <c r="Q45" s="162">
        <v>73.500000000000014</v>
      </c>
      <c r="R45" s="163">
        <f>185*(1/1000)*(4226.75)</f>
        <v>781.94875000000002</v>
      </c>
      <c r="S45" s="157">
        <f t="shared" si="32"/>
        <v>0.78194874999999997</v>
      </c>
      <c r="T45" s="157" t="s">
        <v>376</v>
      </c>
      <c r="U45" s="157" t="s">
        <v>167</v>
      </c>
      <c r="V45" s="326" t="s">
        <v>408</v>
      </c>
      <c r="W45" s="326" t="s">
        <v>407</v>
      </c>
    </row>
    <row r="46" spans="1:23" s="41" customFormat="1" ht="19.3" customHeight="1" x14ac:dyDescent="0.45">
      <c r="A46" s="331" t="s">
        <v>111</v>
      </c>
      <c r="B46" s="158">
        <v>0.13</v>
      </c>
      <c r="C46" s="158">
        <v>0.87</v>
      </c>
      <c r="D46" s="174"/>
      <c r="E46" s="160"/>
      <c r="F46" s="321">
        <f t="shared" si="34"/>
        <v>0.82758620689655171</v>
      </c>
      <c r="G46" s="158">
        <v>0.72</v>
      </c>
      <c r="H46" s="158">
        <v>0.15</v>
      </c>
      <c r="I46" s="175"/>
      <c r="J46" s="160"/>
      <c r="K46" s="160"/>
      <c r="L46" s="176">
        <v>1.2E-2</v>
      </c>
      <c r="M46" s="159">
        <f t="shared" si="33"/>
        <v>0.8286</v>
      </c>
      <c r="N46" s="159">
        <v>8.9999999999999998E-4</v>
      </c>
      <c r="O46" s="159">
        <v>2.0500000000000001E-2</v>
      </c>
      <c r="P46" s="160"/>
      <c r="Q46" s="162">
        <v>267</v>
      </c>
      <c r="R46" s="179">
        <v>590</v>
      </c>
      <c r="S46" s="157">
        <f t="shared" si="32"/>
        <v>0.59</v>
      </c>
      <c r="T46" s="157" t="s">
        <v>376</v>
      </c>
      <c r="U46" s="157" t="s">
        <v>167</v>
      </c>
      <c r="V46" s="326"/>
      <c r="W46" s="326" t="s">
        <v>395</v>
      </c>
    </row>
    <row r="47" spans="1:23" s="41" customFormat="1" ht="19.3" customHeight="1" x14ac:dyDescent="0.45">
      <c r="A47" s="331" t="s">
        <v>109</v>
      </c>
      <c r="B47" s="158">
        <f>1-C47</f>
        <v>0.90900000000000003</v>
      </c>
      <c r="C47" s="158">
        <v>9.0999999999999998E-2</v>
      </c>
      <c r="D47" s="174"/>
      <c r="E47" s="160"/>
      <c r="F47" s="321">
        <f>G47/C47</f>
        <v>0.95999999999999963</v>
      </c>
      <c r="G47" s="158">
        <f>((1-B47)/1)*0.96</f>
        <v>8.7359999999999965E-2</v>
      </c>
      <c r="H47" s="158">
        <f>C47-G47</f>
        <v>3.6400000000000321E-3</v>
      </c>
      <c r="I47" s="175"/>
      <c r="J47" s="160"/>
      <c r="K47" s="160"/>
      <c r="L47" s="176">
        <v>1.6E-2</v>
      </c>
      <c r="M47" s="159">
        <f t="shared" si="33"/>
        <v>0.97496000000000005</v>
      </c>
      <c r="N47" s="159">
        <v>8.9999999999999998E-4</v>
      </c>
      <c r="O47" s="159">
        <v>2.0500000000000001E-2</v>
      </c>
      <c r="P47" s="160"/>
      <c r="Q47" s="162">
        <v>270</v>
      </c>
      <c r="R47" s="163">
        <v>360</v>
      </c>
      <c r="S47" s="157">
        <f t="shared" si="32"/>
        <v>0.36</v>
      </c>
      <c r="T47" s="157" t="s">
        <v>376</v>
      </c>
      <c r="U47" s="157" t="s">
        <v>167</v>
      </c>
      <c r="V47" s="326"/>
      <c r="W47" s="326" t="s">
        <v>409</v>
      </c>
    </row>
    <row r="48" spans="1:23" s="41" customFormat="1" ht="19.3" customHeight="1" x14ac:dyDescent="0.45">
      <c r="A48" s="331" t="s">
        <v>113</v>
      </c>
      <c r="B48" s="158">
        <v>0.91</v>
      </c>
      <c r="C48" s="158">
        <v>8.6999999999999994E-2</v>
      </c>
      <c r="D48" s="174"/>
      <c r="E48" s="160"/>
      <c r="F48" s="321">
        <f t="shared" ref="F48:F58" si="35">G48/C48</f>
        <v>0.90804597701149437</v>
      </c>
      <c r="G48" s="158">
        <v>7.9000000000000001E-2</v>
      </c>
      <c r="H48" s="158">
        <v>8.0000000000000002E-3</v>
      </c>
      <c r="I48" s="175"/>
      <c r="J48" s="160"/>
      <c r="K48" s="160"/>
      <c r="L48" s="176">
        <v>1.1999999999999999E-3</v>
      </c>
      <c r="M48" s="159">
        <f t="shared" si="33"/>
        <v>0.98099999999999998</v>
      </c>
      <c r="N48" s="159">
        <v>1E-3</v>
      </c>
      <c r="O48" s="159">
        <v>0.01</v>
      </c>
      <c r="P48" s="160"/>
      <c r="Q48" s="162">
        <v>422</v>
      </c>
      <c r="R48" s="163">
        <f>116*(1/1000)*(4226.75)</f>
        <v>490.303</v>
      </c>
      <c r="S48" s="157">
        <f t="shared" si="32"/>
        <v>0.49030299999999999</v>
      </c>
      <c r="T48" s="157" t="s">
        <v>376</v>
      </c>
      <c r="U48" s="157" t="s">
        <v>167</v>
      </c>
      <c r="V48" s="326" t="s">
        <v>410</v>
      </c>
      <c r="W48" s="326" t="s">
        <v>411</v>
      </c>
    </row>
    <row r="49" spans="1:23" s="41" customFormat="1" ht="19.3" customHeight="1" x14ac:dyDescent="0.45">
      <c r="A49" s="331" t="s">
        <v>120</v>
      </c>
      <c r="B49" s="158">
        <v>0.93</v>
      </c>
      <c r="C49" s="158">
        <v>7.0000000000000007E-2</v>
      </c>
      <c r="D49" s="174"/>
      <c r="E49" s="160"/>
      <c r="F49" s="321">
        <f t="shared" si="35"/>
        <v>0.75142857142857133</v>
      </c>
      <c r="G49" s="158">
        <v>5.2600000000000001E-2</v>
      </c>
      <c r="H49" s="158">
        <f>C49-G49</f>
        <v>1.7400000000000006E-2</v>
      </c>
      <c r="I49" s="175"/>
      <c r="J49" s="160"/>
      <c r="K49" s="160"/>
      <c r="L49" s="176">
        <v>7.000000000000001E-4</v>
      </c>
      <c r="M49" s="159">
        <f t="shared" si="33"/>
        <v>0.95010000000000006</v>
      </c>
      <c r="N49" s="159">
        <v>3.8999999999999998E-3</v>
      </c>
      <c r="O49" s="159">
        <v>2.86E-2</v>
      </c>
      <c r="P49" s="160"/>
      <c r="Q49" s="163">
        <v>157.9</v>
      </c>
      <c r="R49" s="163">
        <v>80</v>
      </c>
      <c r="S49" s="157">
        <f t="shared" si="32"/>
        <v>0.08</v>
      </c>
      <c r="T49" s="157" t="s">
        <v>376</v>
      </c>
      <c r="U49" s="157" t="s">
        <v>167</v>
      </c>
      <c r="V49" s="326" t="s">
        <v>412</v>
      </c>
      <c r="W49" s="326" t="s">
        <v>413</v>
      </c>
    </row>
    <row r="50" spans="1:23" s="41" customFormat="1" ht="19.3" customHeight="1" x14ac:dyDescent="0.45">
      <c r="A50" s="331" t="s">
        <v>123</v>
      </c>
      <c r="B50" s="158">
        <v>0.94</v>
      </c>
      <c r="C50" s="158">
        <v>5.7999999999999996E-2</v>
      </c>
      <c r="D50" s="174"/>
      <c r="E50" s="160"/>
      <c r="F50" s="321">
        <f t="shared" si="35"/>
        <v>0.89655172413793116</v>
      </c>
      <c r="G50" s="158">
        <v>5.2000000000000005E-2</v>
      </c>
      <c r="H50" s="158">
        <v>6.0000000000000001E-3</v>
      </c>
      <c r="I50" s="175"/>
      <c r="J50" s="160"/>
      <c r="K50" s="160"/>
      <c r="L50" s="176">
        <v>1.5E-3</v>
      </c>
      <c r="M50" s="159">
        <f t="shared" si="33"/>
        <v>0.98319999999999996</v>
      </c>
      <c r="N50" s="159">
        <v>2E-3</v>
      </c>
      <c r="O50" s="159">
        <v>8.8000000000000005E-3</v>
      </c>
      <c r="P50" s="160"/>
      <c r="Q50" s="162">
        <f>0.298*1000</f>
        <v>298</v>
      </c>
      <c r="R50" s="163">
        <f>180*(1/1000)*(4226.75)</f>
        <v>760.81499999999994</v>
      </c>
      <c r="S50" s="157">
        <f t="shared" si="32"/>
        <v>0.76081499999999991</v>
      </c>
      <c r="T50" s="157" t="s">
        <v>376</v>
      </c>
      <c r="U50" s="157" t="s">
        <v>167</v>
      </c>
      <c r="V50" s="326" t="s">
        <v>414</v>
      </c>
      <c r="W50" s="326" t="s">
        <v>395</v>
      </c>
    </row>
    <row r="51" spans="1:23" s="41" customFormat="1" ht="19.3" customHeight="1" x14ac:dyDescent="0.45">
      <c r="A51" s="331" t="s">
        <v>124</v>
      </c>
      <c r="B51" s="158">
        <v>0.89</v>
      </c>
      <c r="C51" s="158">
        <v>0.11</v>
      </c>
      <c r="D51" s="174"/>
      <c r="E51" s="160"/>
      <c r="F51" s="321">
        <f t="shared" si="35"/>
        <v>0.90909090909090917</v>
      </c>
      <c r="G51" s="158">
        <v>0.1</v>
      </c>
      <c r="H51" s="158">
        <v>0.01</v>
      </c>
      <c r="I51" s="175"/>
      <c r="J51" s="160"/>
      <c r="K51" s="160"/>
      <c r="L51" s="176">
        <v>2.2000000000000001E-3</v>
      </c>
      <c r="M51" s="159">
        <f t="shared" si="33"/>
        <v>0.9708</v>
      </c>
      <c r="N51" s="159">
        <v>2.8E-3</v>
      </c>
      <c r="O51" s="159">
        <v>1.6400000000000001E-2</v>
      </c>
      <c r="P51" s="160"/>
      <c r="Q51" s="162">
        <v>298</v>
      </c>
      <c r="R51" s="163">
        <v>761</v>
      </c>
      <c r="S51" s="157">
        <f t="shared" si="32"/>
        <v>0.76100000000000001</v>
      </c>
      <c r="T51" s="157" t="s">
        <v>376</v>
      </c>
      <c r="U51" s="157" t="s">
        <v>167</v>
      </c>
      <c r="V51" s="326"/>
      <c r="W51" s="326" t="s">
        <v>395</v>
      </c>
    </row>
    <row r="52" spans="1:23" s="41" customFormat="1" ht="19.3" customHeight="1" x14ac:dyDescent="0.45">
      <c r="A52" s="331" t="s">
        <v>90</v>
      </c>
      <c r="B52" s="158">
        <f>1-C52</f>
        <v>0.63139999999999996</v>
      </c>
      <c r="C52" s="158">
        <f>3686%/100</f>
        <v>0.36859999999999998</v>
      </c>
      <c r="D52" s="174"/>
      <c r="E52" s="160"/>
      <c r="F52" s="321">
        <f t="shared" si="35"/>
        <v>0.85458491589799246</v>
      </c>
      <c r="G52" s="158">
        <f>C52-H52</f>
        <v>0.315</v>
      </c>
      <c r="H52" s="158">
        <v>5.3600000000000002E-2</v>
      </c>
      <c r="I52" s="175"/>
      <c r="J52" s="160"/>
      <c r="K52" s="160"/>
      <c r="L52" s="176">
        <v>6.9999999999999993E-3</v>
      </c>
      <c r="M52" s="159">
        <f>1-N52-O52-H52</f>
        <v>0.79530000000000001</v>
      </c>
      <c r="N52" s="159">
        <v>4.7E-2</v>
      </c>
      <c r="O52" s="159">
        <v>0.1041</v>
      </c>
      <c r="P52" s="160"/>
      <c r="Q52" s="163">
        <f>CONVERT(250.26,"mL","m^3")*10^6</f>
        <v>250.26</v>
      </c>
      <c r="R52" s="163">
        <v>610</v>
      </c>
      <c r="S52" s="157">
        <f t="shared" si="32"/>
        <v>0.61</v>
      </c>
      <c r="T52" s="157" t="s">
        <v>376</v>
      </c>
      <c r="U52" s="157" t="s">
        <v>167</v>
      </c>
      <c r="V52" s="653" t="s">
        <v>415</v>
      </c>
      <c r="W52" s="326" t="s">
        <v>416</v>
      </c>
    </row>
    <row r="53" spans="1:23" s="41" customFormat="1" ht="19.3" customHeight="1" x14ac:dyDescent="0.45">
      <c r="A53" s="331" t="s">
        <v>417</v>
      </c>
      <c r="B53" s="158">
        <f>1-C53</f>
        <v>0.36419999999999997</v>
      </c>
      <c r="C53" s="158">
        <f>6358%/100</f>
        <v>0.63580000000000003</v>
      </c>
      <c r="D53" s="174"/>
      <c r="E53" s="160"/>
      <c r="F53" s="321">
        <f t="shared" si="35"/>
        <v>0.91569675998741751</v>
      </c>
      <c r="G53" s="158">
        <f>C53-H53</f>
        <v>0.58220000000000005</v>
      </c>
      <c r="H53" s="158">
        <v>5.3600000000000002E-2</v>
      </c>
      <c r="I53" s="175"/>
      <c r="J53" s="160"/>
      <c r="K53" s="160"/>
      <c r="L53" s="176">
        <v>6.9999999999999993E-3</v>
      </c>
      <c r="M53" s="159">
        <f>1-N53-O53-H53</f>
        <v>0.79530000000000001</v>
      </c>
      <c r="N53" s="159">
        <v>4.7E-2</v>
      </c>
      <c r="O53" s="159">
        <v>0.1041</v>
      </c>
      <c r="P53" s="160"/>
      <c r="Q53" s="163">
        <v>303.32</v>
      </c>
      <c r="R53" s="163">
        <v>610</v>
      </c>
      <c r="S53" s="157">
        <f t="shared" si="32"/>
        <v>0.61</v>
      </c>
      <c r="T53" s="157" t="s">
        <v>376</v>
      </c>
      <c r="U53" s="157" t="s">
        <v>167</v>
      </c>
      <c r="V53" s="653"/>
      <c r="W53" s="326" t="s">
        <v>416</v>
      </c>
    </row>
    <row r="54" spans="1:23" s="41" customFormat="1" ht="19.3" customHeight="1" x14ac:dyDescent="0.45">
      <c r="A54" s="331" t="s">
        <v>119</v>
      </c>
      <c r="B54" s="158">
        <f>1-C54</f>
        <v>0.122</v>
      </c>
      <c r="C54" s="158">
        <v>0.878</v>
      </c>
      <c r="D54" s="174"/>
      <c r="E54" s="160"/>
      <c r="F54" s="321">
        <f t="shared" si="35"/>
        <v>0.79599999999999993</v>
      </c>
      <c r="G54" s="158">
        <f>C54*79.6%</f>
        <v>0.69888799999999995</v>
      </c>
      <c r="H54" s="158">
        <f>C54-G54</f>
        <v>0.17911200000000005</v>
      </c>
      <c r="I54" s="175"/>
      <c r="J54" s="160"/>
      <c r="K54" s="160"/>
      <c r="L54" s="176">
        <f>C54*0.0088</f>
        <v>7.7264000000000005E-3</v>
      </c>
      <c r="M54" s="159">
        <v>0.437</v>
      </c>
      <c r="N54" s="159">
        <v>0</v>
      </c>
      <c r="O54" s="159">
        <v>0</v>
      </c>
      <c r="P54" s="160"/>
      <c r="Q54" s="163">
        <v>483</v>
      </c>
      <c r="R54" s="163">
        <f>(50+120)/2</f>
        <v>85</v>
      </c>
      <c r="S54" s="157">
        <f t="shared" si="32"/>
        <v>8.5000000000000006E-2</v>
      </c>
      <c r="T54" s="157" t="s">
        <v>376</v>
      </c>
      <c r="U54" s="157" t="s">
        <v>167</v>
      </c>
      <c r="V54" s="650" t="s">
        <v>418</v>
      </c>
      <c r="W54" s="650" t="s">
        <v>419</v>
      </c>
    </row>
    <row r="55" spans="1:23" s="41" customFormat="1" ht="19.3" customHeight="1" x14ac:dyDescent="0.45">
      <c r="A55" s="331" t="s">
        <v>115</v>
      </c>
      <c r="B55" s="158">
        <f t="shared" ref="B55:B57" si="36">1-C55</f>
        <v>0.10799999999999998</v>
      </c>
      <c r="C55" s="158">
        <v>0.89200000000000002</v>
      </c>
      <c r="D55" s="174"/>
      <c r="E55" s="160"/>
      <c r="F55" s="321">
        <f t="shared" si="35"/>
        <v>0.76578923766816143</v>
      </c>
      <c r="G55" s="158">
        <f>C54*77.8%</f>
        <v>0.68308400000000002</v>
      </c>
      <c r="H55" s="158">
        <f t="shared" ref="H55:H56" si="37">C55-G55</f>
        <v>0.20891599999999999</v>
      </c>
      <c r="I55" s="175"/>
      <c r="J55" s="160"/>
      <c r="K55" s="160"/>
      <c r="L55" s="176">
        <f>C55*0.0038</f>
        <v>3.3896E-3</v>
      </c>
      <c r="M55" s="159">
        <v>0.66800000000000004</v>
      </c>
      <c r="N55" s="159">
        <v>0</v>
      </c>
      <c r="O55" s="159">
        <v>0</v>
      </c>
      <c r="P55" s="160"/>
      <c r="Q55" s="163">
        <v>58</v>
      </c>
      <c r="R55" s="163">
        <f t="shared" ref="R55:R56" si="38">(50+120)/2</f>
        <v>85</v>
      </c>
      <c r="S55" s="157">
        <f t="shared" si="32"/>
        <v>8.5000000000000006E-2</v>
      </c>
      <c r="T55" s="157" t="s">
        <v>376</v>
      </c>
      <c r="U55" s="157" t="s">
        <v>167</v>
      </c>
      <c r="V55" s="650"/>
      <c r="W55" s="650"/>
    </row>
    <row r="56" spans="1:23" s="41" customFormat="1" ht="19.3" customHeight="1" x14ac:dyDescent="0.45">
      <c r="A56" s="331" t="s">
        <v>117</v>
      </c>
      <c r="B56" s="158">
        <f t="shared" si="36"/>
        <v>0.10699999999999998</v>
      </c>
      <c r="C56" s="158">
        <v>0.89300000000000002</v>
      </c>
      <c r="D56" s="174"/>
      <c r="E56" s="160"/>
      <c r="F56" s="321">
        <f t="shared" si="35"/>
        <v>0.77500000000000002</v>
      </c>
      <c r="G56" s="158">
        <f>77.5%*C56</f>
        <v>0.692075</v>
      </c>
      <c r="H56" s="158">
        <f t="shared" si="37"/>
        <v>0.20092500000000002</v>
      </c>
      <c r="I56" s="175"/>
      <c r="J56" s="160"/>
      <c r="K56" s="160"/>
      <c r="L56" s="176">
        <f>C55*0.0112</f>
        <v>9.9904E-3</v>
      </c>
      <c r="M56" s="159">
        <v>0.44700000000000001</v>
      </c>
      <c r="N56" s="159">
        <v>0</v>
      </c>
      <c r="O56" s="159">
        <v>0</v>
      </c>
      <c r="P56" s="160"/>
      <c r="Q56" s="163">
        <v>326</v>
      </c>
      <c r="R56" s="163">
        <f t="shared" si="38"/>
        <v>85</v>
      </c>
      <c r="S56" s="157">
        <f t="shared" si="32"/>
        <v>8.5000000000000006E-2</v>
      </c>
      <c r="T56" s="157" t="s">
        <v>376</v>
      </c>
      <c r="U56" s="157" t="s">
        <v>167</v>
      </c>
      <c r="V56" s="650"/>
      <c r="W56" s="650"/>
    </row>
    <row r="57" spans="1:23" s="41" customFormat="1" ht="19.3" customHeight="1" x14ac:dyDescent="0.45">
      <c r="A57" s="331" t="s">
        <v>125</v>
      </c>
      <c r="B57" s="158">
        <f t="shared" si="36"/>
        <v>9.9999999999999978E-2</v>
      </c>
      <c r="C57" s="158">
        <v>0.9</v>
      </c>
      <c r="D57" s="174"/>
      <c r="E57" s="160"/>
      <c r="F57" s="321">
        <f t="shared" si="35"/>
        <v>0.99177777777777765</v>
      </c>
      <c r="G57" s="158">
        <v>0.89259999999999995</v>
      </c>
      <c r="H57" s="158">
        <f>C57-G57</f>
        <v>7.4000000000000732E-3</v>
      </c>
      <c r="I57" s="175"/>
      <c r="J57" s="160"/>
      <c r="K57" s="160"/>
      <c r="L57" s="176">
        <v>2E-3</v>
      </c>
      <c r="M57" s="159">
        <v>0.80820000000000003</v>
      </c>
      <c r="N57" s="159">
        <v>0</v>
      </c>
      <c r="O57" s="159">
        <v>3.4099999999999998E-2</v>
      </c>
      <c r="P57" s="160"/>
      <c r="Q57" s="163">
        <v>208</v>
      </c>
      <c r="R57" s="163">
        <v>770</v>
      </c>
      <c r="S57" s="157">
        <f t="shared" si="32"/>
        <v>0.77</v>
      </c>
      <c r="T57" s="157" t="s">
        <v>376</v>
      </c>
      <c r="U57" s="157" t="s">
        <v>167</v>
      </c>
      <c r="V57" s="326" t="s">
        <v>420</v>
      </c>
      <c r="W57" s="326" t="s">
        <v>421</v>
      </c>
    </row>
    <row r="58" spans="1:23" s="41" customFormat="1" ht="19.3" customHeight="1" x14ac:dyDescent="0.45">
      <c r="A58" s="331" t="s">
        <v>97</v>
      </c>
      <c r="B58" s="158">
        <f>1-C58</f>
        <v>0.15620000000000001</v>
      </c>
      <c r="C58" s="158">
        <v>0.84379999999999999</v>
      </c>
      <c r="D58" s="174"/>
      <c r="E58" s="160"/>
      <c r="F58" s="321">
        <f t="shared" si="35"/>
        <v>0.91253851623607496</v>
      </c>
      <c r="G58" s="158">
        <v>0.77</v>
      </c>
      <c r="H58" s="158">
        <f>C58-G58</f>
        <v>7.3799999999999977E-2</v>
      </c>
      <c r="I58" s="175"/>
      <c r="J58" s="160"/>
      <c r="K58" s="160"/>
      <c r="L58" s="176">
        <v>7.0000000000000001E-3</v>
      </c>
      <c r="M58" s="159">
        <f>1-N58-O58-H58</f>
        <v>0.84619999999999995</v>
      </c>
      <c r="N58" s="159">
        <v>3.2000000000000001E-2</v>
      </c>
      <c r="O58" s="159">
        <v>4.8000000000000001E-2</v>
      </c>
      <c r="P58" s="160"/>
      <c r="Q58" s="163">
        <f>22.32*0.6</f>
        <v>13.391999999999999</v>
      </c>
      <c r="R58" s="163">
        <v>282.38</v>
      </c>
      <c r="S58" s="157">
        <f t="shared" si="32"/>
        <v>0.28238000000000002</v>
      </c>
      <c r="T58" s="157" t="s">
        <v>376</v>
      </c>
      <c r="U58" s="157" t="s">
        <v>167</v>
      </c>
      <c r="V58" s="326" t="s">
        <v>422</v>
      </c>
      <c r="W58" s="326" t="s">
        <v>423</v>
      </c>
    </row>
    <row r="59" spans="1:23" s="41" customFormat="1" ht="19.3" customHeight="1" x14ac:dyDescent="0.45">
      <c r="A59" s="331" t="s">
        <v>78</v>
      </c>
      <c r="B59" s="158">
        <f>1-C59</f>
        <v>0.67769999999999997</v>
      </c>
      <c r="C59" s="158">
        <v>0.32229999999999998</v>
      </c>
      <c r="D59" s="174"/>
      <c r="E59" s="160"/>
      <c r="F59" s="321">
        <f>G59/C59</f>
        <v>0.98976109215017072</v>
      </c>
      <c r="G59" s="158">
        <v>0.31900000000000001</v>
      </c>
      <c r="H59" s="180">
        <f>C59-G59</f>
        <v>3.2999999999999696E-3</v>
      </c>
      <c r="I59" s="175"/>
      <c r="J59" s="160"/>
      <c r="K59" s="160"/>
      <c r="L59" s="176">
        <v>1.9199999999999998E-2</v>
      </c>
      <c r="M59" s="159">
        <f>C59-H59-N59-O59</f>
        <v>5.2300000000000013E-2</v>
      </c>
      <c r="N59" s="159">
        <v>0.13769999999999999</v>
      </c>
      <c r="O59" s="159">
        <v>0.129</v>
      </c>
      <c r="P59" s="160"/>
      <c r="Q59" s="163">
        <v>298</v>
      </c>
      <c r="R59" s="163">
        <v>320</v>
      </c>
      <c r="S59" s="157">
        <f t="shared" si="32"/>
        <v>0.32</v>
      </c>
      <c r="T59" s="157" t="s">
        <v>376</v>
      </c>
      <c r="U59" s="157" t="s">
        <v>167</v>
      </c>
      <c r="V59" s="326"/>
      <c r="W59" s="326" t="s">
        <v>424</v>
      </c>
    </row>
    <row r="60" spans="1:23" s="41" customFormat="1" ht="19.3" customHeight="1" x14ac:dyDescent="0.45">
      <c r="A60" s="331" t="s">
        <v>122</v>
      </c>
      <c r="B60" s="165">
        <f>1-C60</f>
        <v>5.7499999999999996E-2</v>
      </c>
      <c r="C60" s="165">
        <v>0.9425</v>
      </c>
      <c r="D60" s="181"/>
      <c r="E60" s="166"/>
      <c r="F60" s="323">
        <v>0.96499999999999997</v>
      </c>
      <c r="G60" s="165">
        <f>F60*C60</f>
        <v>0.90951249999999995</v>
      </c>
      <c r="H60" s="165">
        <f>C60-G60</f>
        <v>3.2987500000000058E-2</v>
      </c>
      <c r="I60" s="182"/>
      <c r="J60" s="166"/>
      <c r="K60" s="166"/>
      <c r="L60" s="183">
        <v>1.4E-2</v>
      </c>
      <c r="M60" s="167">
        <f>1-N60-O60-H60</f>
        <v>0.69001249999999992</v>
      </c>
      <c r="N60" s="167">
        <v>3.7999999999999999E-2</v>
      </c>
      <c r="O60" s="167">
        <v>0.23899999999999999</v>
      </c>
      <c r="P60" s="166"/>
      <c r="Q60" s="169">
        <v>180.1</v>
      </c>
      <c r="R60" s="169">
        <v>480</v>
      </c>
      <c r="S60" s="170">
        <f t="shared" si="32"/>
        <v>0.48</v>
      </c>
      <c r="T60" s="170" t="s">
        <v>376</v>
      </c>
      <c r="U60" s="157" t="s">
        <v>167</v>
      </c>
      <c r="V60" s="327"/>
      <c r="W60" s="327" t="s">
        <v>425</v>
      </c>
    </row>
    <row r="61" spans="1:23" s="47" customFormat="1" ht="19.3" customHeight="1" x14ac:dyDescent="0.45">
      <c r="A61" s="46"/>
      <c r="B61" s="649" t="s">
        <v>28</v>
      </c>
      <c r="C61" s="649"/>
      <c r="D61" s="649"/>
      <c r="E61" s="649"/>
      <c r="F61" s="649"/>
      <c r="G61" s="649"/>
      <c r="H61" s="649"/>
      <c r="I61" s="649"/>
      <c r="J61" s="649"/>
      <c r="K61" s="649"/>
      <c r="L61" s="649"/>
      <c r="M61" s="649"/>
      <c r="N61" s="649"/>
      <c r="O61" s="649"/>
      <c r="P61" s="649"/>
      <c r="Q61" s="649"/>
      <c r="R61" s="649"/>
      <c r="S61" s="83"/>
      <c r="T61" s="83"/>
      <c r="U61" s="83"/>
      <c r="V61" s="45"/>
      <c r="W61" s="45"/>
    </row>
    <row r="62" spans="1:23" s="41" customFormat="1" ht="19.3" customHeight="1" x14ac:dyDescent="0.45">
      <c r="A62" s="331" t="s">
        <v>37</v>
      </c>
      <c r="B62" s="150">
        <v>0.98</v>
      </c>
      <c r="C62" s="150">
        <v>2.4E-2</v>
      </c>
      <c r="D62" s="184"/>
      <c r="E62" s="184"/>
      <c r="F62" s="324">
        <f>G62/C62</f>
        <v>0.625</v>
      </c>
      <c r="G62" s="150">
        <v>1.4999999999999999E-2</v>
      </c>
      <c r="H62" s="150">
        <v>9.1000000000000004E-3</v>
      </c>
      <c r="I62" s="172"/>
      <c r="J62" s="152"/>
      <c r="K62" s="185"/>
      <c r="L62" s="173">
        <v>7.6999999999999996E-4</v>
      </c>
      <c r="M62" s="151">
        <f>1-N62-O62-H62</f>
        <v>0.15320000000000011</v>
      </c>
      <c r="N62" s="151">
        <v>0.1477</v>
      </c>
      <c r="O62" s="151">
        <v>0.69</v>
      </c>
      <c r="P62" s="152"/>
      <c r="Q62" s="155">
        <v>550</v>
      </c>
      <c r="R62" s="155">
        <v>560</v>
      </c>
      <c r="S62" s="157">
        <f>R62/DensityofWater</f>
        <v>0.56000000000000005</v>
      </c>
      <c r="T62" s="157" t="s">
        <v>376</v>
      </c>
      <c r="U62" s="157" t="s">
        <v>167</v>
      </c>
      <c r="V62" s="651" t="s">
        <v>426</v>
      </c>
      <c r="W62" s="325" t="s">
        <v>427</v>
      </c>
    </row>
    <row r="63" spans="1:23" s="41" customFormat="1" ht="19.3" customHeight="1" x14ac:dyDescent="0.45">
      <c r="A63" s="331" t="s">
        <v>54</v>
      </c>
      <c r="B63" s="158">
        <v>0.93</v>
      </c>
      <c r="C63" s="158">
        <v>6.9000000000000006E-2</v>
      </c>
      <c r="D63" s="184"/>
      <c r="E63" s="184"/>
      <c r="F63" s="324">
        <f>G63/C63</f>
        <v>0.92753623188405787</v>
      </c>
      <c r="G63" s="158">
        <v>6.4000000000000001E-2</v>
      </c>
      <c r="H63" s="158">
        <v>5.4999999999999997E-3</v>
      </c>
      <c r="I63" s="175"/>
      <c r="J63" s="160"/>
      <c r="K63" s="186"/>
      <c r="L63" s="176">
        <v>7.4999999999999997E-2</v>
      </c>
      <c r="M63" s="159">
        <f>1-N63-O63-H63</f>
        <v>0.15680000000000011</v>
      </c>
      <c r="N63" s="159">
        <v>0.1477</v>
      </c>
      <c r="O63" s="159">
        <v>0.69</v>
      </c>
      <c r="P63" s="160"/>
      <c r="Q63" s="162">
        <v>550</v>
      </c>
      <c r="R63" s="162">
        <v>560</v>
      </c>
      <c r="S63" s="157">
        <f>R63/DensityofWater</f>
        <v>0.56000000000000005</v>
      </c>
      <c r="T63" s="157" t="s">
        <v>376</v>
      </c>
      <c r="U63" s="157" t="s">
        <v>167</v>
      </c>
      <c r="V63" s="650"/>
      <c r="W63" s="326" t="s">
        <v>428</v>
      </c>
    </row>
    <row r="64" spans="1:23" s="41" customFormat="1" ht="19.3" customHeight="1" x14ac:dyDescent="0.45">
      <c r="A64" s="331" t="s">
        <v>46</v>
      </c>
      <c r="B64" s="165">
        <v>0.93</v>
      </c>
      <c r="C64" s="165">
        <v>6.6000000000000003E-2</v>
      </c>
      <c r="D64" s="184"/>
      <c r="E64" s="184"/>
      <c r="F64" s="324">
        <f>G64/C64</f>
        <v>0.90909090909090906</v>
      </c>
      <c r="G64" s="165">
        <v>0.06</v>
      </c>
      <c r="H64" s="165">
        <v>6.0000000000000001E-3</v>
      </c>
      <c r="I64" s="182"/>
      <c r="J64" s="166"/>
      <c r="K64" s="187"/>
      <c r="L64" s="183">
        <v>7.4999999999999997E-2</v>
      </c>
      <c r="M64" s="167">
        <f>1-N64-O64-H64</f>
        <v>0.15630000000000011</v>
      </c>
      <c r="N64" s="167">
        <v>0.1477</v>
      </c>
      <c r="O64" s="167">
        <v>0.69</v>
      </c>
      <c r="P64" s="166"/>
      <c r="Q64" s="168">
        <v>550</v>
      </c>
      <c r="R64" s="168">
        <v>560</v>
      </c>
      <c r="S64" s="170">
        <f>R64/DensityofWater</f>
        <v>0.56000000000000005</v>
      </c>
      <c r="T64" s="170" t="s">
        <v>376</v>
      </c>
      <c r="U64" s="157" t="s">
        <v>167</v>
      </c>
      <c r="V64" s="650"/>
      <c r="W64" s="326" t="s">
        <v>428</v>
      </c>
    </row>
    <row r="65" spans="1:23" s="41" customFormat="1" ht="19.3" customHeight="1" x14ac:dyDescent="0.45">
      <c r="A65" s="40"/>
      <c r="B65" s="649" t="s">
        <v>429</v>
      </c>
      <c r="C65" s="649"/>
      <c r="D65" s="649"/>
      <c r="E65" s="649"/>
      <c r="F65" s="649"/>
      <c r="G65" s="649"/>
      <c r="H65" s="649"/>
      <c r="I65" s="649"/>
      <c r="J65" s="649"/>
      <c r="K65" s="649"/>
      <c r="L65" s="649"/>
      <c r="M65" s="649"/>
      <c r="N65" s="649"/>
      <c r="O65" s="649"/>
      <c r="P65" s="649"/>
      <c r="Q65" s="649"/>
      <c r="R65" s="649"/>
      <c r="S65" s="83"/>
      <c r="T65" s="83"/>
      <c r="U65" s="83"/>
      <c r="V65" s="42"/>
      <c r="W65" s="42"/>
    </row>
    <row r="66" spans="1:23" s="41" customFormat="1" ht="19.3" customHeight="1" x14ac:dyDescent="0.45">
      <c r="A66" s="332" t="s">
        <v>36</v>
      </c>
      <c r="B66" s="150">
        <v>0.86599999999999999</v>
      </c>
      <c r="C66" s="150">
        <f>1-B66</f>
        <v>0.13400000000000001</v>
      </c>
      <c r="D66" s="188"/>
      <c r="E66" s="188"/>
      <c r="F66" s="320">
        <v>0.90200000000000002</v>
      </c>
      <c r="G66" s="150">
        <f>F66*C66</f>
        <v>0.12086800000000002</v>
      </c>
      <c r="H66" s="150">
        <f>C66-G66</f>
        <v>1.3131999999999991E-2</v>
      </c>
      <c r="I66" s="188"/>
      <c r="J66" s="188"/>
      <c r="K66" s="188"/>
      <c r="L66" s="189">
        <v>1.9699999999999999E-2</v>
      </c>
      <c r="M66" s="151">
        <v>0.78</v>
      </c>
      <c r="N66" s="151">
        <v>4.0000000000000001E-3</v>
      </c>
      <c r="O66" s="151"/>
      <c r="P66" s="188"/>
      <c r="Q66" s="155">
        <v>576</v>
      </c>
      <c r="R66" s="156">
        <v>85</v>
      </c>
      <c r="S66" s="157">
        <f>R66/DensityofWater</f>
        <v>8.5000000000000006E-2</v>
      </c>
      <c r="T66" s="157" t="s">
        <v>376</v>
      </c>
      <c r="U66" s="157" t="s">
        <v>166</v>
      </c>
      <c r="V66" s="328"/>
      <c r="W66" s="325" t="s">
        <v>430</v>
      </c>
    </row>
    <row r="67" spans="1:23" s="41" customFormat="1" ht="19.3" customHeight="1" x14ac:dyDescent="0.45">
      <c r="A67" s="331" t="s">
        <v>61</v>
      </c>
      <c r="B67" s="158">
        <v>0.38200000000000001</v>
      </c>
      <c r="C67" s="158">
        <f>1-B67</f>
        <v>0.61799999999999999</v>
      </c>
      <c r="D67" s="160"/>
      <c r="E67" s="160"/>
      <c r="F67" s="321">
        <v>0.90200000000000002</v>
      </c>
      <c r="G67" s="158">
        <f>F67*C67</f>
        <v>0.55743600000000004</v>
      </c>
      <c r="H67" s="158">
        <f>C67-G67</f>
        <v>6.0563999999999951E-2</v>
      </c>
      <c r="I67" s="175"/>
      <c r="J67" s="160"/>
      <c r="K67" s="160"/>
      <c r="L67" s="190">
        <v>8.9999999999999993E-3</v>
      </c>
      <c r="M67" s="159">
        <f>1-N67-O67-H67</f>
        <v>0.80443600000000004</v>
      </c>
      <c r="N67" s="159">
        <v>4.8500000000000001E-2</v>
      </c>
      <c r="O67" s="159">
        <v>8.6500000000000007E-2</v>
      </c>
      <c r="P67" s="160"/>
      <c r="Q67" s="162">
        <v>30.6</v>
      </c>
      <c r="R67" s="163">
        <f>((200+260)/2)*0.593276421</f>
        <v>136.45357683</v>
      </c>
      <c r="S67" s="157">
        <f>R67/DensityofWater</f>
        <v>0.13645357683000001</v>
      </c>
      <c r="T67" s="157" t="s">
        <v>376</v>
      </c>
      <c r="U67" s="157" t="s">
        <v>166</v>
      </c>
      <c r="V67" s="650" t="s">
        <v>431</v>
      </c>
      <c r="W67" s="326" t="s">
        <v>432</v>
      </c>
    </row>
    <row r="68" spans="1:23" s="41" customFormat="1" ht="19.3" customHeight="1" x14ac:dyDescent="0.45">
      <c r="A68" s="331" t="s">
        <v>53</v>
      </c>
      <c r="B68" s="158">
        <v>0.82</v>
      </c>
      <c r="C68" s="158">
        <f>1-B68</f>
        <v>0.18000000000000005</v>
      </c>
      <c r="D68" s="160"/>
      <c r="E68" s="160"/>
      <c r="F68" s="321">
        <v>0.86399999999999999</v>
      </c>
      <c r="G68" s="158">
        <f>F68*C68</f>
        <v>0.15552000000000005</v>
      </c>
      <c r="H68" s="158">
        <f>C68-G68</f>
        <v>2.4480000000000002E-2</v>
      </c>
      <c r="I68" s="175"/>
      <c r="J68" s="160"/>
      <c r="K68" s="160"/>
      <c r="L68" s="190">
        <v>8.9999999999999993E-3</v>
      </c>
      <c r="M68" s="159">
        <f>1-N68-O68-H68</f>
        <v>0.87952000000000008</v>
      </c>
      <c r="N68" s="159">
        <v>2.0499999999999997E-2</v>
      </c>
      <c r="O68" s="159">
        <v>7.5499999999999998E-2</v>
      </c>
      <c r="P68" s="160"/>
      <c r="Q68" s="162">
        <v>136</v>
      </c>
      <c r="R68" s="163">
        <f>((350+500)/2)*0.593276421</f>
        <v>252.14247892500001</v>
      </c>
      <c r="S68" s="157">
        <f>R68/DensityofWater</f>
        <v>0.25214247892500002</v>
      </c>
      <c r="T68" s="157" t="s">
        <v>376</v>
      </c>
      <c r="U68" s="157" t="s">
        <v>166</v>
      </c>
      <c r="V68" s="650"/>
      <c r="W68" s="326" t="s">
        <v>432</v>
      </c>
    </row>
    <row r="69" spans="1:23" s="41" customFormat="1" ht="19.3" customHeight="1" x14ac:dyDescent="0.45">
      <c r="A69" s="331" t="s">
        <v>45</v>
      </c>
      <c r="B69" s="158">
        <v>0.159</v>
      </c>
      <c r="C69" s="158">
        <f>1-B69</f>
        <v>0.84099999999999997</v>
      </c>
      <c r="D69" s="160"/>
      <c r="E69" s="160"/>
      <c r="F69" s="321">
        <v>0.96599999999999997</v>
      </c>
      <c r="G69" s="158">
        <f>F69*C69</f>
        <v>0.81240599999999996</v>
      </c>
      <c r="H69" s="158">
        <f>C69-G69</f>
        <v>2.8594000000000008E-2</v>
      </c>
      <c r="I69" s="175"/>
      <c r="J69" s="160"/>
      <c r="K69" s="160"/>
      <c r="L69" s="190">
        <v>8.0000000000000002E-3</v>
      </c>
      <c r="M69" s="159">
        <f t="shared" ref="M69:M70" si="39">1-N69-O69-H69</f>
        <v>0.92907266666666666</v>
      </c>
      <c r="N69" s="159">
        <v>2.2000000000000002E-2</v>
      </c>
      <c r="O69" s="159">
        <v>2.0333333333333335E-2</v>
      </c>
      <c r="P69" s="160"/>
      <c r="Q69" s="162">
        <v>62.6</v>
      </c>
      <c r="R69" s="163">
        <v>750</v>
      </c>
      <c r="S69" s="157">
        <f>R69/DensityofWater</f>
        <v>0.75</v>
      </c>
      <c r="T69" s="157" t="s">
        <v>376</v>
      </c>
      <c r="U69" s="157" t="s">
        <v>166</v>
      </c>
      <c r="V69" s="650"/>
      <c r="W69" s="326" t="s">
        <v>432</v>
      </c>
    </row>
    <row r="70" spans="1:23" s="41" customFormat="1" ht="19.3" customHeight="1" x14ac:dyDescent="0.45">
      <c r="A70" s="331" t="s">
        <v>67</v>
      </c>
      <c r="B70" s="165">
        <v>0.16</v>
      </c>
      <c r="C70" s="165">
        <f>1-B70</f>
        <v>0.84</v>
      </c>
      <c r="D70" s="166"/>
      <c r="E70" s="166"/>
      <c r="F70" s="323">
        <v>0.96399999999999997</v>
      </c>
      <c r="G70" s="165">
        <f>F70*C70</f>
        <v>0.80975999999999992</v>
      </c>
      <c r="H70" s="165">
        <f>C70-G70</f>
        <v>3.0240000000000045E-2</v>
      </c>
      <c r="I70" s="182"/>
      <c r="J70" s="166"/>
      <c r="K70" s="166"/>
      <c r="L70" s="191">
        <v>8.0000000000000002E-3</v>
      </c>
      <c r="M70" s="167">
        <f t="shared" si="39"/>
        <v>0.92742666666666662</v>
      </c>
      <c r="N70" s="167">
        <v>2.2000000000000002E-2</v>
      </c>
      <c r="O70" s="167">
        <v>2.0333333333333335E-2</v>
      </c>
      <c r="P70" s="166"/>
      <c r="Q70" s="168">
        <v>11.6</v>
      </c>
      <c r="R70" s="169">
        <v>750</v>
      </c>
      <c r="S70" s="170">
        <f>R70/DensityofWater</f>
        <v>0.75</v>
      </c>
      <c r="T70" s="157" t="s">
        <v>376</v>
      </c>
      <c r="U70" s="157" t="s">
        <v>166</v>
      </c>
      <c r="V70" s="652"/>
      <c r="W70" s="327" t="s">
        <v>432</v>
      </c>
    </row>
    <row r="71" spans="1:23" s="41" customFormat="1" ht="19.3" customHeight="1" x14ac:dyDescent="0.45">
      <c r="A71" s="40"/>
      <c r="B71" s="649" t="s">
        <v>24</v>
      </c>
      <c r="C71" s="649"/>
      <c r="D71" s="649"/>
      <c r="E71" s="649"/>
      <c r="F71" s="649"/>
      <c r="G71" s="649"/>
      <c r="H71" s="649"/>
      <c r="I71" s="649"/>
      <c r="J71" s="649"/>
      <c r="K71" s="649"/>
      <c r="L71" s="649"/>
      <c r="M71" s="649"/>
      <c r="N71" s="649"/>
      <c r="O71" s="649"/>
      <c r="P71" s="649"/>
      <c r="Q71" s="649"/>
      <c r="R71" s="649"/>
      <c r="S71" s="83"/>
      <c r="T71" s="83"/>
      <c r="U71" s="83"/>
      <c r="V71" s="45"/>
      <c r="W71" s="45"/>
    </row>
    <row r="72" spans="1:23" s="41" customFormat="1" ht="19.3" customHeight="1" x14ac:dyDescent="0.45">
      <c r="A72" s="331" t="s">
        <v>108</v>
      </c>
      <c r="B72" s="150">
        <v>0.06</v>
      </c>
      <c r="C72" s="150">
        <f t="shared" ref="C72:C84" si="40">1-B72</f>
        <v>0.94</v>
      </c>
      <c r="D72" s="152"/>
      <c r="E72" s="152"/>
      <c r="F72" s="320">
        <v>0.96599999999999997</v>
      </c>
      <c r="G72" s="150">
        <f t="shared" ref="G72:G80" si="41">F72*C72</f>
        <v>0.90803999999999996</v>
      </c>
      <c r="H72" s="150">
        <f t="shared" ref="H72:H81" si="42">C72-G72</f>
        <v>3.1959999999999988E-2</v>
      </c>
      <c r="I72" s="172"/>
      <c r="J72" s="152"/>
      <c r="K72" s="152"/>
      <c r="L72" s="189">
        <v>9.4999999999999998E-3</v>
      </c>
      <c r="M72" s="151">
        <f>1-H72</f>
        <v>0.96804000000000001</v>
      </c>
      <c r="N72" s="151">
        <v>4.0000000000000001E-3</v>
      </c>
      <c r="O72" s="151">
        <v>6.0000000000000001E-3</v>
      </c>
      <c r="P72" s="152"/>
      <c r="Q72" s="155">
        <v>46.4</v>
      </c>
      <c r="R72" s="155">
        <v>1314</v>
      </c>
      <c r="S72" s="157">
        <f t="shared" ref="S72:S87" si="43">R72/DensityofWater</f>
        <v>1.3140000000000001</v>
      </c>
      <c r="T72" s="157" t="s">
        <v>376</v>
      </c>
      <c r="U72" s="157" t="s">
        <v>166</v>
      </c>
      <c r="V72" s="329" t="s">
        <v>433</v>
      </c>
      <c r="W72" s="325" t="s">
        <v>434</v>
      </c>
    </row>
    <row r="73" spans="1:23" s="41" customFormat="1" ht="19.3" customHeight="1" x14ac:dyDescent="0.45">
      <c r="A73" s="331" t="s">
        <v>88</v>
      </c>
      <c r="B73" s="158">
        <v>0.13</v>
      </c>
      <c r="C73" s="158">
        <f t="shared" si="40"/>
        <v>0.87</v>
      </c>
      <c r="D73" s="160"/>
      <c r="E73" s="160"/>
      <c r="F73" s="321">
        <v>0.92700000000000005</v>
      </c>
      <c r="G73" s="158">
        <f t="shared" si="41"/>
        <v>0.80649000000000004</v>
      </c>
      <c r="H73" s="158">
        <f t="shared" si="42"/>
        <v>6.3509999999999955E-2</v>
      </c>
      <c r="I73" s="175"/>
      <c r="J73" s="160"/>
      <c r="K73" s="160"/>
      <c r="L73" s="190">
        <v>9.4999999999999998E-3</v>
      </c>
      <c r="M73" s="159">
        <f>1-H73</f>
        <v>0.93649000000000004</v>
      </c>
      <c r="N73" s="159">
        <v>8.0000000000000002E-3</v>
      </c>
      <c r="O73" s="159">
        <v>7.0000000000000001E-3</v>
      </c>
      <c r="P73" s="160"/>
      <c r="Q73" s="163">
        <v>74.3</v>
      </c>
      <c r="R73" s="162">
        <v>305</v>
      </c>
      <c r="S73" s="157">
        <f t="shared" si="43"/>
        <v>0.30499999999999999</v>
      </c>
      <c r="T73" s="157" t="s">
        <v>376</v>
      </c>
      <c r="U73" s="157" t="s">
        <v>170</v>
      </c>
      <c r="V73" s="326"/>
      <c r="W73" s="326" t="s">
        <v>435</v>
      </c>
    </row>
    <row r="74" spans="1:23" s="41" customFormat="1" ht="19.3" customHeight="1" x14ac:dyDescent="0.45">
      <c r="A74" s="331" t="s">
        <v>42</v>
      </c>
      <c r="B74" s="158">
        <v>0.17</v>
      </c>
      <c r="C74" s="158">
        <f t="shared" si="40"/>
        <v>0.83</v>
      </c>
      <c r="D74" s="160"/>
      <c r="E74" s="160"/>
      <c r="F74" s="321">
        <v>0.89</v>
      </c>
      <c r="G74" s="158">
        <f t="shared" si="41"/>
        <v>0.73870000000000002</v>
      </c>
      <c r="H74" s="158">
        <f t="shared" si="42"/>
        <v>9.1299999999999937E-2</v>
      </c>
      <c r="I74" s="175"/>
      <c r="J74" s="160"/>
      <c r="K74" s="160"/>
      <c r="L74" s="190">
        <v>9.4999999999999998E-3</v>
      </c>
      <c r="M74" s="159">
        <f>1-H74</f>
        <v>0.90870000000000006</v>
      </c>
      <c r="N74" s="159">
        <v>4.0000000000000001E-3</v>
      </c>
      <c r="O74" s="159">
        <v>6.0000000000000001E-3</v>
      </c>
      <c r="P74" s="160"/>
      <c r="Q74" s="163">
        <v>152.30000000000001</v>
      </c>
      <c r="R74" s="162">
        <v>431</v>
      </c>
      <c r="S74" s="157">
        <f t="shared" si="43"/>
        <v>0.43099999999999999</v>
      </c>
      <c r="T74" s="157" t="s">
        <v>376</v>
      </c>
      <c r="U74" s="157" t="s">
        <v>42</v>
      </c>
      <c r="V74" s="326"/>
      <c r="W74" s="326" t="s">
        <v>435</v>
      </c>
    </row>
    <row r="75" spans="1:23" s="41" customFormat="1" ht="19.3" customHeight="1" x14ac:dyDescent="0.45">
      <c r="A75" s="331" t="s">
        <v>92</v>
      </c>
      <c r="B75" s="158">
        <v>0.09</v>
      </c>
      <c r="C75" s="158">
        <f t="shared" si="40"/>
        <v>0.91</v>
      </c>
      <c r="D75" s="160"/>
      <c r="E75" s="160"/>
      <c r="F75" s="321">
        <v>0.878</v>
      </c>
      <c r="G75" s="158">
        <f t="shared" si="41"/>
        <v>0.79898000000000002</v>
      </c>
      <c r="H75" s="158">
        <f t="shared" si="42"/>
        <v>0.11102000000000001</v>
      </c>
      <c r="I75" s="175"/>
      <c r="J75" s="160"/>
      <c r="K75" s="160"/>
      <c r="L75" s="190">
        <v>9.4999999999999998E-3</v>
      </c>
      <c r="M75" s="159">
        <f t="shared" ref="M75:M80" si="44">1-H75</f>
        <v>0.88897999999999999</v>
      </c>
      <c r="N75" s="159">
        <v>4.0000000000000001E-3</v>
      </c>
      <c r="O75" s="159">
        <v>6.0000000000000001E-3</v>
      </c>
      <c r="P75" s="160"/>
      <c r="Q75" s="163">
        <v>217.3</v>
      </c>
      <c r="R75" s="162">
        <v>431</v>
      </c>
      <c r="S75" s="157">
        <f t="shared" si="43"/>
        <v>0.43099999999999999</v>
      </c>
      <c r="T75" s="157" t="s">
        <v>376</v>
      </c>
      <c r="U75" s="157" t="s">
        <v>170</v>
      </c>
      <c r="V75" s="326"/>
      <c r="W75" s="326" t="s">
        <v>435</v>
      </c>
    </row>
    <row r="76" spans="1:23" s="41" customFormat="1" ht="19.3" customHeight="1" x14ac:dyDescent="0.45">
      <c r="A76" s="331" t="s">
        <v>84</v>
      </c>
      <c r="B76" s="158">
        <v>0.06</v>
      </c>
      <c r="C76" s="158">
        <f t="shared" si="40"/>
        <v>0.94</v>
      </c>
      <c r="D76" s="160"/>
      <c r="E76" s="160"/>
      <c r="F76" s="321">
        <v>0.76700000000000002</v>
      </c>
      <c r="G76" s="158">
        <f t="shared" si="41"/>
        <v>0.72097999999999995</v>
      </c>
      <c r="H76" s="158">
        <f t="shared" si="42"/>
        <v>0.21901999999999999</v>
      </c>
      <c r="I76" s="175"/>
      <c r="J76" s="160"/>
      <c r="K76" s="160"/>
      <c r="L76" s="190">
        <v>9.4999999999999998E-3</v>
      </c>
      <c r="M76" s="159">
        <f t="shared" si="44"/>
        <v>0.78098000000000001</v>
      </c>
      <c r="N76" s="159">
        <v>4.0000000000000001E-3</v>
      </c>
      <c r="O76" s="159">
        <v>6.0000000000000001E-3</v>
      </c>
      <c r="P76" s="160"/>
      <c r="Q76" s="163">
        <v>84.4</v>
      </c>
      <c r="R76" s="162">
        <v>305</v>
      </c>
      <c r="S76" s="157">
        <f t="shared" si="43"/>
        <v>0.30499999999999999</v>
      </c>
      <c r="T76" s="157" t="s">
        <v>376</v>
      </c>
      <c r="U76" s="157" t="s">
        <v>170</v>
      </c>
      <c r="V76" s="326"/>
      <c r="W76" s="326" t="s">
        <v>435</v>
      </c>
    </row>
    <row r="77" spans="1:23" s="41" customFormat="1" ht="19.3" customHeight="1" x14ac:dyDescent="0.45">
      <c r="A77" s="331" t="s">
        <v>80</v>
      </c>
      <c r="B77" s="158">
        <v>0.09</v>
      </c>
      <c r="C77" s="158">
        <f t="shared" si="40"/>
        <v>0.91</v>
      </c>
      <c r="D77" s="160"/>
      <c r="E77" s="160"/>
      <c r="F77" s="321">
        <v>0.751</v>
      </c>
      <c r="G77" s="158">
        <f t="shared" si="41"/>
        <v>0.68341000000000007</v>
      </c>
      <c r="H77" s="158">
        <f t="shared" si="42"/>
        <v>0.22658999999999996</v>
      </c>
      <c r="I77" s="175"/>
      <c r="J77" s="160"/>
      <c r="K77" s="160"/>
      <c r="L77" s="190">
        <v>9.4999999999999998E-3</v>
      </c>
      <c r="M77" s="159">
        <f t="shared" si="44"/>
        <v>0.77341000000000004</v>
      </c>
      <c r="N77" s="159">
        <v>4.0000000000000001E-3</v>
      </c>
      <c r="O77" s="159">
        <v>6.0000000000000001E-3</v>
      </c>
      <c r="P77" s="160"/>
      <c r="Q77" s="163">
        <v>84.4</v>
      </c>
      <c r="R77" s="162">
        <v>431</v>
      </c>
      <c r="S77" s="157">
        <f t="shared" si="43"/>
        <v>0.43099999999999999</v>
      </c>
      <c r="T77" s="157" t="s">
        <v>376</v>
      </c>
      <c r="U77" s="157" t="s">
        <v>170</v>
      </c>
      <c r="V77" s="326"/>
      <c r="W77" s="326" t="s">
        <v>435</v>
      </c>
    </row>
    <row r="78" spans="1:23" s="41" customFormat="1" ht="19.3" customHeight="1" x14ac:dyDescent="0.45">
      <c r="A78" s="331" t="s">
        <v>64</v>
      </c>
      <c r="B78" s="158">
        <v>0.22</v>
      </c>
      <c r="C78" s="158">
        <f t="shared" si="40"/>
        <v>0.78</v>
      </c>
      <c r="D78" s="160"/>
      <c r="E78" s="160"/>
      <c r="F78" s="321">
        <v>0.88800000000000001</v>
      </c>
      <c r="G78" s="158">
        <f t="shared" si="41"/>
        <v>0.69264000000000003</v>
      </c>
      <c r="H78" s="158">
        <f t="shared" si="42"/>
        <v>8.7359999999999993E-2</v>
      </c>
      <c r="I78" s="175"/>
      <c r="J78" s="160"/>
      <c r="K78" s="160"/>
      <c r="L78" s="190">
        <v>9.4999999999999998E-3</v>
      </c>
      <c r="M78" s="159">
        <f t="shared" si="44"/>
        <v>0.91264000000000001</v>
      </c>
      <c r="N78" s="159">
        <v>4.0000000000000001E-3</v>
      </c>
      <c r="O78" s="159">
        <v>6.0000000000000001E-3</v>
      </c>
      <c r="P78" s="160"/>
      <c r="Q78" s="163">
        <v>152.30000000000001</v>
      </c>
      <c r="R78" s="162">
        <v>366</v>
      </c>
      <c r="S78" s="157">
        <f t="shared" si="43"/>
        <v>0.36599999999999999</v>
      </c>
      <c r="T78" s="157" t="s">
        <v>376</v>
      </c>
      <c r="U78" s="157" t="s">
        <v>170</v>
      </c>
      <c r="V78" s="326"/>
      <c r="W78" s="326" t="s">
        <v>435</v>
      </c>
    </row>
    <row r="79" spans="1:23" s="41" customFormat="1" ht="19.3" customHeight="1" x14ac:dyDescent="0.45">
      <c r="A79" s="331" t="s">
        <v>96</v>
      </c>
      <c r="B79" s="158">
        <v>0.22</v>
      </c>
      <c r="C79" s="158">
        <f t="shared" si="40"/>
        <v>0.78</v>
      </c>
      <c r="D79" s="160"/>
      <c r="E79" s="160"/>
      <c r="F79" s="321">
        <v>0.88800000000000001</v>
      </c>
      <c r="G79" s="158">
        <f t="shared" si="41"/>
        <v>0.69264000000000003</v>
      </c>
      <c r="H79" s="158">
        <f t="shared" si="42"/>
        <v>8.7359999999999993E-2</v>
      </c>
      <c r="I79" s="175"/>
      <c r="J79" s="160"/>
      <c r="K79" s="160"/>
      <c r="L79" s="190">
        <v>9.4999999999999998E-3</v>
      </c>
      <c r="M79" s="159">
        <f t="shared" si="44"/>
        <v>0.91264000000000001</v>
      </c>
      <c r="N79" s="159">
        <v>4.0000000000000001E-3</v>
      </c>
      <c r="O79" s="159">
        <v>6.0000000000000001E-3</v>
      </c>
      <c r="P79" s="160"/>
      <c r="Q79" s="163">
        <v>152.30000000000001</v>
      </c>
      <c r="R79" s="162">
        <v>900</v>
      </c>
      <c r="S79" s="157">
        <f t="shared" si="43"/>
        <v>0.9</v>
      </c>
      <c r="T79" s="157" t="s">
        <v>376</v>
      </c>
      <c r="U79" s="157" t="s">
        <v>170</v>
      </c>
      <c r="V79" s="326"/>
      <c r="W79" s="326" t="s">
        <v>435</v>
      </c>
    </row>
    <row r="80" spans="1:23" s="41" customFormat="1" ht="19.3" customHeight="1" x14ac:dyDescent="0.45">
      <c r="A80" s="331" t="s">
        <v>99</v>
      </c>
      <c r="B80" s="158">
        <v>0.25</v>
      </c>
      <c r="C80" s="158">
        <f t="shared" si="40"/>
        <v>0.75</v>
      </c>
      <c r="D80" s="160"/>
      <c r="E80" s="160"/>
      <c r="F80" s="321">
        <v>0.91500000000000004</v>
      </c>
      <c r="G80" s="158">
        <f t="shared" si="41"/>
        <v>0.68625000000000003</v>
      </c>
      <c r="H80" s="158">
        <f t="shared" si="42"/>
        <v>6.3749999999999973E-2</v>
      </c>
      <c r="I80" s="175"/>
      <c r="J80" s="160"/>
      <c r="K80" s="160"/>
      <c r="L80" s="190">
        <v>9.4999999999999998E-3</v>
      </c>
      <c r="M80" s="159">
        <f t="shared" si="44"/>
        <v>0.93625000000000003</v>
      </c>
      <c r="N80" s="159">
        <v>4.0000000000000001E-3</v>
      </c>
      <c r="O80" s="159">
        <v>6.0000000000000001E-3</v>
      </c>
      <c r="P80" s="160"/>
      <c r="Q80" s="163">
        <v>132.1</v>
      </c>
      <c r="R80" s="162">
        <v>900</v>
      </c>
      <c r="S80" s="157">
        <f t="shared" si="43"/>
        <v>0.9</v>
      </c>
      <c r="T80" s="157" t="s">
        <v>376</v>
      </c>
      <c r="U80" s="157" t="s">
        <v>170</v>
      </c>
      <c r="V80" s="326"/>
      <c r="W80" s="326" t="s">
        <v>435</v>
      </c>
    </row>
    <row r="81" spans="1:23" s="41" customFormat="1" ht="19.3" customHeight="1" x14ac:dyDescent="0.45">
      <c r="A81" s="331" t="s">
        <v>75</v>
      </c>
      <c r="B81" s="158">
        <v>0.89</v>
      </c>
      <c r="C81" s="158">
        <f t="shared" si="40"/>
        <v>0.10999999999999999</v>
      </c>
      <c r="D81" s="160"/>
      <c r="E81" s="160"/>
      <c r="F81" s="321">
        <f>0.019/0.033</f>
        <v>0.57575757575757569</v>
      </c>
      <c r="G81" s="159">
        <f>F81*C81</f>
        <v>6.3333333333333325E-2</v>
      </c>
      <c r="H81" s="158">
        <f t="shared" si="42"/>
        <v>4.6666666666666662E-2</v>
      </c>
      <c r="I81" s="175"/>
      <c r="J81" s="160"/>
      <c r="K81" s="160"/>
      <c r="L81" s="176">
        <v>2E-3</v>
      </c>
      <c r="M81" s="159">
        <v>0.25</v>
      </c>
      <c r="N81" s="159">
        <v>0.25</v>
      </c>
      <c r="O81" s="159">
        <v>0.15</v>
      </c>
      <c r="P81" s="160"/>
      <c r="Q81" s="163">
        <v>195</v>
      </c>
      <c r="R81" s="163">
        <f>CONVERT(30/0.55,"lbm","kg")*(1/0.0283168)</f>
        <v>873.73580348061921</v>
      </c>
      <c r="S81" s="157">
        <f t="shared" si="43"/>
        <v>0.87373580348061919</v>
      </c>
      <c r="T81" s="157" t="s">
        <v>376</v>
      </c>
      <c r="U81" s="157" t="s">
        <v>169</v>
      </c>
      <c r="V81" s="650" t="s">
        <v>436</v>
      </c>
      <c r="W81" s="326" t="s">
        <v>437</v>
      </c>
    </row>
    <row r="82" spans="1:23" s="41" customFormat="1" ht="19.3" customHeight="1" x14ac:dyDescent="0.45">
      <c r="A82" s="331" t="s">
        <v>70</v>
      </c>
      <c r="B82" s="158">
        <v>0.99919999999999998</v>
      </c>
      <c r="C82" s="180">
        <f t="shared" si="40"/>
        <v>8.0000000000002292E-4</v>
      </c>
      <c r="D82" s="160"/>
      <c r="E82" s="160"/>
      <c r="F82" s="321">
        <f t="shared" ref="F82" si="45">G82/C82</f>
        <v>0.29999999999999144</v>
      </c>
      <c r="G82" s="180">
        <v>2.4000000000000001E-4</v>
      </c>
      <c r="H82" s="180">
        <f>C82-G82</f>
        <v>5.6000000000002294E-4</v>
      </c>
      <c r="I82" s="175"/>
      <c r="J82" s="160"/>
      <c r="K82" s="160"/>
      <c r="L82" s="190">
        <v>1.0000000000000001E-5</v>
      </c>
      <c r="M82" s="159">
        <v>0.25</v>
      </c>
      <c r="N82" s="159">
        <v>0.02</v>
      </c>
      <c r="O82" s="159">
        <v>0.02</v>
      </c>
      <c r="P82" s="160"/>
      <c r="Q82" s="163">
        <v>89.375</v>
      </c>
      <c r="R82" s="163">
        <f>CONVERT(1625/27,"lbm","kg")*(1/0.0283168)</f>
        <v>964.07577081580689</v>
      </c>
      <c r="S82" s="157">
        <f t="shared" si="43"/>
        <v>0.96407577081580687</v>
      </c>
      <c r="T82" s="157" t="s">
        <v>376</v>
      </c>
      <c r="U82" s="157" t="s">
        <v>169</v>
      </c>
      <c r="V82" s="650"/>
      <c r="W82" s="326" t="s">
        <v>438</v>
      </c>
    </row>
    <row r="83" spans="1:23" s="41" customFormat="1" ht="19.3" customHeight="1" x14ac:dyDescent="0.45">
      <c r="A83" s="331" t="s">
        <v>105</v>
      </c>
      <c r="B83" s="158">
        <v>0.99750000000000005</v>
      </c>
      <c r="C83" s="180">
        <f t="shared" si="40"/>
        <v>2.4999999999999467E-3</v>
      </c>
      <c r="D83" s="160"/>
      <c r="E83" s="160"/>
      <c r="F83" s="321">
        <f>G83/C83</f>
        <v>0.56000000000001193</v>
      </c>
      <c r="G83" s="180">
        <v>1.4E-3</v>
      </c>
      <c r="H83" s="180">
        <f>C83-G83</f>
        <v>1.0999999999999467E-3</v>
      </c>
      <c r="I83" s="175"/>
      <c r="J83" s="160"/>
      <c r="K83" s="160"/>
      <c r="L83" s="190">
        <v>1.0000000000000001E-5</v>
      </c>
      <c r="M83" s="159">
        <v>0.25</v>
      </c>
      <c r="N83" s="159">
        <v>0.02</v>
      </c>
      <c r="O83" s="159">
        <v>0.02</v>
      </c>
      <c r="P83" s="160"/>
      <c r="Q83" s="163">
        <v>200.20000000000002</v>
      </c>
      <c r="R83" s="163">
        <f>CONVERT(2200/35,"lbm","kg")*(1/0.0283168)</f>
        <v>1006.8764973443327</v>
      </c>
      <c r="S83" s="157">
        <f t="shared" si="43"/>
        <v>1.0068764973443327</v>
      </c>
      <c r="T83" s="157" t="s">
        <v>376</v>
      </c>
      <c r="U83" s="157" t="s">
        <v>169</v>
      </c>
      <c r="V83" s="650"/>
      <c r="W83" s="326" t="s">
        <v>437</v>
      </c>
    </row>
    <row r="84" spans="1:23" s="41" customFormat="1" ht="19.3" customHeight="1" x14ac:dyDescent="0.45">
      <c r="A84" s="331" t="s">
        <v>33</v>
      </c>
      <c r="B84" s="158">
        <v>0.99650000000000005</v>
      </c>
      <c r="C84" s="180">
        <f t="shared" si="40"/>
        <v>3.4999999999999476E-3</v>
      </c>
      <c r="D84" s="160"/>
      <c r="E84" s="160"/>
      <c r="F84" s="321">
        <f>G84/C84</f>
        <v>0.57142857142857995</v>
      </c>
      <c r="G84" s="180">
        <v>2E-3</v>
      </c>
      <c r="H84" s="180">
        <f>C84-G84</f>
        <v>1.4999999999999476E-3</v>
      </c>
      <c r="I84" s="175"/>
      <c r="J84" s="160"/>
      <c r="K84" s="160"/>
      <c r="L84" s="190">
        <v>1.0000000000000001E-5</v>
      </c>
      <c r="M84" s="159">
        <v>0.25</v>
      </c>
      <c r="N84" s="159">
        <v>0.02</v>
      </c>
      <c r="O84" s="159">
        <v>0.02</v>
      </c>
      <c r="P84" s="160"/>
      <c r="Q84" s="163">
        <v>204.28571428571428</v>
      </c>
      <c r="R84" s="163">
        <f>CONVERT(2200/38,"lbm","kg")*(1/0.0283168)</f>
        <v>927.38624755399064</v>
      </c>
      <c r="S84" s="157">
        <f t="shared" si="43"/>
        <v>0.92738624755399068</v>
      </c>
      <c r="T84" s="157" t="s">
        <v>376</v>
      </c>
      <c r="U84" s="157" t="s">
        <v>169</v>
      </c>
      <c r="V84" s="650"/>
      <c r="W84" s="326" t="s">
        <v>438</v>
      </c>
    </row>
    <row r="85" spans="1:23" s="41" customFormat="1" ht="19.3" customHeight="1" x14ac:dyDescent="0.45">
      <c r="A85" s="331" t="s">
        <v>102</v>
      </c>
      <c r="B85" s="158">
        <f>1-C85</f>
        <v>0.96</v>
      </c>
      <c r="C85" s="180">
        <v>0.04</v>
      </c>
      <c r="D85" s="160"/>
      <c r="E85" s="160"/>
      <c r="F85" s="321">
        <f>G85/C85</f>
        <v>0.75</v>
      </c>
      <c r="G85" s="180">
        <v>0.03</v>
      </c>
      <c r="H85" s="180">
        <v>0.01</v>
      </c>
      <c r="I85" s="175"/>
      <c r="J85" s="160"/>
      <c r="K85" s="160"/>
      <c r="L85" s="190">
        <v>3.2000000000000002E-3</v>
      </c>
      <c r="M85" s="159">
        <v>0.25</v>
      </c>
      <c r="N85" s="159">
        <v>0.02</v>
      </c>
      <c r="O85" s="159">
        <v>0.02</v>
      </c>
      <c r="P85" s="160"/>
      <c r="Q85" s="163">
        <v>315</v>
      </c>
      <c r="R85" s="163">
        <f>CONVERT(2200/35,"lbm","kg")*(1/0.0283168)</f>
        <v>1006.8764973443327</v>
      </c>
      <c r="S85" s="157">
        <f t="shared" si="43"/>
        <v>1.0068764973443327</v>
      </c>
      <c r="T85" s="157" t="s">
        <v>376</v>
      </c>
      <c r="U85" s="157" t="s">
        <v>169</v>
      </c>
      <c r="V85" s="509"/>
      <c r="W85" s="326" t="s">
        <v>438</v>
      </c>
    </row>
    <row r="86" spans="1:23" s="41" customFormat="1" ht="19.3" customHeight="1" x14ac:dyDescent="0.45">
      <c r="A86" s="331" t="s">
        <v>58</v>
      </c>
      <c r="B86" s="158">
        <f>1-C86</f>
        <v>0.76259999999999994</v>
      </c>
      <c r="C86" s="180">
        <v>0.2374</v>
      </c>
      <c r="D86" s="160"/>
      <c r="E86" s="160"/>
      <c r="F86" s="321">
        <f t="shared" ref="F86:F87" si="46">G86/C86</f>
        <v>0.91449031171019368</v>
      </c>
      <c r="G86" s="158">
        <v>0.21709999999999999</v>
      </c>
      <c r="H86" s="180">
        <f>C86-G86</f>
        <v>2.0300000000000012E-2</v>
      </c>
      <c r="I86" s="175"/>
      <c r="J86" s="160"/>
      <c r="K86" s="160"/>
      <c r="L86" s="190">
        <f>0.0344*C86</f>
        <v>8.1665599999999998E-3</v>
      </c>
      <c r="M86" s="159">
        <f>453/1000*G86</f>
        <v>9.8346299999999998E-2</v>
      </c>
      <c r="N86" s="159">
        <f>151/1000*G86</f>
        <v>3.2782099999999995E-2</v>
      </c>
      <c r="O86" s="159">
        <f>235/1000*G86</f>
        <v>5.1018499999999994E-2</v>
      </c>
      <c r="P86" s="160"/>
      <c r="Q86" s="163">
        <v>445</v>
      </c>
      <c r="R86" s="163">
        <v>500</v>
      </c>
      <c r="S86" s="157">
        <f t="shared" si="43"/>
        <v>0.5</v>
      </c>
      <c r="T86" s="157" t="s">
        <v>376</v>
      </c>
      <c r="U86" s="157" t="s">
        <v>167</v>
      </c>
      <c r="V86" s="650" t="s">
        <v>439</v>
      </c>
      <c r="W86" s="326" t="s">
        <v>440</v>
      </c>
    </row>
    <row r="87" spans="1:23" s="41" customFormat="1" ht="19.3" customHeight="1" x14ac:dyDescent="0.45">
      <c r="A87" s="331" t="s">
        <v>50</v>
      </c>
      <c r="B87" s="165">
        <f>1-C87</f>
        <v>0.47170000000000001</v>
      </c>
      <c r="C87" s="192">
        <v>0.52829999999999999</v>
      </c>
      <c r="D87" s="166"/>
      <c r="E87" s="166"/>
      <c r="F87" s="323">
        <f t="shared" si="46"/>
        <v>0.6350558394851411</v>
      </c>
      <c r="G87" s="165">
        <v>0.33550000000000002</v>
      </c>
      <c r="H87" s="192">
        <f>C87-G87</f>
        <v>0.19279999999999997</v>
      </c>
      <c r="I87" s="182"/>
      <c r="J87" s="166"/>
      <c r="K87" s="166"/>
      <c r="L87" s="191">
        <f>0.0132*C87</f>
        <v>6.9735600000000002E-3</v>
      </c>
      <c r="M87" s="167">
        <f>340/1000*G87</f>
        <v>0.11407000000000002</v>
      </c>
      <c r="N87" s="167">
        <f>68.6/1000*G87</f>
        <v>2.3015299999999999E-2</v>
      </c>
      <c r="O87" s="167">
        <f>130/1000*G87</f>
        <v>4.3615000000000001E-2</v>
      </c>
      <c r="P87" s="166"/>
      <c r="Q87" s="169">
        <v>344</v>
      </c>
      <c r="R87" s="169">
        <v>500</v>
      </c>
      <c r="S87" s="170">
        <f t="shared" si="43"/>
        <v>0.5</v>
      </c>
      <c r="T87" s="157" t="s">
        <v>376</v>
      </c>
      <c r="U87" s="196" t="s">
        <v>167</v>
      </c>
      <c r="V87" s="652"/>
      <c r="W87" s="327" t="s">
        <v>440</v>
      </c>
    </row>
    <row r="88" spans="1:23" s="47" customFormat="1" ht="19.3" customHeight="1" x14ac:dyDescent="0.45">
      <c r="A88" s="40"/>
      <c r="B88" s="649" t="s">
        <v>441</v>
      </c>
      <c r="C88" s="649"/>
      <c r="D88" s="649"/>
      <c r="E88" s="649"/>
      <c r="F88" s="649"/>
      <c r="G88" s="649"/>
      <c r="H88" s="649"/>
      <c r="I88" s="649"/>
      <c r="J88" s="649"/>
      <c r="K88" s="649"/>
      <c r="L88" s="649"/>
      <c r="M88" s="649"/>
      <c r="N88" s="649"/>
      <c r="O88" s="649"/>
      <c r="P88" s="649"/>
      <c r="Q88" s="649"/>
      <c r="R88" s="649"/>
      <c r="S88" s="83"/>
      <c r="T88" s="45"/>
      <c r="U88" s="83"/>
      <c r="V88" s="45"/>
      <c r="W88" s="45"/>
    </row>
    <row r="89" spans="1:23" s="41" customFormat="1" ht="19.3" customHeight="1" x14ac:dyDescent="0.45">
      <c r="A89" s="331" t="s">
        <v>76</v>
      </c>
      <c r="B89" s="150">
        <v>0.77</v>
      </c>
      <c r="C89" s="150">
        <f>1-B89</f>
        <v>0.22999999999999998</v>
      </c>
      <c r="D89" s="152"/>
      <c r="E89" s="152"/>
      <c r="F89" s="320">
        <v>0.96399999999999997</v>
      </c>
      <c r="G89" s="150">
        <f>F89*C89</f>
        <v>0.22171999999999997</v>
      </c>
      <c r="H89" s="150">
        <f>C89-G89</f>
        <v>8.2800000000000096E-3</v>
      </c>
      <c r="I89" s="172"/>
      <c r="J89" s="152"/>
      <c r="K89" s="152"/>
      <c r="L89" s="151">
        <v>5.0000000000000001E-3</v>
      </c>
      <c r="M89" s="151">
        <v>0.59</v>
      </c>
      <c r="N89" s="151">
        <v>0.19</v>
      </c>
      <c r="O89" s="151">
        <v>0.18099999999999999</v>
      </c>
      <c r="P89" s="152"/>
      <c r="Q89" s="155">
        <v>361</v>
      </c>
      <c r="R89" s="156">
        <v>500</v>
      </c>
      <c r="S89" s="157">
        <f t="shared" ref="S89:S99" si="47">R89/DensityofWater</f>
        <v>0.5</v>
      </c>
      <c r="T89" s="157" t="s">
        <v>376</v>
      </c>
      <c r="U89" s="157" t="s">
        <v>167</v>
      </c>
      <c r="V89" s="651" t="s">
        <v>442</v>
      </c>
      <c r="W89" s="325" t="s">
        <v>443</v>
      </c>
    </row>
    <row r="90" spans="1:23" s="41" customFormat="1" ht="19.3" customHeight="1" x14ac:dyDescent="0.45">
      <c r="A90" s="331" t="s">
        <v>71</v>
      </c>
      <c r="B90" s="158">
        <v>0.56999999999999995</v>
      </c>
      <c r="C90" s="158">
        <f>1-B90</f>
        <v>0.43000000000000005</v>
      </c>
      <c r="D90" s="160"/>
      <c r="E90" s="160"/>
      <c r="F90" s="321">
        <v>0.94199999999999995</v>
      </c>
      <c r="G90" s="158">
        <f>F90*C90</f>
        <v>0.40506000000000003</v>
      </c>
      <c r="H90" s="158">
        <f>C90-G90</f>
        <v>2.4940000000000018E-2</v>
      </c>
      <c r="I90" s="175"/>
      <c r="J90" s="160"/>
      <c r="K90" s="160"/>
      <c r="L90" s="159">
        <v>5.0000000000000001E-3</v>
      </c>
      <c r="M90" s="159">
        <v>0.59</v>
      </c>
      <c r="N90" s="159">
        <v>0.19</v>
      </c>
      <c r="O90" s="159">
        <v>0.18099999999999999</v>
      </c>
      <c r="P90" s="160"/>
      <c r="Q90" s="162">
        <v>361</v>
      </c>
      <c r="R90" s="163">
        <v>500</v>
      </c>
      <c r="S90" s="157">
        <f t="shared" si="47"/>
        <v>0.5</v>
      </c>
      <c r="T90" s="157" t="s">
        <v>376</v>
      </c>
      <c r="U90" s="157" t="s">
        <v>167</v>
      </c>
      <c r="V90" s="650"/>
      <c r="W90" s="326" t="s">
        <v>443</v>
      </c>
    </row>
    <row r="91" spans="1:23" s="41" customFormat="1" ht="19.3" customHeight="1" x14ac:dyDescent="0.45">
      <c r="A91" s="331" t="s">
        <v>43</v>
      </c>
      <c r="B91" s="161">
        <f>1-C91</f>
        <v>0.32599999999999996</v>
      </c>
      <c r="C91" s="161">
        <v>0.67400000000000004</v>
      </c>
      <c r="D91" s="160"/>
      <c r="E91" s="160"/>
      <c r="F91" s="321">
        <f>G91/C91</f>
        <v>0.97181008902077148</v>
      </c>
      <c r="G91" s="158">
        <v>0.65500000000000003</v>
      </c>
      <c r="H91" s="158">
        <f>C91-G91</f>
        <v>1.9000000000000017E-2</v>
      </c>
      <c r="I91" s="160"/>
      <c r="J91" s="160"/>
      <c r="K91" s="160"/>
      <c r="L91" s="159">
        <f>0.37*B91</f>
        <v>0.12061999999999998</v>
      </c>
      <c r="M91" s="159">
        <f>1-SUM(N91:O91)-H91</f>
        <v>0.84</v>
      </c>
      <c r="N91" s="159">
        <f>2%</f>
        <v>0.02</v>
      </c>
      <c r="O91" s="159">
        <f>12.1%</f>
        <v>0.121</v>
      </c>
      <c r="P91" s="160"/>
      <c r="Q91" s="162">
        <v>306</v>
      </c>
      <c r="R91" s="162">
        <v>200</v>
      </c>
      <c r="S91" s="157">
        <f t="shared" si="47"/>
        <v>0.2</v>
      </c>
      <c r="T91" s="157" t="s">
        <v>376</v>
      </c>
      <c r="U91" s="157" t="s">
        <v>167</v>
      </c>
      <c r="V91" s="650" t="s">
        <v>444</v>
      </c>
      <c r="W91" s="326" t="s">
        <v>445</v>
      </c>
    </row>
    <row r="92" spans="1:23" s="41" customFormat="1" ht="19.3" customHeight="1" x14ac:dyDescent="0.45">
      <c r="A92" s="331" t="s">
        <v>51</v>
      </c>
      <c r="B92" s="161">
        <f>1-C92</f>
        <v>0.75800000000000001</v>
      </c>
      <c r="C92" s="161">
        <v>0.24199999999999999</v>
      </c>
      <c r="D92" s="160"/>
      <c r="E92" s="160"/>
      <c r="F92" s="321">
        <f>G92/C92</f>
        <v>0.95041322314049592</v>
      </c>
      <c r="G92" s="158">
        <v>0.23</v>
      </c>
      <c r="H92" s="158">
        <f>C92-G92</f>
        <v>1.1999999999999983E-2</v>
      </c>
      <c r="I92" s="160"/>
      <c r="J92" s="160"/>
      <c r="K92" s="160"/>
      <c r="L92" s="159">
        <f>0.14*B92</f>
        <v>0.10612000000000001</v>
      </c>
      <c r="M92" s="159">
        <f>1-SUM(N92:O92)-H92</f>
        <v>0.64</v>
      </c>
      <c r="N92" s="159">
        <f>8.7%</f>
        <v>8.6999999999999994E-2</v>
      </c>
      <c r="O92" s="159">
        <f>26.1%</f>
        <v>0.26100000000000001</v>
      </c>
      <c r="P92" s="160"/>
      <c r="Q92" s="162">
        <v>316</v>
      </c>
      <c r="R92" s="162">
        <v>200</v>
      </c>
      <c r="S92" s="157">
        <f t="shared" si="47"/>
        <v>0.2</v>
      </c>
      <c r="T92" s="157" t="s">
        <v>376</v>
      </c>
      <c r="U92" s="157" t="s">
        <v>167</v>
      </c>
      <c r="V92" s="650"/>
      <c r="W92" s="326" t="s">
        <v>445</v>
      </c>
    </row>
    <row r="93" spans="1:23" s="41" customFormat="1" ht="19.3" customHeight="1" x14ac:dyDescent="0.45">
      <c r="A93" s="331" t="s">
        <v>446</v>
      </c>
      <c r="B93" s="161">
        <f>1-C93</f>
        <v>0.71</v>
      </c>
      <c r="C93" s="161">
        <v>0.28999999999999998</v>
      </c>
      <c r="D93" s="160"/>
      <c r="E93" s="160"/>
      <c r="F93" s="321">
        <v>0.95299999999999996</v>
      </c>
      <c r="G93" s="158">
        <f>F93*C93</f>
        <v>0.27636999999999995</v>
      </c>
      <c r="H93" s="158">
        <f>C93-G93</f>
        <v>1.3630000000000031E-2</v>
      </c>
      <c r="I93" s="160"/>
      <c r="J93" s="160"/>
      <c r="K93" s="160"/>
      <c r="L93" s="159">
        <v>3.5299999999999998E-2</v>
      </c>
      <c r="M93" s="159">
        <v>0.59</v>
      </c>
      <c r="N93" s="159">
        <v>0.19</v>
      </c>
      <c r="O93" s="159">
        <v>0.18099999999999999</v>
      </c>
      <c r="P93" s="160"/>
      <c r="Q93" s="162">
        <v>498</v>
      </c>
      <c r="R93" s="163">
        <f>R89</f>
        <v>500</v>
      </c>
      <c r="S93" s="157">
        <f t="shared" si="47"/>
        <v>0.5</v>
      </c>
      <c r="T93" s="157" t="s">
        <v>376</v>
      </c>
      <c r="U93" s="157" t="s">
        <v>167</v>
      </c>
      <c r="V93" s="509"/>
      <c r="W93" s="326" t="s">
        <v>447</v>
      </c>
    </row>
    <row r="94" spans="1:23" s="41" customFormat="1" ht="19.3" customHeight="1" x14ac:dyDescent="0.45">
      <c r="A94" s="331" t="s">
        <v>59</v>
      </c>
      <c r="B94" s="161">
        <v>0.47</v>
      </c>
      <c r="C94" s="161">
        <v>0.53</v>
      </c>
      <c r="D94" s="160"/>
      <c r="E94" s="160"/>
      <c r="F94" s="321">
        <f>G94/C94</f>
        <v>0.97</v>
      </c>
      <c r="G94" s="158">
        <v>0.5141</v>
      </c>
      <c r="H94" s="158">
        <v>1.5900000000000025E-2</v>
      </c>
      <c r="I94" s="160"/>
      <c r="J94" s="160"/>
      <c r="K94" s="160"/>
      <c r="L94" s="159">
        <v>0.105</v>
      </c>
      <c r="M94" s="159">
        <f>1-N94-O94-H94</f>
        <v>0.53409999999999991</v>
      </c>
      <c r="N94" s="159">
        <v>0.17</v>
      </c>
      <c r="O94" s="159">
        <v>0.28000000000000003</v>
      </c>
      <c r="P94" s="160"/>
      <c r="Q94" s="162">
        <v>482</v>
      </c>
      <c r="R94" s="162">
        <v>1040</v>
      </c>
      <c r="S94" s="157">
        <f t="shared" si="47"/>
        <v>1.04</v>
      </c>
      <c r="T94" s="157" t="s">
        <v>376</v>
      </c>
      <c r="U94" s="157" t="s">
        <v>167</v>
      </c>
      <c r="V94" s="650" t="s">
        <v>448</v>
      </c>
      <c r="W94" s="326" t="s">
        <v>449</v>
      </c>
    </row>
    <row r="95" spans="1:23" s="41" customFormat="1" ht="19.3" customHeight="1" x14ac:dyDescent="0.45">
      <c r="A95" s="331" t="s">
        <v>34</v>
      </c>
      <c r="B95" s="193">
        <v>0.65</v>
      </c>
      <c r="C95" s="193">
        <v>0.35</v>
      </c>
      <c r="D95" s="166"/>
      <c r="E95" s="166"/>
      <c r="F95" s="323">
        <f>G95/C95</f>
        <v>0.99</v>
      </c>
      <c r="G95" s="165">
        <v>0.34649999999999997</v>
      </c>
      <c r="H95" s="165">
        <v>3.5000000000000031E-3</v>
      </c>
      <c r="I95" s="166"/>
      <c r="J95" s="166"/>
      <c r="K95" s="166"/>
      <c r="L95" s="167">
        <v>1.6E-2</v>
      </c>
      <c r="M95" s="167">
        <f>B95-N95-O95-H95</f>
        <v>0.57250000000000001</v>
      </c>
      <c r="N95" s="167">
        <v>3.4000000000000002E-2</v>
      </c>
      <c r="O95" s="167">
        <v>0.04</v>
      </c>
      <c r="P95" s="166"/>
      <c r="Q95" s="168">
        <v>294</v>
      </c>
      <c r="R95" s="168">
        <v>700</v>
      </c>
      <c r="S95" s="157">
        <f t="shared" si="47"/>
        <v>0.7</v>
      </c>
      <c r="T95" s="157" t="s">
        <v>376</v>
      </c>
      <c r="U95" s="157" t="s">
        <v>167</v>
      </c>
      <c r="V95" s="652"/>
      <c r="W95" s="327" t="s">
        <v>449</v>
      </c>
    </row>
    <row r="96" spans="1:23" s="41" customFormat="1" ht="19.3" customHeight="1" x14ac:dyDescent="0.45">
      <c r="A96" s="331" t="s">
        <v>450</v>
      </c>
      <c r="B96" s="161">
        <f>1-C96</f>
        <v>0.54200000000000004</v>
      </c>
      <c r="C96" s="161">
        <v>0.45800000000000002</v>
      </c>
      <c r="D96" s="160"/>
      <c r="E96" s="160"/>
      <c r="F96" s="321">
        <v>0.376</v>
      </c>
      <c r="G96" s="158">
        <f>F96*C96</f>
        <v>0.172208</v>
      </c>
      <c r="H96" s="158">
        <f>C96-G96</f>
        <v>0.28579200000000005</v>
      </c>
      <c r="I96" s="160"/>
      <c r="J96" s="160"/>
      <c r="K96" s="160"/>
      <c r="L96" s="159">
        <f>22.3/1000</f>
        <v>2.23E-2</v>
      </c>
      <c r="M96" s="159">
        <f>0.108*G96</f>
        <v>1.8598463999999999E-2</v>
      </c>
      <c r="N96" s="159">
        <f>0.523*G96</f>
        <v>9.0064784000000009E-2</v>
      </c>
      <c r="O96" s="159">
        <f>0.37*G96</f>
        <v>6.3716960000000003E-2</v>
      </c>
      <c r="P96" s="160"/>
      <c r="Q96" s="162">
        <v>125</v>
      </c>
      <c r="R96" s="162">
        <v>1100</v>
      </c>
      <c r="S96" s="157">
        <f t="shared" si="47"/>
        <v>1.1000000000000001</v>
      </c>
      <c r="T96" s="157" t="s">
        <v>376</v>
      </c>
      <c r="U96" s="157" t="s">
        <v>167</v>
      </c>
      <c r="V96" s="509" t="s">
        <v>451</v>
      </c>
      <c r="W96" s="326" t="s">
        <v>452</v>
      </c>
    </row>
    <row r="97" spans="1:23" s="41" customFormat="1" ht="19.3" customHeight="1" x14ac:dyDescent="0.45">
      <c r="A97" s="331" t="s">
        <v>453</v>
      </c>
      <c r="B97" s="161">
        <f>1-C97</f>
        <v>0.60299999999999998</v>
      </c>
      <c r="C97" s="161">
        <v>0.39700000000000002</v>
      </c>
      <c r="D97" s="160"/>
      <c r="E97" s="160"/>
      <c r="F97" s="321">
        <v>0.35799999999999998</v>
      </c>
      <c r="G97" s="158">
        <f>F97*C97</f>
        <v>0.142126</v>
      </c>
      <c r="H97" s="158">
        <f>C97-G97</f>
        <v>0.25487400000000004</v>
      </c>
      <c r="I97" s="160"/>
      <c r="J97" s="160"/>
      <c r="K97" s="160"/>
      <c r="L97" s="159">
        <f>47.4/1000</f>
        <v>4.7399999999999998E-2</v>
      </c>
      <c r="M97" s="159">
        <f>0.062*G97</f>
        <v>8.8118120000000005E-3</v>
      </c>
      <c r="N97" s="159">
        <f>0.111*G97</f>
        <v>1.5775985999999999E-2</v>
      </c>
      <c r="O97" s="159">
        <f>0.822*G97</f>
        <v>0.11682757199999999</v>
      </c>
      <c r="P97" s="184"/>
      <c r="Q97" s="301">
        <v>266</v>
      </c>
      <c r="R97" s="301">
        <f>0.560646*1000</f>
        <v>560.64599999999996</v>
      </c>
      <c r="S97" s="157">
        <f t="shared" si="47"/>
        <v>0.56064599999999998</v>
      </c>
      <c r="T97" s="159" t="s">
        <v>376</v>
      </c>
      <c r="U97" s="159" t="s">
        <v>169</v>
      </c>
      <c r="V97" s="330" t="s">
        <v>454</v>
      </c>
      <c r="W97" s="326" t="s">
        <v>455</v>
      </c>
    </row>
    <row r="98" spans="1:23" s="41" customFormat="1" ht="19.3" customHeight="1" x14ac:dyDescent="0.45">
      <c r="A98" s="331" t="s">
        <v>456</v>
      </c>
      <c r="B98" s="299">
        <f>1-C98</f>
        <v>0.82099999999999995</v>
      </c>
      <c r="C98" s="299">
        <v>0.17899999999999999</v>
      </c>
      <c r="D98" s="184"/>
      <c r="E98" s="184"/>
      <c r="F98" s="324">
        <v>0.16800000000000001</v>
      </c>
      <c r="G98" s="165">
        <f>F98*C98</f>
        <v>3.0072000000000002E-2</v>
      </c>
      <c r="H98" s="165">
        <f>C98-G98</f>
        <v>0.148928</v>
      </c>
      <c r="I98" s="166"/>
      <c r="J98" s="166"/>
      <c r="K98" s="166"/>
      <c r="L98" s="167">
        <f>25.4/1000</f>
        <v>2.5399999999999999E-2</v>
      </c>
      <c r="M98" s="167">
        <f>0.053*G98</f>
        <v>1.5938160000000001E-3</v>
      </c>
      <c r="N98" s="167">
        <f>0.003*G98</f>
        <v>9.0216000000000005E-5</v>
      </c>
      <c r="O98" s="167">
        <f>0.944*G98</f>
        <v>2.8387968E-2</v>
      </c>
      <c r="P98" s="184"/>
      <c r="Q98" s="300">
        <v>250</v>
      </c>
      <c r="R98" s="300">
        <v>1000</v>
      </c>
      <c r="S98" s="170">
        <f t="shared" si="47"/>
        <v>1</v>
      </c>
      <c r="T98" s="196" t="s">
        <v>376</v>
      </c>
      <c r="U98" s="196" t="s">
        <v>167</v>
      </c>
      <c r="V98" s="330" t="s">
        <v>454</v>
      </c>
      <c r="W98" s="326" t="s">
        <v>452</v>
      </c>
    </row>
    <row r="99" spans="1:23" s="41" customFormat="1" ht="19.3" customHeight="1" x14ac:dyDescent="0.45">
      <c r="A99" s="331" t="s">
        <v>457</v>
      </c>
      <c r="B99" s="193">
        <f>1-C99</f>
        <v>0.77800000000000002</v>
      </c>
      <c r="C99" s="193">
        <v>0.222</v>
      </c>
      <c r="D99" s="166"/>
      <c r="E99" s="166"/>
      <c r="F99" s="323">
        <v>0.92700000000000005</v>
      </c>
      <c r="G99" s="165">
        <f>F99*C99</f>
        <v>0.205794</v>
      </c>
      <c r="H99" s="165">
        <f>C99-G99</f>
        <v>1.6205999999999998E-2</v>
      </c>
      <c r="I99" s="166"/>
      <c r="J99" s="166"/>
      <c r="K99" s="166"/>
      <c r="L99" s="302">
        <f>0.02*C99</f>
        <v>4.4400000000000004E-3</v>
      </c>
      <c r="M99" s="167">
        <f>0.784*C99</f>
        <v>0.17404800000000001</v>
      </c>
      <c r="N99" s="167">
        <f>0.005*C99</f>
        <v>1.1100000000000001E-3</v>
      </c>
      <c r="O99" s="167">
        <f>0.134*C99</f>
        <v>2.9748000000000004E-2</v>
      </c>
      <c r="P99" s="166"/>
      <c r="Q99" s="169">
        <v>228.8</v>
      </c>
      <c r="R99" s="169">
        <v>999.5521</v>
      </c>
      <c r="S99" s="170">
        <f t="shared" si="47"/>
        <v>0.99955209999999994</v>
      </c>
      <c r="T99" s="170" t="s">
        <v>376</v>
      </c>
      <c r="U99" s="170" t="s">
        <v>167</v>
      </c>
      <c r="V99" s="330"/>
      <c r="W99" s="331" t="s">
        <v>458</v>
      </c>
    </row>
    <row r="100" spans="1:23" s="41" customFormat="1" ht="19.3" customHeight="1" x14ac:dyDescent="0.45">
      <c r="A100" s="40"/>
      <c r="B100" s="649" t="s">
        <v>459</v>
      </c>
      <c r="C100" s="649"/>
      <c r="D100" s="649"/>
      <c r="E100" s="649"/>
      <c r="F100" s="649"/>
      <c r="G100" s="649"/>
      <c r="H100" s="649"/>
      <c r="I100" s="649"/>
      <c r="J100" s="649"/>
      <c r="K100" s="649"/>
      <c r="L100" s="649"/>
      <c r="M100" s="649"/>
      <c r="N100" s="649"/>
      <c r="O100" s="649"/>
      <c r="P100" s="649"/>
      <c r="Q100" s="649"/>
      <c r="R100" s="649"/>
      <c r="S100" s="83"/>
      <c r="T100" s="83"/>
      <c r="U100" s="83"/>
      <c r="V100" s="44"/>
      <c r="W100" s="44"/>
    </row>
    <row r="101" spans="1:23" s="41" customFormat="1" ht="19.3" customHeight="1" x14ac:dyDescent="0.45">
      <c r="A101" s="331" t="s">
        <v>55</v>
      </c>
      <c r="B101" s="154">
        <f>1-C101</f>
        <v>0.68599999999999994</v>
      </c>
      <c r="C101" s="154">
        <v>0.314</v>
      </c>
      <c r="D101" s="152"/>
      <c r="E101" s="152"/>
      <c r="F101" s="320">
        <f>G101/C101</f>
        <v>0.88</v>
      </c>
      <c r="G101" s="150">
        <f>C101*0.88</f>
        <v>0.27632000000000001</v>
      </c>
      <c r="H101" s="150">
        <f>C101-G101</f>
        <v>3.7679999999999991E-2</v>
      </c>
      <c r="I101" s="152"/>
      <c r="J101" s="152"/>
      <c r="K101" s="152"/>
      <c r="L101" s="151">
        <v>0.26</v>
      </c>
      <c r="M101" s="151">
        <f>1-SUM(N101:O101)-H101</f>
        <v>0.1953200000000001</v>
      </c>
      <c r="N101" s="151">
        <f>36.4%</f>
        <v>0.36399999999999999</v>
      </c>
      <c r="O101" s="151">
        <f>40.3%</f>
        <v>0.40299999999999997</v>
      </c>
      <c r="P101" s="152"/>
      <c r="Q101" s="155">
        <v>435</v>
      </c>
      <c r="R101" s="155">
        <v>200</v>
      </c>
      <c r="S101" s="157">
        <f>R101/DensityofWater</f>
        <v>0.2</v>
      </c>
      <c r="T101" s="157" t="s">
        <v>376</v>
      </c>
      <c r="U101" s="157" t="s">
        <v>167</v>
      </c>
      <c r="V101" s="651" t="s">
        <v>460</v>
      </c>
      <c r="W101" s="325" t="s">
        <v>461</v>
      </c>
    </row>
    <row r="102" spans="1:23" s="41" customFormat="1" ht="19.3" customHeight="1" x14ac:dyDescent="0.45">
      <c r="A102" s="331" t="s">
        <v>38</v>
      </c>
      <c r="B102" s="161">
        <f>1-C102</f>
        <v>0.61499999999999999</v>
      </c>
      <c r="C102" s="161">
        <v>0.38500000000000001</v>
      </c>
      <c r="D102" s="160"/>
      <c r="E102" s="160"/>
      <c r="F102" s="321">
        <f t="shared" ref="F102:F103" si="48">G102/C102</f>
        <v>0.94</v>
      </c>
      <c r="G102" s="158">
        <f>C102*0.94</f>
        <v>0.3619</v>
      </c>
      <c r="H102" s="158">
        <f t="shared" ref="H102:H103" si="49">C102-G102</f>
        <v>2.3100000000000009E-2</v>
      </c>
      <c r="I102" s="160"/>
      <c r="J102" s="160"/>
      <c r="K102" s="160"/>
      <c r="L102" s="159">
        <v>0.26</v>
      </c>
      <c r="M102" s="159">
        <f t="shared" ref="M102:M103" si="50">1-SUM(N102:O102)-H102</f>
        <v>0.1069</v>
      </c>
      <c r="N102" s="159">
        <f>46.7%</f>
        <v>0.46700000000000003</v>
      </c>
      <c r="O102" s="159">
        <f>40.3%</f>
        <v>0.40299999999999997</v>
      </c>
      <c r="P102" s="160"/>
      <c r="Q102" s="162">
        <v>543</v>
      </c>
      <c r="R102" s="162">
        <v>200</v>
      </c>
      <c r="S102" s="157">
        <f>R102/DensityofWater</f>
        <v>0.2</v>
      </c>
      <c r="T102" s="157" t="s">
        <v>376</v>
      </c>
      <c r="U102" s="157" t="s">
        <v>167</v>
      </c>
      <c r="V102" s="650"/>
      <c r="W102" s="326" t="s">
        <v>461</v>
      </c>
    </row>
    <row r="103" spans="1:23" s="41" customFormat="1" ht="19.3" customHeight="1" x14ac:dyDescent="0.45">
      <c r="A103" s="331" t="s">
        <v>47</v>
      </c>
      <c r="B103" s="193">
        <f>1-C103</f>
        <v>0.64400000000000002</v>
      </c>
      <c r="C103" s="193">
        <v>0.35599999999999998</v>
      </c>
      <c r="D103" s="166"/>
      <c r="E103" s="166"/>
      <c r="F103" s="323">
        <f t="shared" si="48"/>
        <v>0.86011235955056187</v>
      </c>
      <c r="G103" s="165">
        <v>0.30620000000000003</v>
      </c>
      <c r="H103" s="165">
        <f t="shared" si="49"/>
        <v>4.9799999999999955E-2</v>
      </c>
      <c r="I103" s="166"/>
      <c r="J103" s="166"/>
      <c r="K103" s="166"/>
      <c r="L103" s="167">
        <v>0.26</v>
      </c>
      <c r="M103" s="167">
        <f t="shared" si="50"/>
        <v>4.1200000000000014E-2</v>
      </c>
      <c r="N103" s="167">
        <f>49.5%</f>
        <v>0.495</v>
      </c>
      <c r="O103" s="167">
        <f>41.4%</f>
        <v>0.41399999999999998</v>
      </c>
      <c r="P103" s="166"/>
      <c r="Q103" s="168">
        <v>526</v>
      </c>
      <c r="R103" s="168">
        <v>200</v>
      </c>
      <c r="S103" s="170">
        <f>R103/DensityofWater</f>
        <v>0.2</v>
      </c>
      <c r="T103" s="196" t="s">
        <v>376</v>
      </c>
      <c r="U103" s="196" t="s">
        <v>167</v>
      </c>
      <c r="V103" s="652"/>
      <c r="W103" s="327" t="s">
        <v>461</v>
      </c>
    </row>
    <row r="104" spans="1:23" s="41" customFormat="1" ht="19.3" customHeight="1" x14ac:dyDescent="0.45">
      <c r="A104" s="40"/>
      <c r="B104" s="649" t="s">
        <v>462</v>
      </c>
      <c r="C104" s="649"/>
      <c r="D104" s="649"/>
      <c r="E104" s="649"/>
      <c r="F104" s="649"/>
      <c r="G104" s="649"/>
      <c r="H104" s="649"/>
      <c r="I104" s="649"/>
      <c r="J104" s="649"/>
      <c r="K104" s="649"/>
      <c r="L104" s="649"/>
      <c r="M104" s="649"/>
      <c r="N104" s="649"/>
      <c r="O104" s="649"/>
      <c r="P104" s="649"/>
      <c r="Q104" s="649"/>
      <c r="R104" s="649"/>
      <c r="S104" s="83"/>
      <c r="T104" s="83"/>
      <c r="U104" s="83"/>
      <c r="V104" s="48"/>
      <c r="W104" s="44"/>
    </row>
    <row r="105" spans="1:23" s="41" customFormat="1" ht="19.3" customHeight="1" x14ac:dyDescent="0.45">
      <c r="A105" s="331" t="s">
        <v>463</v>
      </c>
      <c r="B105" s="154">
        <v>0.69289999999999996</v>
      </c>
      <c r="C105" s="154">
        <f>1-B105</f>
        <v>0.30710000000000004</v>
      </c>
      <c r="D105" s="152"/>
      <c r="E105" s="152"/>
      <c r="F105" s="320">
        <f>67.7%</f>
        <v>0.67700000000000005</v>
      </c>
      <c r="G105" s="173">
        <f>F105*C105</f>
        <v>0.20790670000000003</v>
      </c>
      <c r="H105" s="150">
        <f>C105-G105</f>
        <v>9.9193300000000012E-2</v>
      </c>
      <c r="I105" s="152"/>
      <c r="J105" s="152"/>
      <c r="K105" s="152"/>
      <c r="L105" s="151">
        <v>0.02</v>
      </c>
      <c r="M105" s="151">
        <v>0.99</v>
      </c>
      <c r="N105" s="194">
        <v>5.0000000000000001E-3</v>
      </c>
      <c r="O105" s="194">
        <v>5.0000000000000001E-3</v>
      </c>
      <c r="P105" s="152"/>
      <c r="Q105" s="155">
        <v>301</v>
      </c>
      <c r="R105" s="156">
        <f>0.52/(1.04* 0.079 *0.018)</f>
        <v>351.61744022503518</v>
      </c>
      <c r="S105" s="157">
        <f t="shared" ref="S105:S114" si="51">R105/DensityofWater</f>
        <v>0.35161744022503516</v>
      </c>
      <c r="T105" s="157" t="s">
        <v>376</v>
      </c>
      <c r="U105" s="157" t="s">
        <v>166</v>
      </c>
      <c r="V105" s="510" t="s">
        <v>464</v>
      </c>
      <c r="W105" s="325" t="s">
        <v>465</v>
      </c>
    </row>
    <row r="106" spans="1:23" s="41" customFormat="1" ht="19.3" customHeight="1" x14ac:dyDescent="0.45">
      <c r="A106" s="331" t="s">
        <v>85</v>
      </c>
      <c r="B106" s="154">
        <f>1-C106</f>
        <v>0.2036</v>
      </c>
      <c r="C106" s="154">
        <v>0.7964</v>
      </c>
      <c r="D106" s="152"/>
      <c r="E106" s="152"/>
      <c r="F106" s="320">
        <f>G106/C106</f>
        <v>0.98982923154193869</v>
      </c>
      <c r="G106" s="150">
        <v>0.7883</v>
      </c>
      <c r="H106" s="150">
        <f>C106-G106</f>
        <v>8.0999999999999961E-3</v>
      </c>
      <c r="I106" s="152"/>
      <c r="J106" s="152"/>
      <c r="K106" s="152"/>
      <c r="L106" s="151">
        <v>7.4000000000000003E-3</v>
      </c>
      <c r="M106" s="151">
        <f>1-N106-O106-H106</f>
        <v>0.92289999999999994</v>
      </c>
      <c r="N106" s="151">
        <v>3.5000000000000003E-2</v>
      </c>
      <c r="O106" s="151">
        <v>3.4000000000000002E-2</v>
      </c>
      <c r="P106" s="152"/>
      <c r="Q106" s="155">
        <v>420</v>
      </c>
      <c r="R106" s="155">
        <v>400.5</v>
      </c>
      <c r="S106" s="157">
        <f t="shared" si="51"/>
        <v>0.40050000000000002</v>
      </c>
      <c r="T106" s="157" t="s">
        <v>376</v>
      </c>
      <c r="U106" s="157" t="s">
        <v>166</v>
      </c>
      <c r="V106" s="510"/>
      <c r="W106" s="325" t="s">
        <v>466</v>
      </c>
    </row>
    <row r="107" spans="1:23" s="41" customFormat="1" ht="19.3" customHeight="1" x14ac:dyDescent="0.45">
      <c r="A107" s="331" t="s">
        <v>89</v>
      </c>
      <c r="B107" s="161">
        <f>1-C107</f>
        <v>0.2036</v>
      </c>
      <c r="C107" s="161">
        <v>0.7964</v>
      </c>
      <c r="D107" s="160"/>
      <c r="E107" s="160"/>
      <c r="F107" s="321">
        <f>G107/C107</f>
        <v>0.98982923154193869</v>
      </c>
      <c r="G107" s="158">
        <v>0.7883</v>
      </c>
      <c r="H107" s="158">
        <f>C107-G107</f>
        <v>8.0999999999999961E-3</v>
      </c>
      <c r="I107" s="160"/>
      <c r="J107" s="160"/>
      <c r="K107" s="160"/>
      <c r="L107" s="159">
        <v>7.4000000000000003E-3</v>
      </c>
      <c r="M107" s="159">
        <f>1-N107-O107-H107</f>
        <v>0.92289999999999994</v>
      </c>
      <c r="N107" s="159">
        <v>3.5000000000000003E-2</v>
      </c>
      <c r="O107" s="159">
        <v>3.4000000000000002E-2</v>
      </c>
      <c r="P107" s="160"/>
      <c r="Q107" s="163">
        <v>84.75</v>
      </c>
      <c r="R107" s="162">
        <v>400.5</v>
      </c>
      <c r="S107" s="157">
        <f t="shared" si="51"/>
        <v>0.40050000000000002</v>
      </c>
      <c r="T107" s="157" t="s">
        <v>376</v>
      </c>
      <c r="U107" s="157" t="s">
        <v>166</v>
      </c>
      <c r="V107" s="509"/>
      <c r="W107" s="326" t="s">
        <v>466</v>
      </c>
    </row>
    <row r="108" spans="1:23" s="41" customFormat="1" ht="19.3" customHeight="1" x14ac:dyDescent="0.45">
      <c r="A108" s="331" t="s">
        <v>81</v>
      </c>
      <c r="B108" s="161">
        <f>1-C108</f>
        <v>0.88400000000000001</v>
      </c>
      <c r="C108" s="161">
        <v>0.11600000000000001</v>
      </c>
      <c r="D108" s="160"/>
      <c r="E108" s="160"/>
      <c r="F108" s="321">
        <v>0.85</v>
      </c>
      <c r="G108" s="158">
        <v>9.9000000000000005E-2</v>
      </c>
      <c r="H108" s="158">
        <f>C108-G108</f>
        <v>1.7000000000000001E-2</v>
      </c>
      <c r="I108" s="160"/>
      <c r="J108" s="160"/>
      <c r="K108" s="160"/>
      <c r="L108" s="305">
        <f>0.022*C108</f>
        <v>2.552E-3</v>
      </c>
      <c r="M108" s="159">
        <f>0.07*0.304</f>
        <v>2.128E-2</v>
      </c>
      <c r="N108" s="159">
        <f>0.015*0.304%</f>
        <v>4.5599999999999997E-5</v>
      </c>
      <c r="O108" s="159">
        <f>0.087*0.304</f>
        <v>2.6447999999999996E-2</v>
      </c>
      <c r="P108" s="160"/>
      <c r="Q108" s="163">
        <v>340</v>
      </c>
      <c r="R108" s="162">
        <v>380</v>
      </c>
      <c r="S108" s="157">
        <f t="shared" si="51"/>
        <v>0.38</v>
      </c>
      <c r="T108" s="157" t="s">
        <v>376</v>
      </c>
      <c r="U108" s="157" t="s">
        <v>166</v>
      </c>
      <c r="V108" s="509"/>
      <c r="W108" s="326" t="s">
        <v>467</v>
      </c>
    </row>
    <row r="109" spans="1:23" s="41" customFormat="1" ht="19.3" customHeight="1" x14ac:dyDescent="0.45">
      <c r="A109" s="331" t="s">
        <v>77</v>
      </c>
      <c r="B109" s="161">
        <f>1-C109</f>
        <v>8.7999999999999967E-2</v>
      </c>
      <c r="C109" s="161">
        <v>0.91200000000000003</v>
      </c>
      <c r="D109" s="160"/>
      <c r="E109" s="160"/>
      <c r="F109" s="321">
        <v>0.86799999999999999</v>
      </c>
      <c r="G109" s="158">
        <f>F109*C109</f>
        <v>0.79161599999999999</v>
      </c>
      <c r="H109" s="158">
        <f>C109-G109</f>
        <v>0.12038400000000005</v>
      </c>
      <c r="I109" s="160"/>
      <c r="J109" s="160"/>
      <c r="K109" s="160"/>
      <c r="L109" s="159">
        <v>8.9999999999999993E-3</v>
      </c>
      <c r="M109" s="159">
        <v>0.63400000000000001</v>
      </c>
      <c r="N109" s="159">
        <v>0</v>
      </c>
      <c r="O109" s="159">
        <v>0</v>
      </c>
      <c r="P109" s="160"/>
      <c r="Q109" s="162">
        <v>420</v>
      </c>
      <c r="R109" s="162">
        <v>704</v>
      </c>
      <c r="S109" s="157">
        <f t="shared" si="51"/>
        <v>0.70399999999999996</v>
      </c>
      <c r="T109" s="157" t="s">
        <v>376</v>
      </c>
      <c r="U109" s="157" t="s">
        <v>166</v>
      </c>
      <c r="V109" s="650" t="s">
        <v>468</v>
      </c>
      <c r="W109" s="326" t="s">
        <v>469</v>
      </c>
    </row>
    <row r="110" spans="1:23" s="41" customFormat="1" ht="19.3" customHeight="1" x14ac:dyDescent="0.45">
      <c r="A110" s="331" t="s">
        <v>93</v>
      </c>
      <c r="B110" s="161">
        <f t="shared" ref="B110:B113" si="52">1-C110</f>
        <v>7.8999999999999959E-2</v>
      </c>
      <c r="C110" s="161">
        <v>0.92100000000000004</v>
      </c>
      <c r="D110" s="160"/>
      <c r="E110" s="160"/>
      <c r="F110" s="321">
        <v>0.89200000000000002</v>
      </c>
      <c r="G110" s="158">
        <f t="shared" ref="G110" si="53">F110*C110</f>
        <v>0.82153200000000004</v>
      </c>
      <c r="H110" s="158">
        <f t="shared" ref="H110" si="54">C110-G110</f>
        <v>9.9468000000000001E-2</v>
      </c>
      <c r="I110" s="160"/>
      <c r="J110" s="160"/>
      <c r="K110" s="160"/>
      <c r="L110" s="159">
        <v>8.9999999999999993E-3</v>
      </c>
      <c r="M110" s="159">
        <f>1-N110-O110-H110</f>
        <v>0.17813200000000007</v>
      </c>
      <c r="N110" s="159">
        <v>0.51459999999999995</v>
      </c>
      <c r="O110" s="159">
        <v>0.20780000000000001</v>
      </c>
      <c r="P110" s="160"/>
      <c r="Q110" s="162">
        <v>481</v>
      </c>
      <c r="R110" s="162">
        <v>289</v>
      </c>
      <c r="S110" s="157">
        <f t="shared" si="51"/>
        <v>0.28899999999999998</v>
      </c>
      <c r="T110" s="157" t="s">
        <v>376</v>
      </c>
      <c r="U110" s="157" t="s">
        <v>166</v>
      </c>
      <c r="V110" s="650"/>
      <c r="W110" s="326" t="s">
        <v>470</v>
      </c>
    </row>
    <row r="111" spans="1:23" s="41" customFormat="1" ht="19.3" customHeight="1" x14ac:dyDescent="0.45">
      <c r="A111" s="331" t="s">
        <v>60</v>
      </c>
      <c r="B111" s="161">
        <f t="shared" si="52"/>
        <v>6.7999999999999949E-2</v>
      </c>
      <c r="C111" s="161">
        <v>0.93200000000000005</v>
      </c>
      <c r="D111" s="160"/>
      <c r="E111" s="160"/>
      <c r="F111" s="321">
        <f>G111/C111</f>
        <v>0.80826180257510727</v>
      </c>
      <c r="G111" s="158">
        <v>0.75329999999999997</v>
      </c>
      <c r="H111" s="158">
        <f>C111-G111</f>
        <v>0.17870000000000008</v>
      </c>
      <c r="I111" s="160"/>
      <c r="J111" s="160"/>
      <c r="K111" s="160"/>
      <c r="L111" s="159">
        <v>1.0699999999999999E-2</v>
      </c>
      <c r="M111" s="159">
        <f>1-N111-O111-H111</f>
        <v>0.77399999999999991</v>
      </c>
      <c r="N111" s="159">
        <v>4.7300000000000002E-2</v>
      </c>
      <c r="O111" s="159">
        <v>0</v>
      </c>
      <c r="P111" s="160"/>
      <c r="Q111" s="162">
        <v>112</v>
      </c>
      <c r="R111" s="163">
        <v>707.55</v>
      </c>
      <c r="S111" s="157">
        <f t="shared" si="51"/>
        <v>0.7075499999999999</v>
      </c>
      <c r="T111" s="157" t="s">
        <v>376</v>
      </c>
      <c r="U111" s="157" t="s">
        <v>166</v>
      </c>
      <c r="V111" s="650" t="s">
        <v>471</v>
      </c>
      <c r="W111" s="326" t="s">
        <v>472</v>
      </c>
    </row>
    <row r="112" spans="1:23" s="41" customFormat="1" ht="19.3" customHeight="1" x14ac:dyDescent="0.45">
      <c r="A112" s="331" t="s">
        <v>66</v>
      </c>
      <c r="B112" s="161">
        <f t="shared" si="52"/>
        <v>6.1000000000000054E-2</v>
      </c>
      <c r="C112" s="161">
        <v>0.93899999999999995</v>
      </c>
      <c r="D112" s="160"/>
      <c r="E112" s="160"/>
      <c r="F112" s="321">
        <f>G112/C112</f>
        <v>0.87113951011714585</v>
      </c>
      <c r="G112" s="158">
        <v>0.81799999999999995</v>
      </c>
      <c r="H112" s="158">
        <f t="shared" ref="H112:H114" si="55">C112-G112</f>
        <v>0.121</v>
      </c>
      <c r="I112" s="160"/>
      <c r="J112" s="160"/>
      <c r="K112" s="160"/>
      <c r="L112" s="159">
        <v>1.49E-2</v>
      </c>
      <c r="M112" s="159">
        <f t="shared" ref="M112:M113" si="56">1-N112-O112-H112</f>
        <v>0.79710000000000003</v>
      </c>
      <c r="N112" s="159">
        <v>8.1900000000000001E-2</v>
      </c>
      <c r="O112" s="159">
        <v>0</v>
      </c>
      <c r="P112" s="160"/>
      <c r="Q112" s="162">
        <v>108</v>
      </c>
      <c r="R112" s="163">
        <v>707.55</v>
      </c>
      <c r="S112" s="157">
        <f t="shared" si="51"/>
        <v>0.7075499999999999</v>
      </c>
      <c r="T112" s="157" t="s">
        <v>376</v>
      </c>
      <c r="U112" s="157" t="s">
        <v>166</v>
      </c>
      <c r="V112" s="650"/>
      <c r="W112" s="326" t="s">
        <v>472</v>
      </c>
    </row>
    <row r="113" spans="1:23" s="41" customFormat="1" ht="18.75" customHeight="1" x14ac:dyDescent="0.45">
      <c r="A113" s="331" t="s">
        <v>52</v>
      </c>
      <c r="B113" s="193">
        <f t="shared" si="52"/>
        <v>5.8100000000000041E-2</v>
      </c>
      <c r="C113" s="193">
        <v>0.94189999999999996</v>
      </c>
      <c r="D113" s="166"/>
      <c r="E113" s="166"/>
      <c r="F113" s="321">
        <f>G113/C113</f>
        <v>0.81388682450366279</v>
      </c>
      <c r="G113" s="165">
        <v>0.76659999999999995</v>
      </c>
      <c r="H113" s="165">
        <f t="shared" si="55"/>
        <v>0.17530000000000001</v>
      </c>
      <c r="I113" s="166"/>
      <c r="J113" s="166"/>
      <c r="K113" s="166"/>
      <c r="L113" s="167">
        <v>3.3000000000000002E-2</v>
      </c>
      <c r="M113" s="167">
        <f t="shared" si="56"/>
        <v>0.70899999999999996</v>
      </c>
      <c r="N113" s="167">
        <v>0.1157</v>
      </c>
      <c r="O113" s="167">
        <v>0</v>
      </c>
      <c r="P113" s="166"/>
      <c r="Q113" s="168">
        <v>100</v>
      </c>
      <c r="R113" s="169">
        <v>707.55</v>
      </c>
      <c r="S113" s="170">
        <f t="shared" si="51"/>
        <v>0.7075499999999999</v>
      </c>
      <c r="T113" s="196" t="s">
        <v>376</v>
      </c>
      <c r="U113" s="196" t="s">
        <v>166</v>
      </c>
      <c r="V113" s="652"/>
      <c r="W113" s="327" t="s">
        <v>472</v>
      </c>
    </row>
    <row r="114" spans="1:23" s="41" customFormat="1" ht="18.75" customHeight="1" x14ac:dyDescent="0.45">
      <c r="A114" s="331" t="s">
        <v>72</v>
      </c>
      <c r="B114" s="161">
        <f>1-C114</f>
        <v>0.90910000000000002</v>
      </c>
      <c r="C114" s="161">
        <f>0.0909</f>
        <v>9.0899999999999995E-2</v>
      </c>
      <c r="D114" s="160"/>
      <c r="E114" s="160"/>
      <c r="F114" s="321">
        <v>0.80840000000000001</v>
      </c>
      <c r="G114" s="158">
        <f>F114*C114</f>
        <v>7.3483560000000003E-2</v>
      </c>
      <c r="H114" s="159">
        <f t="shared" si="55"/>
        <v>1.7416439999999991E-2</v>
      </c>
      <c r="I114" s="160"/>
      <c r="J114" s="160"/>
      <c r="K114" s="160"/>
      <c r="L114" s="159">
        <f>0.017*((100-B114)/100)</f>
        <v>1.6845453000000003E-2</v>
      </c>
      <c r="M114" s="159">
        <v>5.7000000000000002E-2</v>
      </c>
      <c r="N114" s="159">
        <v>0</v>
      </c>
      <c r="O114" s="159">
        <v>0.155</v>
      </c>
      <c r="P114" s="160"/>
      <c r="Q114" s="163">
        <v>225</v>
      </c>
      <c r="R114" s="162">
        <v>30</v>
      </c>
      <c r="S114" s="284">
        <f t="shared" si="51"/>
        <v>0.03</v>
      </c>
      <c r="T114" s="284" t="s">
        <v>376</v>
      </c>
      <c r="U114" s="284" t="s">
        <v>166</v>
      </c>
      <c r="V114" s="509"/>
      <c r="W114" s="326" t="s">
        <v>473</v>
      </c>
    </row>
    <row r="115" spans="1:23" s="41" customFormat="1" ht="18.75" customHeight="1" x14ac:dyDescent="0.45">
      <c r="A115" s="331" t="s">
        <v>44</v>
      </c>
      <c r="B115" s="299">
        <v>8.299999999999999E-2</v>
      </c>
      <c r="C115" s="299">
        <v>0.91874999999999996</v>
      </c>
      <c r="D115" s="184"/>
      <c r="E115" s="184"/>
      <c r="F115" s="324">
        <v>0.84738368982774115</v>
      </c>
      <c r="G115" s="303">
        <v>0.77729999999999999</v>
      </c>
      <c r="H115" s="195">
        <v>0.14145000000000002</v>
      </c>
      <c r="I115" s="184"/>
      <c r="J115" s="184"/>
      <c r="K115" s="184"/>
      <c r="L115" s="195">
        <v>3.8374999999999999E-2</v>
      </c>
      <c r="M115" s="195">
        <v>0.85854999999999992</v>
      </c>
      <c r="N115" s="195">
        <v>6.7999999999999988E-3</v>
      </c>
      <c r="O115" s="195">
        <v>1.5579999999999997E-2</v>
      </c>
      <c r="P115" s="184"/>
      <c r="Q115" s="304">
        <v>91.224808286873852</v>
      </c>
      <c r="R115" s="300">
        <v>517.5</v>
      </c>
      <c r="S115" s="196">
        <v>1.0024</v>
      </c>
      <c r="T115" s="196" t="s">
        <v>376</v>
      </c>
      <c r="U115" s="196" t="s">
        <v>166</v>
      </c>
      <c r="V115" s="330"/>
      <c r="W115" s="331" t="s">
        <v>474</v>
      </c>
    </row>
    <row r="116" spans="1:23" s="41" customFormat="1" ht="19.3" customHeight="1" x14ac:dyDescent="0.45">
      <c r="A116" s="40"/>
      <c r="B116" s="649" t="s">
        <v>30</v>
      </c>
      <c r="C116" s="649"/>
      <c r="D116" s="649"/>
      <c r="E116" s="649"/>
      <c r="F116" s="649"/>
      <c r="G116" s="649"/>
      <c r="H116" s="649"/>
      <c r="I116" s="649"/>
      <c r="J116" s="649"/>
      <c r="K116" s="649"/>
      <c r="L116" s="649"/>
      <c r="M116" s="649"/>
      <c r="N116" s="649"/>
      <c r="O116" s="649"/>
      <c r="P116" s="649"/>
      <c r="Q116" s="649"/>
      <c r="R116" s="649"/>
      <c r="S116" s="83"/>
      <c r="T116" s="83"/>
      <c r="U116" s="83"/>
      <c r="V116" s="45"/>
      <c r="W116" s="45"/>
    </row>
    <row r="117" spans="1:23" s="41" customFormat="1" ht="19.3" customHeight="1" x14ac:dyDescent="0.45">
      <c r="A117" s="331" t="s">
        <v>39</v>
      </c>
      <c r="B117" s="150">
        <v>1</v>
      </c>
      <c r="C117" s="155">
        <v>0</v>
      </c>
      <c r="D117" s="152"/>
      <c r="E117" s="152"/>
      <c r="F117" s="320">
        <v>0</v>
      </c>
      <c r="G117" s="151">
        <v>0</v>
      </c>
      <c r="H117" s="151">
        <v>0</v>
      </c>
      <c r="I117" s="153"/>
      <c r="J117" s="153"/>
      <c r="K117" s="153"/>
      <c r="L117" s="151">
        <v>0</v>
      </c>
      <c r="M117" s="195">
        <v>0</v>
      </c>
      <c r="N117" s="195">
        <v>0</v>
      </c>
      <c r="O117" s="195">
        <v>0</v>
      </c>
      <c r="P117" s="153"/>
      <c r="Q117" s="151">
        <v>0</v>
      </c>
      <c r="R117" s="155">
        <v>1000</v>
      </c>
      <c r="S117" s="196">
        <f>R117/DensityofWater</f>
        <v>1</v>
      </c>
      <c r="T117" s="196" t="s">
        <v>376</v>
      </c>
      <c r="U117" s="196" t="s">
        <v>169</v>
      </c>
      <c r="V117" s="331"/>
      <c r="W117" s="331"/>
    </row>
    <row r="118" spans="1:23" x14ac:dyDescent="0.35">
      <c r="A118" s="87" t="s">
        <v>475</v>
      </c>
    </row>
    <row r="125" spans="1:23" x14ac:dyDescent="0.35">
      <c r="O125" s="21"/>
    </row>
    <row r="126" spans="1:23" x14ac:dyDescent="0.35">
      <c r="O126" s="21"/>
    </row>
    <row r="127" spans="1:23" x14ac:dyDescent="0.35">
      <c r="O127" s="21"/>
    </row>
    <row r="128" spans="1:23" x14ac:dyDescent="0.35">
      <c r="O128" s="21"/>
    </row>
  </sheetData>
  <sheetProtection selectLockedCells="1"/>
  <autoFilter ref="A9:U118" xr:uid="{00000000-0009-0000-0000-00000D000000}"/>
  <mergeCells count="25">
    <mergeCell ref="V111:V113"/>
    <mergeCell ref="V11:V23"/>
    <mergeCell ref="V81:V84"/>
    <mergeCell ref="V101:V103"/>
    <mergeCell ref="V54:V56"/>
    <mergeCell ref="V94:V95"/>
    <mergeCell ref="V109:V110"/>
    <mergeCell ref="W54:W56"/>
    <mergeCell ref="V62:V64"/>
    <mergeCell ref="V67:V70"/>
    <mergeCell ref="V24:V31"/>
    <mergeCell ref="V91:V92"/>
    <mergeCell ref="V89:V90"/>
    <mergeCell ref="V52:V53"/>
    <mergeCell ref="V86:V87"/>
    <mergeCell ref="T8:U8"/>
    <mergeCell ref="B88:R88"/>
    <mergeCell ref="B100:R100"/>
    <mergeCell ref="B104:R104"/>
    <mergeCell ref="B116:R116"/>
    <mergeCell ref="B10:R10"/>
    <mergeCell ref="B32:R32"/>
    <mergeCell ref="B61:R61"/>
    <mergeCell ref="B65:R65"/>
    <mergeCell ref="B71:R71"/>
  </mergeCells>
  <pageMargins left="0.7" right="0.7" top="0.75" bottom="0.75" header="0.3" footer="0.3"/>
  <pageSetup orientation="portrait" r:id="rId1"/>
  <ignoredErrors>
    <ignoredError sqref="R84" formula="1"/>
  </ignoredError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tabColor rgb="FFE8D548"/>
  </sheetPr>
  <dimension ref="A1:T114"/>
  <sheetViews>
    <sheetView workbookViewId="0"/>
  </sheetViews>
  <sheetFormatPr defaultColWidth="8.5703125" defaultRowHeight="15.9" x14ac:dyDescent="0.45"/>
  <cols>
    <col min="1" max="1" width="35.5703125" bestFit="1" customWidth="1"/>
    <col min="2" max="2" width="27.5" style="22" bestFit="1" customWidth="1"/>
    <col min="3" max="3" width="8.0703125" style="22" bestFit="1" customWidth="1"/>
    <col min="4" max="4" width="11.5703125" style="22" bestFit="1" customWidth="1"/>
    <col min="5" max="5" width="7.640625" style="22" bestFit="1" customWidth="1"/>
    <col min="6" max="6" width="11" style="22" bestFit="1" customWidth="1"/>
    <col min="7" max="7" width="10" style="22" bestFit="1" customWidth="1"/>
    <col min="8" max="8" width="7.5" style="22" bestFit="1" customWidth="1"/>
    <col min="9" max="9" width="21.0703125" style="22" bestFit="1" customWidth="1"/>
    <col min="10" max="10" width="71.5703125" style="22" customWidth="1"/>
    <col min="20" max="20" width="8.5703125" style="488"/>
  </cols>
  <sheetData>
    <row r="1" spans="1:20" ht="18" x14ac:dyDescent="0.45">
      <c r="A1" s="287" t="s">
        <v>476</v>
      </c>
      <c r="B1" s="293"/>
      <c r="C1" s="293"/>
      <c r="D1" s="293"/>
      <c r="E1" s="293"/>
      <c r="F1" s="293"/>
      <c r="G1" s="293"/>
      <c r="H1" s="293"/>
      <c r="I1" s="293"/>
      <c r="J1" s="293"/>
    </row>
    <row r="2" spans="1:20" x14ac:dyDescent="0.45">
      <c r="A2" s="654" t="s">
        <v>477</v>
      </c>
      <c r="B2" s="654"/>
      <c r="C2" s="654"/>
      <c r="D2" s="654"/>
      <c r="E2" s="654"/>
      <c r="F2" s="654"/>
      <c r="G2" s="654"/>
      <c r="H2" s="654"/>
      <c r="I2" s="654"/>
      <c r="J2" s="654"/>
    </row>
    <row r="3" spans="1:20" x14ac:dyDescent="0.45">
      <c r="A3" s="654"/>
      <c r="B3" s="654"/>
      <c r="C3" s="654"/>
      <c r="D3" s="654"/>
      <c r="E3" s="654"/>
      <c r="F3" s="654"/>
      <c r="G3" s="654"/>
      <c r="H3" s="654"/>
      <c r="I3" s="654"/>
      <c r="J3" s="654"/>
      <c r="T3" s="488" t="s">
        <v>320</v>
      </c>
    </row>
    <row r="4" spans="1:20" s="487" customFormat="1" x14ac:dyDescent="0.45">
      <c r="A4" s="40" t="s">
        <v>478</v>
      </c>
      <c r="B4" s="38" t="s">
        <v>318</v>
      </c>
      <c r="C4" s="38" t="s">
        <v>319</v>
      </c>
      <c r="D4" s="656" t="s">
        <v>320</v>
      </c>
      <c r="E4" s="656"/>
      <c r="F4" s="656"/>
      <c r="G4" s="656"/>
      <c r="H4" s="656"/>
      <c r="I4" s="38" t="s">
        <v>321</v>
      </c>
      <c r="J4" s="38" t="s">
        <v>479</v>
      </c>
      <c r="T4" s="489"/>
    </row>
    <row r="5" spans="1:20" s="487" customFormat="1" x14ac:dyDescent="0.45">
      <c r="A5" s="40" t="s">
        <v>480</v>
      </c>
      <c r="B5" s="75" t="s">
        <v>481</v>
      </c>
      <c r="C5" s="75" t="s">
        <v>319</v>
      </c>
      <c r="D5" s="75" t="s">
        <v>482</v>
      </c>
      <c r="E5" s="75" t="s">
        <v>483</v>
      </c>
      <c r="F5" s="76" t="s">
        <v>484</v>
      </c>
      <c r="G5" s="75" t="s">
        <v>485</v>
      </c>
      <c r="H5" s="75" t="s">
        <v>486</v>
      </c>
      <c r="I5" s="75" t="s">
        <v>487</v>
      </c>
      <c r="J5" s="75" t="s">
        <v>488</v>
      </c>
      <c r="T5" s="489"/>
    </row>
    <row r="6" spans="1:20" x14ac:dyDescent="0.45">
      <c r="A6" s="59"/>
      <c r="B6" s="655" t="s">
        <v>23</v>
      </c>
      <c r="C6" s="655"/>
      <c r="D6" s="655"/>
      <c r="E6" s="655"/>
      <c r="F6" s="655"/>
      <c r="G6" s="655"/>
      <c r="H6" s="655"/>
      <c r="I6" s="655"/>
      <c r="J6" s="655"/>
    </row>
    <row r="7" spans="1:20" x14ac:dyDescent="0.45">
      <c r="A7" s="333" t="s">
        <v>489</v>
      </c>
      <c r="B7" s="65" t="s">
        <v>490</v>
      </c>
      <c r="C7" s="62"/>
      <c r="D7" s="63"/>
      <c r="E7" s="63"/>
      <c r="F7" s="62"/>
      <c r="G7" s="62"/>
      <c r="H7" s="64"/>
      <c r="I7" s="63"/>
      <c r="J7" s="62" t="s">
        <v>490</v>
      </c>
      <c r="T7" s="488">
        <f t="shared" ref="T7:T38" si="0">COUNTA(D7:H7)</f>
        <v>0</v>
      </c>
    </row>
    <row r="8" spans="1:20" x14ac:dyDescent="0.45">
      <c r="A8" s="333" t="s">
        <v>57</v>
      </c>
      <c r="B8" s="65" t="s">
        <v>490</v>
      </c>
      <c r="C8" s="66"/>
      <c r="D8" s="67"/>
      <c r="E8" s="67"/>
      <c r="F8" s="66"/>
      <c r="G8" s="66"/>
      <c r="H8" s="68"/>
      <c r="I8" s="67"/>
      <c r="J8" s="66" t="s">
        <v>490</v>
      </c>
      <c r="T8" s="488">
        <f t="shared" si="0"/>
        <v>0</v>
      </c>
    </row>
    <row r="9" spans="1:20" x14ac:dyDescent="0.45">
      <c r="A9" s="333" t="s">
        <v>91</v>
      </c>
      <c r="B9" s="65" t="s">
        <v>490</v>
      </c>
      <c r="C9" s="66"/>
      <c r="D9" s="67"/>
      <c r="E9" s="67"/>
      <c r="F9" s="66"/>
      <c r="G9" s="66"/>
      <c r="H9" s="68"/>
      <c r="I9" s="67"/>
      <c r="J9" s="66" t="s">
        <v>490</v>
      </c>
      <c r="T9" s="488">
        <f t="shared" si="0"/>
        <v>0</v>
      </c>
    </row>
    <row r="10" spans="1:20" x14ac:dyDescent="0.45">
      <c r="A10" s="333" t="s">
        <v>83</v>
      </c>
      <c r="B10" s="65" t="s">
        <v>490</v>
      </c>
      <c r="C10" s="66"/>
      <c r="D10" s="67"/>
      <c r="E10" s="67"/>
      <c r="F10" s="66"/>
      <c r="G10" s="66"/>
      <c r="H10" s="68"/>
      <c r="I10" s="67"/>
      <c r="J10" s="66" t="s">
        <v>490</v>
      </c>
      <c r="T10" s="488">
        <f t="shared" si="0"/>
        <v>0</v>
      </c>
    </row>
    <row r="11" spans="1:20" x14ac:dyDescent="0.45">
      <c r="A11" s="333" t="s">
        <v>491</v>
      </c>
      <c r="B11" s="65" t="s">
        <v>490</v>
      </c>
      <c r="C11" s="65"/>
      <c r="D11" s="67"/>
      <c r="E11" s="67"/>
      <c r="F11" s="66"/>
      <c r="G11" s="65"/>
      <c r="H11" s="65"/>
      <c r="I11" s="69"/>
      <c r="J11" s="66" t="s">
        <v>490</v>
      </c>
      <c r="T11" s="488">
        <f t="shared" si="0"/>
        <v>0</v>
      </c>
    </row>
    <row r="12" spans="1:20" x14ac:dyDescent="0.45">
      <c r="A12" s="333" t="s">
        <v>492</v>
      </c>
      <c r="B12" s="65" t="s">
        <v>490</v>
      </c>
      <c r="C12" s="65"/>
      <c r="D12" s="67"/>
      <c r="E12" s="67"/>
      <c r="F12" s="66"/>
      <c r="G12" s="65"/>
      <c r="H12" s="65"/>
      <c r="I12" s="69"/>
      <c r="J12" s="66" t="s">
        <v>490</v>
      </c>
      <c r="T12" s="488">
        <f t="shared" si="0"/>
        <v>0</v>
      </c>
    </row>
    <row r="13" spans="1:20" x14ac:dyDescent="0.45">
      <c r="A13" s="333" t="s">
        <v>493</v>
      </c>
      <c r="B13" s="65" t="s">
        <v>490</v>
      </c>
      <c r="C13" s="65"/>
      <c r="D13" s="67"/>
      <c r="E13" s="67"/>
      <c r="F13" s="66"/>
      <c r="G13" s="65"/>
      <c r="H13" s="65"/>
      <c r="I13" s="69"/>
      <c r="J13" s="66" t="s">
        <v>490</v>
      </c>
      <c r="T13" s="488">
        <f t="shared" si="0"/>
        <v>0</v>
      </c>
    </row>
    <row r="14" spans="1:20" x14ac:dyDescent="0.45">
      <c r="A14" s="333" t="s">
        <v>494</v>
      </c>
      <c r="B14" s="65" t="s">
        <v>490</v>
      </c>
      <c r="C14" s="65"/>
      <c r="D14" s="67"/>
      <c r="E14" s="67"/>
      <c r="F14" s="66"/>
      <c r="G14" s="65"/>
      <c r="H14" s="65"/>
      <c r="I14" s="69"/>
      <c r="J14" s="66" t="s">
        <v>490</v>
      </c>
      <c r="T14" s="488">
        <f t="shared" si="0"/>
        <v>0</v>
      </c>
    </row>
    <row r="15" spans="1:20" x14ac:dyDescent="0.45">
      <c r="A15" s="333" t="s">
        <v>495</v>
      </c>
      <c r="B15" s="65" t="s">
        <v>490</v>
      </c>
      <c r="C15" s="65" t="s">
        <v>490</v>
      </c>
      <c r="D15" s="67"/>
      <c r="E15" s="67"/>
      <c r="F15" s="66"/>
      <c r="G15" s="65"/>
      <c r="H15" s="65"/>
      <c r="I15" s="69"/>
      <c r="J15" s="66" t="s">
        <v>490</v>
      </c>
      <c r="T15" s="488">
        <f t="shared" si="0"/>
        <v>0</v>
      </c>
    </row>
    <row r="16" spans="1:20" x14ac:dyDescent="0.45">
      <c r="A16" s="333" t="s">
        <v>496</v>
      </c>
      <c r="B16" s="65" t="s">
        <v>490</v>
      </c>
      <c r="C16" s="65" t="s">
        <v>490</v>
      </c>
      <c r="D16" s="67"/>
      <c r="E16" s="67"/>
      <c r="F16" s="66"/>
      <c r="G16" s="65"/>
      <c r="H16" s="65"/>
      <c r="I16" s="69"/>
      <c r="J16" s="66" t="s">
        <v>490</v>
      </c>
      <c r="T16" s="488">
        <f t="shared" si="0"/>
        <v>0</v>
      </c>
    </row>
    <row r="17" spans="1:20" x14ac:dyDescent="0.45">
      <c r="A17" s="333" t="s">
        <v>497</v>
      </c>
      <c r="B17" s="65" t="s">
        <v>490</v>
      </c>
      <c r="C17" s="65" t="s">
        <v>490</v>
      </c>
      <c r="D17" s="67"/>
      <c r="E17" s="67"/>
      <c r="F17" s="66"/>
      <c r="G17" s="65"/>
      <c r="H17" s="65"/>
      <c r="I17" s="69"/>
      <c r="J17" s="66" t="s">
        <v>490</v>
      </c>
      <c r="T17" s="488">
        <f t="shared" si="0"/>
        <v>0</v>
      </c>
    </row>
    <row r="18" spans="1:20" x14ac:dyDescent="0.45">
      <c r="A18" s="333" t="s">
        <v>104</v>
      </c>
      <c r="B18" s="65" t="s">
        <v>490</v>
      </c>
      <c r="C18" s="65" t="s">
        <v>490</v>
      </c>
      <c r="D18" s="67"/>
      <c r="E18" s="67"/>
      <c r="F18" s="66"/>
      <c r="G18" s="65"/>
      <c r="H18" s="65"/>
      <c r="I18" s="69"/>
      <c r="J18" s="66" t="s">
        <v>490</v>
      </c>
      <c r="T18" s="488">
        <f t="shared" si="0"/>
        <v>0</v>
      </c>
    </row>
    <row r="19" spans="1:20" x14ac:dyDescent="0.45">
      <c r="A19" s="333" t="s">
        <v>32</v>
      </c>
      <c r="B19" s="65" t="s">
        <v>490</v>
      </c>
      <c r="C19" s="65" t="s">
        <v>490</v>
      </c>
      <c r="D19" s="67"/>
      <c r="E19" s="67"/>
      <c r="F19" s="66"/>
      <c r="G19" s="65"/>
      <c r="H19" s="65"/>
      <c r="I19" s="69"/>
      <c r="J19" s="66" t="s">
        <v>490</v>
      </c>
      <c r="T19" s="488">
        <f t="shared" si="0"/>
        <v>0</v>
      </c>
    </row>
    <row r="20" spans="1:20" x14ac:dyDescent="0.45">
      <c r="A20" s="333" t="s">
        <v>107</v>
      </c>
      <c r="B20" s="65" t="s">
        <v>490</v>
      </c>
      <c r="C20" s="65"/>
      <c r="D20" s="67"/>
      <c r="E20" s="67"/>
      <c r="F20" s="66"/>
      <c r="G20" s="65"/>
      <c r="H20" s="65"/>
      <c r="I20" s="69"/>
      <c r="J20" s="66" t="s">
        <v>490</v>
      </c>
      <c r="T20" s="488">
        <f t="shared" si="0"/>
        <v>0</v>
      </c>
    </row>
    <row r="21" spans="1:20" x14ac:dyDescent="0.45">
      <c r="A21" s="333" t="s">
        <v>49</v>
      </c>
      <c r="B21" s="65" t="s">
        <v>490</v>
      </c>
      <c r="C21" s="65"/>
      <c r="D21" s="67"/>
      <c r="E21" s="67"/>
      <c r="F21" s="66"/>
      <c r="G21" s="65"/>
      <c r="H21" s="65"/>
      <c r="I21" s="69"/>
      <c r="J21" s="66" t="s">
        <v>490</v>
      </c>
      <c r="T21" s="488">
        <f t="shared" si="0"/>
        <v>0</v>
      </c>
    </row>
    <row r="22" spans="1:20" x14ac:dyDescent="0.45">
      <c r="A22" s="333" t="s">
        <v>116</v>
      </c>
      <c r="B22" s="65" t="s">
        <v>490</v>
      </c>
      <c r="C22" s="65"/>
      <c r="D22" s="67"/>
      <c r="E22" s="67"/>
      <c r="F22" s="66"/>
      <c r="G22" s="65"/>
      <c r="H22" s="65"/>
      <c r="I22" s="69"/>
      <c r="J22" s="66" t="s">
        <v>490</v>
      </c>
      <c r="T22" s="488">
        <f t="shared" si="0"/>
        <v>0</v>
      </c>
    </row>
    <row r="23" spans="1:20" x14ac:dyDescent="0.45">
      <c r="A23" s="333" t="s">
        <v>114</v>
      </c>
      <c r="B23" s="65" t="s">
        <v>490</v>
      </c>
      <c r="C23" s="65"/>
      <c r="D23" s="67"/>
      <c r="E23" s="67"/>
      <c r="F23" s="66"/>
      <c r="G23" s="65"/>
      <c r="H23" s="65"/>
      <c r="I23" s="69"/>
      <c r="J23" s="66" t="s">
        <v>490</v>
      </c>
      <c r="T23" s="488">
        <f t="shared" si="0"/>
        <v>0</v>
      </c>
    </row>
    <row r="24" spans="1:20" x14ac:dyDescent="0.45">
      <c r="A24" s="333" t="s">
        <v>87</v>
      </c>
      <c r="B24" s="65" t="s">
        <v>490</v>
      </c>
      <c r="C24" s="65"/>
      <c r="D24" s="67"/>
      <c r="E24" s="67"/>
      <c r="F24" s="66"/>
      <c r="G24" s="65"/>
      <c r="H24" s="65"/>
      <c r="I24" s="69"/>
      <c r="J24" s="66" t="s">
        <v>490</v>
      </c>
      <c r="T24" s="488">
        <f t="shared" si="0"/>
        <v>0</v>
      </c>
    </row>
    <row r="25" spans="1:20" x14ac:dyDescent="0.45">
      <c r="A25" s="333" t="s">
        <v>101</v>
      </c>
      <c r="B25" s="65" t="s">
        <v>490</v>
      </c>
      <c r="C25" s="65"/>
      <c r="D25" s="67"/>
      <c r="E25" s="67"/>
      <c r="F25" s="66"/>
      <c r="G25" s="65"/>
      <c r="H25" s="65"/>
      <c r="I25" s="69"/>
      <c r="J25" s="66" t="s">
        <v>490</v>
      </c>
      <c r="T25" s="488">
        <f t="shared" si="0"/>
        <v>0</v>
      </c>
    </row>
    <row r="26" spans="1:20" x14ac:dyDescent="0.45">
      <c r="A26" s="333" t="s">
        <v>118</v>
      </c>
      <c r="B26" s="65" t="s">
        <v>490</v>
      </c>
      <c r="C26" s="65"/>
      <c r="D26" s="67"/>
      <c r="E26" s="67"/>
      <c r="F26" s="66"/>
      <c r="G26" s="65"/>
      <c r="H26" s="65"/>
      <c r="I26" s="69"/>
      <c r="J26" s="66" t="s">
        <v>490</v>
      </c>
      <c r="T26" s="488">
        <f t="shared" si="0"/>
        <v>0</v>
      </c>
    </row>
    <row r="27" spans="1:20" x14ac:dyDescent="0.45">
      <c r="A27" s="333" t="s">
        <v>95</v>
      </c>
      <c r="B27" s="65" t="s">
        <v>490</v>
      </c>
      <c r="C27" s="65"/>
      <c r="D27" s="67"/>
      <c r="E27" s="67"/>
      <c r="F27" s="66"/>
      <c r="G27" s="65"/>
      <c r="H27" s="65"/>
      <c r="I27" s="69"/>
      <c r="J27" s="66" t="s">
        <v>490</v>
      </c>
      <c r="T27" s="488">
        <f t="shared" si="0"/>
        <v>0</v>
      </c>
    </row>
    <row r="28" spans="1:20" x14ac:dyDescent="0.45">
      <c r="A28" s="60"/>
      <c r="B28" s="655" t="s">
        <v>392</v>
      </c>
      <c r="C28" s="655"/>
      <c r="D28" s="655"/>
      <c r="E28" s="655"/>
      <c r="F28" s="655"/>
      <c r="G28" s="655"/>
      <c r="H28" s="655"/>
      <c r="I28" s="655"/>
      <c r="J28" s="655"/>
      <c r="T28" s="488">
        <f t="shared" si="0"/>
        <v>0</v>
      </c>
    </row>
    <row r="29" spans="1:20" x14ac:dyDescent="0.45">
      <c r="A29" s="333" t="s">
        <v>31</v>
      </c>
      <c r="B29" s="74"/>
      <c r="C29" s="74"/>
      <c r="D29" s="64"/>
      <c r="E29" s="63"/>
      <c r="F29" s="62"/>
      <c r="G29" s="74"/>
      <c r="H29" s="74"/>
      <c r="I29" s="74"/>
      <c r="J29" s="62"/>
      <c r="T29" s="488">
        <f t="shared" si="0"/>
        <v>0</v>
      </c>
    </row>
    <row r="30" spans="1:20" x14ac:dyDescent="0.45">
      <c r="A30" s="333" t="s">
        <v>40</v>
      </c>
      <c r="B30" s="65"/>
      <c r="C30" s="65"/>
      <c r="D30" s="68"/>
      <c r="E30" s="67"/>
      <c r="F30" s="66"/>
      <c r="G30" s="65"/>
      <c r="H30" s="65"/>
      <c r="I30" s="65"/>
      <c r="J30" s="66"/>
      <c r="T30" s="488">
        <f t="shared" si="0"/>
        <v>0</v>
      </c>
    </row>
    <row r="31" spans="1:20" x14ac:dyDescent="0.45">
      <c r="A31" s="333" t="s">
        <v>48</v>
      </c>
      <c r="B31" s="65"/>
      <c r="C31" s="65"/>
      <c r="D31" s="68"/>
      <c r="E31" s="67"/>
      <c r="F31" s="66"/>
      <c r="G31" s="65"/>
      <c r="H31" s="65"/>
      <c r="I31" s="65"/>
      <c r="J31" s="66"/>
      <c r="T31" s="488">
        <f t="shared" si="0"/>
        <v>0</v>
      </c>
    </row>
    <row r="32" spans="1:20" x14ac:dyDescent="0.45">
      <c r="A32" s="333" t="s">
        <v>56</v>
      </c>
      <c r="B32" s="65"/>
      <c r="C32" s="65"/>
      <c r="D32" s="68"/>
      <c r="E32" s="67"/>
      <c r="F32" s="66"/>
      <c r="G32" s="65"/>
      <c r="H32" s="65"/>
      <c r="I32" s="65"/>
      <c r="J32" s="66"/>
      <c r="T32" s="488">
        <f t="shared" si="0"/>
        <v>0</v>
      </c>
    </row>
    <row r="33" spans="1:20" x14ac:dyDescent="0.45">
      <c r="A33" s="333" t="s">
        <v>73</v>
      </c>
      <c r="B33" s="65"/>
      <c r="C33" s="65"/>
      <c r="D33" s="68"/>
      <c r="E33" s="67"/>
      <c r="F33" s="66"/>
      <c r="G33" s="65"/>
      <c r="H33" s="65"/>
      <c r="I33" s="65"/>
      <c r="J33" s="66"/>
      <c r="T33" s="488">
        <f t="shared" si="0"/>
        <v>0</v>
      </c>
    </row>
    <row r="34" spans="1:20" x14ac:dyDescent="0.45">
      <c r="A34" s="333" t="s">
        <v>62</v>
      </c>
      <c r="B34" s="65"/>
      <c r="C34" s="65"/>
      <c r="D34" s="68"/>
      <c r="E34" s="67"/>
      <c r="F34" s="66"/>
      <c r="G34" s="65"/>
      <c r="H34" s="65"/>
      <c r="I34" s="65"/>
      <c r="J34" s="66"/>
      <c r="T34" s="488">
        <f t="shared" si="0"/>
        <v>0</v>
      </c>
    </row>
    <row r="35" spans="1:20" x14ac:dyDescent="0.45">
      <c r="A35" s="333" t="s">
        <v>68</v>
      </c>
      <c r="B35" s="65"/>
      <c r="C35" s="65"/>
      <c r="D35" s="68"/>
      <c r="E35" s="67"/>
      <c r="F35" s="66"/>
      <c r="G35" s="65"/>
      <c r="H35" s="65"/>
      <c r="I35" s="65"/>
      <c r="J35" s="66"/>
      <c r="T35" s="488">
        <f t="shared" si="0"/>
        <v>0</v>
      </c>
    </row>
    <row r="36" spans="1:20" x14ac:dyDescent="0.45">
      <c r="A36" s="333" t="s">
        <v>121</v>
      </c>
      <c r="B36" s="65"/>
      <c r="C36" s="65"/>
      <c r="D36" s="68"/>
      <c r="E36" s="67"/>
      <c r="F36" s="66"/>
      <c r="G36" s="65"/>
      <c r="H36" s="65"/>
      <c r="I36" s="65"/>
      <c r="J36" s="66"/>
      <c r="T36" s="488">
        <f t="shared" si="0"/>
        <v>0</v>
      </c>
    </row>
    <row r="37" spans="1:20" x14ac:dyDescent="0.45">
      <c r="A37" s="333" t="s">
        <v>82</v>
      </c>
      <c r="B37" s="65"/>
      <c r="C37" s="65"/>
      <c r="D37" s="68"/>
      <c r="E37" s="67"/>
      <c r="F37" s="66"/>
      <c r="G37" s="65"/>
      <c r="H37" s="65"/>
      <c r="I37" s="65"/>
      <c r="J37" s="66"/>
      <c r="T37" s="488">
        <f t="shared" si="0"/>
        <v>0</v>
      </c>
    </row>
    <row r="38" spans="1:20" x14ac:dyDescent="0.45">
      <c r="A38" s="333" t="s">
        <v>86</v>
      </c>
      <c r="B38" s="65"/>
      <c r="C38" s="65"/>
      <c r="D38" s="68"/>
      <c r="E38" s="67"/>
      <c r="F38" s="66"/>
      <c r="G38" s="65"/>
      <c r="H38" s="65"/>
      <c r="I38" s="65"/>
      <c r="J38" s="66"/>
      <c r="T38" s="488">
        <f t="shared" si="0"/>
        <v>0</v>
      </c>
    </row>
    <row r="39" spans="1:20" x14ac:dyDescent="0.45">
      <c r="A39" s="333" t="s">
        <v>100</v>
      </c>
      <c r="B39" s="65"/>
      <c r="C39" s="65"/>
      <c r="D39" s="68"/>
      <c r="E39" s="67"/>
      <c r="F39" s="66"/>
      <c r="G39" s="65"/>
      <c r="H39" s="65"/>
      <c r="I39" s="65"/>
      <c r="J39" s="66"/>
      <c r="T39" s="488">
        <f t="shared" ref="T39:T70" si="1">COUNTA(D39:H39)</f>
        <v>0</v>
      </c>
    </row>
    <row r="40" spans="1:20" x14ac:dyDescent="0.45">
      <c r="A40" s="333" t="s">
        <v>405</v>
      </c>
      <c r="B40" s="65"/>
      <c r="C40" s="65"/>
      <c r="D40" s="68"/>
      <c r="E40" s="67"/>
      <c r="F40" s="66"/>
      <c r="G40" s="65"/>
      <c r="H40" s="65"/>
      <c r="I40" s="65"/>
      <c r="J40" s="66"/>
      <c r="T40" s="488">
        <f t="shared" si="1"/>
        <v>0</v>
      </c>
    </row>
    <row r="41" spans="1:20" x14ac:dyDescent="0.45">
      <c r="A41" s="333" t="s">
        <v>103</v>
      </c>
      <c r="B41" s="65"/>
      <c r="C41" s="65"/>
      <c r="D41" s="68"/>
      <c r="E41" s="67"/>
      <c r="F41" s="66"/>
      <c r="G41" s="65"/>
      <c r="H41" s="65"/>
      <c r="I41" s="65"/>
      <c r="J41" s="66"/>
      <c r="T41" s="488">
        <f t="shared" si="1"/>
        <v>0</v>
      </c>
    </row>
    <row r="42" spans="1:20" x14ac:dyDescent="0.45">
      <c r="A42" s="333" t="s">
        <v>111</v>
      </c>
      <c r="B42" s="65"/>
      <c r="C42" s="65"/>
      <c r="D42" s="68"/>
      <c r="E42" s="67"/>
      <c r="F42" s="66"/>
      <c r="G42" s="65"/>
      <c r="H42" s="65"/>
      <c r="I42" s="65"/>
      <c r="J42" s="66"/>
      <c r="T42" s="488">
        <f t="shared" si="1"/>
        <v>0</v>
      </c>
    </row>
    <row r="43" spans="1:20" x14ac:dyDescent="0.45">
      <c r="A43" s="333" t="s">
        <v>109</v>
      </c>
      <c r="B43" s="65"/>
      <c r="C43" s="65"/>
      <c r="D43" s="68"/>
      <c r="E43" s="67"/>
      <c r="F43" s="66"/>
      <c r="G43" s="65"/>
      <c r="H43" s="65"/>
      <c r="I43" s="65"/>
      <c r="J43" s="66"/>
      <c r="T43" s="488">
        <f t="shared" si="1"/>
        <v>0</v>
      </c>
    </row>
    <row r="44" spans="1:20" x14ac:dyDescent="0.45">
      <c r="A44" s="333" t="s">
        <v>113</v>
      </c>
      <c r="B44" s="65"/>
      <c r="C44" s="65"/>
      <c r="D44" s="68"/>
      <c r="E44" s="67"/>
      <c r="F44" s="66"/>
      <c r="G44" s="65"/>
      <c r="H44" s="65"/>
      <c r="I44" s="65"/>
      <c r="J44" s="66"/>
      <c r="T44" s="488">
        <f t="shared" si="1"/>
        <v>0</v>
      </c>
    </row>
    <row r="45" spans="1:20" x14ac:dyDescent="0.45">
      <c r="A45" s="333" t="s">
        <v>120</v>
      </c>
      <c r="B45" s="65"/>
      <c r="C45" s="65"/>
      <c r="D45" s="68"/>
      <c r="E45" s="67"/>
      <c r="F45" s="66"/>
      <c r="G45" s="65"/>
      <c r="H45" s="65"/>
      <c r="I45" s="65"/>
      <c r="J45" s="66"/>
      <c r="T45" s="488">
        <f t="shared" si="1"/>
        <v>0</v>
      </c>
    </row>
    <row r="46" spans="1:20" x14ac:dyDescent="0.45">
      <c r="A46" s="333" t="s">
        <v>123</v>
      </c>
      <c r="B46" s="65"/>
      <c r="C46" s="65"/>
      <c r="D46" s="68"/>
      <c r="E46" s="67"/>
      <c r="F46" s="66"/>
      <c r="G46" s="65"/>
      <c r="H46" s="65"/>
      <c r="I46" s="65"/>
      <c r="J46" s="66"/>
      <c r="T46" s="488">
        <f t="shared" si="1"/>
        <v>0</v>
      </c>
    </row>
    <row r="47" spans="1:20" x14ac:dyDescent="0.45">
      <c r="A47" s="333" t="s">
        <v>124</v>
      </c>
      <c r="B47" s="65"/>
      <c r="C47" s="65"/>
      <c r="D47" s="68"/>
      <c r="E47" s="67"/>
      <c r="F47" s="66"/>
      <c r="G47" s="65"/>
      <c r="H47" s="65"/>
      <c r="I47" s="65"/>
      <c r="J47" s="66"/>
      <c r="T47" s="488">
        <f t="shared" si="1"/>
        <v>0</v>
      </c>
    </row>
    <row r="48" spans="1:20" x14ac:dyDescent="0.45">
      <c r="A48" s="333" t="s">
        <v>90</v>
      </c>
      <c r="B48" s="65"/>
      <c r="C48" s="65"/>
      <c r="D48" s="68"/>
      <c r="E48" s="67"/>
      <c r="F48" s="66"/>
      <c r="G48" s="65"/>
      <c r="H48" s="65"/>
      <c r="I48" s="65"/>
      <c r="J48" s="66" t="s">
        <v>490</v>
      </c>
      <c r="T48" s="488">
        <f t="shared" si="1"/>
        <v>0</v>
      </c>
    </row>
    <row r="49" spans="1:20" x14ac:dyDescent="0.45">
      <c r="A49" s="333" t="s">
        <v>417</v>
      </c>
      <c r="B49" s="65"/>
      <c r="C49" s="65"/>
      <c r="D49" s="68"/>
      <c r="E49" s="67"/>
      <c r="F49" s="66"/>
      <c r="G49" s="65"/>
      <c r="H49" s="65"/>
      <c r="I49" s="65"/>
      <c r="J49" s="66" t="s">
        <v>490</v>
      </c>
      <c r="T49" s="488">
        <f t="shared" si="1"/>
        <v>0</v>
      </c>
    </row>
    <row r="50" spans="1:20" x14ac:dyDescent="0.45">
      <c r="A50" s="333" t="s">
        <v>119</v>
      </c>
      <c r="B50" s="65"/>
      <c r="C50" s="65"/>
      <c r="D50" s="68"/>
      <c r="E50" s="67"/>
      <c r="F50" s="66"/>
      <c r="G50" s="65"/>
      <c r="H50" s="65"/>
      <c r="I50" s="65"/>
      <c r="J50" s="66" t="s">
        <v>490</v>
      </c>
      <c r="T50" s="488">
        <f t="shared" si="1"/>
        <v>0</v>
      </c>
    </row>
    <row r="51" spans="1:20" x14ac:dyDescent="0.45">
      <c r="A51" s="333" t="s">
        <v>115</v>
      </c>
      <c r="B51" s="65"/>
      <c r="C51" s="65"/>
      <c r="D51" s="68"/>
      <c r="E51" s="67"/>
      <c r="F51" s="66"/>
      <c r="G51" s="65"/>
      <c r="H51" s="65"/>
      <c r="I51" s="65"/>
      <c r="J51" s="66" t="s">
        <v>490</v>
      </c>
      <c r="T51" s="488">
        <f t="shared" si="1"/>
        <v>0</v>
      </c>
    </row>
    <row r="52" spans="1:20" x14ac:dyDescent="0.45">
      <c r="A52" s="333" t="s">
        <v>117</v>
      </c>
      <c r="B52" s="65"/>
      <c r="C52" s="65"/>
      <c r="D52" s="68"/>
      <c r="E52" s="67"/>
      <c r="F52" s="66"/>
      <c r="G52" s="65"/>
      <c r="H52" s="65"/>
      <c r="I52" s="65"/>
      <c r="J52" s="66" t="s">
        <v>490</v>
      </c>
      <c r="T52" s="488">
        <f t="shared" si="1"/>
        <v>0</v>
      </c>
    </row>
    <row r="53" spans="1:20" x14ac:dyDescent="0.45">
      <c r="A53" s="333" t="s">
        <v>125</v>
      </c>
      <c r="B53" s="65"/>
      <c r="C53" s="65"/>
      <c r="D53" s="68"/>
      <c r="E53" s="67"/>
      <c r="F53" s="66"/>
      <c r="G53" s="65"/>
      <c r="H53" s="65"/>
      <c r="I53" s="65"/>
      <c r="J53" s="66"/>
      <c r="T53" s="488">
        <f t="shared" si="1"/>
        <v>0</v>
      </c>
    </row>
    <row r="54" spans="1:20" x14ac:dyDescent="0.45">
      <c r="A54" s="333" t="s">
        <v>97</v>
      </c>
      <c r="B54" s="65"/>
      <c r="C54" s="65"/>
      <c r="D54" s="68"/>
      <c r="E54" s="67"/>
      <c r="F54" s="66"/>
      <c r="G54" s="65"/>
      <c r="H54" s="65"/>
      <c r="I54" s="65"/>
      <c r="J54" s="66"/>
      <c r="T54" s="488">
        <f t="shared" si="1"/>
        <v>0</v>
      </c>
    </row>
    <row r="55" spans="1:20" x14ac:dyDescent="0.45">
      <c r="A55" s="333" t="s">
        <v>78</v>
      </c>
      <c r="B55" s="65"/>
      <c r="C55" s="65"/>
      <c r="D55" s="68"/>
      <c r="E55" s="67"/>
      <c r="F55" s="66"/>
      <c r="G55" s="65"/>
      <c r="H55" s="73"/>
      <c r="I55" s="65"/>
      <c r="J55" s="66"/>
      <c r="T55" s="488">
        <f t="shared" si="1"/>
        <v>0</v>
      </c>
    </row>
    <row r="56" spans="1:20" x14ac:dyDescent="0.45">
      <c r="A56" s="333" t="s">
        <v>122</v>
      </c>
      <c r="B56" s="70"/>
      <c r="C56" s="70"/>
      <c r="D56" s="79"/>
      <c r="E56" s="71"/>
      <c r="F56" s="72"/>
      <c r="G56" s="70"/>
      <c r="H56" s="70"/>
      <c r="I56" s="70"/>
      <c r="J56" s="72"/>
      <c r="T56" s="488">
        <f t="shared" si="1"/>
        <v>0</v>
      </c>
    </row>
    <row r="57" spans="1:20" x14ac:dyDescent="0.45">
      <c r="A57" s="60"/>
      <c r="B57" s="655" t="s">
        <v>28</v>
      </c>
      <c r="C57" s="655"/>
      <c r="D57" s="655"/>
      <c r="E57" s="655"/>
      <c r="F57" s="655"/>
      <c r="G57" s="655"/>
      <c r="H57" s="655"/>
      <c r="I57" s="655"/>
      <c r="J57" s="655"/>
      <c r="T57" s="488">
        <f t="shared" si="1"/>
        <v>0</v>
      </c>
    </row>
    <row r="58" spans="1:20" x14ac:dyDescent="0.45">
      <c r="A58" s="333" t="s">
        <v>37</v>
      </c>
      <c r="B58" s="74"/>
      <c r="C58" s="74"/>
      <c r="D58" s="74"/>
      <c r="E58" s="74"/>
      <c r="F58" s="74"/>
      <c r="G58" s="74"/>
      <c r="H58" s="74" t="s">
        <v>490</v>
      </c>
      <c r="I58" s="74"/>
      <c r="J58" s="62"/>
      <c r="T58" s="488">
        <f>COUNTA(D58:H58)</f>
        <v>1</v>
      </c>
    </row>
    <row r="59" spans="1:20" x14ac:dyDescent="0.45">
      <c r="A59" s="333" t="s">
        <v>54</v>
      </c>
      <c r="B59" s="65"/>
      <c r="C59" s="65"/>
      <c r="D59" s="74"/>
      <c r="E59" s="74"/>
      <c r="F59" s="74"/>
      <c r="G59" s="65"/>
      <c r="H59" s="65" t="s">
        <v>490</v>
      </c>
      <c r="I59" s="65"/>
      <c r="J59" s="66"/>
      <c r="T59" s="488">
        <f t="shared" si="1"/>
        <v>1</v>
      </c>
    </row>
    <row r="60" spans="1:20" ht="16.3" thickBot="1" x14ac:dyDescent="0.5">
      <c r="A60" s="333" t="s">
        <v>46</v>
      </c>
      <c r="B60" s="70"/>
      <c r="C60" s="70"/>
      <c r="D60" s="80"/>
      <c r="E60" s="80"/>
      <c r="F60" s="80"/>
      <c r="G60" s="70"/>
      <c r="H60" s="65" t="s">
        <v>490</v>
      </c>
      <c r="I60" s="70"/>
      <c r="J60" s="72"/>
      <c r="T60" s="488">
        <f t="shared" si="1"/>
        <v>1</v>
      </c>
    </row>
    <row r="61" spans="1:20" ht="16.3" thickBot="1" x14ac:dyDescent="0.5">
      <c r="A61" s="61"/>
      <c r="B61" s="657" t="s">
        <v>429</v>
      </c>
      <c r="C61" s="658"/>
      <c r="D61" s="658"/>
      <c r="E61" s="658"/>
      <c r="F61" s="658"/>
      <c r="G61" s="658"/>
      <c r="H61" s="658"/>
      <c r="I61" s="658"/>
      <c r="J61" s="658"/>
      <c r="T61" s="488">
        <f t="shared" si="1"/>
        <v>0</v>
      </c>
    </row>
    <row r="62" spans="1:20" x14ac:dyDescent="0.45">
      <c r="A62" s="334" t="s">
        <v>36</v>
      </c>
      <c r="B62" s="74"/>
      <c r="C62" s="74"/>
      <c r="D62" s="74"/>
      <c r="E62" s="74"/>
      <c r="F62" s="74"/>
      <c r="G62" s="74"/>
      <c r="H62" s="74"/>
      <c r="I62" s="74"/>
      <c r="J62" s="62"/>
      <c r="T62" s="488">
        <f t="shared" si="1"/>
        <v>0</v>
      </c>
    </row>
    <row r="63" spans="1:20" x14ac:dyDescent="0.45">
      <c r="A63" s="333" t="s">
        <v>61</v>
      </c>
      <c r="B63" s="65"/>
      <c r="C63" s="65"/>
      <c r="D63" s="74"/>
      <c r="E63" s="74"/>
      <c r="F63" s="74"/>
      <c r="G63" s="74"/>
      <c r="H63" s="74"/>
      <c r="I63" s="74"/>
      <c r="J63" s="66"/>
      <c r="T63" s="488">
        <f t="shared" si="1"/>
        <v>0</v>
      </c>
    </row>
    <row r="64" spans="1:20" x14ac:dyDescent="0.45">
      <c r="A64" s="333" t="s">
        <v>53</v>
      </c>
      <c r="B64" s="65"/>
      <c r="C64" s="65"/>
      <c r="D64" s="74"/>
      <c r="E64" s="74"/>
      <c r="F64" s="74"/>
      <c r="G64" s="74"/>
      <c r="H64" s="74"/>
      <c r="I64" s="74"/>
      <c r="J64" s="66"/>
      <c r="T64" s="488">
        <f t="shared" si="1"/>
        <v>0</v>
      </c>
    </row>
    <row r="65" spans="1:20" x14ac:dyDescent="0.45">
      <c r="A65" s="333" t="s">
        <v>45</v>
      </c>
      <c r="B65" s="65"/>
      <c r="C65" s="65"/>
      <c r="D65" s="74"/>
      <c r="E65" s="74"/>
      <c r="F65" s="74"/>
      <c r="G65" s="74"/>
      <c r="H65" s="74"/>
      <c r="I65" s="74"/>
      <c r="J65" s="66" t="s">
        <v>490</v>
      </c>
      <c r="T65" s="488">
        <f t="shared" si="1"/>
        <v>0</v>
      </c>
    </row>
    <row r="66" spans="1:20" x14ac:dyDescent="0.45">
      <c r="A66" s="333" t="s">
        <v>67</v>
      </c>
      <c r="B66" s="70"/>
      <c r="C66" s="70"/>
      <c r="D66" s="74"/>
      <c r="E66" s="74"/>
      <c r="F66" s="74"/>
      <c r="G66" s="74"/>
      <c r="H66" s="74"/>
      <c r="I66" s="74"/>
      <c r="J66" s="77" t="s">
        <v>490</v>
      </c>
      <c r="T66" s="488">
        <f t="shared" si="1"/>
        <v>0</v>
      </c>
    </row>
    <row r="67" spans="1:20" x14ac:dyDescent="0.45">
      <c r="A67" s="59"/>
      <c r="B67" s="655" t="s">
        <v>24</v>
      </c>
      <c r="C67" s="655"/>
      <c r="D67" s="655"/>
      <c r="E67" s="655"/>
      <c r="F67" s="655"/>
      <c r="G67" s="655"/>
      <c r="H67" s="655"/>
      <c r="I67" s="655"/>
      <c r="J67" s="655"/>
      <c r="T67" s="488">
        <f t="shared" si="1"/>
        <v>0</v>
      </c>
    </row>
    <row r="68" spans="1:20" x14ac:dyDescent="0.45">
      <c r="A68" s="334" t="s">
        <v>108</v>
      </c>
      <c r="B68" s="74"/>
      <c r="C68" s="74"/>
      <c r="D68" s="74"/>
      <c r="E68" s="74"/>
      <c r="F68" s="74"/>
      <c r="G68" s="74"/>
      <c r="H68" s="74"/>
      <c r="I68" s="74" t="s">
        <v>490</v>
      </c>
      <c r="J68" s="66" t="s">
        <v>490</v>
      </c>
      <c r="T68" s="488">
        <f t="shared" si="1"/>
        <v>0</v>
      </c>
    </row>
    <row r="69" spans="1:20" x14ac:dyDescent="0.45">
      <c r="A69" s="333" t="s">
        <v>88</v>
      </c>
      <c r="B69" s="65"/>
      <c r="C69" s="65" t="s">
        <v>490</v>
      </c>
      <c r="D69" s="74"/>
      <c r="E69" s="74"/>
      <c r="F69" s="74"/>
      <c r="G69" s="74"/>
      <c r="H69" s="74"/>
      <c r="I69" s="74"/>
      <c r="J69" s="66" t="s">
        <v>490</v>
      </c>
      <c r="T69" s="488">
        <f t="shared" si="1"/>
        <v>0</v>
      </c>
    </row>
    <row r="70" spans="1:20" x14ac:dyDescent="0.45">
      <c r="A70" s="333" t="s">
        <v>42</v>
      </c>
      <c r="B70" s="65"/>
      <c r="C70" s="65" t="s">
        <v>490</v>
      </c>
      <c r="D70" s="74"/>
      <c r="E70" s="74"/>
      <c r="F70" s="74"/>
      <c r="G70" s="74"/>
      <c r="H70" s="74"/>
      <c r="I70" s="74"/>
      <c r="J70" s="66" t="s">
        <v>490</v>
      </c>
      <c r="T70" s="488">
        <f t="shared" si="1"/>
        <v>0</v>
      </c>
    </row>
    <row r="71" spans="1:20" x14ac:dyDescent="0.45">
      <c r="A71" s="333" t="s">
        <v>92</v>
      </c>
      <c r="B71" s="65"/>
      <c r="C71" s="65" t="s">
        <v>490</v>
      </c>
      <c r="D71" s="74"/>
      <c r="E71" s="74"/>
      <c r="F71" s="74"/>
      <c r="G71" s="74"/>
      <c r="H71" s="74"/>
      <c r="I71" s="74"/>
      <c r="J71" s="66" t="s">
        <v>490</v>
      </c>
      <c r="T71" s="488">
        <f t="shared" ref="T71:T106" si="2">COUNTA(D71:H71)</f>
        <v>0</v>
      </c>
    </row>
    <row r="72" spans="1:20" x14ac:dyDescent="0.45">
      <c r="A72" s="333" t="s">
        <v>84</v>
      </c>
      <c r="B72" s="65"/>
      <c r="C72" s="65" t="s">
        <v>490</v>
      </c>
      <c r="D72" s="74"/>
      <c r="E72" s="74"/>
      <c r="F72" s="74"/>
      <c r="G72" s="74"/>
      <c r="H72" s="74"/>
      <c r="I72" s="74"/>
      <c r="J72" s="66" t="s">
        <v>490</v>
      </c>
      <c r="T72" s="488">
        <f t="shared" si="2"/>
        <v>0</v>
      </c>
    </row>
    <row r="73" spans="1:20" x14ac:dyDescent="0.45">
      <c r="A73" s="334" t="s">
        <v>80</v>
      </c>
      <c r="B73" s="65"/>
      <c r="C73" s="65" t="s">
        <v>490</v>
      </c>
      <c r="D73" s="74"/>
      <c r="E73" s="74"/>
      <c r="F73" s="74"/>
      <c r="G73" s="74"/>
      <c r="H73" s="74"/>
      <c r="I73" s="74"/>
      <c r="J73" s="66" t="s">
        <v>490</v>
      </c>
      <c r="T73" s="488">
        <f t="shared" si="2"/>
        <v>0</v>
      </c>
    </row>
    <row r="74" spans="1:20" x14ac:dyDescent="0.45">
      <c r="A74" s="333" t="s">
        <v>64</v>
      </c>
      <c r="B74" s="65"/>
      <c r="C74" s="65" t="s">
        <v>490</v>
      </c>
      <c r="D74" s="74"/>
      <c r="E74" s="74"/>
      <c r="F74" s="74"/>
      <c r="G74" s="74"/>
      <c r="H74" s="74"/>
      <c r="I74" s="74"/>
      <c r="J74" s="66" t="s">
        <v>490</v>
      </c>
      <c r="T74" s="488">
        <f t="shared" si="2"/>
        <v>0</v>
      </c>
    </row>
    <row r="75" spans="1:20" x14ac:dyDescent="0.45">
      <c r="A75" s="333" t="s">
        <v>96</v>
      </c>
      <c r="B75" s="65"/>
      <c r="C75" s="65" t="s">
        <v>490</v>
      </c>
      <c r="D75" s="74"/>
      <c r="E75" s="74"/>
      <c r="F75" s="74"/>
      <c r="G75" s="74"/>
      <c r="H75" s="74"/>
      <c r="I75" s="74"/>
      <c r="J75" s="66" t="s">
        <v>490</v>
      </c>
      <c r="T75" s="488">
        <f t="shared" si="2"/>
        <v>0</v>
      </c>
    </row>
    <row r="76" spans="1:20" x14ac:dyDescent="0.45">
      <c r="A76" s="333" t="s">
        <v>99</v>
      </c>
      <c r="B76" s="65"/>
      <c r="C76" s="65" t="s">
        <v>490</v>
      </c>
      <c r="D76" s="74"/>
      <c r="E76" s="74"/>
      <c r="F76" s="74"/>
      <c r="G76" s="74"/>
      <c r="H76" s="74"/>
      <c r="I76" s="74"/>
      <c r="J76" s="66" t="s">
        <v>490</v>
      </c>
      <c r="T76" s="488">
        <f t="shared" si="2"/>
        <v>0</v>
      </c>
    </row>
    <row r="77" spans="1:20" x14ac:dyDescent="0.45">
      <c r="A77" s="333" t="s">
        <v>75</v>
      </c>
      <c r="B77" s="65" t="s">
        <v>490</v>
      </c>
      <c r="C77" s="65" t="s">
        <v>490</v>
      </c>
      <c r="D77" s="74"/>
      <c r="E77" s="74"/>
      <c r="F77" s="74"/>
      <c r="G77" s="74"/>
      <c r="H77" s="74"/>
      <c r="I77" s="74"/>
      <c r="J77" s="66"/>
      <c r="T77" s="488">
        <f t="shared" si="2"/>
        <v>0</v>
      </c>
    </row>
    <row r="78" spans="1:20" x14ac:dyDescent="0.45">
      <c r="A78" s="334" t="s">
        <v>70</v>
      </c>
      <c r="B78" s="65" t="s">
        <v>490</v>
      </c>
      <c r="C78" s="65" t="s">
        <v>490</v>
      </c>
      <c r="D78" s="74"/>
      <c r="E78" s="74"/>
      <c r="F78" s="74"/>
      <c r="G78" s="74"/>
      <c r="H78" s="74" t="s">
        <v>490</v>
      </c>
      <c r="I78" s="74" t="s">
        <v>490</v>
      </c>
      <c r="J78" s="66"/>
      <c r="T78" s="488">
        <f t="shared" si="2"/>
        <v>1</v>
      </c>
    </row>
    <row r="79" spans="1:20" x14ac:dyDescent="0.45">
      <c r="A79" s="333" t="s">
        <v>105</v>
      </c>
      <c r="B79" s="65" t="s">
        <v>490</v>
      </c>
      <c r="C79" s="73" t="s">
        <v>490</v>
      </c>
      <c r="D79" s="74"/>
      <c r="E79" s="74"/>
      <c r="F79" s="74"/>
      <c r="G79" s="74"/>
      <c r="H79" s="74" t="s">
        <v>490</v>
      </c>
      <c r="I79" s="74" t="s">
        <v>490</v>
      </c>
      <c r="J79" s="74" t="s">
        <v>490</v>
      </c>
      <c r="T79" s="488">
        <f t="shared" si="2"/>
        <v>1</v>
      </c>
    </row>
    <row r="80" spans="1:20" x14ac:dyDescent="0.45">
      <c r="A80" s="333" t="s">
        <v>33</v>
      </c>
      <c r="B80" s="65" t="s">
        <v>490</v>
      </c>
      <c r="C80" s="73" t="s">
        <v>490</v>
      </c>
      <c r="D80" s="74"/>
      <c r="E80" s="74"/>
      <c r="F80" s="74"/>
      <c r="G80" s="74"/>
      <c r="H80" s="74" t="s">
        <v>490</v>
      </c>
      <c r="I80" s="74" t="s">
        <v>490</v>
      </c>
      <c r="J80" s="74" t="s">
        <v>490</v>
      </c>
      <c r="T80" s="488">
        <f t="shared" si="2"/>
        <v>1</v>
      </c>
    </row>
    <row r="81" spans="1:20" x14ac:dyDescent="0.45">
      <c r="A81" s="333" t="s">
        <v>102</v>
      </c>
      <c r="B81" s="65" t="s">
        <v>490</v>
      </c>
      <c r="C81" s="73" t="s">
        <v>490</v>
      </c>
      <c r="D81" s="74"/>
      <c r="E81" s="74"/>
      <c r="F81" s="74"/>
      <c r="G81" s="74"/>
      <c r="H81" s="74" t="s">
        <v>490</v>
      </c>
      <c r="I81" s="74" t="s">
        <v>490</v>
      </c>
      <c r="J81" s="74" t="s">
        <v>490</v>
      </c>
      <c r="T81" s="488">
        <f t="shared" si="2"/>
        <v>1</v>
      </c>
    </row>
    <row r="82" spans="1:20" x14ac:dyDescent="0.45">
      <c r="A82" s="333" t="s">
        <v>58</v>
      </c>
      <c r="B82" s="65"/>
      <c r="C82" s="73"/>
      <c r="D82" s="74"/>
      <c r="E82" s="74"/>
      <c r="F82" s="74"/>
      <c r="G82" s="74"/>
      <c r="H82" s="74" t="s">
        <v>490</v>
      </c>
      <c r="I82" s="74"/>
      <c r="J82" s="66"/>
      <c r="T82" s="488">
        <f t="shared" si="2"/>
        <v>1</v>
      </c>
    </row>
    <row r="83" spans="1:20" x14ac:dyDescent="0.45">
      <c r="A83" s="334" t="s">
        <v>50</v>
      </c>
      <c r="B83" s="70" t="s">
        <v>490</v>
      </c>
      <c r="C83" s="78" t="s">
        <v>490</v>
      </c>
      <c r="D83" s="74"/>
      <c r="E83" s="74"/>
      <c r="F83" s="74"/>
      <c r="G83" s="74"/>
      <c r="H83" s="74" t="s">
        <v>490</v>
      </c>
      <c r="I83" s="74" t="s">
        <v>490</v>
      </c>
      <c r="J83" s="74" t="s">
        <v>490</v>
      </c>
      <c r="T83" s="488">
        <f t="shared" si="2"/>
        <v>1</v>
      </c>
    </row>
    <row r="84" spans="1:20" x14ac:dyDescent="0.45">
      <c r="A84" s="59"/>
      <c r="B84" s="655" t="s">
        <v>441</v>
      </c>
      <c r="C84" s="655"/>
      <c r="D84" s="655"/>
      <c r="E84" s="655"/>
      <c r="F84" s="655"/>
      <c r="G84" s="655"/>
      <c r="H84" s="655"/>
      <c r="I84" s="655"/>
      <c r="J84" s="655"/>
      <c r="T84" s="488">
        <f t="shared" si="2"/>
        <v>0</v>
      </c>
    </row>
    <row r="85" spans="1:20" x14ac:dyDescent="0.45">
      <c r="A85" s="333" t="s">
        <v>76</v>
      </c>
      <c r="B85" s="74"/>
      <c r="C85" s="74"/>
      <c r="D85" s="74"/>
      <c r="E85" s="74"/>
      <c r="F85" s="74"/>
      <c r="G85" s="74"/>
      <c r="H85" s="74" t="s">
        <v>490</v>
      </c>
      <c r="I85" s="74"/>
      <c r="J85" s="62"/>
      <c r="T85" s="488">
        <f t="shared" si="2"/>
        <v>1</v>
      </c>
    </row>
    <row r="86" spans="1:20" x14ac:dyDescent="0.45">
      <c r="A86" s="333" t="s">
        <v>71</v>
      </c>
      <c r="B86" s="65"/>
      <c r="C86" s="65"/>
      <c r="D86" s="74"/>
      <c r="E86" s="74"/>
      <c r="F86" s="74"/>
      <c r="G86" s="74"/>
      <c r="H86" s="74" t="s">
        <v>490</v>
      </c>
      <c r="I86" s="74"/>
      <c r="J86" s="66" t="s">
        <v>490</v>
      </c>
      <c r="T86" s="488">
        <f t="shared" si="2"/>
        <v>1</v>
      </c>
    </row>
    <row r="87" spans="1:20" x14ac:dyDescent="0.45">
      <c r="A87" s="333" t="s">
        <v>43</v>
      </c>
      <c r="B87" s="68"/>
      <c r="C87" s="68"/>
      <c r="D87" s="74"/>
      <c r="E87" s="74"/>
      <c r="F87" s="74"/>
      <c r="G87" s="74"/>
      <c r="H87" s="74" t="s">
        <v>490</v>
      </c>
      <c r="I87" s="74"/>
      <c r="J87" s="66"/>
      <c r="T87" s="488">
        <f t="shared" si="2"/>
        <v>1</v>
      </c>
    </row>
    <row r="88" spans="1:20" x14ac:dyDescent="0.45">
      <c r="A88" s="333" t="s">
        <v>51</v>
      </c>
      <c r="B88" s="68"/>
      <c r="C88" s="68" t="s">
        <v>490</v>
      </c>
      <c r="D88" s="74"/>
      <c r="E88" s="74"/>
      <c r="F88" s="74"/>
      <c r="G88" s="74"/>
      <c r="H88" s="74" t="s">
        <v>490</v>
      </c>
      <c r="I88" s="74"/>
      <c r="J88" s="66"/>
      <c r="T88" s="488">
        <f t="shared" si="2"/>
        <v>1</v>
      </c>
    </row>
    <row r="89" spans="1:20" x14ac:dyDescent="0.45">
      <c r="A89" s="333" t="s">
        <v>446</v>
      </c>
      <c r="B89" s="68"/>
      <c r="C89" s="68"/>
      <c r="D89" s="74"/>
      <c r="E89" s="74"/>
      <c r="F89" s="74"/>
      <c r="G89" s="74"/>
      <c r="H89" s="74" t="s">
        <v>490</v>
      </c>
      <c r="I89" s="74"/>
      <c r="J89" s="66"/>
      <c r="T89" s="488">
        <f t="shared" si="2"/>
        <v>1</v>
      </c>
    </row>
    <row r="90" spans="1:20" x14ac:dyDescent="0.45">
      <c r="A90" s="333" t="s">
        <v>59</v>
      </c>
      <c r="B90" s="65" t="s">
        <v>490</v>
      </c>
      <c r="C90" s="68"/>
      <c r="D90" s="74"/>
      <c r="E90" s="74"/>
      <c r="F90" s="74"/>
      <c r="G90" s="74"/>
      <c r="H90" s="74" t="s">
        <v>490</v>
      </c>
      <c r="I90" s="74"/>
      <c r="J90" s="65" t="s">
        <v>490</v>
      </c>
      <c r="T90" s="488">
        <f t="shared" si="2"/>
        <v>1</v>
      </c>
    </row>
    <row r="91" spans="1:20" x14ac:dyDescent="0.45">
      <c r="A91" s="333" t="s">
        <v>34</v>
      </c>
      <c r="B91" s="74"/>
      <c r="C91" s="74"/>
      <c r="D91" s="74"/>
      <c r="E91" s="74"/>
      <c r="F91" s="74"/>
      <c r="G91" s="74"/>
      <c r="H91" s="74" t="s">
        <v>490</v>
      </c>
      <c r="I91" s="74"/>
      <c r="J91" s="77"/>
      <c r="T91" s="488">
        <f t="shared" si="2"/>
        <v>1</v>
      </c>
    </row>
    <row r="92" spans="1:20" x14ac:dyDescent="0.45">
      <c r="A92" s="333" t="s">
        <v>450</v>
      </c>
      <c r="B92" s="65" t="s">
        <v>490</v>
      </c>
      <c r="C92" s="74"/>
      <c r="D92" s="74"/>
      <c r="E92" s="74"/>
      <c r="F92" s="74"/>
      <c r="G92" s="74"/>
      <c r="H92" s="74"/>
      <c r="I92" s="74"/>
      <c r="J92" s="65" t="s">
        <v>490</v>
      </c>
    </row>
    <row r="93" spans="1:20" x14ac:dyDescent="0.45">
      <c r="A93" s="333" t="s">
        <v>453</v>
      </c>
      <c r="B93" s="65" t="s">
        <v>490</v>
      </c>
      <c r="C93" s="74"/>
      <c r="D93" s="74"/>
      <c r="E93" s="74"/>
      <c r="F93" s="74"/>
      <c r="G93" s="74"/>
      <c r="H93" s="74"/>
      <c r="I93" s="74"/>
      <c r="J93" s="65" t="s">
        <v>490</v>
      </c>
    </row>
    <row r="94" spans="1:20" x14ac:dyDescent="0.45">
      <c r="A94" s="333" t="s">
        <v>456</v>
      </c>
      <c r="B94" s="65" t="s">
        <v>490</v>
      </c>
      <c r="C94" s="74"/>
      <c r="D94" s="74"/>
      <c r="E94" s="74"/>
      <c r="F94" s="74"/>
      <c r="G94" s="74"/>
      <c r="H94" s="74"/>
      <c r="I94" s="74"/>
      <c r="J94" s="65" t="s">
        <v>490</v>
      </c>
    </row>
    <row r="95" spans="1:20" x14ac:dyDescent="0.45">
      <c r="A95" s="333" t="s">
        <v>457</v>
      </c>
      <c r="B95" s="70" t="s">
        <v>490</v>
      </c>
      <c r="C95" s="80"/>
      <c r="D95" s="80"/>
      <c r="E95" s="80"/>
      <c r="F95" s="80"/>
      <c r="G95" s="80"/>
      <c r="H95" s="80"/>
      <c r="I95" s="80"/>
      <c r="J95" s="65" t="s">
        <v>490</v>
      </c>
    </row>
    <row r="96" spans="1:20" x14ac:dyDescent="0.45">
      <c r="A96" s="59"/>
      <c r="B96" s="655" t="s">
        <v>459</v>
      </c>
      <c r="C96" s="655"/>
      <c r="D96" s="655"/>
      <c r="E96" s="655"/>
      <c r="F96" s="655"/>
      <c r="G96" s="655"/>
      <c r="H96" s="655"/>
      <c r="I96" s="655"/>
      <c r="J96" s="655"/>
      <c r="T96" s="488">
        <f t="shared" si="2"/>
        <v>0</v>
      </c>
    </row>
    <row r="97" spans="1:20" x14ac:dyDescent="0.45">
      <c r="A97" s="333" t="s">
        <v>55</v>
      </c>
      <c r="B97" s="64"/>
      <c r="C97" s="64"/>
      <c r="D97" s="74"/>
      <c r="E97" s="74"/>
      <c r="F97" s="74"/>
      <c r="G97" s="74"/>
      <c r="H97" s="74" t="s">
        <v>490</v>
      </c>
      <c r="I97" s="74"/>
      <c r="J97" s="62" t="s">
        <v>490</v>
      </c>
      <c r="T97" s="488">
        <f t="shared" si="2"/>
        <v>1</v>
      </c>
    </row>
    <row r="98" spans="1:20" x14ac:dyDescent="0.45">
      <c r="A98" s="333" t="s">
        <v>38</v>
      </c>
      <c r="B98" s="68"/>
      <c r="C98" s="68"/>
      <c r="D98" s="74"/>
      <c r="E98" s="74"/>
      <c r="F98" s="74"/>
      <c r="G98" s="74"/>
      <c r="H98" s="74" t="s">
        <v>490</v>
      </c>
      <c r="I98" s="74"/>
      <c r="J98" s="66" t="s">
        <v>490</v>
      </c>
      <c r="T98" s="488">
        <f t="shared" si="2"/>
        <v>1</v>
      </c>
    </row>
    <row r="99" spans="1:20" x14ac:dyDescent="0.45">
      <c r="A99" s="333" t="s">
        <v>47</v>
      </c>
      <c r="B99" s="74"/>
      <c r="C99" s="74"/>
      <c r="D99" s="74"/>
      <c r="E99" s="74"/>
      <c r="F99" s="74"/>
      <c r="G99" s="74"/>
      <c r="H99" s="74" t="s">
        <v>490</v>
      </c>
      <c r="I99" s="74"/>
      <c r="J99" s="77" t="s">
        <v>490</v>
      </c>
      <c r="T99" s="488">
        <f t="shared" si="2"/>
        <v>1</v>
      </c>
    </row>
    <row r="100" spans="1:20" x14ac:dyDescent="0.45">
      <c r="A100" s="59"/>
      <c r="B100" s="655" t="s">
        <v>462</v>
      </c>
      <c r="C100" s="655"/>
      <c r="D100" s="655"/>
      <c r="E100" s="655"/>
      <c r="F100" s="655"/>
      <c r="G100" s="655"/>
      <c r="H100" s="655"/>
      <c r="I100" s="655"/>
      <c r="J100" s="655"/>
      <c r="T100" s="488">
        <f t="shared" si="2"/>
        <v>0</v>
      </c>
    </row>
    <row r="101" spans="1:20" x14ac:dyDescent="0.45">
      <c r="A101" s="333" t="s">
        <v>498</v>
      </c>
      <c r="B101" s="64"/>
      <c r="C101" s="64"/>
      <c r="D101" s="74"/>
      <c r="E101" s="74"/>
      <c r="F101" s="74"/>
      <c r="G101" s="74"/>
      <c r="H101" s="74"/>
      <c r="I101" s="74"/>
      <c r="J101" s="62" t="s">
        <v>490</v>
      </c>
      <c r="T101" s="488">
        <f t="shared" si="2"/>
        <v>0</v>
      </c>
    </row>
    <row r="102" spans="1:20" x14ac:dyDescent="0.45">
      <c r="A102" s="333" t="s">
        <v>499</v>
      </c>
      <c r="B102" s="64"/>
      <c r="C102" s="64" t="s">
        <v>490</v>
      </c>
      <c r="D102" s="74"/>
      <c r="E102" s="74"/>
      <c r="F102" s="74"/>
      <c r="G102" s="74"/>
      <c r="H102" s="74" t="s">
        <v>490</v>
      </c>
      <c r="I102" s="74"/>
      <c r="J102" s="62" t="s">
        <v>490</v>
      </c>
      <c r="T102" s="488">
        <f t="shared" si="2"/>
        <v>1</v>
      </c>
    </row>
    <row r="103" spans="1:20" x14ac:dyDescent="0.45">
      <c r="A103" s="333" t="s">
        <v>85</v>
      </c>
      <c r="B103" s="64"/>
      <c r="C103" s="64"/>
      <c r="D103" s="74"/>
      <c r="E103" s="74"/>
      <c r="F103" s="74"/>
      <c r="G103" s="74"/>
      <c r="H103" s="74"/>
      <c r="I103" s="74"/>
      <c r="J103" s="62" t="s">
        <v>490</v>
      </c>
      <c r="T103" s="488">
        <f t="shared" si="2"/>
        <v>0</v>
      </c>
    </row>
    <row r="104" spans="1:20" x14ac:dyDescent="0.45">
      <c r="A104" s="333" t="s">
        <v>89</v>
      </c>
      <c r="B104" s="68"/>
      <c r="C104" s="68"/>
      <c r="D104" s="74"/>
      <c r="E104" s="74"/>
      <c r="F104" s="74"/>
      <c r="G104" s="74"/>
      <c r="H104" s="74"/>
      <c r="I104" s="74"/>
      <c r="J104" s="66" t="s">
        <v>490</v>
      </c>
      <c r="T104" s="488">
        <f t="shared" si="2"/>
        <v>0</v>
      </c>
    </row>
    <row r="105" spans="1:20" x14ac:dyDescent="0.45">
      <c r="A105" s="333" t="s">
        <v>77</v>
      </c>
      <c r="B105" s="68"/>
      <c r="C105" s="68"/>
      <c r="D105" s="74"/>
      <c r="E105" s="74"/>
      <c r="F105" s="74"/>
      <c r="G105" s="74"/>
      <c r="H105" s="74"/>
      <c r="I105" s="74"/>
      <c r="J105" s="66"/>
      <c r="T105" s="488">
        <f t="shared" si="2"/>
        <v>0</v>
      </c>
    </row>
    <row r="106" spans="1:20" x14ac:dyDescent="0.45">
      <c r="A106" s="333" t="s">
        <v>93</v>
      </c>
      <c r="B106" s="68"/>
      <c r="C106" s="68"/>
      <c r="D106" s="74"/>
      <c r="E106" s="74"/>
      <c r="F106" s="74"/>
      <c r="G106" s="74"/>
      <c r="H106" s="74"/>
      <c r="I106" s="74"/>
      <c r="J106" s="66"/>
      <c r="T106" s="488">
        <f t="shared" si="2"/>
        <v>0</v>
      </c>
    </row>
    <row r="107" spans="1:20" x14ac:dyDescent="0.45">
      <c r="A107" s="333" t="s">
        <v>60</v>
      </c>
      <c r="B107" s="68"/>
      <c r="C107" s="68"/>
      <c r="D107" s="74"/>
      <c r="E107" s="74"/>
      <c r="F107" s="74"/>
      <c r="G107" s="74"/>
      <c r="H107" s="74"/>
      <c r="I107" s="74"/>
      <c r="J107" s="66"/>
      <c r="T107" s="488">
        <f t="shared" ref="T107:T114" si="3">COUNTA(D107:H107)</f>
        <v>0</v>
      </c>
    </row>
    <row r="108" spans="1:20" x14ac:dyDescent="0.45">
      <c r="A108" s="333" t="s">
        <v>66</v>
      </c>
      <c r="B108" s="68"/>
      <c r="C108" s="68"/>
      <c r="D108" s="74"/>
      <c r="E108" s="74"/>
      <c r="F108" s="74"/>
      <c r="G108" s="74"/>
      <c r="H108" s="74"/>
      <c r="I108" s="74"/>
      <c r="J108" s="66"/>
      <c r="T108" s="488">
        <f t="shared" si="3"/>
        <v>0</v>
      </c>
    </row>
    <row r="109" spans="1:20" x14ac:dyDescent="0.45">
      <c r="A109" s="333" t="s">
        <v>52</v>
      </c>
      <c r="B109" s="74"/>
      <c r="C109" s="74"/>
      <c r="D109" s="74"/>
      <c r="E109" s="74"/>
      <c r="F109" s="74"/>
      <c r="G109" s="74"/>
      <c r="H109" s="74"/>
      <c r="I109" s="74"/>
      <c r="J109" s="66"/>
      <c r="T109" s="488">
        <f t="shared" si="3"/>
        <v>0</v>
      </c>
    </row>
    <row r="110" spans="1:20" x14ac:dyDescent="0.45">
      <c r="A110" s="333" t="s">
        <v>72</v>
      </c>
      <c r="B110" s="65"/>
      <c r="C110" s="65"/>
      <c r="D110" s="65"/>
      <c r="E110" s="65"/>
      <c r="F110" s="65"/>
      <c r="G110" s="65"/>
      <c r="H110" s="65"/>
      <c r="I110" s="65"/>
      <c r="J110" s="66"/>
    </row>
    <row r="111" spans="1:20" x14ac:dyDescent="0.45">
      <c r="A111" s="333" t="s">
        <v>44</v>
      </c>
      <c r="B111" s="80" t="s">
        <v>490</v>
      </c>
      <c r="C111" s="80" t="s">
        <v>490</v>
      </c>
      <c r="D111" s="80"/>
      <c r="E111" s="80"/>
      <c r="F111" s="80"/>
      <c r="G111" s="80"/>
      <c r="H111" s="80"/>
      <c r="I111" s="80"/>
      <c r="J111" s="81"/>
    </row>
    <row r="112" spans="1:20" x14ac:dyDescent="0.45">
      <c r="A112" s="59"/>
      <c r="B112" s="655" t="s">
        <v>30</v>
      </c>
      <c r="C112" s="655"/>
      <c r="D112" s="655"/>
      <c r="E112" s="655"/>
      <c r="F112" s="655"/>
      <c r="G112" s="655"/>
      <c r="H112" s="655"/>
      <c r="I112" s="655"/>
      <c r="J112" s="655"/>
      <c r="T112" s="488">
        <f t="shared" si="3"/>
        <v>0</v>
      </c>
    </row>
    <row r="113" spans="1:20" x14ac:dyDescent="0.45">
      <c r="A113" s="333" t="s">
        <v>39</v>
      </c>
      <c r="B113" s="74"/>
      <c r="C113" s="63"/>
      <c r="D113" s="74"/>
      <c r="E113" s="74"/>
      <c r="F113" s="74"/>
      <c r="G113" s="74"/>
      <c r="H113" s="74"/>
      <c r="I113" s="74"/>
      <c r="J113" s="81"/>
      <c r="T113" s="488">
        <f t="shared" si="3"/>
        <v>0</v>
      </c>
    </row>
    <row r="114" spans="1:20" x14ac:dyDescent="0.45">
      <c r="T114" s="488">
        <f t="shared" si="3"/>
        <v>0</v>
      </c>
    </row>
  </sheetData>
  <sheetProtection selectLockedCells="1"/>
  <mergeCells count="11">
    <mergeCell ref="A2:J3"/>
    <mergeCell ref="B96:J96"/>
    <mergeCell ref="B100:J100"/>
    <mergeCell ref="B112:J112"/>
    <mergeCell ref="D4:H4"/>
    <mergeCell ref="B6:J6"/>
    <mergeCell ref="B28:J28"/>
    <mergeCell ref="B57:J57"/>
    <mergeCell ref="B61:J61"/>
    <mergeCell ref="B67:J67"/>
    <mergeCell ref="B84:J8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BB349-47F7-49F9-AF7B-A162BC0225E4}">
  <sheetPr codeName="Sheet14">
    <tabColor rgb="FFE8D548"/>
  </sheetPr>
  <dimension ref="A1:C17"/>
  <sheetViews>
    <sheetView workbookViewId="0"/>
  </sheetViews>
  <sheetFormatPr defaultColWidth="8.5703125" defaultRowHeight="15.9" x14ac:dyDescent="0.45"/>
  <cols>
    <col min="1" max="1" width="20.0703125" customWidth="1"/>
    <col min="2" max="3" width="21.5703125" bestFit="1" customWidth="1"/>
  </cols>
  <sheetData>
    <row r="1" spans="1:3" s="22" customFormat="1" ht="17.600000000000001" x14ac:dyDescent="0.4">
      <c r="A1" s="287" t="s">
        <v>500</v>
      </c>
      <c r="B1" s="293"/>
      <c r="C1" s="293"/>
    </row>
    <row r="2" spans="1:3" ht="121.5" customHeight="1" x14ac:dyDescent="0.45"/>
    <row r="3" spans="1:3" x14ac:dyDescent="0.45">
      <c r="A3" s="40" t="s">
        <v>501</v>
      </c>
      <c r="B3" s="40" t="s">
        <v>502</v>
      </c>
      <c r="C3" s="40" t="s">
        <v>503</v>
      </c>
    </row>
    <row r="4" spans="1:3" x14ac:dyDescent="0.45">
      <c r="A4" s="1" t="s">
        <v>504</v>
      </c>
      <c r="B4" s="1">
        <v>0.4008493115035045</v>
      </c>
      <c r="C4" s="1">
        <v>0.7304181796609337</v>
      </c>
    </row>
    <row r="5" spans="1:3" x14ac:dyDescent="0.45">
      <c r="A5" s="1" t="s">
        <v>505</v>
      </c>
      <c r="B5" s="1">
        <v>0.57471264367816088</v>
      </c>
      <c r="C5" s="1">
        <v>0.57471264367816088</v>
      </c>
    </row>
    <row r="6" spans="1:3" x14ac:dyDescent="0.45">
      <c r="A6" s="1" t="s">
        <v>506</v>
      </c>
      <c r="B6" s="1">
        <v>1.1761938367442956E-2</v>
      </c>
      <c r="C6" s="1">
        <v>1.1761938367442956E-2</v>
      </c>
    </row>
    <row r="7" spans="1:3" x14ac:dyDescent="0.45">
      <c r="A7" s="1" t="s">
        <v>507</v>
      </c>
      <c r="B7" s="1">
        <v>0.4008493115035045</v>
      </c>
      <c r="C7" s="1">
        <v>0.7304181796609337</v>
      </c>
    </row>
    <row r="8" spans="1:3" x14ac:dyDescent="0.45">
      <c r="A8" s="1" t="s">
        <v>508</v>
      </c>
      <c r="B8" s="1">
        <v>0.57471264367816088</v>
      </c>
      <c r="C8" s="1">
        <v>0.57471264367816088</v>
      </c>
    </row>
    <row r="9" spans="1:3" x14ac:dyDescent="0.45">
      <c r="A9" s="1" t="s">
        <v>509</v>
      </c>
      <c r="B9" s="1">
        <v>1.1761938367442956E-2</v>
      </c>
      <c r="C9" s="1">
        <v>1.1761938367442956E-2</v>
      </c>
    </row>
    <row r="12" spans="1:3" x14ac:dyDescent="0.45">
      <c r="A12" s="1" t="s">
        <v>725</v>
      </c>
    </row>
    <row r="13" spans="1:3" x14ac:dyDescent="0.45">
      <c r="A13" t="s">
        <v>726</v>
      </c>
    </row>
    <row r="14" spans="1:3" x14ac:dyDescent="0.45">
      <c r="A14" t="s">
        <v>727</v>
      </c>
    </row>
    <row r="15" spans="1:3" x14ac:dyDescent="0.45">
      <c r="A15" s="1" t="s">
        <v>728</v>
      </c>
    </row>
    <row r="16" spans="1:3" x14ac:dyDescent="0.45">
      <c r="A16" t="s">
        <v>729</v>
      </c>
    </row>
    <row r="17" spans="1:1" x14ac:dyDescent="0.45">
      <c r="A17" t="s">
        <v>730</v>
      </c>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E8D548"/>
  </sheetPr>
  <dimension ref="A1:AQ19"/>
  <sheetViews>
    <sheetView workbookViewId="0">
      <selection activeCell="D43" sqref="D43"/>
    </sheetView>
  </sheetViews>
  <sheetFormatPr defaultColWidth="9" defaultRowHeight="12.45" x14ac:dyDescent="0.3"/>
  <cols>
    <col min="1" max="1" width="35.5703125" style="257" bestFit="1" customWidth="1"/>
    <col min="2" max="2" width="14.0703125" style="257" customWidth="1"/>
    <col min="3" max="3" width="12.640625" style="257" customWidth="1"/>
    <col min="4" max="4" width="13.0703125" style="257" customWidth="1"/>
    <col min="5" max="5" width="14.5703125" style="257" customWidth="1"/>
    <col min="6" max="6" width="13.0703125" style="257" customWidth="1"/>
    <col min="7" max="7" width="11" style="257" bestFit="1" customWidth="1"/>
    <col min="8" max="8" width="17.140625" style="257" customWidth="1"/>
    <col min="9" max="16384" width="9" style="257"/>
  </cols>
  <sheetData>
    <row r="1" spans="1:43" s="295" customFormat="1" ht="17.600000000000001" x14ac:dyDescent="0.4">
      <c r="A1" s="287" t="s">
        <v>15</v>
      </c>
      <c r="B1" s="294"/>
      <c r="C1" s="294"/>
      <c r="D1" s="294"/>
      <c r="E1" s="294"/>
      <c r="F1" s="294"/>
      <c r="G1" s="294"/>
      <c r="H1" s="294"/>
      <c r="I1" s="294"/>
      <c r="J1" s="294"/>
      <c r="K1" s="294"/>
      <c r="L1" s="294"/>
      <c r="M1" s="294"/>
      <c r="N1" s="294"/>
      <c r="O1" s="294"/>
      <c r="P1" s="294"/>
      <c r="Q1" s="294"/>
      <c r="R1" s="294"/>
      <c r="S1" s="294"/>
      <c r="T1" s="294"/>
      <c r="U1" s="294"/>
      <c r="V1" s="294"/>
      <c r="W1" s="294"/>
      <c r="X1" s="294"/>
      <c r="Y1" s="294"/>
      <c r="Z1" s="294"/>
      <c r="AA1" s="294"/>
      <c r="AB1" s="294"/>
      <c r="AC1" s="294"/>
      <c r="AD1" s="294"/>
      <c r="AE1" s="294"/>
      <c r="AF1" s="294"/>
      <c r="AG1" s="294"/>
      <c r="AH1" s="294"/>
      <c r="AI1" s="294"/>
      <c r="AJ1" s="294"/>
      <c r="AK1" s="294"/>
      <c r="AL1" s="294"/>
      <c r="AM1" s="294"/>
      <c r="AN1" s="294"/>
      <c r="AO1" s="294"/>
      <c r="AP1" s="294"/>
      <c r="AQ1" s="294"/>
    </row>
    <row r="2" spans="1:43" ht="15.75" customHeight="1" x14ac:dyDescent="0.3">
      <c r="A2" s="659" t="s">
        <v>759</v>
      </c>
      <c r="B2" s="659"/>
      <c r="C2" s="659"/>
      <c r="D2" s="659"/>
      <c r="E2" s="659"/>
      <c r="F2" s="659"/>
      <c r="G2" s="659"/>
    </row>
    <row r="3" spans="1:43" ht="12.75" customHeight="1" x14ac:dyDescent="0.3">
      <c r="A3" s="659"/>
      <c r="B3" s="659"/>
      <c r="C3" s="659"/>
      <c r="D3" s="659"/>
      <c r="E3" s="659"/>
      <c r="F3" s="659"/>
      <c r="G3" s="659"/>
    </row>
    <row r="4" spans="1:43" x14ac:dyDescent="0.3">
      <c r="A4" s="659"/>
      <c r="B4" s="659"/>
      <c r="C4" s="659"/>
      <c r="D4" s="659"/>
      <c r="E4" s="659"/>
      <c r="F4" s="659"/>
      <c r="G4" s="659"/>
    </row>
    <row r="5" spans="1:43" x14ac:dyDescent="0.3">
      <c r="A5" s="659"/>
      <c r="B5" s="659"/>
      <c r="C5" s="659"/>
      <c r="D5" s="659"/>
      <c r="E5" s="659"/>
      <c r="F5" s="659"/>
      <c r="G5" s="659"/>
    </row>
    <row r="6" spans="1:43" x14ac:dyDescent="0.3">
      <c r="A6" s="659"/>
      <c r="B6" s="659"/>
      <c r="C6" s="659"/>
      <c r="D6" s="659"/>
      <c r="E6" s="659"/>
      <c r="F6" s="659"/>
      <c r="G6" s="659"/>
    </row>
    <row r="7" spans="1:43" x14ac:dyDescent="0.3">
      <c r="A7" s="659"/>
      <c r="B7" s="659"/>
      <c r="C7" s="659"/>
      <c r="D7" s="659"/>
      <c r="E7" s="659"/>
      <c r="F7" s="659"/>
      <c r="G7" s="659"/>
    </row>
    <row r="8" spans="1:43" ht="24.9" x14ac:dyDescent="0.3">
      <c r="A8" s="256"/>
      <c r="B8" s="256" t="s">
        <v>166</v>
      </c>
      <c r="C8" s="256" t="s">
        <v>167</v>
      </c>
      <c r="D8" s="256" t="s">
        <v>168</v>
      </c>
      <c r="E8" s="256" t="s">
        <v>169</v>
      </c>
      <c r="F8" s="256" t="s">
        <v>170</v>
      </c>
      <c r="G8" s="256" t="s">
        <v>171</v>
      </c>
    </row>
    <row r="9" spans="1:43" x14ac:dyDescent="0.3">
      <c r="A9" s="335" t="s">
        <v>510</v>
      </c>
      <c r="B9" s="255">
        <f>SUMIFS('3-Digester Inputs'!$BE$17:$BE$31,'3-Digester Inputs'!$S$17:$S$31,'12-OrganEcs Input Sheet'!B8)*365/1000</f>
        <v>0</v>
      </c>
      <c r="C9" s="255">
        <f>SUMIFS('3-Digester Inputs'!$BE$17:$BE$31,'3-Digester Inputs'!$S$17:$S$31,'12-OrganEcs Input Sheet'!C8)*365/1000</f>
        <v>0</v>
      </c>
      <c r="D9" s="255">
        <f>SUMIFS('3-Digester Inputs'!$BE$17:$BE$31,'3-Digester Inputs'!$S$17:$S$31,'12-OrganEcs Input Sheet'!D8)*365/1000</f>
        <v>7329.8856948399989</v>
      </c>
      <c r="E9" s="255">
        <f>SUMIFS('3-Digester Inputs'!$BE$17:$BE$31,'3-Digester Inputs'!$S$17:$S$31,'12-OrganEcs Input Sheet'!E8)*365/1000</f>
        <v>0</v>
      </c>
      <c r="F9" s="255">
        <f>SUMIFS('3-Digester Inputs'!$BE$17:$BE$31,'3-Digester Inputs'!$S$17:$S$31,'12-OrganEcs Input Sheet'!F8)*365/1000</f>
        <v>0</v>
      </c>
      <c r="G9" s="255">
        <f>SUMIFS('3-Digester Inputs'!$BE$17:$BE$31,'3-Digester Inputs'!$S$17:$S$31,'12-OrganEcs Input Sheet'!G8)*365/1000</f>
        <v>0</v>
      </c>
    </row>
    <row r="10" spans="1:43" x14ac:dyDescent="0.3">
      <c r="A10" s="336" t="s">
        <v>511</v>
      </c>
      <c r="B10" s="337" t="str">
        <f>IFERROR(B11*B12,"")</f>
        <v/>
      </c>
      <c r="C10" s="337" t="str">
        <f t="shared" ref="C10:G10" si="0">IFERROR(C11*C12,"")</f>
        <v/>
      </c>
      <c r="D10" s="337">
        <f t="shared" si="0"/>
        <v>0.3041015183493529</v>
      </c>
      <c r="E10" s="337" t="str">
        <f t="shared" si="0"/>
        <v/>
      </c>
      <c r="F10" s="337" t="str">
        <f t="shared" si="0"/>
        <v/>
      </c>
      <c r="G10" s="337" t="str">
        <f t="shared" si="0"/>
        <v/>
      </c>
    </row>
    <row r="11" spans="1:43" x14ac:dyDescent="0.3">
      <c r="A11" s="336" t="s">
        <v>512</v>
      </c>
      <c r="B11" s="254" t="str">
        <f>IFERROR(SUMPRODUCT('3-Digester Inputs'!T17:T31,'3-Digester Inputs'!Z17:Z31)/SUM('3-Digester Inputs'!T17:T31),"")</f>
        <v/>
      </c>
      <c r="C11" s="254" t="str">
        <f>IFERROR(SUMPRODUCT('3-Digester Inputs'!U17:U31,'3-Digester Inputs'!AA17:AA31)/SUM('3-Digester Inputs'!U17:U31),"")</f>
        <v/>
      </c>
      <c r="D11" s="254">
        <f>IFERROR(SUMPRODUCT('3-Digester Inputs'!V17:V31,'3-Digester Inputs'!AB17:AB31)/SUM('3-Digester Inputs'!V17:V31),"")</f>
        <v>4.6427226219120196E-2</v>
      </c>
      <c r="E11" s="254" t="str">
        <f>IFERROR(SUMPRODUCT('3-Digester Inputs'!W17:W31,'3-Digester Inputs'!AC17:AC31)/SUM('3-Digester Inputs'!W17:W31),"")</f>
        <v/>
      </c>
      <c r="F11" s="254" t="str">
        <f>IFERROR(SUMPRODUCT('3-Digester Inputs'!X17:X31,'3-Digester Inputs'!AD17:AD31)/SUM('3-Digester Inputs'!X17:X31),"")</f>
        <v/>
      </c>
      <c r="G11" s="254" t="str">
        <f>IFERROR(SUMPRODUCT('3-Digester Inputs'!Y17:Y31,'3-Digester Inputs'!AE17:AE31)/SUM('3-Digester Inputs'!Y17:Y31),"")</f>
        <v/>
      </c>
    </row>
    <row r="12" spans="1:43" x14ac:dyDescent="0.3">
      <c r="A12" s="336" t="s">
        <v>513</v>
      </c>
      <c r="B12" s="253" t="str">
        <f>IFERROR(SUMPRODUCT('3-Digester Inputs'!AF17:AF31,'3-Digester Inputs'!T17:T31)/SUM('3-Digester Inputs'!T17:T31),"")</f>
        <v/>
      </c>
      <c r="C12" s="253" t="str">
        <f>IFERROR(SUMPRODUCT('3-Digester Inputs'!AG17:AG31,'3-Digester Inputs'!U17:U31)/SUM('3-Digester Inputs'!U17:U31),"")</f>
        <v/>
      </c>
      <c r="D12" s="253">
        <f>IFERROR(SUMPRODUCT('3-Digester Inputs'!AH17:AH31,'3-Digester Inputs'!V17:V31)/SUM('3-Digester Inputs'!V17:V31),"")</f>
        <v>6.5500686367542302</v>
      </c>
      <c r="E12" s="253" t="str">
        <f>IFERROR(SUMPRODUCT('3-Digester Inputs'!AI17:AI31,'3-Digester Inputs'!W17:W31)/SUM('3-Digester Inputs'!W17:W31),"")</f>
        <v/>
      </c>
      <c r="F12" s="253" t="str">
        <f>IFERROR(SUMPRODUCT('3-Digester Inputs'!AJ17:AJ31,'3-Digester Inputs'!X17:X31)/SUM('3-Digester Inputs'!X17:X31),"")</f>
        <v/>
      </c>
      <c r="G12" s="253" t="str">
        <f>IFERROR(SUMPRODUCT('3-Digester Inputs'!AK17:AK31,'3-Digester Inputs'!Y17:Y31)/SUM('3-Digester Inputs'!Y17:Y31),"")</f>
        <v/>
      </c>
    </row>
    <row r="13" spans="1:43" x14ac:dyDescent="0.3">
      <c r="A13" s="336" t="s">
        <v>514</v>
      </c>
      <c r="B13" s="252" t="str">
        <f>IFERROR(SUMPRODUCT('3-Digester Inputs'!AL17:AL31,'3-Digester Inputs'!T17:T31)/SUM('3-Digester Inputs'!T17:T31),"")</f>
        <v/>
      </c>
      <c r="C13" s="252" t="str">
        <f>IFERROR(SUMPRODUCT('3-Digester Inputs'!AM17:AM31,'3-Digester Inputs'!U17:U31)/SUM('3-Digester Inputs'!U17:U31),"")</f>
        <v/>
      </c>
      <c r="D13" s="252">
        <f>IFERROR(SUMPRODUCT('3-Digester Inputs'!AN17:AN31,'3-Digester Inputs'!V17:V31)/SUM('3-Digester Inputs'!V17:V31),"")</f>
        <v>0.83040792356515258</v>
      </c>
      <c r="E13" s="252" t="str">
        <f>IFERROR(SUMPRODUCT('3-Digester Inputs'!AO17:AO31,'3-Digester Inputs'!W17:W31)/SUM('3-Digester Inputs'!W17:W31),"")</f>
        <v/>
      </c>
      <c r="F13" s="252" t="str">
        <f>IFERROR(SUMPRODUCT('3-Digester Inputs'!AP17:AP31,'3-Digester Inputs'!X17:X31)/SUM('3-Digester Inputs'!X17:X31),"")</f>
        <v/>
      </c>
      <c r="G13" s="252" t="str">
        <f>IFERROR(SUMPRODUCT('3-Digester Inputs'!AQ17:AQ31,'3-Digester Inputs'!Y17:Y31)/SUM('3-Digester Inputs'!Y17:Y31),"")</f>
        <v/>
      </c>
    </row>
    <row r="14" spans="1:43" x14ac:dyDescent="0.3">
      <c r="A14" s="336" t="s">
        <v>515</v>
      </c>
      <c r="B14" s="252" t="str">
        <f>IFERROR(SUMPRODUCT('3-Digester Inputs'!AR17:AR31,'3-Digester Inputs'!T17:T31)/SUM('3-Digester Inputs'!T17:T31),"")</f>
        <v/>
      </c>
      <c r="C14" s="252" t="str">
        <f>IFERROR(SUMPRODUCT('3-Digester Inputs'!AS17:AS31,'3-Digester Inputs'!U17:U31)/SUM('3-Digester Inputs'!U17:U31),"")</f>
        <v/>
      </c>
      <c r="D14" s="252">
        <f>IFERROR(SUMPRODUCT('3-Digester Inputs'!AT17:AT31,'3-Digester Inputs'!V17:V31)/SUM('3-Digester Inputs'!V17:V31),"")</f>
        <v>9.3342945946890965E-2</v>
      </c>
      <c r="E14" s="252" t="str">
        <f>IFERROR(SUMPRODUCT('3-Digester Inputs'!AU17:AU31,'3-Digester Inputs'!W17:W31)/SUM('3-Digester Inputs'!W17:W31),"")</f>
        <v/>
      </c>
      <c r="F14" s="252" t="str">
        <f>IFERROR(SUMPRODUCT('3-Digester Inputs'!AV17:AV31,'3-Digester Inputs'!X17:X31)/SUM('3-Digester Inputs'!X17:X31),"")</f>
        <v/>
      </c>
      <c r="G14" s="252" t="str">
        <f>IFERROR(SUMPRODUCT('3-Digester Inputs'!AW17:AW31,'3-Digester Inputs'!Y17:Y31)/SUM('3-Digester Inputs'!Y17:Y31),"")</f>
        <v/>
      </c>
    </row>
    <row r="15" spans="1:43" x14ac:dyDescent="0.3">
      <c r="A15" s="336" t="s">
        <v>516</v>
      </c>
      <c r="B15" s="338" t="str">
        <f>IFERROR(B10*B9,"")</f>
        <v/>
      </c>
      <c r="C15" s="338" t="str">
        <f t="shared" ref="C15:G15" si="1">IFERROR(C10*C9,"")</f>
        <v/>
      </c>
      <c r="D15" s="338">
        <f t="shared" si="1"/>
        <v>2229.0293691280453</v>
      </c>
      <c r="E15" s="338" t="str">
        <f t="shared" si="1"/>
        <v/>
      </c>
      <c r="F15" s="338" t="str">
        <f t="shared" si="1"/>
        <v/>
      </c>
      <c r="G15" s="338" t="str">
        <f t="shared" si="1"/>
        <v/>
      </c>
    </row>
    <row r="16" spans="1:43" x14ac:dyDescent="0.3">
      <c r="A16" s="336" t="s">
        <v>517</v>
      </c>
      <c r="B16" s="338" t="str">
        <f>IFERROR(B9*B11,"")</f>
        <v/>
      </c>
      <c r="C16" s="338" t="str">
        <f t="shared" ref="C16:G16" si="2">IFERROR(C9*C11,"")</f>
        <v/>
      </c>
      <c r="D16" s="338">
        <f t="shared" si="2"/>
        <v>340.30626131462964</v>
      </c>
      <c r="E16" s="338" t="str">
        <f t="shared" si="2"/>
        <v/>
      </c>
      <c r="F16" s="338" t="str">
        <f t="shared" si="2"/>
        <v/>
      </c>
      <c r="G16" s="338" t="str">
        <f t="shared" si="2"/>
        <v/>
      </c>
    </row>
    <row r="17" spans="1:7" x14ac:dyDescent="0.3">
      <c r="A17" s="336" t="s">
        <v>518</v>
      </c>
      <c r="B17" s="338" t="str">
        <f>IFERROR(B13*B9,"")</f>
        <v/>
      </c>
      <c r="C17" s="338" t="str">
        <f t="shared" ref="C17:G17" si="3">IFERROR(C13*C9,"")</f>
        <v/>
      </c>
      <c r="D17" s="338">
        <f t="shared" si="3"/>
        <v>6086.7951598219988</v>
      </c>
      <c r="E17" s="338" t="str">
        <f t="shared" si="3"/>
        <v/>
      </c>
      <c r="F17" s="338" t="str">
        <f t="shared" si="3"/>
        <v/>
      </c>
      <c r="G17" s="338" t="str">
        <f t="shared" si="3"/>
        <v/>
      </c>
    </row>
    <row r="18" spans="1:7" x14ac:dyDescent="0.3">
      <c r="A18" s="336" t="s">
        <v>519</v>
      </c>
      <c r="B18" s="338" t="str">
        <f>IFERROR(B9*B14,"")</f>
        <v/>
      </c>
      <c r="C18" s="338" t="str">
        <f t="shared" ref="C18:G18" si="4">IFERROR(C9*C14,"")</f>
        <v/>
      </c>
      <c r="D18" s="338">
        <f t="shared" si="4"/>
        <v>684.19312421033931</v>
      </c>
      <c r="E18" s="338" t="str">
        <f t="shared" si="4"/>
        <v/>
      </c>
      <c r="F18" s="338" t="str">
        <f t="shared" si="4"/>
        <v/>
      </c>
      <c r="G18" s="338" t="str">
        <f t="shared" si="4"/>
        <v/>
      </c>
    </row>
    <row r="19" spans="1:7" ht="14.15" x14ac:dyDescent="0.3">
      <c r="A19" s="336" t="s">
        <v>520</v>
      </c>
      <c r="B19" s="251" t="str">
        <f>IFERROR(SUMPRODUCT('3-Digester Inputs'!T17:T31,'3-Digester Inputs'!AX17:AX31)/SUM('3-Digester Inputs'!T17:T31)*1000,"")</f>
        <v/>
      </c>
      <c r="C19" s="251" t="str">
        <f>IFERROR(SUMPRODUCT('3-Digester Inputs'!U17:U31,'3-Digester Inputs'!AY17:AY31)/SUM('3-Digester Inputs'!U17:U31)*1000,"")</f>
        <v/>
      </c>
      <c r="D19" s="251">
        <f>IFERROR(SUMPRODUCT('3-Digester Inputs'!V17:V31,'3-Digester Inputs'!AZ17:AZ31)/SUM('3-Digester Inputs'!V17:V31)*1000,"")</f>
        <v>152.10326835768979</v>
      </c>
      <c r="E19" s="251" t="str">
        <f>IFERROR(SUMPRODUCT('3-Digester Inputs'!W17:W31,'3-Digester Inputs'!BA17:BA31)/SUM('3-Digester Inputs'!W17:W31)*1000,"")</f>
        <v/>
      </c>
      <c r="F19" s="251" t="str">
        <f>IFERROR(SUMPRODUCT('3-Digester Inputs'!X17:X31,'3-Digester Inputs'!BB17:BB31)/SUM('3-Digester Inputs'!X17:X31)*1000,"")</f>
        <v/>
      </c>
      <c r="G19" s="251" t="str">
        <f>IFERROR(SUMPRODUCT('3-Digester Inputs'!Y17:Y31,'3-Digester Inputs'!BC17:BC31)/SUM('3-Digester Inputs'!Y17:Y31)*1000,"")</f>
        <v/>
      </c>
    </row>
  </sheetData>
  <mergeCells count="1">
    <mergeCell ref="A2:G7"/>
  </mergeCells>
  <pageMargins left="0.7" right="0.7" top="0.75" bottom="0.75" header="0.3" footer="0.3"/>
  <pageSetup orientation="portrait" r:id="rId1"/>
  <ignoredErrors>
    <ignoredError sqref="B11:G14" unlocked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rgb="FFE8D548"/>
  </sheetPr>
  <dimension ref="A1:Y35"/>
  <sheetViews>
    <sheetView workbookViewId="0"/>
  </sheetViews>
  <sheetFormatPr defaultColWidth="9" defaultRowHeight="15" x14ac:dyDescent="0.35"/>
  <cols>
    <col min="1" max="1" width="1.0703125" style="9" customWidth="1"/>
    <col min="2" max="2" width="41.5" style="9" bestFit="1" customWidth="1"/>
    <col min="3" max="3" width="12" style="9" bestFit="1" customWidth="1"/>
    <col min="4" max="16384" width="9" style="9"/>
  </cols>
  <sheetData>
    <row r="1" spans="1:25" ht="17.600000000000001" x14ac:dyDescent="0.4">
      <c r="A1" s="290" t="s">
        <v>521</v>
      </c>
      <c r="B1" s="288"/>
      <c r="C1" s="288"/>
      <c r="D1" s="288"/>
      <c r="E1" s="288"/>
      <c r="F1" s="288"/>
      <c r="G1" s="288"/>
      <c r="H1" s="288"/>
      <c r="I1" s="288"/>
      <c r="J1" s="288"/>
      <c r="K1" s="288"/>
      <c r="L1" s="288"/>
      <c r="M1" s="288"/>
      <c r="N1" s="288"/>
      <c r="O1" s="288"/>
      <c r="P1" s="288"/>
      <c r="Q1" s="288"/>
      <c r="R1" s="288"/>
      <c r="S1" s="288"/>
      <c r="T1" s="288"/>
      <c r="U1" s="288"/>
    </row>
    <row r="2" spans="1:25" ht="17.600000000000001" x14ac:dyDescent="0.4">
      <c r="A2" s="56"/>
    </row>
    <row r="3" spans="1:25" ht="17.600000000000001" x14ac:dyDescent="0.4">
      <c r="A3" s="56"/>
    </row>
    <row r="4" spans="1:25" ht="17.600000000000001" x14ac:dyDescent="0.4">
      <c r="A4" s="56"/>
    </row>
    <row r="5" spans="1:25" ht="6.65" customHeight="1" x14ac:dyDescent="0.35"/>
    <row r="6" spans="1:25" ht="15.45" thickBot="1" x14ac:dyDescent="0.4">
      <c r="B6" s="210" t="s">
        <v>522</v>
      </c>
      <c r="C6" s="210"/>
      <c r="D6" s="210"/>
      <c r="E6" s="210"/>
      <c r="F6" s="210"/>
      <c r="G6" s="210"/>
      <c r="H6" s="210"/>
      <c r="I6" s="210"/>
      <c r="J6" s="210"/>
      <c r="K6" s="210"/>
      <c r="L6" s="210"/>
      <c r="M6" s="210"/>
      <c r="N6" s="210"/>
      <c r="O6" s="210"/>
      <c r="P6" s="210"/>
      <c r="Q6" s="210"/>
      <c r="R6" s="210"/>
      <c r="S6" s="210"/>
      <c r="T6" s="210"/>
      <c r="U6" s="210"/>
    </row>
    <row r="7" spans="1:25" ht="15.45" thickBot="1" x14ac:dyDescent="0.4">
      <c r="B7" s="234"/>
      <c r="C7" s="663" t="s">
        <v>523</v>
      </c>
      <c r="D7" s="664"/>
      <c r="E7" s="664"/>
      <c r="F7" s="664"/>
      <c r="G7" s="664"/>
      <c r="H7" s="664"/>
      <c r="I7" s="664"/>
      <c r="J7" s="664"/>
      <c r="K7" s="664"/>
      <c r="L7" s="664"/>
      <c r="M7" s="664"/>
      <c r="N7" s="664"/>
      <c r="O7" s="664"/>
      <c r="P7" s="664"/>
      <c r="Q7" s="664"/>
      <c r="R7" s="664"/>
      <c r="S7" s="664"/>
      <c r="T7" s="664"/>
      <c r="U7" s="665"/>
    </row>
    <row r="8" spans="1:25" x14ac:dyDescent="0.35">
      <c r="B8" s="482"/>
      <c r="C8" s="660" t="s">
        <v>524</v>
      </c>
      <c r="D8" s="661"/>
      <c r="E8" s="661"/>
      <c r="F8" s="661"/>
      <c r="G8" s="662"/>
      <c r="H8" s="660" t="s">
        <v>525</v>
      </c>
      <c r="I8" s="661"/>
      <c r="J8" s="661"/>
      <c r="K8" s="661"/>
      <c r="L8" s="661"/>
      <c r="M8" s="661"/>
      <c r="N8" s="661"/>
      <c r="O8" s="661"/>
      <c r="P8" s="661"/>
      <c r="Q8" s="661"/>
      <c r="R8" s="662"/>
      <c r="S8" s="660" t="s">
        <v>526</v>
      </c>
      <c r="T8" s="661"/>
      <c r="U8" s="662"/>
    </row>
    <row r="9" spans="1:25" x14ac:dyDescent="0.35">
      <c r="B9" s="482" t="s">
        <v>527</v>
      </c>
      <c r="C9" s="235">
        <v>10</v>
      </c>
      <c r="D9" s="236">
        <v>11</v>
      </c>
      <c r="E9" s="236">
        <v>12</v>
      </c>
      <c r="F9" s="236">
        <v>13</v>
      </c>
      <c r="G9" s="237">
        <v>14</v>
      </c>
      <c r="H9" s="235">
        <v>15</v>
      </c>
      <c r="I9" s="236">
        <v>16</v>
      </c>
      <c r="J9" s="236">
        <v>17</v>
      </c>
      <c r="K9" s="236">
        <v>18</v>
      </c>
      <c r="L9" s="236">
        <v>19</v>
      </c>
      <c r="M9" s="236">
        <v>20</v>
      </c>
      <c r="N9" s="236">
        <v>21</v>
      </c>
      <c r="O9" s="236">
        <v>22</v>
      </c>
      <c r="P9" s="236">
        <v>23</v>
      </c>
      <c r="Q9" s="236">
        <v>24</v>
      </c>
      <c r="R9" s="237">
        <v>25</v>
      </c>
      <c r="S9" s="235">
        <v>26</v>
      </c>
      <c r="T9" s="236">
        <v>27</v>
      </c>
      <c r="U9" s="237">
        <v>28</v>
      </c>
      <c r="Y9" s="481"/>
    </row>
    <row r="10" spans="1:25" x14ac:dyDescent="0.35">
      <c r="B10" s="482" t="s">
        <v>528</v>
      </c>
      <c r="C10" s="238">
        <v>0</v>
      </c>
      <c r="D10" s="226">
        <v>0</v>
      </c>
      <c r="E10" s="226">
        <v>0</v>
      </c>
      <c r="F10" s="226">
        <v>0</v>
      </c>
      <c r="G10" s="239">
        <v>0</v>
      </c>
      <c r="H10" s="238">
        <v>0</v>
      </c>
      <c r="I10" s="226">
        <v>0</v>
      </c>
      <c r="J10" s="226">
        <v>0</v>
      </c>
      <c r="K10" s="226">
        <v>0</v>
      </c>
      <c r="L10" s="226">
        <v>0</v>
      </c>
      <c r="M10" s="226">
        <v>0</v>
      </c>
      <c r="N10" s="226">
        <v>0</v>
      </c>
      <c r="O10" s="226">
        <v>0</v>
      </c>
      <c r="P10" s="226">
        <v>0</v>
      </c>
      <c r="Q10" s="226">
        <v>0</v>
      </c>
      <c r="R10" s="239">
        <v>0</v>
      </c>
      <c r="S10" s="238">
        <v>0</v>
      </c>
      <c r="T10" s="226">
        <v>0</v>
      </c>
      <c r="U10" s="239">
        <v>0</v>
      </c>
      <c r="Y10" s="481"/>
    </row>
    <row r="11" spans="1:25" x14ac:dyDescent="0.35">
      <c r="B11" s="482" t="s">
        <v>529</v>
      </c>
      <c r="C11" s="238">
        <v>1</v>
      </c>
      <c r="D11" s="226">
        <v>1</v>
      </c>
      <c r="E11" s="226">
        <v>1</v>
      </c>
      <c r="F11" s="226">
        <v>1</v>
      </c>
      <c r="G11" s="239">
        <v>1</v>
      </c>
      <c r="H11" s="238">
        <v>1</v>
      </c>
      <c r="I11" s="226">
        <v>1</v>
      </c>
      <c r="J11" s="226">
        <v>1</v>
      </c>
      <c r="K11" s="226">
        <v>1</v>
      </c>
      <c r="L11" s="226">
        <v>1</v>
      </c>
      <c r="M11" s="226">
        <v>1</v>
      </c>
      <c r="N11" s="226">
        <v>1</v>
      </c>
      <c r="O11" s="226">
        <v>1</v>
      </c>
      <c r="P11" s="226">
        <v>1</v>
      </c>
      <c r="Q11" s="226">
        <v>1</v>
      </c>
      <c r="R11" s="239">
        <v>1</v>
      </c>
      <c r="S11" s="238">
        <v>1</v>
      </c>
      <c r="T11" s="226">
        <v>1</v>
      </c>
      <c r="U11" s="239">
        <v>1</v>
      </c>
      <c r="Y11" s="481"/>
    </row>
    <row r="12" spans="1:25" x14ac:dyDescent="0.35">
      <c r="B12" s="482" t="s">
        <v>530</v>
      </c>
      <c r="C12" s="238">
        <v>0.03</v>
      </c>
      <c r="D12" s="226">
        <v>0.03</v>
      </c>
      <c r="E12" s="226">
        <v>0.03</v>
      </c>
      <c r="F12" s="226">
        <v>0.03</v>
      </c>
      <c r="G12" s="239">
        <v>0.03</v>
      </c>
      <c r="H12" s="238">
        <v>0.03</v>
      </c>
      <c r="I12" s="226">
        <v>0.03</v>
      </c>
      <c r="J12" s="226">
        <v>0.03</v>
      </c>
      <c r="K12" s="226">
        <v>0.03</v>
      </c>
      <c r="L12" s="226">
        <v>0.03</v>
      </c>
      <c r="M12" s="226">
        <v>0.03</v>
      </c>
      <c r="N12" s="226">
        <v>0.03</v>
      </c>
      <c r="O12" s="226">
        <v>0.03</v>
      </c>
      <c r="P12" s="226">
        <v>0.03</v>
      </c>
      <c r="Q12" s="226">
        <v>0.03</v>
      </c>
      <c r="R12" s="239">
        <v>0.03</v>
      </c>
      <c r="S12" s="238">
        <v>0.3</v>
      </c>
      <c r="T12" s="226">
        <v>0.3</v>
      </c>
      <c r="U12" s="239">
        <v>0.3</v>
      </c>
      <c r="Y12" s="481" t="s">
        <v>531</v>
      </c>
    </row>
    <row r="13" spans="1:25" x14ac:dyDescent="0.35">
      <c r="B13" s="482" t="s">
        <v>532</v>
      </c>
      <c r="C13" s="238">
        <v>0.17</v>
      </c>
      <c r="D13" s="226">
        <v>0.19</v>
      </c>
      <c r="E13" s="226">
        <v>0.2</v>
      </c>
      <c r="F13" s="226">
        <v>0.22</v>
      </c>
      <c r="G13" s="239">
        <v>0.25</v>
      </c>
      <c r="H13" s="238">
        <v>0.27</v>
      </c>
      <c r="I13" s="226">
        <v>0.28999999999999998</v>
      </c>
      <c r="J13" s="226">
        <v>0.32</v>
      </c>
      <c r="K13" s="226">
        <v>0.35</v>
      </c>
      <c r="L13" s="226">
        <v>0.39</v>
      </c>
      <c r="M13" s="226">
        <v>0.42</v>
      </c>
      <c r="N13" s="226">
        <v>0.46</v>
      </c>
      <c r="O13" s="226">
        <v>0.5</v>
      </c>
      <c r="P13" s="226">
        <v>0.55000000000000004</v>
      </c>
      <c r="Q13" s="226">
        <v>0.6</v>
      </c>
      <c r="R13" s="239">
        <v>0.65</v>
      </c>
      <c r="S13" s="238">
        <v>0.71</v>
      </c>
      <c r="T13" s="226">
        <v>0.78</v>
      </c>
      <c r="U13" s="239">
        <v>0.9</v>
      </c>
      <c r="Y13" s="481" t="s">
        <v>533</v>
      </c>
    </row>
    <row r="14" spans="1:25" x14ac:dyDescent="0.35">
      <c r="B14" s="482" t="s">
        <v>534</v>
      </c>
      <c r="C14" s="238">
        <v>5.0000000000000001E-3</v>
      </c>
      <c r="D14" s="226">
        <v>5.0000000000000001E-3</v>
      </c>
      <c r="E14" s="226">
        <v>5.0000000000000001E-3</v>
      </c>
      <c r="F14" s="226">
        <v>5.0000000000000001E-3</v>
      </c>
      <c r="G14" s="239">
        <v>5.0000000000000001E-3</v>
      </c>
      <c r="H14" s="238">
        <v>5.0000000000000001E-3</v>
      </c>
      <c r="I14" s="226">
        <v>5.0000000000000001E-3</v>
      </c>
      <c r="J14" s="226">
        <v>5.0000000000000001E-3</v>
      </c>
      <c r="K14" s="226">
        <v>5.0000000000000001E-3</v>
      </c>
      <c r="L14" s="226">
        <v>5.0000000000000001E-3</v>
      </c>
      <c r="M14" s="226">
        <v>5.0000000000000001E-3</v>
      </c>
      <c r="N14" s="226">
        <v>5.0000000000000001E-3</v>
      </c>
      <c r="O14" s="226">
        <v>5.0000000000000001E-3</v>
      </c>
      <c r="P14" s="226">
        <v>5.0000000000000001E-3</v>
      </c>
      <c r="Q14" s="226">
        <v>5.0000000000000001E-3</v>
      </c>
      <c r="R14" s="239">
        <v>5.0000000000000001E-3</v>
      </c>
      <c r="S14" s="238">
        <v>5.0000000000000001E-3</v>
      </c>
      <c r="T14" s="226">
        <v>5.0000000000000001E-3</v>
      </c>
      <c r="U14" s="239">
        <v>5.0000000000000001E-3</v>
      </c>
      <c r="Y14" s="481" t="s">
        <v>535</v>
      </c>
    </row>
    <row r="15" spans="1:25" x14ac:dyDescent="0.35">
      <c r="B15" s="482" t="s">
        <v>536</v>
      </c>
      <c r="C15" s="238">
        <v>5.0000000000000001E-3</v>
      </c>
      <c r="D15" s="226">
        <v>5.0000000000000001E-3</v>
      </c>
      <c r="E15" s="226">
        <v>5.0000000000000001E-3</v>
      </c>
      <c r="F15" s="226">
        <v>5.0000000000000001E-3</v>
      </c>
      <c r="G15" s="239">
        <v>5.0000000000000001E-3</v>
      </c>
      <c r="H15" s="238">
        <v>0.01</v>
      </c>
      <c r="I15" s="226">
        <v>0.01</v>
      </c>
      <c r="J15" s="226">
        <v>0.01</v>
      </c>
      <c r="K15" s="226">
        <v>0.01</v>
      </c>
      <c r="L15" s="226">
        <v>0.01</v>
      </c>
      <c r="M15" s="226">
        <v>0.01</v>
      </c>
      <c r="N15" s="226">
        <v>0.01</v>
      </c>
      <c r="O15" s="226">
        <v>0.01</v>
      </c>
      <c r="P15" s="226">
        <v>0.01</v>
      </c>
      <c r="Q15" s="226">
        <v>0.01</v>
      </c>
      <c r="R15" s="239">
        <v>0.01</v>
      </c>
      <c r="S15" s="238">
        <v>1.4999999999999999E-2</v>
      </c>
      <c r="T15" s="226">
        <v>1.4999999999999999E-2</v>
      </c>
      <c r="U15" s="239">
        <v>1.4999999999999999E-2</v>
      </c>
      <c r="Y15" s="481" t="s">
        <v>537</v>
      </c>
    </row>
    <row r="16" spans="1:25" x14ac:dyDescent="0.35">
      <c r="B16" s="482" t="s">
        <v>538</v>
      </c>
      <c r="C16" s="238">
        <v>5.0000000000000001E-3</v>
      </c>
      <c r="D16" s="226">
        <v>5.0000000000000001E-3</v>
      </c>
      <c r="E16" s="226">
        <v>5.0000000000000001E-3</v>
      </c>
      <c r="F16" s="226">
        <v>5.0000000000000001E-3</v>
      </c>
      <c r="G16" s="239">
        <v>5.0000000000000001E-3</v>
      </c>
      <c r="H16" s="238">
        <v>0.01</v>
      </c>
      <c r="I16" s="226">
        <v>0.01</v>
      </c>
      <c r="J16" s="226">
        <v>0.01</v>
      </c>
      <c r="K16" s="226">
        <v>0.01</v>
      </c>
      <c r="L16" s="226">
        <v>0.01</v>
      </c>
      <c r="M16" s="226">
        <v>0.01</v>
      </c>
      <c r="N16" s="226">
        <v>0.01</v>
      </c>
      <c r="O16" s="226">
        <v>0.01</v>
      </c>
      <c r="P16" s="226">
        <v>0.01</v>
      </c>
      <c r="Q16" s="226">
        <v>0.01</v>
      </c>
      <c r="R16" s="239">
        <v>0.01</v>
      </c>
      <c r="S16" s="238">
        <v>1.4999999999999999E-2</v>
      </c>
      <c r="T16" s="226">
        <v>1.4999999999999999E-2</v>
      </c>
      <c r="U16" s="239">
        <v>1.4999999999999999E-2</v>
      </c>
      <c r="Y16" s="481" t="s">
        <v>239</v>
      </c>
    </row>
    <row r="17" spans="2:25" x14ac:dyDescent="0.35">
      <c r="B17" s="482" t="s">
        <v>539</v>
      </c>
      <c r="C17" s="238">
        <v>5.0000000000000001E-3</v>
      </c>
      <c r="D17" s="226">
        <v>5.0000000000000001E-3</v>
      </c>
      <c r="E17" s="226">
        <v>5.0000000000000001E-3</v>
      </c>
      <c r="F17" s="226">
        <v>5.0000000000000001E-3</v>
      </c>
      <c r="G17" s="239">
        <v>5.0000000000000001E-3</v>
      </c>
      <c r="H17" s="238">
        <v>5.0000000000000001E-3</v>
      </c>
      <c r="I17" s="226">
        <v>5.0000000000000001E-3</v>
      </c>
      <c r="J17" s="226">
        <v>5.0000000000000001E-3</v>
      </c>
      <c r="K17" s="226">
        <v>5.0000000000000001E-3</v>
      </c>
      <c r="L17" s="226">
        <v>5.0000000000000001E-3</v>
      </c>
      <c r="M17" s="226">
        <v>5.0000000000000001E-3</v>
      </c>
      <c r="N17" s="226">
        <v>5.0000000000000001E-3</v>
      </c>
      <c r="O17" s="226">
        <v>5.0000000000000001E-3</v>
      </c>
      <c r="P17" s="226">
        <v>5.0000000000000001E-3</v>
      </c>
      <c r="Q17" s="226">
        <v>5.0000000000000001E-3</v>
      </c>
      <c r="R17" s="239">
        <v>5.0000000000000001E-3</v>
      </c>
      <c r="S17" s="238">
        <v>5.0000000000000001E-3</v>
      </c>
      <c r="T17" s="226">
        <v>5.0000000000000001E-3</v>
      </c>
      <c r="U17" s="239">
        <v>5.0000000000000001E-3</v>
      </c>
      <c r="Y17" s="481" t="s">
        <v>540</v>
      </c>
    </row>
    <row r="18" spans="2:25" x14ac:dyDescent="0.35">
      <c r="B18" s="482" t="s">
        <v>541</v>
      </c>
      <c r="C18" s="238">
        <v>1E-3</v>
      </c>
      <c r="D18" s="226">
        <v>1E-3</v>
      </c>
      <c r="E18" s="226">
        <v>1E-3</v>
      </c>
      <c r="F18" s="226">
        <v>1E-3</v>
      </c>
      <c r="G18" s="239">
        <v>1E-3</v>
      </c>
      <c r="H18" s="238">
        <v>0.02</v>
      </c>
      <c r="I18" s="226">
        <v>0.02</v>
      </c>
      <c r="J18" s="226">
        <v>0.02</v>
      </c>
      <c r="K18" s="226">
        <v>0.02</v>
      </c>
      <c r="L18" s="226">
        <v>0.02</v>
      </c>
      <c r="M18" s="226">
        <v>0.02</v>
      </c>
      <c r="N18" s="226">
        <v>0.02</v>
      </c>
      <c r="O18" s="226">
        <v>0.02</v>
      </c>
      <c r="P18" s="226">
        <v>0.02</v>
      </c>
      <c r="Q18" s="226">
        <v>0.02</v>
      </c>
      <c r="R18" s="239">
        <v>0.02</v>
      </c>
      <c r="S18" s="238">
        <v>0.01</v>
      </c>
      <c r="T18" s="226">
        <v>0.01</v>
      </c>
      <c r="U18" s="239">
        <v>0.01</v>
      </c>
      <c r="Y18" s="481" t="s">
        <v>242</v>
      </c>
    </row>
    <row r="19" spans="2:25" x14ac:dyDescent="0.35">
      <c r="B19" s="482" t="s">
        <v>531</v>
      </c>
      <c r="C19" s="238">
        <v>0.01</v>
      </c>
      <c r="D19" s="226">
        <v>0.01</v>
      </c>
      <c r="E19" s="226">
        <v>0.01</v>
      </c>
      <c r="F19" s="226">
        <v>0.01</v>
      </c>
      <c r="G19" s="239">
        <v>0.01</v>
      </c>
      <c r="H19" s="238">
        <v>0.02</v>
      </c>
      <c r="I19" s="226">
        <v>0.02</v>
      </c>
      <c r="J19" s="226">
        <v>0.02</v>
      </c>
      <c r="K19" s="226">
        <v>0.02</v>
      </c>
      <c r="L19" s="226">
        <v>0.02</v>
      </c>
      <c r="M19" s="226">
        <v>0.02</v>
      </c>
      <c r="N19" s="226">
        <v>0.02</v>
      </c>
      <c r="O19" s="226">
        <v>0.02</v>
      </c>
      <c r="P19" s="226">
        <v>0.02</v>
      </c>
      <c r="Q19" s="226">
        <v>0.02</v>
      </c>
      <c r="R19" s="239">
        <v>0.02</v>
      </c>
      <c r="S19" s="238">
        <v>0.02</v>
      </c>
      <c r="T19" s="226">
        <v>0.02</v>
      </c>
      <c r="U19" s="239">
        <v>0.02</v>
      </c>
      <c r="Y19" s="481"/>
    </row>
    <row r="20" spans="2:25" x14ac:dyDescent="0.35">
      <c r="B20" s="482" t="s">
        <v>542</v>
      </c>
      <c r="C20" s="238">
        <v>1</v>
      </c>
      <c r="D20" s="226">
        <v>1</v>
      </c>
      <c r="E20" s="226">
        <v>1</v>
      </c>
      <c r="F20" s="226">
        <v>1</v>
      </c>
      <c r="G20" s="239">
        <v>1</v>
      </c>
      <c r="H20" s="238">
        <v>1</v>
      </c>
      <c r="I20" s="226">
        <v>1</v>
      </c>
      <c r="J20" s="226">
        <v>1</v>
      </c>
      <c r="K20" s="226">
        <v>1</v>
      </c>
      <c r="L20" s="226">
        <v>1</v>
      </c>
      <c r="M20" s="226">
        <v>1</v>
      </c>
      <c r="N20" s="226">
        <v>1</v>
      </c>
      <c r="O20" s="226">
        <v>1</v>
      </c>
      <c r="P20" s="226">
        <v>1</v>
      </c>
      <c r="Q20" s="226">
        <v>1</v>
      </c>
      <c r="R20" s="239">
        <v>1</v>
      </c>
      <c r="S20" s="238">
        <v>1</v>
      </c>
      <c r="T20" s="226">
        <v>1</v>
      </c>
      <c r="U20" s="239">
        <v>1</v>
      </c>
      <c r="Y20" s="481"/>
    </row>
    <row r="21" spans="2:25" x14ac:dyDescent="0.35">
      <c r="B21" s="482" t="s">
        <v>543</v>
      </c>
      <c r="C21" s="238">
        <v>0.5</v>
      </c>
      <c r="D21" s="226">
        <v>0.5</v>
      </c>
      <c r="E21" s="226">
        <v>0.5</v>
      </c>
      <c r="F21" s="226">
        <v>0.5</v>
      </c>
      <c r="G21" s="239">
        <v>0.5</v>
      </c>
      <c r="H21" s="238">
        <v>0.5</v>
      </c>
      <c r="I21" s="226">
        <v>0.5</v>
      </c>
      <c r="J21" s="226">
        <v>0.5</v>
      </c>
      <c r="K21" s="226">
        <v>0.5</v>
      </c>
      <c r="L21" s="226">
        <v>0.5</v>
      </c>
      <c r="M21" s="226">
        <v>0.5</v>
      </c>
      <c r="N21" s="226">
        <v>0.5</v>
      </c>
      <c r="O21" s="226">
        <v>0.5</v>
      </c>
      <c r="P21" s="226">
        <v>0.5</v>
      </c>
      <c r="Q21" s="226">
        <v>0.5</v>
      </c>
      <c r="R21" s="239">
        <v>0.5</v>
      </c>
      <c r="S21" s="238">
        <v>0.5</v>
      </c>
      <c r="T21" s="226">
        <v>0.5</v>
      </c>
      <c r="U21" s="239">
        <v>0.5</v>
      </c>
      <c r="Y21" s="481"/>
    </row>
    <row r="22" spans="2:25" x14ac:dyDescent="0.35">
      <c r="B22" s="482" t="s">
        <v>533</v>
      </c>
      <c r="C22" s="238">
        <v>0.17</v>
      </c>
      <c r="D22" s="226">
        <v>0.19</v>
      </c>
      <c r="E22" s="226">
        <v>0.2</v>
      </c>
      <c r="F22" s="226">
        <v>0.22</v>
      </c>
      <c r="G22" s="239">
        <v>0.25</v>
      </c>
      <c r="H22" s="238">
        <v>0.27</v>
      </c>
      <c r="I22" s="226">
        <v>0.28999999999999998</v>
      </c>
      <c r="J22" s="226">
        <v>0.32</v>
      </c>
      <c r="K22" s="226">
        <v>0.35</v>
      </c>
      <c r="L22" s="226">
        <v>0.39</v>
      </c>
      <c r="M22" s="226">
        <v>0.42</v>
      </c>
      <c r="N22" s="226">
        <v>0.46</v>
      </c>
      <c r="O22" s="226">
        <v>0.5</v>
      </c>
      <c r="P22" s="226">
        <v>0.55000000000000004</v>
      </c>
      <c r="Q22" s="226">
        <v>0.6</v>
      </c>
      <c r="R22" s="239">
        <v>0.65</v>
      </c>
      <c r="S22" s="238">
        <v>0.71</v>
      </c>
      <c r="T22" s="226">
        <v>0.78</v>
      </c>
      <c r="U22" s="239">
        <v>0.8</v>
      </c>
    </row>
    <row r="23" spans="2:25" x14ac:dyDescent="0.35">
      <c r="B23" s="482" t="s">
        <v>535</v>
      </c>
      <c r="C23" s="238">
        <v>0.1</v>
      </c>
      <c r="D23" s="226">
        <v>0.11</v>
      </c>
      <c r="E23" s="226">
        <v>0.13</v>
      </c>
      <c r="F23" s="226">
        <v>0.14000000000000001</v>
      </c>
      <c r="G23" s="239">
        <v>0.15</v>
      </c>
      <c r="H23" s="238">
        <v>0.17</v>
      </c>
      <c r="I23" s="226">
        <v>0.18</v>
      </c>
      <c r="J23" s="226">
        <v>0.2</v>
      </c>
      <c r="K23" s="226">
        <v>0.22</v>
      </c>
      <c r="L23" s="226">
        <v>0.24</v>
      </c>
      <c r="M23" s="226">
        <v>0.26</v>
      </c>
      <c r="N23" s="226">
        <v>0.28999999999999998</v>
      </c>
      <c r="O23" s="226">
        <v>0.31</v>
      </c>
      <c r="P23" s="226">
        <v>0.34</v>
      </c>
      <c r="Q23" s="226">
        <v>0.37</v>
      </c>
      <c r="R23" s="239">
        <v>0.41</v>
      </c>
      <c r="S23" s="238">
        <v>0.44</v>
      </c>
      <c r="T23" s="226">
        <v>0.48</v>
      </c>
      <c r="U23" s="239">
        <v>0.5</v>
      </c>
    </row>
    <row r="24" spans="2:25" x14ac:dyDescent="0.35">
      <c r="B24" s="482" t="s">
        <v>544</v>
      </c>
      <c r="C24" s="238">
        <v>0.1</v>
      </c>
      <c r="D24" s="226">
        <v>0.1</v>
      </c>
      <c r="E24" s="226">
        <v>0.1</v>
      </c>
      <c r="F24" s="226">
        <v>0.1</v>
      </c>
      <c r="G24" s="239">
        <v>0.1</v>
      </c>
      <c r="H24" s="238">
        <v>0.1</v>
      </c>
      <c r="I24" s="226">
        <v>0.1</v>
      </c>
      <c r="J24" s="226">
        <v>0.1</v>
      </c>
      <c r="K24" s="226">
        <v>0.1</v>
      </c>
      <c r="L24" s="226">
        <v>0.1</v>
      </c>
      <c r="M24" s="226">
        <v>0.1</v>
      </c>
      <c r="N24" s="226">
        <v>0.1</v>
      </c>
      <c r="O24" s="226">
        <v>0.1</v>
      </c>
      <c r="P24" s="226">
        <v>0.1</v>
      </c>
      <c r="Q24" s="226">
        <v>0.1</v>
      </c>
      <c r="R24" s="239">
        <v>0.1</v>
      </c>
      <c r="S24" s="238">
        <v>0.1</v>
      </c>
      <c r="T24" s="226">
        <v>0.1</v>
      </c>
      <c r="U24" s="239">
        <v>0.1</v>
      </c>
    </row>
    <row r="25" spans="2:25" x14ac:dyDescent="0.35">
      <c r="B25" s="482" t="s">
        <v>545</v>
      </c>
      <c r="C25" s="238">
        <v>0.01</v>
      </c>
      <c r="D25" s="226">
        <v>0.01</v>
      </c>
      <c r="E25" s="226">
        <v>0.01</v>
      </c>
      <c r="F25" s="226">
        <v>0.01</v>
      </c>
      <c r="G25" s="239">
        <v>0.01</v>
      </c>
      <c r="H25" s="238">
        <v>0.02</v>
      </c>
      <c r="I25" s="226">
        <v>0.02</v>
      </c>
      <c r="J25" s="226">
        <v>0.02</v>
      </c>
      <c r="K25" s="226">
        <v>0.02</v>
      </c>
      <c r="L25" s="226">
        <v>0.02</v>
      </c>
      <c r="M25" s="226">
        <v>0.02</v>
      </c>
      <c r="N25" s="226">
        <v>0.02</v>
      </c>
      <c r="O25" s="226">
        <v>0.02</v>
      </c>
      <c r="P25" s="226">
        <v>0.02</v>
      </c>
      <c r="Q25" s="226">
        <v>0.02</v>
      </c>
      <c r="R25" s="239">
        <v>0.02</v>
      </c>
      <c r="S25" s="238">
        <v>0.02</v>
      </c>
      <c r="T25" s="226">
        <v>0.02</v>
      </c>
      <c r="U25" s="239">
        <v>0.02</v>
      </c>
    </row>
    <row r="26" spans="2:25" x14ac:dyDescent="0.35">
      <c r="B26" s="482" t="s">
        <v>537</v>
      </c>
      <c r="C26" s="238">
        <v>0.03</v>
      </c>
      <c r="D26" s="226">
        <v>0.03</v>
      </c>
      <c r="E26" s="226">
        <v>0.03</v>
      </c>
      <c r="F26" s="226">
        <v>0.03</v>
      </c>
      <c r="G26" s="239">
        <v>0.03</v>
      </c>
      <c r="H26" s="238">
        <v>0.03</v>
      </c>
      <c r="I26" s="226">
        <v>0.03</v>
      </c>
      <c r="J26" s="226">
        <v>0.03</v>
      </c>
      <c r="K26" s="226">
        <v>0.03</v>
      </c>
      <c r="L26" s="226">
        <v>0.03</v>
      </c>
      <c r="M26" s="226">
        <v>0.03</v>
      </c>
      <c r="N26" s="226">
        <v>0.03</v>
      </c>
      <c r="O26" s="226">
        <v>0.03</v>
      </c>
      <c r="P26" s="226">
        <v>0.03</v>
      </c>
      <c r="Q26" s="226">
        <v>0.03</v>
      </c>
      <c r="R26" s="239">
        <v>0.03</v>
      </c>
      <c r="S26" s="238">
        <v>0.03</v>
      </c>
      <c r="T26" s="226">
        <v>0.03</v>
      </c>
      <c r="U26" s="239">
        <v>0.03</v>
      </c>
    </row>
    <row r="27" spans="2:25" x14ac:dyDescent="0.35">
      <c r="B27" s="482" t="s">
        <v>239</v>
      </c>
      <c r="C27" s="238">
        <v>0.19</v>
      </c>
      <c r="D27" s="226">
        <v>0.19</v>
      </c>
      <c r="E27" s="226">
        <v>0.2</v>
      </c>
      <c r="F27" s="226">
        <v>0.22</v>
      </c>
      <c r="G27" s="239">
        <v>0.25</v>
      </c>
      <c r="H27" s="238">
        <v>0.27</v>
      </c>
      <c r="I27" s="226">
        <v>0.28999999999999998</v>
      </c>
      <c r="J27" s="226">
        <v>0.32</v>
      </c>
      <c r="K27" s="226">
        <v>0.35</v>
      </c>
      <c r="L27" s="226">
        <v>0.39</v>
      </c>
      <c r="M27" s="226">
        <v>0.42</v>
      </c>
      <c r="N27" s="226">
        <v>0.46</v>
      </c>
      <c r="O27" s="226">
        <v>0.5</v>
      </c>
      <c r="P27" s="226">
        <v>0.55000000000000004</v>
      </c>
      <c r="Q27" s="226">
        <v>0.6</v>
      </c>
      <c r="R27" s="239">
        <v>0.65</v>
      </c>
      <c r="S27" s="238">
        <v>0.71</v>
      </c>
      <c r="T27" s="226">
        <v>0.78</v>
      </c>
      <c r="U27" s="239">
        <v>0.8</v>
      </c>
    </row>
    <row r="28" spans="2:25" x14ac:dyDescent="0.35">
      <c r="B28" s="482" t="s">
        <v>540</v>
      </c>
      <c r="C28" s="238">
        <v>0.02</v>
      </c>
      <c r="D28" s="226">
        <v>0.02</v>
      </c>
      <c r="E28" s="226">
        <v>0.02</v>
      </c>
      <c r="F28" s="226">
        <v>0.02</v>
      </c>
      <c r="G28" s="239">
        <v>0.02</v>
      </c>
      <c r="H28" s="238">
        <v>0.04</v>
      </c>
      <c r="I28" s="226">
        <v>0.04</v>
      </c>
      <c r="J28" s="226">
        <v>0.04</v>
      </c>
      <c r="K28" s="226">
        <v>0.04</v>
      </c>
      <c r="L28" s="226">
        <v>0.04</v>
      </c>
      <c r="M28" s="226">
        <v>0.04</v>
      </c>
      <c r="N28" s="226">
        <v>0.04</v>
      </c>
      <c r="O28" s="226">
        <v>0.04</v>
      </c>
      <c r="P28" s="226">
        <v>0.04</v>
      </c>
      <c r="Q28" s="226">
        <v>0.04</v>
      </c>
      <c r="R28" s="239">
        <v>0.04</v>
      </c>
      <c r="S28" s="238">
        <v>0.05</v>
      </c>
      <c r="T28" s="226">
        <v>0.05</v>
      </c>
      <c r="U28" s="239">
        <v>0.05</v>
      </c>
    </row>
    <row r="29" spans="2:25" x14ac:dyDescent="0.35">
      <c r="B29" s="482" t="s">
        <v>546</v>
      </c>
      <c r="C29" s="238">
        <v>0.6</v>
      </c>
      <c r="D29" s="226">
        <v>0.6</v>
      </c>
      <c r="E29" s="226">
        <v>0.6</v>
      </c>
      <c r="F29" s="226">
        <v>0.6</v>
      </c>
      <c r="G29" s="239">
        <v>0.6</v>
      </c>
      <c r="H29" s="238">
        <v>0.6</v>
      </c>
      <c r="I29" s="226">
        <v>0.6</v>
      </c>
      <c r="J29" s="226">
        <v>0.6</v>
      </c>
      <c r="K29" s="226">
        <v>0.6</v>
      </c>
      <c r="L29" s="226">
        <v>0.6</v>
      </c>
      <c r="M29" s="226">
        <v>0.6</v>
      </c>
      <c r="N29" s="226">
        <v>0.6</v>
      </c>
      <c r="O29" s="226">
        <v>0.6</v>
      </c>
      <c r="P29" s="226">
        <v>0.6</v>
      </c>
      <c r="Q29" s="226">
        <v>0.6</v>
      </c>
      <c r="R29" s="239">
        <v>0.6</v>
      </c>
      <c r="S29" s="238">
        <v>0.6</v>
      </c>
      <c r="T29" s="226">
        <v>0.6</v>
      </c>
      <c r="U29" s="239">
        <v>0.6</v>
      </c>
    </row>
    <row r="30" spans="2:25" x14ac:dyDescent="0.35">
      <c r="B30" s="482" t="s">
        <v>242</v>
      </c>
      <c r="C30" s="238">
        <v>0.66</v>
      </c>
      <c r="D30" s="226">
        <v>0.68</v>
      </c>
      <c r="E30" s="226">
        <v>0.7</v>
      </c>
      <c r="F30" s="226">
        <v>0.71</v>
      </c>
      <c r="G30" s="239">
        <v>0.73</v>
      </c>
      <c r="H30" s="238">
        <v>0.74</v>
      </c>
      <c r="I30" s="226">
        <v>0.75</v>
      </c>
      <c r="J30" s="226">
        <v>0.76</v>
      </c>
      <c r="K30" s="226">
        <v>0.77</v>
      </c>
      <c r="L30" s="226">
        <v>0.77</v>
      </c>
      <c r="M30" s="226">
        <v>0.78</v>
      </c>
      <c r="N30" s="226">
        <v>0.78</v>
      </c>
      <c r="O30" s="226">
        <v>0.78</v>
      </c>
      <c r="P30" s="226">
        <v>0.79</v>
      </c>
      <c r="Q30" s="226">
        <v>0.79</v>
      </c>
      <c r="R30" s="239">
        <v>0.79</v>
      </c>
      <c r="S30" s="238">
        <v>0.79</v>
      </c>
      <c r="T30" s="226">
        <v>0.8</v>
      </c>
      <c r="U30" s="239">
        <v>0.8</v>
      </c>
    </row>
    <row r="31" spans="2:25" x14ac:dyDescent="0.35">
      <c r="B31" s="482" t="s">
        <v>547</v>
      </c>
      <c r="C31" s="238">
        <v>0.4</v>
      </c>
      <c r="D31" s="226">
        <v>0.4</v>
      </c>
      <c r="E31" s="226">
        <v>0.4</v>
      </c>
      <c r="F31" s="226">
        <v>0.4</v>
      </c>
      <c r="G31" s="239">
        <v>0.4</v>
      </c>
      <c r="H31" s="238">
        <v>0.4</v>
      </c>
      <c r="I31" s="226">
        <v>0.4</v>
      </c>
      <c r="J31" s="226">
        <v>0.4</v>
      </c>
      <c r="K31" s="226">
        <v>0.4</v>
      </c>
      <c r="L31" s="226">
        <v>0.4</v>
      </c>
      <c r="M31" s="226">
        <v>0.4</v>
      </c>
      <c r="N31" s="226">
        <v>0.4</v>
      </c>
      <c r="O31" s="226">
        <v>0.4</v>
      </c>
      <c r="P31" s="226">
        <v>0.4</v>
      </c>
      <c r="Q31" s="226">
        <v>0.4</v>
      </c>
      <c r="R31" s="239">
        <v>0.4</v>
      </c>
      <c r="S31" s="238">
        <v>0.4</v>
      </c>
      <c r="T31" s="226">
        <v>0.4</v>
      </c>
      <c r="U31" s="239">
        <v>0.4</v>
      </c>
    </row>
    <row r="32" spans="2:25" ht="15.45" thickBot="1" x14ac:dyDescent="0.4">
      <c r="B32" s="483" t="s">
        <v>548</v>
      </c>
      <c r="C32" s="240">
        <v>0.8</v>
      </c>
      <c r="D32" s="241">
        <v>0.8</v>
      </c>
      <c r="E32" s="241">
        <v>0.8</v>
      </c>
      <c r="F32" s="241">
        <v>0.8</v>
      </c>
      <c r="G32" s="242">
        <v>0.8</v>
      </c>
      <c r="H32" s="240">
        <v>0.8</v>
      </c>
      <c r="I32" s="241">
        <v>0.8</v>
      </c>
      <c r="J32" s="241">
        <v>0.8</v>
      </c>
      <c r="K32" s="241">
        <v>0.8</v>
      </c>
      <c r="L32" s="241">
        <v>0.8</v>
      </c>
      <c r="M32" s="241">
        <v>0.8</v>
      </c>
      <c r="N32" s="241">
        <v>0.8</v>
      </c>
      <c r="O32" s="241">
        <v>0.8</v>
      </c>
      <c r="P32" s="241">
        <v>0.8</v>
      </c>
      <c r="Q32" s="241">
        <v>0.8</v>
      </c>
      <c r="R32" s="242">
        <v>0.8</v>
      </c>
      <c r="S32" s="240">
        <v>0.8</v>
      </c>
      <c r="T32" s="241">
        <v>0.8</v>
      </c>
      <c r="U32" s="242">
        <v>0.8</v>
      </c>
    </row>
    <row r="33" spans="2:2" ht="15" customHeight="1" x14ac:dyDescent="0.35">
      <c r="B33" s="268" t="s">
        <v>549</v>
      </c>
    </row>
    <row r="34" spans="2:2" x14ac:dyDescent="0.35">
      <c r="B34" s="9" t="s">
        <v>550</v>
      </c>
    </row>
    <row r="35" spans="2:2" x14ac:dyDescent="0.35">
      <c r="B35" s="472" t="s">
        <v>551</v>
      </c>
    </row>
  </sheetData>
  <sortState xmlns:xlrd2="http://schemas.microsoft.com/office/spreadsheetml/2017/richdata2" ref="Y12:Y18">
    <sortCondition ref="Y12"/>
  </sortState>
  <mergeCells count="4">
    <mergeCell ref="C8:G8"/>
    <mergeCell ref="H8:R8"/>
    <mergeCell ref="S8:U8"/>
    <mergeCell ref="C7:U7"/>
  </mergeCells>
  <pageMargins left="0.7" right="0.7" top="0.75" bottom="0.75" header="0.3" footer="0.3"/>
  <pageSetup paperSize="9" orientation="portrait"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rgb="FFDBAD4F"/>
  </sheetPr>
  <dimension ref="A1:C73"/>
  <sheetViews>
    <sheetView workbookViewId="0">
      <selection activeCell="B1" sqref="B1"/>
    </sheetView>
  </sheetViews>
  <sheetFormatPr defaultColWidth="9" defaultRowHeight="14.15" x14ac:dyDescent="0.35"/>
  <cols>
    <col min="1" max="1" width="1.0703125" style="4" customWidth="1"/>
    <col min="2" max="2" width="124.5" style="4" customWidth="1"/>
    <col min="3" max="3" width="10.5703125" style="373" customWidth="1"/>
    <col min="4" max="16384" width="9" style="4"/>
  </cols>
  <sheetData>
    <row r="1" spans="1:3" s="371" customFormat="1" ht="18" customHeight="1" x14ac:dyDescent="0.4">
      <c r="A1" s="296"/>
      <c r="B1" s="287" t="s">
        <v>552</v>
      </c>
      <c r="C1" s="370"/>
    </row>
    <row r="2" spans="1:3" x14ac:dyDescent="0.35">
      <c r="C2" s="11"/>
    </row>
    <row r="3" spans="1:3" x14ac:dyDescent="0.35">
      <c r="B3" s="49" t="s">
        <v>553</v>
      </c>
      <c r="C3" s="11"/>
    </row>
    <row r="4" spans="1:3" s="41" customFormat="1" ht="45" customHeight="1" x14ac:dyDescent="0.45">
      <c r="B4" s="49" t="s">
        <v>554</v>
      </c>
      <c r="C4" s="50"/>
    </row>
    <row r="5" spans="1:3" s="41" customFormat="1" ht="45" customHeight="1" x14ac:dyDescent="0.45">
      <c r="B5" s="51" t="s">
        <v>555</v>
      </c>
      <c r="C5" s="50"/>
    </row>
    <row r="6" spans="1:3" s="41" customFormat="1" ht="45" customHeight="1" x14ac:dyDescent="0.45">
      <c r="B6" s="51" t="s">
        <v>556</v>
      </c>
      <c r="C6" s="50"/>
    </row>
    <row r="7" spans="1:3" s="41" customFormat="1" ht="42.45" x14ac:dyDescent="0.45">
      <c r="B7" s="51" t="s">
        <v>557</v>
      </c>
      <c r="C7" s="50"/>
    </row>
    <row r="8" spans="1:3" s="41" customFormat="1" ht="45" customHeight="1" x14ac:dyDescent="0.45">
      <c r="B8" s="51" t="s">
        <v>558</v>
      </c>
      <c r="C8" s="50"/>
    </row>
    <row r="9" spans="1:3" s="41" customFormat="1" ht="20.149999999999999" customHeight="1" x14ac:dyDescent="0.45">
      <c r="B9" s="51" t="s">
        <v>559</v>
      </c>
      <c r="C9" s="50"/>
    </row>
    <row r="10" spans="1:3" s="41" customFormat="1" ht="28.3" x14ac:dyDescent="0.45">
      <c r="B10" s="51" t="s">
        <v>560</v>
      </c>
      <c r="C10" s="50"/>
    </row>
    <row r="11" spans="1:3" s="41" customFormat="1" ht="45" customHeight="1" x14ac:dyDescent="0.45">
      <c r="B11" s="51" t="s">
        <v>561</v>
      </c>
      <c r="C11" s="50"/>
    </row>
    <row r="12" spans="1:3" s="41" customFormat="1" ht="45" customHeight="1" x14ac:dyDescent="0.45">
      <c r="B12" s="51" t="s">
        <v>562</v>
      </c>
    </row>
    <row r="13" spans="1:3" s="41" customFormat="1" ht="45" customHeight="1" x14ac:dyDescent="0.45">
      <c r="B13" s="51" t="s">
        <v>563</v>
      </c>
    </row>
    <row r="14" spans="1:3" s="41" customFormat="1" ht="45" customHeight="1" x14ac:dyDescent="0.45">
      <c r="B14" s="51" t="s">
        <v>564</v>
      </c>
    </row>
    <row r="15" spans="1:3" s="41" customFormat="1" ht="45" customHeight="1" x14ac:dyDescent="0.45">
      <c r="B15" s="51" t="s">
        <v>565</v>
      </c>
    </row>
    <row r="16" spans="1:3" s="41" customFormat="1" ht="42.45" x14ac:dyDescent="0.45">
      <c r="B16" s="51" t="s">
        <v>566</v>
      </c>
    </row>
    <row r="17" spans="2:2" s="41" customFormat="1" ht="45" customHeight="1" x14ac:dyDescent="0.45">
      <c r="B17" s="51" t="s">
        <v>567</v>
      </c>
    </row>
    <row r="18" spans="2:2" s="41" customFormat="1" ht="20.149999999999999" customHeight="1" x14ac:dyDescent="0.45">
      <c r="B18" s="51" t="s">
        <v>568</v>
      </c>
    </row>
    <row r="19" spans="2:2" s="41" customFormat="1" ht="20.149999999999999" customHeight="1" x14ac:dyDescent="0.45">
      <c r="B19" s="51" t="s">
        <v>569</v>
      </c>
    </row>
    <row r="20" spans="2:2" s="41" customFormat="1" ht="32.15" customHeight="1" x14ac:dyDescent="0.45">
      <c r="B20" s="51" t="s">
        <v>774</v>
      </c>
    </row>
    <row r="21" spans="2:2" s="41" customFormat="1" ht="45" customHeight="1" x14ac:dyDescent="0.45">
      <c r="B21" s="51" t="s">
        <v>570</v>
      </c>
    </row>
    <row r="22" spans="2:2" s="41" customFormat="1" ht="45" customHeight="1" x14ac:dyDescent="0.45">
      <c r="B22" s="51" t="s">
        <v>571</v>
      </c>
    </row>
    <row r="23" spans="2:2" s="41" customFormat="1" ht="45" customHeight="1" x14ac:dyDescent="0.45">
      <c r="B23" s="51" t="s">
        <v>572</v>
      </c>
    </row>
    <row r="24" spans="2:2" s="41" customFormat="1" ht="45" customHeight="1" x14ac:dyDescent="0.45">
      <c r="B24" s="51" t="s">
        <v>573</v>
      </c>
    </row>
    <row r="25" spans="2:2" s="41" customFormat="1" ht="45" customHeight="1" x14ac:dyDescent="0.45">
      <c r="B25" s="51" t="s">
        <v>574</v>
      </c>
    </row>
    <row r="26" spans="2:2" s="41" customFormat="1" ht="45" customHeight="1" x14ac:dyDescent="0.45">
      <c r="B26" s="51" t="s">
        <v>575</v>
      </c>
    </row>
    <row r="27" spans="2:2" s="41" customFormat="1" ht="28.3" x14ac:dyDescent="0.45">
      <c r="B27" s="51" t="s">
        <v>576</v>
      </c>
    </row>
    <row r="28" spans="2:2" s="41" customFormat="1" ht="42.45" x14ac:dyDescent="0.45">
      <c r="B28" s="51" t="s">
        <v>577</v>
      </c>
    </row>
    <row r="29" spans="2:2" s="41" customFormat="1" ht="45" customHeight="1" x14ac:dyDescent="0.45">
      <c r="B29" s="51" t="s">
        <v>578</v>
      </c>
    </row>
    <row r="30" spans="2:2" s="41" customFormat="1" ht="45" customHeight="1" x14ac:dyDescent="0.45">
      <c r="B30" s="51" t="s">
        <v>579</v>
      </c>
    </row>
    <row r="31" spans="2:2" s="41" customFormat="1" ht="45" customHeight="1" x14ac:dyDescent="0.45">
      <c r="B31" s="51" t="s">
        <v>580</v>
      </c>
    </row>
    <row r="32" spans="2:2" s="41" customFormat="1" ht="45" customHeight="1" x14ac:dyDescent="0.45">
      <c r="B32" s="51" t="s">
        <v>581</v>
      </c>
    </row>
    <row r="33" spans="2:2" s="41" customFormat="1" ht="45" customHeight="1" x14ac:dyDescent="0.45">
      <c r="B33" s="51" t="s">
        <v>582</v>
      </c>
    </row>
    <row r="34" spans="2:2" s="41" customFormat="1" ht="45" customHeight="1" x14ac:dyDescent="0.45">
      <c r="B34" s="51" t="s">
        <v>583</v>
      </c>
    </row>
    <row r="35" spans="2:2" s="41" customFormat="1" ht="45" customHeight="1" x14ac:dyDescent="0.45">
      <c r="B35" s="51" t="s">
        <v>584</v>
      </c>
    </row>
    <row r="36" spans="2:2" s="41" customFormat="1" ht="56.6" x14ac:dyDescent="0.45">
      <c r="B36" s="51" t="s">
        <v>585</v>
      </c>
    </row>
    <row r="37" spans="2:2" s="41" customFormat="1" ht="42.45" x14ac:dyDescent="0.45">
      <c r="B37" s="51" t="s">
        <v>586</v>
      </c>
    </row>
    <row r="38" spans="2:2" s="41" customFormat="1" ht="28.3" x14ac:dyDescent="0.45">
      <c r="B38" s="51" t="s">
        <v>587</v>
      </c>
    </row>
    <row r="39" spans="2:2" s="41" customFormat="1" ht="20.149999999999999" customHeight="1" x14ac:dyDescent="0.45">
      <c r="B39" s="51" t="s">
        <v>588</v>
      </c>
    </row>
    <row r="40" spans="2:2" s="41" customFormat="1" ht="32.25" customHeight="1" x14ac:dyDescent="0.45">
      <c r="B40" s="51" t="s">
        <v>589</v>
      </c>
    </row>
    <row r="41" spans="2:2" s="41" customFormat="1" ht="45" customHeight="1" x14ac:dyDescent="0.45">
      <c r="B41" s="51" t="s">
        <v>590</v>
      </c>
    </row>
    <row r="42" spans="2:2" s="41" customFormat="1" ht="45" customHeight="1" x14ac:dyDescent="0.45">
      <c r="B42" s="51" t="s">
        <v>591</v>
      </c>
    </row>
    <row r="43" spans="2:2" s="41" customFormat="1" ht="45" customHeight="1" x14ac:dyDescent="0.45">
      <c r="B43" s="51" t="s">
        <v>592</v>
      </c>
    </row>
    <row r="44" spans="2:2" s="41" customFormat="1" ht="45" customHeight="1" x14ac:dyDescent="0.45">
      <c r="B44" s="51" t="s">
        <v>593</v>
      </c>
    </row>
    <row r="45" spans="2:2" s="41" customFormat="1" ht="28.3" x14ac:dyDescent="0.45">
      <c r="B45" s="51" t="s">
        <v>594</v>
      </c>
    </row>
    <row r="46" spans="2:2" s="41" customFormat="1" ht="28.3" x14ac:dyDescent="0.45">
      <c r="B46" s="51" t="s">
        <v>595</v>
      </c>
    </row>
    <row r="47" spans="2:2" s="41" customFormat="1" ht="45" customHeight="1" x14ac:dyDescent="0.45">
      <c r="B47" s="51" t="s">
        <v>596</v>
      </c>
    </row>
    <row r="48" spans="2:2" s="41" customFormat="1" ht="45" customHeight="1" x14ac:dyDescent="0.45">
      <c r="B48" s="51" t="s">
        <v>597</v>
      </c>
    </row>
    <row r="49" spans="2:3" s="41" customFormat="1" ht="50.25" customHeight="1" x14ac:dyDescent="0.45">
      <c r="B49" s="51" t="s">
        <v>598</v>
      </c>
    </row>
    <row r="50" spans="2:3" s="41" customFormat="1" ht="63.75" customHeight="1" x14ac:dyDescent="0.45">
      <c r="B50" s="51" t="s">
        <v>599</v>
      </c>
    </row>
    <row r="51" spans="2:3" s="41" customFormat="1" ht="45" customHeight="1" x14ac:dyDescent="0.45">
      <c r="B51" s="51" t="s">
        <v>600</v>
      </c>
    </row>
    <row r="52" spans="2:3" s="41" customFormat="1" ht="45" customHeight="1" x14ac:dyDescent="0.45">
      <c r="B52" s="51" t="s">
        <v>601</v>
      </c>
    </row>
    <row r="53" spans="2:3" s="41" customFormat="1" ht="45" customHeight="1" x14ac:dyDescent="0.45">
      <c r="B53" s="51" t="s">
        <v>602</v>
      </c>
    </row>
    <row r="54" spans="2:3" s="41" customFormat="1" ht="45" customHeight="1" x14ac:dyDescent="0.45">
      <c r="B54" s="51" t="s">
        <v>603</v>
      </c>
    </row>
    <row r="55" spans="2:3" s="41" customFormat="1" ht="45" customHeight="1" x14ac:dyDescent="0.45">
      <c r="B55" s="51" t="s">
        <v>604</v>
      </c>
    </row>
    <row r="56" spans="2:3" s="41" customFormat="1" ht="28.3" x14ac:dyDescent="0.45">
      <c r="B56" s="51" t="s">
        <v>605</v>
      </c>
    </row>
    <row r="57" spans="2:3" s="41" customFormat="1" ht="45" customHeight="1" x14ac:dyDescent="0.45">
      <c r="B57" s="51" t="s">
        <v>606</v>
      </c>
    </row>
    <row r="58" spans="2:3" s="41" customFormat="1" ht="45" customHeight="1" x14ac:dyDescent="0.45">
      <c r="B58" s="51" t="s">
        <v>607</v>
      </c>
    </row>
    <row r="59" spans="2:3" s="41" customFormat="1" ht="56.6" x14ac:dyDescent="0.45">
      <c r="B59" s="51" t="s">
        <v>608</v>
      </c>
    </row>
    <row r="60" spans="2:3" s="41" customFormat="1" ht="45" customHeight="1" x14ac:dyDescent="0.45">
      <c r="B60" s="51" t="s">
        <v>609</v>
      </c>
    </row>
    <row r="61" spans="2:3" s="41" customFormat="1" ht="45" customHeight="1" x14ac:dyDescent="0.45">
      <c r="B61" s="51" t="s">
        <v>610</v>
      </c>
    </row>
    <row r="62" spans="2:3" s="41" customFormat="1" ht="45" customHeight="1" x14ac:dyDescent="0.45">
      <c r="B62" s="51" t="s">
        <v>611</v>
      </c>
    </row>
    <row r="63" spans="2:3" s="41" customFormat="1" ht="45" customHeight="1" x14ac:dyDescent="0.45">
      <c r="B63" s="51" t="s">
        <v>612</v>
      </c>
    </row>
    <row r="64" spans="2:3" s="41" customFormat="1" ht="45" customHeight="1" x14ac:dyDescent="0.45">
      <c r="B64" s="51" t="s">
        <v>613</v>
      </c>
      <c r="C64" s="372"/>
    </row>
    <row r="65" spans="2:3" s="41" customFormat="1" ht="45" customHeight="1" x14ac:dyDescent="0.45">
      <c r="B65" s="51" t="s">
        <v>614</v>
      </c>
      <c r="C65" s="372"/>
    </row>
    <row r="66" spans="2:3" s="41" customFormat="1" ht="45" customHeight="1" x14ac:dyDescent="0.45">
      <c r="B66" s="51" t="s">
        <v>615</v>
      </c>
      <c r="C66" s="372"/>
    </row>
    <row r="67" spans="2:3" s="41" customFormat="1" ht="42.45" x14ac:dyDescent="0.45">
      <c r="B67" s="51" t="s">
        <v>616</v>
      </c>
      <c r="C67" s="372"/>
    </row>
    <row r="68" spans="2:3" s="41" customFormat="1" ht="28.3" x14ac:dyDescent="0.45">
      <c r="B68" s="51" t="s">
        <v>617</v>
      </c>
      <c r="C68" s="372"/>
    </row>
    <row r="69" spans="2:3" s="41" customFormat="1" ht="45" customHeight="1" x14ac:dyDescent="0.45">
      <c r="B69" s="52" t="s">
        <v>618</v>
      </c>
      <c r="C69" s="372"/>
    </row>
    <row r="70" spans="2:3" s="41" customFormat="1" ht="45" customHeight="1" x14ac:dyDescent="0.45">
      <c r="B70" s="52" t="s">
        <v>619</v>
      </c>
      <c r="C70" s="372"/>
    </row>
    <row r="71" spans="2:3" s="41" customFormat="1" ht="45" customHeight="1" x14ac:dyDescent="0.45">
      <c r="B71" s="52" t="s">
        <v>620</v>
      </c>
      <c r="C71" s="372"/>
    </row>
    <row r="72" spans="2:3" s="41" customFormat="1" ht="45" customHeight="1" x14ac:dyDescent="0.45">
      <c r="B72" s="52" t="s">
        <v>621</v>
      </c>
      <c r="C72" s="372"/>
    </row>
    <row r="73" spans="2:3" s="41" customFormat="1" ht="45" customHeight="1" x14ac:dyDescent="0.45">
      <c r="B73" s="53" t="s">
        <v>622</v>
      </c>
      <c r="C73" s="372"/>
    </row>
  </sheetData>
  <sortState xmlns:xlrd2="http://schemas.microsoft.com/office/spreadsheetml/2017/richdata2" ref="B3:B34">
    <sortCondition ref="B35"/>
  </sortState>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DBAD4F"/>
  </sheetPr>
  <dimension ref="A1:B91"/>
  <sheetViews>
    <sheetView workbookViewId="0"/>
  </sheetViews>
  <sheetFormatPr defaultColWidth="9" defaultRowHeight="14.15" x14ac:dyDescent="0.35"/>
  <cols>
    <col min="1" max="1" width="142.5703125" style="1" customWidth="1"/>
    <col min="2" max="16384" width="9" style="1"/>
  </cols>
  <sheetData>
    <row r="1" spans="1:2" ht="28.5" customHeight="1" x14ac:dyDescent="0.4">
      <c r="A1" s="287" t="s">
        <v>18</v>
      </c>
    </row>
    <row r="2" spans="1:2" x14ac:dyDescent="0.35">
      <c r="A2" s="85"/>
    </row>
    <row r="3" spans="1:2" x14ac:dyDescent="0.35">
      <c r="A3" s="85"/>
    </row>
    <row r="4" spans="1:2" x14ac:dyDescent="0.35">
      <c r="A4" s="85"/>
    </row>
    <row r="5" spans="1:2" x14ac:dyDescent="0.35">
      <c r="A5" s="85"/>
    </row>
    <row r="6" spans="1:2" x14ac:dyDescent="0.35">
      <c r="A6" s="85"/>
    </row>
    <row r="7" spans="1:2" x14ac:dyDescent="0.35">
      <c r="A7" s="85"/>
    </row>
    <row r="8" spans="1:2" x14ac:dyDescent="0.35">
      <c r="A8" s="84"/>
    </row>
    <row r="9" spans="1:2" x14ac:dyDescent="0.35">
      <c r="A9" s="84"/>
    </row>
    <row r="10" spans="1:2" ht="19.75" x14ac:dyDescent="0.45">
      <c r="A10" s="86"/>
      <c r="B10" s="374"/>
    </row>
    <row r="11" spans="1:2" x14ac:dyDescent="0.35">
      <c r="A11" s="84"/>
    </row>
    <row r="12" spans="1:2" x14ac:dyDescent="0.35">
      <c r="A12" s="84"/>
    </row>
    <row r="13" spans="1:2" x14ac:dyDescent="0.35">
      <c r="A13" s="84"/>
    </row>
    <row r="14" spans="1:2" x14ac:dyDescent="0.35">
      <c r="A14" s="84"/>
    </row>
    <row r="15" spans="1:2" x14ac:dyDescent="0.35">
      <c r="A15" s="84"/>
    </row>
    <row r="16" spans="1:2" x14ac:dyDescent="0.35">
      <c r="A16" s="84"/>
    </row>
    <row r="17" spans="1:1" x14ac:dyDescent="0.35">
      <c r="A17" s="84"/>
    </row>
    <row r="18" spans="1:1" x14ac:dyDescent="0.35">
      <c r="A18" s="84"/>
    </row>
    <row r="19" spans="1:1" x14ac:dyDescent="0.35">
      <c r="A19" s="84"/>
    </row>
    <row r="20" spans="1:1" x14ac:dyDescent="0.35">
      <c r="A20" s="84"/>
    </row>
    <row r="21" spans="1:1" x14ac:dyDescent="0.35">
      <c r="A21" s="84"/>
    </row>
    <row r="22" spans="1:1" x14ac:dyDescent="0.35">
      <c r="A22" s="84"/>
    </row>
    <row r="23" spans="1:1" x14ac:dyDescent="0.35">
      <c r="A23" s="84"/>
    </row>
    <row r="24" spans="1:1" x14ac:dyDescent="0.35">
      <c r="A24" s="84"/>
    </row>
    <row r="25" spans="1:1" x14ac:dyDescent="0.35">
      <c r="A25" s="84"/>
    </row>
    <row r="26" spans="1:1" x14ac:dyDescent="0.35">
      <c r="A26" s="84"/>
    </row>
    <row r="27" spans="1:1" x14ac:dyDescent="0.35">
      <c r="A27" s="84"/>
    </row>
    <row r="28" spans="1:1" x14ac:dyDescent="0.35">
      <c r="A28" s="84"/>
    </row>
    <row r="29" spans="1:1" x14ac:dyDescent="0.35">
      <c r="A29" s="84"/>
    </row>
    <row r="30" spans="1:1" x14ac:dyDescent="0.35">
      <c r="A30" s="84"/>
    </row>
    <row r="31" spans="1:1" x14ac:dyDescent="0.35">
      <c r="A31" s="84"/>
    </row>
    <row r="32" spans="1:1" x14ac:dyDescent="0.35">
      <c r="A32" s="84"/>
    </row>
    <row r="33" spans="1:1" x14ac:dyDescent="0.35">
      <c r="A33" s="84"/>
    </row>
    <row r="34" spans="1:1" x14ac:dyDescent="0.35">
      <c r="A34" s="84"/>
    </row>
    <row r="35" spans="1:1" x14ac:dyDescent="0.35">
      <c r="A35" s="84"/>
    </row>
    <row r="36" spans="1:1" x14ac:dyDescent="0.35">
      <c r="A36" s="84"/>
    </row>
    <row r="37" spans="1:1" x14ac:dyDescent="0.35">
      <c r="A37" s="84"/>
    </row>
    <row r="38" spans="1:1" x14ac:dyDescent="0.35">
      <c r="A38" s="84"/>
    </row>
    <row r="39" spans="1:1" x14ac:dyDescent="0.35">
      <c r="A39" s="84"/>
    </row>
    <row r="40" spans="1:1" x14ac:dyDescent="0.35">
      <c r="A40" s="84"/>
    </row>
    <row r="41" spans="1:1" x14ac:dyDescent="0.35">
      <c r="A41" s="84"/>
    </row>
    <row r="42" spans="1:1" x14ac:dyDescent="0.35">
      <c r="A42" s="84"/>
    </row>
    <row r="43" spans="1:1" x14ac:dyDescent="0.35">
      <c r="A43" s="84"/>
    </row>
    <row r="44" spans="1:1" x14ac:dyDescent="0.35">
      <c r="A44" s="84"/>
    </row>
    <row r="45" spans="1:1" x14ac:dyDescent="0.35">
      <c r="A45" s="84"/>
    </row>
    <row r="46" spans="1:1" x14ac:dyDescent="0.35">
      <c r="A46" s="84"/>
    </row>
    <row r="47" spans="1:1" x14ac:dyDescent="0.35">
      <c r="A47" s="84"/>
    </row>
    <row r="48" spans="1:1" x14ac:dyDescent="0.35">
      <c r="A48" s="84"/>
    </row>
    <row r="49" spans="1:1" x14ac:dyDescent="0.35">
      <c r="A49" s="84"/>
    </row>
    <row r="50" spans="1:1" x14ac:dyDescent="0.35">
      <c r="A50" s="84"/>
    </row>
    <row r="51" spans="1:1" x14ac:dyDescent="0.35">
      <c r="A51" s="84"/>
    </row>
    <row r="52" spans="1:1" x14ac:dyDescent="0.35">
      <c r="A52" s="84"/>
    </row>
    <row r="53" spans="1:1" x14ac:dyDescent="0.35">
      <c r="A53" s="84"/>
    </row>
    <row r="54" spans="1:1" x14ac:dyDescent="0.35">
      <c r="A54" s="84"/>
    </row>
    <row r="55" spans="1:1" x14ac:dyDescent="0.35">
      <c r="A55" s="84"/>
    </row>
    <row r="56" spans="1:1" x14ac:dyDescent="0.35">
      <c r="A56" s="84"/>
    </row>
    <row r="57" spans="1:1" x14ac:dyDescent="0.35">
      <c r="A57" s="84"/>
    </row>
    <row r="58" spans="1:1" x14ac:dyDescent="0.35">
      <c r="A58" s="84"/>
    </row>
    <row r="59" spans="1:1" x14ac:dyDescent="0.35">
      <c r="A59" s="84"/>
    </row>
    <row r="60" spans="1:1" x14ac:dyDescent="0.35">
      <c r="A60" s="84"/>
    </row>
    <row r="61" spans="1:1" x14ac:dyDescent="0.35">
      <c r="A61" s="84"/>
    </row>
    <row r="62" spans="1:1" x14ac:dyDescent="0.35">
      <c r="A62" s="84"/>
    </row>
    <row r="63" spans="1:1" x14ac:dyDescent="0.35">
      <c r="A63" s="84"/>
    </row>
    <row r="64" spans="1:1" x14ac:dyDescent="0.35">
      <c r="A64" s="84"/>
    </row>
    <row r="65" spans="1:1" x14ac:dyDescent="0.35">
      <c r="A65" s="84"/>
    </row>
    <row r="66" spans="1:1" x14ac:dyDescent="0.35">
      <c r="A66" s="84"/>
    </row>
    <row r="67" spans="1:1" x14ac:dyDescent="0.35">
      <c r="A67" s="84"/>
    </row>
    <row r="68" spans="1:1" x14ac:dyDescent="0.35">
      <c r="A68" s="84"/>
    </row>
    <row r="69" spans="1:1" x14ac:dyDescent="0.35">
      <c r="A69" s="84"/>
    </row>
    <row r="70" spans="1:1" x14ac:dyDescent="0.35">
      <c r="A70" s="84"/>
    </row>
    <row r="71" spans="1:1" x14ac:dyDescent="0.35">
      <c r="A71" s="84"/>
    </row>
    <row r="72" spans="1:1" x14ac:dyDescent="0.35">
      <c r="A72" s="84"/>
    </row>
    <row r="73" spans="1:1" x14ac:dyDescent="0.35">
      <c r="A73" s="84"/>
    </row>
    <row r="74" spans="1:1" x14ac:dyDescent="0.35">
      <c r="A74" s="84"/>
    </row>
    <row r="75" spans="1:1" x14ac:dyDescent="0.35">
      <c r="A75" s="84"/>
    </row>
    <row r="76" spans="1:1" x14ac:dyDescent="0.35">
      <c r="A76" s="84"/>
    </row>
    <row r="77" spans="1:1" x14ac:dyDescent="0.35">
      <c r="A77" s="84"/>
    </row>
    <row r="78" spans="1:1" x14ac:dyDescent="0.35">
      <c r="A78" s="84"/>
    </row>
    <row r="79" spans="1:1" x14ac:dyDescent="0.35">
      <c r="A79" s="84"/>
    </row>
    <row r="80" spans="1:1" x14ac:dyDescent="0.35">
      <c r="A80" s="84"/>
    </row>
    <row r="81" spans="1:1" x14ac:dyDescent="0.35">
      <c r="A81" s="84"/>
    </row>
    <row r="82" spans="1:1" x14ac:dyDescent="0.35">
      <c r="A82" s="84"/>
    </row>
    <row r="83" spans="1:1" x14ac:dyDescent="0.35">
      <c r="A83" s="84"/>
    </row>
    <row r="84" spans="1:1" x14ac:dyDescent="0.35">
      <c r="A84" s="84"/>
    </row>
    <row r="85" spans="1:1" x14ac:dyDescent="0.35">
      <c r="A85" s="84"/>
    </row>
    <row r="86" spans="1:1" x14ac:dyDescent="0.35">
      <c r="A86" s="84"/>
    </row>
    <row r="87" spans="1:1" x14ac:dyDescent="0.35">
      <c r="A87" s="84"/>
    </row>
    <row r="88" spans="1:1" x14ac:dyDescent="0.35">
      <c r="A88" s="84"/>
    </row>
    <row r="89" spans="1:1" x14ac:dyDescent="0.35">
      <c r="A89" s="84"/>
    </row>
    <row r="90" spans="1:1" x14ac:dyDescent="0.35">
      <c r="A90" s="84"/>
    </row>
    <row r="91" spans="1:1" x14ac:dyDescent="0.35">
      <c r="A91" s="84"/>
    </row>
  </sheetData>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DBAD4F"/>
  </sheetPr>
  <dimension ref="B1:N1"/>
  <sheetViews>
    <sheetView workbookViewId="0"/>
  </sheetViews>
  <sheetFormatPr defaultColWidth="8.5703125" defaultRowHeight="15.9" x14ac:dyDescent="0.45"/>
  <cols>
    <col min="1" max="1" width="1.0703125" customWidth="1"/>
    <col min="2" max="14" width="8.5703125" customWidth="1"/>
  </cols>
  <sheetData>
    <row r="1" spans="2:14" ht="29.25" customHeight="1" x14ac:dyDescent="0.45">
      <c r="B1" s="287" t="s">
        <v>4</v>
      </c>
      <c r="C1" s="287"/>
      <c r="D1" s="287"/>
      <c r="E1" s="287"/>
      <c r="F1" s="287"/>
      <c r="G1" s="287"/>
      <c r="H1" s="287"/>
      <c r="I1" s="287"/>
      <c r="J1" s="287"/>
      <c r="K1" s="287"/>
      <c r="L1" s="287"/>
      <c r="M1" s="287"/>
      <c r="N1" s="287"/>
    </row>
  </sheetData>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L27"/>
  <sheetViews>
    <sheetView workbookViewId="0"/>
  </sheetViews>
  <sheetFormatPr defaultColWidth="8.5703125" defaultRowHeight="15.9" x14ac:dyDescent="0.45"/>
  <cols>
    <col min="1" max="1" width="44.5703125" customWidth="1"/>
    <col min="2" max="2" width="19.0703125" bestFit="1" customWidth="1"/>
    <col min="3" max="3" width="30.640625" hidden="1" customWidth="1"/>
    <col min="4" max="4" width="44.5703125" hidden="1" customWidth="1"/>
    <col min="5" max="5" width="43.92578125" customWidth="1"/>
    <col min="6" max="6" width="42.140625" customWidth="1"/>
  </cols>
  <sheetData>
    <row r="1" spans="1:12" ht="20.6" x14ac:dyDescent="0.55000000000000004">
      <c r="A1" s="539" t="s">
        <v>623</v>
      </c>
      <c r="B1" s="539"/>
      <c r="C1" s="539"/>
      <c r="D1" s="539"/>
      <c r="E1" s="539"/>
      <c r="F1" s="539"/>
      <c r="G1" s="480"/>
      <c r="H1" s="480"/>
      <c r="I1" s="480"/>
      <c r="J1" s="480"/>
      <c r="K1" s="480"/>
      <c r="L1" s="480"/>
    </row>
    <row r="2" spans="1:12" x14ac:dyDescent="0.45">
      <c r="A2" s="9"/>
      <c r="B2" s="9"/>
      <c r="C2" s="9"/>
      <c r="D2" s="9"/>
      <c r="E2" s="9"/>
      <c r="F2" s="9"/>
    </row>
    <row r="3" spans="1:12" x14ac:dyDescent="0.45">
      <c r="A3" s="210" t="s">
        <v>624</v>
      </c>
      <c r="B3" s="210"/>
      <c r="C3" s="210"/>
      <c r="D3" s="210"/>
      <c r="E3" s="210"/>
      <c r="F3" s="210" t="s">
        <v>625</v>
      </c>
    </row>
    <row r="4" spans="1:12" ht="34.299999999999997" customHeight="1" x14ac:dyDescent="0.5">
      <c r="A4" s="210" t="s">
        <v>626</v>
      </c>
      <c r="B4" s="210" t="s">
        <v>627</v>
      </c>
      <c r="C4" s="210" t="s">
        <v>628</v>
      </c>
      <c r="D4" s="210" t="s">
        <v>752</v>
      </c>
      <c r="E4" s="210" t="s">
        <v>762</v>
      </c>
      <c r="F4" s="236" t="s">
        <v>753</v>
      </c>
    </row>
    <row r="5" spans="1:12" x14ac:dyDescent="0.45">
      <c r="A5" s="542" t="str">
        <f>'3-Digester Inputs'!B17</f>
        <v>Calf</v>
      </c>
      <c r="B5" s="540">
        <f>IFERROR(IF(VLOOKUP(A5,Waste_Item_Table,20,FALSE)="Y",('3-Digester Inputs'!H17*100)/(100-'3-Digester Inputs'!H17),""),"")</f>
        <v>9.2857228995574206E-2</v>
      </c>
      <c r="C5" s="541">
        <f>IFERROR(IF(VLOOKUP(A5,Waste_Item_Table,20,FALSE)="Y",B5*'3-Digester Inputs'!BE17/1000*365,""),"")</f>
        <v>665.13634301388038</v>
      </c>
      <c r="D5" s="540">
        <f>IFERROR(IF(VLOOKUP(A5,Waste_Item_Table,20,FALSE)="Y",VLOOKUP(A5,Waste_Item_Table,17),""),"")</f>
        <v>277</v>
      </c>
      <c r="E5" s="540">
        <f>IF(B5&lt;&gt;"",IFERROR(VLOOKUP(PrimaryManureMang,'13-MCF'!$B$9:$U$32,MATCH(AvgTemp,'13-MCF'!$C$9:$U$9,0),FALSE),0),"")</f>
        <v>1</v>
      </c>
      <c r="F5" s="214">
        <f>IF(LEN(B5)&gt;0,VLOOKUP(A5,'6-Biogas Production'!$O$58:$T$72,4,FALSE)*E5*365*ConversionFactor,"")</f>
        <v>66877.221226456793</v>
      </c>
    </row>
    <row r="6" spans="1:12" x14ac:dyDescent="0.45">
      <c r="A6" s="542" t="str">
        <f>'3-Digester Inputs'!B18</f>
        <v>Adolescents Pigs</v>
      </c>
      <c r="B6" s="540">
        <f>IFERROR(IF(VLOOKUP(A6,Waste_Item_Table,20,FALSE)="Y",('3-Digester Inputs'!H18*100)/(100-'3-Digester Inputs'!H18),""),"")</f>
        <v>8.3145998213900757E-2</v>
      </c>
      <c r="C6" s="541">
        <f>IFERROR(IF(VLOOKUP(A6,Waste_Item_Table,20,FALSE)="Y",B6*'3-Digester Inputs'!BE18/1000*365,""),"")</f>
        <v>9.0578577503772326</v>
      </c>
      <c r="D6" s="540" t="str">
        <f t="shared" ref="D6:D19" si="0">IFERROR(IF(VLOOKUP(A6,Waste_Item_Table,20,FALSE)="Y",VLOOKUP(A6,Waste_Item_Table,17),""),"")</f>
        <v/>
      </c>
      <c r="E6" s="540">
        <f>IF(B6&lt;&gt;"",IFERROR(VLOOKUP(PrimaryManureMang,'13-MCF'!$B$9:$U$32,MATCH(AvgTemp,'13-MCF'!$C$9:$U$9,0),FALSE),0),"")</f>
        <v>1</v>
      </c>
      <c r="F6" s="214">
        <f>IF(LEN(B6)&gt;0,VLOOKUP(A6,'6-Biogas Production'!$O$58:$T$72,4,FALSE)*E6*365*ConversionFactor,"")</f>
        <v>2190.9045547493606</v>
      </c>
    </row>
    <row r="7" spans="1:12" x14ac:dyDescent="0.45">
      <c r="A7" s="542" t="str">
        <f>'3-Digester Inputs'!B19</f>
        <v>Poultry Chicken</v>
      </c>
      <c r="B7" s="540">
        <f>IFERROR(IF(VLOOKUP(A7,Waste_Item_Table,20,FALSE)="Y",('3-Digester Inputs'!H19*100)/(100-'3-Digester Inputs'!H19),""),"")</f>
        <v>0.18367006177992987</v>
      </c>
      <c r="C7" s="541">
        <f>IFERROR(IF(VLOOKUP(A7,Waste_Item_Table,20,FALSE)="Y",B7*'3-Digester Inputs'!BE19/1000*365,""),"")</f>
        <v>10.643014827183167</v>
      </c>
      <c r="D7" s="540">
        <f t="shared" si="0"/>
        <v>270</v>
      </c>
      <c r="E7" s="540">
        <f>IF(B7&lt;&gt;"",IFERROR(VLOOKUP(PrimaryManureMang,'13-MCF'!$B$9:$U$32,MATCH(AvgTemp,'13-MCF'!$C$9:$U$9,0),FALSE),0),"")</f>
        <v>1</v>
      </c>
      <c r="F7" s="214">
        <f>IF(LEN(B7)&gt;0,VLOOKUP(A7,'6-Biogas Production'!$O$58:$T$72,4,FALSE)*E7*365*ConversionFactor,"")</f>
        <v>1993.8189742239999</v>
      </c>
    </row>
    <row r="8" spans="1:12" x14ac:dyDescent="0.45">
      <c r="A8" s="542">
        <f>'3-Digester Inputs'!B20</f>
        <v>0</v>
      </c>
      <c r="B8" s="540" t="str">
        <f>IFERROR(IF(VLOOKUP(A8,Waste_Item_Table,20,FALSE)="Y",('3-Digester Inputs'!H20*100)/(100-'3-Digester Inputs'!H20),""),"")</f>
        <v/>
      </c>
      <c r="C8" s="541" t="str">
        <f>IFERROR(IF(VLOOKUP(A8,Waste_Item_Table,20,FALSE)="Y",B8*'3-Digester Inputs'!BE20/1000*365,""),"")</f>
        <v/>
      </c>
      <c r="D8" s="540" t="str">
        <f t="shared" si="0"/>
        <v/>
      </c>
      <c r="E8" s="540" t="str">
        <f>IF(B8&lt;&gt;"",IFERROR(VLOOKUP(PrimaryManureMang,'13-MCF'!$B$9:$U$32,MATCH(AvgTemp,'13-MCF'!$C$9:$U$9,0),FALSE),0),"")</f>
        <v/>
      </c>
      <c r="F8" s="214" t="str">
        <f>IF(LEN(B8)&gt;0,VLOOKUP(A8,'6-Biogas Production'!$O$58:$T$72,4,FALSE)*E8*365*ConversionFactor,"")</f>
        <v/>
      </c>
    </row>
    <row r="9" spans="1:12" x14ac:dyDescent="0.45">
      <c r="A9" s="542">
        <f>'3-Digester Inputs'!B21</f>
        <v>0</v>
      </c>
      <c r="B9" s="540" t="str">
        <f>IFERROR(IF(VLOOKUP(A9,Waste_Item_Table,20,FALSE)="Y",('3-Digester Inputs'!H21*100)/(100-'3-Digester Inputs'!H21),""),"")</f>
        <v/>
      </c>
      <c r="C9" s="541" t="str">
        <f>IFERROR(IF(VLOOKUP(A9,Waste_Item_Table,20,FALSE)="Y",B9*'3-Digester Inputs'!BE21/1000*365,""),"")</f>
        <v/>
      </c>
      <c r="D9" s="540" t="str">
        <f t="shared" si="0"/>
        <v/>
      </c>
      <c r="E9" s="540" t="str">
        <f>IF(B9&lt;&gt;"",IFERROR(VLOOKUP(PrimaryManureMang,'13-MCF'!$B$9:$U$32,MATCH(AvgTemp,'13-MCF'!$C$9:$U$9,0),FALSE),0),"")</f>
        <v/>
      </c>
      <c r="F9" s="214" t="str">
        <f>IF(LEN(B9)&gt;0,VLOOKUP(A9,'6-Biogas Production'!$O$58:$T$72,4,FALSE)*E9*365*ConversionFactor,"")</f>
        <v/>
      </c>
    </row>
    <row r="10" spans="1:12" x14ac:dyDescent="0.45">
      <c r="A10" s="542">
        <f>'3-Digester Inputs'!B22</f>
        <v>0</v>
      </c>
      <c r="B10" s="540" t="str">
        <f>IFERROR(IF(VLOOKUP(A10,Waste_Item_Table,20,FALSE)="Y",('3-Digester Inputs'!H22*100)/(100-'3-Digester Inputs'!H22),""),"")</f>
        <v/>
      </c>
      <c r="C10" s="541" t="str">
        <f>IFERROR(IF(VLOOKUP(A10,Waste_Item_Table,20,FALSE)="Y",B10*'3-Digester Inputs'!BE22/1000*365,""),"")</f>
        <v/>
      </c>
      <c r="D10" s="540" t="str">
        <f t="shared" si="0"/>
        <v/>
      </c>
      <c r="E10" s="540" t="str">
        <f>IF(B10&lt;&gt;"",IFERROR(VLOOKUP(PrimaryManureMang,'13-MCF'!$B$9:$U$32,MATCH(AvgTemp,'13-MCF'!$C$9:$U$9,0),FALSE),0),"")</f>
        <v/>
      </c>
      <c r="F10" s="214" t="str">
        <f>IF(LEN(B10)&gt;0,VLOOKUP(A10,'6-Biogas Production'!$O$58:$T$72,4,FALSE)*E10*365*ConversionFactor,"")</f>
        <v/>
      </c>
    </row>
    <row r="11" spans="1:12" x14ac:dyDescent="0.45">
      <c r="A11" s="542">
        <f>'3-Digester Inputs'!B23</f>
        <v>0</v>
      </c>
      <c r="B11" s="540" t="str">
        <f>IFERROR(IF(VLOOKUP(A11,Waste_Item_Table,20,FALSE)="Y",('3-Digester Inputs'!H23*100)/(100-'3-Digester Inputs'!H23),""),"")</f>
        <v/>
      </c>
      <c r="C11" s="541" t="str">
        <f>IFERROR(IF(VLOOKUP(A11,Waste_Item_Table,20,FALSE)="Y",B11*'3-Digester Inputs'!BE23/1000*365,""),"")</f>
        <v/>
      </c>
      <c r="D11" s="540" t="str">
        <f t="shared" si="0"/>
        <v/>
      </c>
      <c r="E11" s="540" t="str">
        <f>IF(B11&lt;&gt;"",IFERROR(VLOOKUP(PrimaryManureMang,'13-MCF'!$B$9:$U$32,MATCH(AvgTemp,'13-MCF'!$C$9:$U$9,0),FALSE),0),"")</f>
        <v/>
      </c>
      <c r="F11" s="214" t="str">
        <f>IF(LEN(B11)&gt;0,VLOOKUP(A11,'6-Biogas Production'!$O$58:$T$72,4,FALSE)*E11*365*ConversionFactor,"")</f>
        <v/>
      </c>
    </row>
    <row r="12" spans="1:12" x14ac:dyDescent="0.45">
      <c r="A12" s="542">
        <f>'3-Digester Inputs'!B24</f>
        <v>0</v>
      </c>
      <c r="B12" s="540" t="str">
        <f>IFERROR(IF(VLOOKUP(A12,Waste_Item_Table,20,FALSE)="Y",('3-Digester Inputs'!H24*100)/(100-'3-Digester Inputs'!H24),""),"")</f>
        <v/>
      </c>
      <c r="C12" s="541" t="str">
        <f>IFERROR(IF(VLOOKUP(A12,Waste_Item_Table,20,FALSE)="Y",B12*'3-Digester Inputs'!BE24/1000*365,""),"")</f>
        <v/>
      </c>
      <c r="D12" s="540" t="str">
        <f t="shared" si="0"/>
        <v/>
      </c>
      <c r="E12" s="540" t="str">
        <f>IF(B12&lt;&gt;"",IFERROR(VLOOKUP(PrimaryManureMang,'13-MCF'!$B$9:$U$32,MATCH(AvgTemp,'13-MCF'!$C$9:$U$9,0),FALSE),0),"")</f>
        <v/>
      </c>
      <c r="F12" s="214" t="str">
        <f>IF(LEN(B12)&gt;0,VLOOKUP(A12,'6-Biogas Production'!$O$58:$T$72,4,FALSE)*E12*365*ConversionFactor,"")</f>
        <v/>
      </c>
    </row>
    <row r="13" spans="1:12" x14ac:dyDescent="0.45">
      <c r="A13" s="542">
        <f>'3-Digester Inputs'!B25</f>
        <v>0</v>
      </c>
      <c r="B13" s="540" t="str">
        <f>IFERROR(IF(VLOOKUP(A13,Waste_Item_Table,20,FALSE)="Y",('3-Digester Inputs'!H25*100)/(100-'3-Digester Inputs'!H25),""),"")</f>
        <v/>
      </c>
      <c r="C13" s="541" t="str">
        <f>IFERROR(IF(VLOOKUP(A13,Waste_Item_Table,20,FALSE)="Y",B13*'3-Digester Inputs'!BE25/1000*365,""),"")</f>
        <v/>
      </c>
      <c r="D13" s="540" t="str">
        <f t="shared" si="0"/>
        <v/>
      </c>
      <c r="E13" s="540" t="str">
        <f>IF(B13&lt;&gt;"",IFERROR(VLOOKUP(PrimaryManureMang,'13-MCF'!$B$9:$U$32,MATCH(AvgTemp,'13-MCF'!$C$9:$U$9,0),FALSE),0),"")</f>
        <v/>
      </c>
      <c r="F13" s="214" t="str">
        <f>IF(LEN(B13)&gt;0,VLOOKUP(A13,'6-Biogas Production'!$O$58:$T$72,4,FALSE)*E13*365*ConversionFactor,"")</f>
        <v/>
      </c>
    </row>
    <row r="14" spans="1:12" x14ac:dyDescent="0.45">
      <c r="A14" s="542">
        <f>'3-Digester Inputs'!B26</f>
        <v>0</v>
      </c>
      <c r="B14" s="540" t="str">
        <f>IFERROR(IF(VLOOKUP(A14,Waste_Item_Table,20,FALSE)="Y",('3-Digester Inputs'!H26*100)/(100-'3-Digester Inputs'!H26),""),"")</f>
        <v/>
      </c>
      <c r="C14" s="541" t="str">
        <f>IFERROR(IF(VLOOKUP(A14,Waste_Item_Table,20,FALSE)="Y",B14*'3-Digester Inputs'!BE26/1000*365,""),"")</f>
        <v/>
      </c>
      <c r="D14" s="540" t="str">
        <f t="shared" si="0"/>
        <v/>
      </c>
      <c r="E14" s="540" t="str">
        <f>IF(B14&lt;&gt;"",IFERROR(VLOOKUP(PrimaryManureMang,'13-MCF'!$B$9:$U$32,MATCH(AvgTemp,'13-MCF'!$C$9:$U$9,0),FALSE),0),"")</f>
        <v/>
      </c>
      <c r="F14" s="214" t="str">
        <f>IF(LEN(B14)&gt;0,VLOOKUP(A14,'6-Biogas Production'!$O$58:$T$72,4,FALSE)*E14*365*ConversionFactor,"")</f>
        <v/>
      </c>
    </row>
    <row r="15" spans="1:12" x14ac:dyDescent="0.45">
      <c r="A15" s="542">
        <f>'3-Digester Inputs'!B27</f>
        <v>0</v>
      </c>
      <c r="B15" s="540" t="str">
        <f>IFERROR(IF(VLOOKUP(A15,Waste_Item_Table,20,FALSE)="Y",('3-Digester Inputs'!H27*100)/(100-'3-Digester Inputs'!H27),""),"")</f>
        <v/>
      </c>
      <c r="C15" s="541" t="str">
        <f>IFERROR(IF(VLOOKUP(A15,Waste_Item_Table,20,FALSE)="Y",B15*'3-Digester Inputs'!BE27/1000*365,""),"")</f>
        <v/>
      </c>
      <c r="D15" s="540" t="str">
        <f t="shared" si="0"/>
        <v/>
      </c>
      <c r="E15" s="540" t="str">
        <f>IF(B15&lt;&gt;"",IFERROR(VLOOKUP(PrimaryManureMang,'13-MCF'!$B$9:$U$32,MATCH(AvgTemp,'13-MCF'!$C$9:$U$9,0),FALSE),0),"")</f>
        <v/>
      </c>
      <c r="F15" s="214" t="str">
        <f>IF(LEN(B15)&gt;0,VLOOKUP(A15,'6-Biogas Production'!$O$58:$T$72,4,FALSE)*E15*365*ConversionFactor,"")</f>
        <v/>
      </c>
    </row>
    <row r="16" spans="1:12" x14ac:dyDescent="0.45">
      <c r="A16" s="542">
        <f>'3-Digester Inputs'!B28</f>
        <v>0</v>
      </c>
      <c r="B16" s="540" t="str">
        <f>IFERROR(IF(VLOOKUP(A16,Waste_Item_Table,20,FALSE)="Y",('3-Digester Inputs'!H28*100)/(100-'3-Digester Inputs'!H28),""),"")</f>
        <v/>
      </c>
      <c r="C16" s="541" t="str">
        <f>IFERROR(IF(VLOOKUP(A16,Waste_Item_Table,20,FALSE)="Y",B16*'3-Digester Inputs'!BE28/1000*365,""),"")</f>
        <v/>
      </c>
      <c r="D16" s="540" t="str">
        <f t="shared" si="0"/>
        <v/>
      </c>
      <c r="E16" s="540" t="str">
        <f>IF(B16&lt;&gt;"",IFERROR(VLOOKUP(PrimaryManureMang,'13-MCF'!$B$9:$U$32,MATCH(AvgTemp,'13-MCF'!$C$9:$U$9,0),FALSE),0),"")</f>
        <v/>
      </c>
      <c r="F16" s="214" t="str">
        <f>IF(LEN(B16)&gt;0,VLOOKUP(A16,'6-Biogas Production'!$O$58:$T$72,4,FALSE)*E16*365*ConversionFactor,"")</f>
        <v/>
      </c>
    </row>
    <row r="17" spans="1:6" x14ac:dyDescent="0.45">
      <c r="A17" s="542">
        <f>'3-Digester Inputs'!B29</f>
        <v>0</v>
      </c>
      <c r="B17" s="540" t="str">
        <f>IFERROR(IF(VLOOKUP(A17,Waste_Item_Table,20,FALSE)="Y",('3-Digester Inputs'!H29*100)/(100-'3-Digester Inputs'!H29),""),"")</f>
        <v/>
      </c>
      <c r="C17" s="541" t="str">
        <f>IFERROR(IF(VLOOKUP(A17,Waste_Item_Table,20,FALSE)="Y",B17*'3-Digester Inputs'!BE29/1000*365,""),"")</f>
        <v/>
      </c>
      <c r="D17" s="540" t="str">
        <f t="shared" si="0"/>
        <v/>
      </c>
      <c r="E17" s="540" t="str">
        <f>IF(B17&lt;&gt;"",IFERROR(VLOOKUP(PrimaryManureMang,'13-MCF'!$B$9:$U$32,MATCH(AvgTemp,'13-MCF'!$C$9:$U$9,0),FALSE),0),"")</f>
        <v/>
      </c>
      <c r="F17" s="214" t="str">
        <f>IF(LEN(B17)&gt;0,VLOOKUP(A17,'6-Biogas Production'!$O$58:$T$72,4,FALSE)*E17*365*ConversionFactor,"")</f>
        <v/>
      </c>
    </row>
    <row r="18" spans="1:6" x14ac:dyDescent="0.45">
      <c r="A18" s="542">
        <f>'3-Digester Inputs'!B30</f>
        <v>0</v>
      </c>
      <c r="B18" s="540" t="str">
        <f>IFERROR(IF(VLOOKUP(A18,Waste_Item_Table,20,FALSE)="Y",('3-Digester Inputs'!H30*100)/(100-'3-Digester Inputs'!H30),""),"")</f>
        <v/>
      </c>
      <c r="C18" s="541" t="str">
        <f>IFERROR(IF(VLOOKUP(A18,Waste_Item_Table,20,FALSE)="Y",B18*'3-Digester Inputs'!BE30/1000*365,""),"")</f>
        <v/>
      </c>
      <c r="D18" s="540" t="str">
        <f t="shared" si="0"/>
        <v/>
      </c>
      <c r="E18" s="540" t="str">
        <f>IF(B18&lt;&gt;"",IFERROR(VLOOKUP(PrimaryManureMang,'13-MCF'!$B$9:$U$32,MATCH(AvgTemp,'13-MCF'!$C$9:$U$9,0),FALSE),0),"")</f>
        <v/>
      </c>
      <c r="F18" s="214" t="str">
        <f>IF(LEN(B18)&gt;0,VLOOKUP(A18,'6-Biogas Production'!$O$58:$T$72,4,FALSE)*E18*365*ConversionFactor,"")</f>
        <v/>
      </c>
    </row>
    <row r="19" spans="1:6" x14ac:dyDescent="0.45">
      <c r="A19" s="542">
        <f>'3-Digester Inputs'!B31</f>
        <v>0</v>
      </c>
      <c r="B19" s="540" t="str">
        <f>IFERROR(IF(VLOOKUP(A19,Waste_Item_Table,20,FALSE)="Y",('3-Digester Inputs'!H31*100)/(100-'3-Digester Inputs'!H31),""),"")</f>
        <v/>
      </c>
      <c r="C19" s="541" t="str">
        <f>IFERROR(IF(VLOOKUP(A19,Waste_Item_Table,20,FALSE)="Y",B19*'3-Digester Inputs'!BE31/1000*365,""),"")</f>
        <v/>
      </c>
      <c r="D19" s="540" t="str">
        <f t="shared" si="0"/>
        <v/>
      </c>
      <c r="E19" s="540" t="str">
        <f>IF(B19&lt;&gt;"",IFERROR(VLOOKUP(PrimaryManureMang,'13-MCF'!$B$9:$U$32,MATCH(AvgTemp,'13-MCF'!$C$9:$U$9,0),FALSE),0),"")</f>
        <v/>
      </c>
      <c r="F19" s="214" t="str">
        <f>IF(LEN(B19)&gt;0,VLOOKUP(A19,'6-Biogas Production'!$O$58:$T$72,4,FALSE)*E19*365*ConversionFactor,"")</f>
        <v/>
      </c>
    </row>
    <row r="20" spans="1:6" x14ac:dyDescent="0.45">
      <c r="A20" s="543" t="s">
        <v>204</v>
      </c>
      <c r="B20" s="544" t="s">
        <v>630</v>
      </c>
      <c r="C20" s="545"/>
      <c r="D20" s="546" t="s">
        <v>630</v>
      </c>
      <c r="E20" s="546" t="s">
        <v>630</v>
      </c>
      <c r="F20" s="545">
        <f>SUM(F5:F19)</f>
        <v>71061.944755430159</v>
      </c>
    </row>
    <row r="21" spans="1:6" x14ac:dyDescent="0.45">
      <c r="A21" s="543"/>
      <c r="B21" s="543"/>
      <c r="C21" s="547"/>
      <c r="D21" s="547"/>
      <c r="E21" s="547"/>
      <c r="F21" s="547"/>
    </row>
    <row r="22" spans="1:6" x14ac:dyDescent="0.45">
      <c r="A22" s="9"/>
      <c r="B22" s="9"/>
      <c r="C22" s="9"/>
      <c r="D22" s="9"/>
      <c r="E22" s="9"/>
      <c r="F22" s="9"/>
    </row>
    <row r="27" spans="1:6" x14ac:dyDescent="0.45">
      <c r="C27" s="559"/>
      <c r="D27" s="559"/>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5"/>
  <dimension ref="A1:J25"/>
  <sheetViews>
    <sheetView workbookViewId="0">
      <selection activeCell="E26" sqref="E26"/>
    </sheetView>
  </sheetViews>
  <sheetFormatPr defaultColWidth="8.5703125" defaultRowHeight="15.9" x14ac:dyDescent="0.45"/>
  <cols>
    <col min="1" max="1" width="44.5703125" customWidth="1"/>
    <col min="2" max="2" width="22.92578125" customWidth="1"/>
    <col min="3" max="3" width="30.640625" hidden="1" customWidth="1"/>
    <col min="4" max="4" width="41" hidden="1" customWidth="1"/>
    <col min="5" max="5" width="41" customWidth="1"/>
    <col min="6" max="6" width="38.42578125" customWidth="1"/>
  </cols>
  <sheetData>
    <row r="1" spans="1:10" ht="20.6" x14ac:dyDescent="0.55000000000000004">
      <c r="A1" s="539" t="s">
        <v>631</v>
      </c>
      <c r="B1" s="539"/>
      <c r="C1" s="539"/>
      <c r="D1" s="539"/>
      <c r="E1" s="539"/>
      <c r="F1" s="539"/>
      <c r="G1" s="480"/>
      <c r="H1" s="480"/>
      <c r="I1" s="480"/>
      <c r="J1" s="480"/>
    </row>
    <row r="2" spans="1:10" x14ac:dyDescent="0.45">
      <c r="A2" s="9"/>
      <c r="B2" s="9"/>
      <c r="C2" s="9"/>
      <c r="D2" s="9"/>
      <c r="E2" s="9"/>
      <c r="F2" s="9"/>
    </row>
    <row r="3" spans="1:10" x14ac:dyDescent="0.45">
      <c r="A3" s="210" t="s">
        <v>624</v>
      </c>
      <c r="B3" s="210"/>
      <c r="C3" s="210"/>
      <c r="D3" s="210"/>
      <c r="E3" s="210"/>
      <c r="F3" s="210" t="s">
        <v>761</v>
      </c>
    </row>
    <row r="4" spans="1:10" ht="18.899999999999999" x14ac:dyDescent="0.5">
      <c r="A4" s="210" t="s">
        <v>626</v>
      </c>
      <c r="B4" s="236" t="s">
        <v>627</v>
      </c>
      <c r="C4" s="236" t="s">
        <v>628</v>
      </c>
      <c r="D4" s="236" t="s">
        <v>752</v>
      </c>
      <c r="E4" s="236" t="s">
        <v>629</v>
      </c>
      <c r="F4" s="236" t="s">
        <v>753</v>
      </c>
    </row>
    <row r="5" spans="1:10" x14ac:dyDescent="0.45">
      <c r="A5" s="211" t="str">
        <f>IFERROR('3-Digester Inputs'!B17,"-")</f>
        <v>Calf</v>
      </c>
      <c r="B5" s="540" t="str">
        <f>IFERROR(IF(VLOOKUP(A5,Waste_Item_Table,20,FALSE)="N",('3-Digester Inputs'!H17*100)/(100-'3-Digester Inputs'!H17),""),"")</f>
        <v/>
      </c>
      <c r="C5" s="541" t="str">
        <f>IFERROR(IF(VLOOKUP(A5,Waste_Item_Table,20,FALSE)="N",B5*'3-Digester Inputs'!BE17/1000*365,""),"")</f>
        <v/>
      </c>
      <c r="D5" s="540" t="str">
        <f t="shared" ref="D5:D19" si="0">IFERROR(IF(VLOOKUP(A5,Waste_Item_Table,20,FALSE)="N",VLOOKUP(A5,Waste_Item_Table,17,FALSE),""),"")</f>
        <v/>
      </c>
      <c r="E5" s="540" t="str">
        <f>IF(B5&lt;&gt;"",IFERROR(VLOOKUP(PrimaryOtherWasteMng,'13-MCF'!$B$9:$U$32,MATCH(AvgTemp,'13-MCF'!$C$9:$U$9,0),FALSE),0),"")</f>
        <v/>
      </c>
      <c r="F5" s="273" t="str">
        <f>IF(LEN(B5)&gt;0,VLOOKUP(A5,'6-Biogas Production'!$O$58:$T$72,4,FALSE)*365*E5*ConversionFactor,"")</f>
        <v/>
      </c>
    </row>
    <row r="6" spans="1:10" x14ac:dyDescent="0.45">
      <c r="A6" s="542" t="str">
        <f>IFERROR('3-Digester Inputs'!B18,"-")</f>
        <v>Adolescents Pigs</v>
      </c>
      <c r="B6" s="540" t="str">
        <f>IFERROR(IF(VLOOKUP(A6,Waste_Item_Table,20,FALSE)="N",('3-Digester Inputs'!H18*100)/(100-'3-Digester Inputs'!H18),""),"")</f>
        <v/>
      </c>
      <c r="C6" s="541" t="str">
        <f>IFERROR(IF(VLOOKUP(A6,Waste_Item_Table,20,FALSE)="N",B6*'3-Digester Inputs'!BE18/1000*365,""),"")</f>
        <v/>
      </c>
      <c r="D6" s="540" t="str">
        <f t="shared" si="0"/>
        <v/>
      </c>
      <c r="E6" s="540" t="str">
        <f>IF(B6&lt;&gt;"",IFERROR(VLOOKUP(PrimaryOtherWasteMng,'13-MCF'!$B$9:$U$32,MATCH(AvgTemp,'13-MCF'!$C$9:$U$9,0),FALSE),0),"")</f>
        <v/>
      </c>
      <c r="F6" s="273" t="str">
        <f>IF(LEN(B6)&gt;0,VLOOKUP(A6,'6-Biogas Production'!$O$58:$T$72,4,FALSE)*365*E6*ConversionFactor,"")</f>
        <v/>
      </c>
    </row>
    <row r="7" spans="1:10" x14ac:dyDescent="0.45">
      <c r="A7" s="542" t="str">
        <f>IFERROR('3-Digester Inputs'!B19,"-")</f>
        <v>Poultry Chicken</v>
      </c>
      <c r="B7" s="540" t="str">
        <f>IFERROR(IF(VLOOKUP(A7,Waste_Item_Table,20,FALSE)="N",('3-Digester Inputs'!H19*100)/(100-'3-Digester Inputs'!H19),""),"")</f>
        <v/>
      </c>
      <c r="C7" s="541" t="str">
        <f>IFERROR(IF(VLOOKUP(A7,Waste_Item_Table,20,FALSE)="N",B7*'3-Digester Inputs'!BE19/1000*365,""),"")</f>
        <v/>
      </c>
      <c r="D7" s="540" t="str">
        <f t="shared" si="0"/>
        <v/>
      </c>
      <c r="E7" s="540" t="str">
        <f>IF(B7&lt;&gt;"",IFERROR(VLOOKUP(PrimaryOtherWasteMng,'13-MCF'!$B$9:$U$32,MATCH(AvgTemp,'13-MCF'!$C$9:$U$9,0),FALSE),0),"")</f>
        <v/>
      </c>
      <c r="F7" s="273" t="str">
        <f>IF(LEN(B7)&gt;0,VLOOKUP(A7,'6-Biogas Production'!$O$58:$T$72,4,FALSE)*365*E7*ConversionFactor,"")</f>
        <v/>
      </c>
    </row>
    <row r="8" spans="1:10" x14ac:dyDescent="0.45">
      <c r="A8" s="542">
        <f>IFERROR('3-Digester Inputs'!B20,"-")</f>
        <v>0</v>
      </c>
      <c r="B8" s="540" t="str">
        <f>IFERROR(IF(VLOOKUP(A8,Waste_Item_Table,20,FALSE)="N",('3-Digester Inputs'!H20*100)/(100-'3-Digester Inputs'!H20),""),"")</f>
        <v/>
      </c>
      <c r="C8" s="541" t="str">
        <f>IFERROR(IF(VLOOKUP(A8,Waste_Item_Table,20,FALSE)="N",B8*'3-Digester Inputs'!BE20/1000*365,""),"")</f>
        <v/>
      </c>
      <c r="D8" s="540" t="str">
        <f t="shared" si="0"/>
        <v/>
      </c>
      <c r="E8" s="540" t="str">
        <f>IF(B8&lt;&gt;"",IFERROR(VLOOKUP(PrimaryOtherWasteMng,'13-MCF'!$B$9:$U$32,MATCH(AvgTemp,'13-MCF'!$C$9:$U$9,0),FALSE),0),"")</f>
        <v/>
      </c>
      <c r="F8" s="273" t="str">
        <f>IF(LEN(B8)&gt;0,VLOOKUP(A8,'6-Biogas Production'!$O$58:$T$72,4,FALSE)*365*E8*ConversionFactor,"")</f>
        <v/>
      </c>
    </row>
    <row r="9" spans="1:10" x14ac:dyDescent="0.45">
      <c r="A9" s="542">
        <f>IFERROR('3-Digester Inputs'!B21,"-")</f>
        <v>0</v>
      </c>
      <c r="B9" s="540" t="str">
        <f>IFERROR(IF(VLOOKUP(A9,Waste_Item_Table,20,FALSE)="N",('3-Digester Inputs'!H21*100)/(100-'3-Digester Inputs'!H21),""),"")</f>
        <v/>
      </c>
      <c r="C9" s="541" t="str">
        <f>IFERROR(IF(VLOOKUP(A9,Waste_Item_Table,20,FALSE)="N",B9*'3-Digester Inputs'!BE21/1000*365,""),"")</f>
        <v/>
      </c>
      <c r="D9" s="540" t="str">
        <f t="shared" si="0"/>
        <v/>
      </c>
      <c r="E9" s="540" t="str">
        <f>IF(B9&lt;&gt;"",IFERROR(VLOOKUP(PrimaryOtherWasteMng,'13-MCF'!$B$9:$U$32,MATCH(AvgTemp,'13-MCF'!$C$9:$U$9,0),FALSE),0),"")</f>
        <v/>
      </c>
      <c r="F9" s="273" t="str">
        <f>IF(LEN(B9)&gt;0,VLOOKUP(A9,'6-Biogas Production'!$O$58:$T$72,4,FALSE)*365*E9*ConversionFactor,"")</f>
        <v/>
      </c>
    </row>
    <row r="10" spans="1:10" x14ac:dyDescent="0.45">
      <c r="A10" s="542">
        <f>IFERROR('3-Digester Inputs'!B22,"-")</f>
        <v>0</v>
      </c>
      <c r="B10" s="540" t="str">
        <f>IFERROR(IF(VLOOKUP(A10,Waste_Item_Table,20,FALSE)="N",('3-Digester Inputs'!H22*100)/(100-'3-Digester Inputs'!H22),""),"")</f>
        <v/>
      </c>
      <c r="C10" s="541" t="str">
        <f>IFERROR(IF(VLOOKUP(A10,Waste_Item_Table,20,FALSE)="N",B10*'3-Digester Inputs'!BE22/1000*365,""),"")</f>
        <v/>
      </c>
      <c r="D10" s="540" t="str">
        <f t="shared" si="0"/>
        <v/>
      </c>
      <c r="E10" s="540" t="str">
        <f>IF(B10&lt;&gt;"",IFERROR(VLOOKUP(PrimaryOtherWasteMng,'13-MCF'!$B$9:$U$32,MATCH(AvgTemp,'13-MCF'!$C$9:$U$9,0),FALSE),0),"")</f>
        <v/>
      </c>
      <c r="F10" s="273" t="str">
        <f>IF(LEN(B10)&gt;0,VLOOKUP(A10,'6-Biogas Production'!$O$58:$T$72,4,FALSE)*365*E10*ConversionFactor,"")</f>
        <v/>
      </c>
    </row>
    <row r="11" spans="1:10" x14ac:dyDescent="0.45">
      <c r="A11" s="542">
        <f>IFERROR('3-Digester Inputs'!B23,"-")</f>
        <v>0</v>
      </c>
      <c r="B11" s="540" t="str">
        <f>IFERROR(IF(VLOOKUP(A11,Waste_Item_Table,20,FALSE)="N",('3-Digester Inputs'!H23*100)/(100-'3-Digester Inputs'!H23),""),"")</f>
        <v/>
      </c>
      <c r="C11" s="541" t="str">
        <f>IFERROR(IF(VLOOKUP(A11,Waste_Item_Table,20,FALSE)="N",B11*'3-Digester Inputs'!BE23/1000*365,""),"")</f>
        <v/>
      </c>
      <c r="D11" s="540" t="str">
        <f t="shared" si="0"/>
        <v/>
      </c>
      <c r="E11" s="540" t="str">
        <f>IF(B11&lt;&gt;"",IFERROR(VLOOKUP(PrimaryOtherWasteMng,'13-MCF'!$B$9:$U$32,MATCH(AvgTemp,'13-MCF'!$C$9:$U$9,0),FALSE),0),"")</f>
        <v/>
      </c>
      <c r="F11" s="273" t="str">
        <f>IF(LEN(B11)&gt;0,VLOOKUP(A11,'6-Biogas Production'!$O$58:$T$72,4,FALSE)*365*E11*ConversionFactor,"")</f>
        <v/>
      </c>
    </row>
    <row r="12" spans="1:10" x14ac:dyDescent="0.45">
      <c r="A12" s="542">
        <f>IFERROR('3-Digester Inputs'!B24,"-")</f>
        <v>0</v>
      </c>
      <c r="B12" s="540" t="str">
        <f>IFERROR(IF(VLOOKUP(A12,Waste_Item_Table,20,FALSE)="N",('3-Digester Inputs'!H24*100)/(100-'3-Digester Inputs'!H24),""),"")</f>
        <v/>
      </c>
      <c r="C12" s="541" t="str">
        <f>IFERROR(IF(VLOOKUP(A12,Waste_Item_Table,20,FALSE)="N",B12*'3-Digester Inputs'!BE24/1000*365,""),"")</f>
        <v/>
      </c>
      <c r="D12" s="540" t="str">
        <f t="shared" si="0"/>
        <v/>
      </c>
      <c r="E12" s="540" t="str">
        <f>IF(B12&lt;&gt;"",IFERROR(VLOOKUP(PrimaryOtherWasteMng,'13-MCF'!$B$9:$U$32,MATCH(AvgTemp,'13-MCF'!$C$9:$U$9,0),FALSE),0),"")</f>
        <v/>
      </c>
      <c r="F12" s="273" t="str">
        <f>IF(LEN(B12)&gt;0,VLOOKUP(A12,'6-Biogas Production'!$O$58:$T$72,4,FALSE)*365*E12*ConversionFactor,"")</f>
        <v/>
      </c>
    </row>
    <row r="13" spans="1:10" x14ac:dyDescent="0.45">
      <c r="A13" s="542">
        <f>IFERROR('3-Digester Inputs'!B25,"-")</f>
        <v>0</v>
      </c>
      <c r="B13" s="540" t="str">
        <f>IFERROR(IF(VLOOKUP(A13,Waste_Item_Table,20,FALSE)="N",('3-Digester Inputs'!H25*100)/(100-'3-Digester Inputs'!H25),""),"")</f>
        <v/>
      </c>
      <c r="C13" s="541" t="str">
        <f>IFERROR(IF(VLOOKUP(A13,Waste_Item_Table,20,FALSE)="N",B13*'3-Digester Inputs'!BE25/1000*365,""),"")</f>
        <v/>
      </c>
      <c r="D13" s="540" t="str">
        <f t="shared" si="0"/>
        <v/>
      </c>
      <c r="E13" s="540" t="str">
        <f>IF(B13&lt;&gt;"",IFERROR(VLOOKUP(PrimaryOtherWasteMng,'13-MCF'!$B$9:$U$32,MATCH(AvgTemp,'13-MCF'!$C$9:$U$9,0),FALSE),0),"")</f>
        <v/>
      </c>
      <c r="F13" s="273" t="str">
        <f>IF(LEN(B13)&gt;0,VLOOKUP(A13,'6-Biogas Production'!$O$58:$T$72,4,FALSE)*365*E13*ConversionFactor,"")</f>
        <v/>
      </c>
    </row>
    <row r="14" spans="1:10" x14ac:dyDescent="0.45">
      <c r="A14" s="542">
        <f>IFERROR('3-Digester Inputs'!B26,"-")</f>
        <v>0</v>
      </c>
      <c r="B14" s="540" t="str">
        <f>IFERROR(IF(VLOOKUP(A14,Waste_Item_Table,20,FALSE)="N",('3-Digester Inputs'!H26*100)/(100-'3-Digester Inputs'!H26),""),"")</f>
        <v/>
      </c>
      <c r="C14" s="541" t="str">
        <f>IFERROR(IF(VLOOKUP(A14,Waste_Item_Table,20,FALSE)="N",B14*'3-Digester Inputs'!BE26/1000*365,""),"")</f>
        <v/>
      </c>
      <c r="D14" s="540" t="str">
        <f t="shared" si="0"/>
        <v/>
      </c>
      <c r="E14" s="540" t="str">
        <f>IF(B14&lt;&gt;"",IFERROR(VLOOKUP(PrimaryOtherWasteMng,'13-MCF'!$B$9:$U$32,MATCH(AvgTemp,'13-MCF'!$C$9:$U$9,0),FALSE),0),"")</f>
        <v/>
      </c>
      <c r="F14" s="273" t="str">
        <f>IF(LEN(B14)&gt;0,VLOOKUP(A14,'6-Biogas Production'!$O$58:$T$72,4,FALSE)*365*E14*ConversionFactor,"")</f>
        <v/>
      </c>
    </row>
    <row r="15" spans="1:10" x14ac:dyDescent="0.45">
      <c r="A15" s="542">
        <f>IFERROR('3-Digester Inputs'!B27,"-")</f>
        <v>0</v>
      </c>
      <c r="B15" s="540" t="str">
        <f>IFERROR(IF(VLOOKUP(A15,Waste_Item_Table,20,FALSE)="N",('3-Digester Inputs'!H27*100)/(100-'3-Digester Inputs'!H27),""),"")</f>
        <v/>
      </c>
      <c r="C15" s="541" t="str">
        <f>IFERROR(IF(VLOOKUP(A15,Waste_Item_Table,20,FALSE)="N",B15*'3-Digester Inputs'!BE27/1000*365,""),"")</f>
        <v/>
      </c>
      <c r="D15" s="540" t="str">
        <f t="shared" si="0"/>
        <v/>
      </c>
      <c r="E15" s="540" t="str">
        <f>IF(B15&lt;&gt;"",IFERROR(VLOOKUP(PrimaryOtherWasteMng,'13-MCF'!$B$9:$U$32,MATCH(AvgTemp,'13-MCF'!$C$9:$U$9,0),FALSE),0),"")</f>
        <v/>
      </c>
      <c r="F15" s="273" t="str">
        <f>IF(LEN(B15)&gt;0,VLOOKUP(A15,'6-Biogas Production'!$O$58:$T$72,4,FALSE)*365*E15*ConversionFactor,"")</f>
        <v/>
      </c>
    </row>
    <row r="16" spans="1:10" x14ac:dyDescent="0.45">
      <c r="A16" s="542">
        <f>IFERROR('3-Digester Inputs'!B28,"-")</f>
        <v>0</v>
      </c>
      <c r="B16" s="540" t="str">
        <f>IFERROR(IF(VLOOKUP(A16,Waste_Item_Table,20,FALSE)="N",('3-Digester Inputs'!H28*100)/(100-'3-Digester Inputs'!H28),""),"")</f>
        <v/>
      </c>
      <c r="C16" s="541" t="str">
        <f>IFERROR(IF(VLOOKUP(A16,Waste_Item_Table,20,FALSE)="N",B16*'3-Digester Inputs'!BE28/1000*365,""),"")</f>
        <v/>
      </c>
      <c r="D16" s="540" t="str">
        <f t="shared" si="0"/>
        <v/>
      </c>
      <c r="E16" s="540" t="str">
        <f>IF(B16&lt;&gt;"",IFERROR(VLOOKUP(PrimaryOtherWasteMng,'13-MCF'!$B$9:$U$32,MATCH(AvgTemp,'13-MCF'!$C$9:$U$9,0),FALSE),0),"")</f>
        <v/>
      </c>
      <c r="F16" s="273" t="str">
        <f>IF(LEN(B16)&gt;0,VLOOKUP(A16,'6-Biogas Production'!$O$58:$T$72,4,FALSE)*365*E16*ConversionFactor,"")</f>
        <v/>
      </c>
    </row>
    <row r="17" spans="1:6" x14ac:dyDescent="0.45">
      <c r="A17" s="542">
        <f>IFERROR('3-Digester Inputs'!B29,"-")</f>
        <v>0</v>
      </c>
      <c r="B17" s="540" t="str">
        <f>IFERROR(IF(VLOOKUP(A17,Waste_Item_Table,20,FALSE)="N",('3-Digester Inputs'!H29*100)/(100-'3-Digester Inputs'!H29),""),"")</f>
        <v/>
      </c>
      <c r="C17" s="541" t="str">
        <f>IFERROR(IF(VLOOKUP(A17,Waste_Item_Table,20,FALSE)="N",B17*'3-Digester Inputs'!BE29/1000*365,""),"")</f>
        <v/>
      </c>
      <c r="D17" s="540" t="str">
        <f t="shared" si="0"/>
        <v/>
      </c>
      <c r="E17" s="540" t="str">
        <f>IF(B17&lt;&gt;"",IFERROR(VLOOKUP(PrimaryOtherWasteMng,'13-MCF'!$B$9:$U$32,MATCH(AvgTemp,'13-MCF'!$C$9:$U$9,0),FALSE),0),"")</f>
        <v/>
      </c>
      <c r="F17" s="273" t="str">
        <f>IF(LEN(B17)&gt;0,VLOOKUP(A17,'6-Biogas Production'!$O$58:$T$72,4,FALSE)*365*E17*ConversionFactor,"")</f>
        <v/>
      </c>
    </row>
    <row r="18" spans="1:6" x14ac:dyDescent="0.45">
      <c r="A18" s="542">
        <f>IFERROR('3-Digester Inputs'!B30,"-")</f>
        <v>0</v>
      </c>
      <c r="B18" s="540" t="str">
        <f>IFERROR(IF(VLOOKUP(A18,Waste_Item_Table,20,FALSE)="N",('3-Digester Inputs'!H30*100)/(100-'3-Digester Inputs'!H30),""),"")</f>
        <v/>
      </c>
      <c r="C18" s="541" t="str">
        <f>IFERROR(IF(VLOOKUP(A18,Waste_Item_Table,20,FALSE)="N",B18*'3-Digester Inputs'!BE30/1000*365,""),"")</f>
        <v/>
      </c>
      <c r="D18" s="540" t="str">
        <f t="shared" si="0"/>
        <v/>
      </c>
      <c r="E18" s="540" t="str">
        <f>IF(B18&lt;&gt;"",IFERROR(VLOOKUP(PrimaryOtherWasteMng,'13-MCF'!$B$9:$U$32,MATCH(AvgTemp,'13-MCF'!$C$9:$U$9,0),FALSE),0),"")</f>
        <v/>
      </c>
      <c r="F18" s="273" t="str">
        <f>IF(LEN(B18)&gt;0,VLOOKUP(A18,'6-Biogas Production'!$O$58:$T$72,4,FALSE)*365*E18*ConversionFactor,"")</f>
        <v/>
      </c>
    </row>
    <row r="19" spans="1:6" x14ac:dyDescent="0.45">
      <c r="A19" s="542">
        <f>IFERROR('3-Digester Inputs'!B31,"-")</f>
        <v>0</v>
      </c>
      <c r="B19" s="540" t="str">
        <f>IFERROR(IF(VLOOKUP(A19,Waste_Item_Table,20,FALSE)="N",('3-Digester Inputs'!H31*100)/(100-'3-Digester Inputs'!H31),""),"")</f>
        <v/>
      </c>
      <c r="C19" s="541" t="str">
        <f>IFERROR(IF(VLOOKUP(A19,Waste_Item_Table,20,FALSE)="N",B19*'3-Digester Inputs'!BE31/1000*365,""),"")</f>
        <v/>
      </c>
      <c r="D19" s="540" t="str">
        <f t="shared" si="0"/>
        <v/>
      </c>
      <c r="E19" s="540" t="str">
        <f>IF(B19&lt;&gt;"",IFERROR(VLOOKUP(PrimaryOtherWasteMng,'13-MCF'!$B$9:$U$32,MATCH(AvgTemp,'13-MCF'!$C$9:$U$9,0),FALSE),0),"")</f>
        <v/>
      </c>
      <c r="F19" s="273" t="str">
        <f>IF(LEN(B19)&gt;0,VLOOKUP(A19,'6-Biogas Production'!$O$58:$T$72,4,FALSE)*365*E19*ConversionFactor,"")</f>
        <v/>
      </c>
    </row>
    <row r="20" spans="1:6" x14ac:dyDescent="0.45">
      <c r="A20" s="543" t="s">
        <v>204</v>
      </c>
      <c r="B20" s="544" t="s">
        <v>630</v>
      </c>
      <c r="C20" s="545">
        <f>SUM(C5:C19)</f>
        <v>0</v>
      </c>
      <c r="D20" s="546" t="s">
        <v>630</v>
      </c>
      <c r="E20" s="546" t="s">
        <v>630</v>
      </c>
      <c r="F20" s="545">
        <f>SUM(F5:F19)</f>
        <v>0</v>
      </c>
    </row>
    <row r="21" spans="1:6" x14ac:dyDescent="0.45">
      <c r="A21" s="543"/>
      <c r="B21" s="543"/>
      <c r="C21" s="547"/>
      <c r="D21" s="547"/>
      <c r="E21" s="547"/>
      <c r="F21" s="547"/>
    </row>
    <row r="22" spans="1:6" x14ac:dyDescent="0.45">
      <c r="A22" s="9"/>
      <c r="B22" s="9"/>
      <c r="C22" s="9"/>
      <c r="D22" s="9"/>
      <c r="E22" s="9"/>
      <c r="F22" s="9"/>
    </row>
    <row r="23" spans="1:6" x14ac:dyDescent="0.45">
      <c r="A23" s="9"/>
      <c r="B23" s="9"/>
      <c r="C23" s="9"/>
      <c r="D23" s="9"/>
      <c r="E23" s="9"/>
      <c r="F23" s="9"/>
    </row>
    <row r="24" spans="1:6" x14ac:dyDescent="0.45">
      <c r="A24" s="9"/>
      <c r="B24" s="9"/>
      <c r="C24" s="9"/>
      <c r="D24" s="9"/>
      <c r="E24" s="9"/>
      <c r="F24" s="9"/>
    </row>
    <row r="25" spans="1:6" x14ac:dyDescent="0.45">
      <c r="A25" s="9"/>
      <c r="B25" s="9"/>
      <c r="C25" s="9"/>
      <c r="D25" s="9"/>
      <c r="E25" s="9"/>
      <c r="F25" s="9"/>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L21"/>
  <sheetViews>
    <sheetView workbookViewId="0"/>
  </sheetViews>
  <sheetFormatPr defaultColWidth="8.5703125" defaultRowHeight="15.9" x14ac:dyDescent="0.45"/>
  <cols>
    <col min="1" max="1" width="38.140625" bestFit="1" customWidth="1"/>
    <col min="2" max="2" width="19.5703125" bestFit="1" customWidth="1"/>
    <col min="3" max="3" width="26.0703125" bestFit="1" customWidth="1"/>
    <col min="4" max="4" width="38.5" bestFit="1" customWidth="1"/>
    <col min="5" max="5" width="23.5" bestFit="1" customWidth="1"/>
    <col min="6" max="6" width="35.5" customWidth="1"/>
  </cols>
  <sheetData>
    <row r="1" spans="1:12" ht="20.6" x14ac:dyDescent="0.55000000000000004">
      <c r="A1" s="539" t="s">
        <v>632</v>
      </c>
      <c r="B1" s="539"/>
      <c r="C1" s="539"/>
      <c r="D1" s="539"/>
      <c r="E1" s="539"/>
      <c r="F1" s="539"/>
      <c r="G1" s="480"/>
      <c r="H1" s="480"/>
      <c r="I1" s="480"/>
      <c r="J1" s="480"/>
      <c r="K1" s="480"/>
      <c r="L1" s="480"/>
    </row>
    <row r="2" spans="1:12" x14ac:dyDescent="0.45">
      <c r="A2" s="9"/>
      <c r="B2" s="9"/>
      <c r="C2" s="9"/>
      <c r="D2" s="9"/>
      <c r="E2" s="9"/>
      <c r="F2" s="9"/>
    </row>
    <row r="3" spans="1:12" x14ac:dyDescent="0.45">
      <c r="A3" s="210" t="s">
        <v>624</v>
      </c>
      <c r="B3" s="210"/>
      <c r="C3" s="210"/>
      <c r="D3" s="210"/>
      <c r="E3" s="210"/>
      <c r="F3" s="210" t="s">
        <v>633</v>
      </c>
    </row>
    <row r="4" spans="1:12" ht="18.899999999999999" x14ac:dyDescent="0.5">
      <c r="A4" s="210" t="s">
        <v>626</v>
      </c>
      <c r="B4" s="210" t="s">
        <v>627</v>
      </c>
      <c r="C4" s="210" t="s">
        <v>634</v>
      </c>
      <c r="D4" s="210" t="s">
        <v>752</v>
      </c>
      <c r="E4" s="210" t="s">
        <v>629</v>
      </c>
      <c r="F4" s="236" t="s">
        <v>753</v>
      </c>
    </row>
    <row r="5" spans="1:12" x14ac:dyDescent="0.45">
      <c r="A5" s="542" t="str">
        <f>IFERROR('3-Digester Inputs'!B17,"-")</f>
        <v>Calf</v>
      </c>
      <c r="B5" s="540">
        <f>IFERROR(('3-Digester Inputs'!H17*100)/(100-'3-Digester Inputs'!H17),"")</f>
        <v>9.2857228995574206E-2</v>
      </c>
      <c r="C5" s="548">
        <f>IFERROR(B5*'3-Digester Inputs'!BE17/1000,"")</f>
        <v>1.8222913507229599</v>
      </c>
      <c r="D5" s="540">
        <f t="shared" ref="D5:D19" si="0">IFERROR(VLOOKUP(A5,Waste_Item_Table,17),"")</f>
        <v>277</v>
      </c>
      <c r="E5" s="540">
        <f>IF(B5&lt;&gt;"",IFERROR(VLOOKUP(StorageMng,'13-MCF'!$B$9:$U$32,MATCH(AvgTemp,'13-MCF'!$C$9:$U$9,0),FALSE),0),"")</f>
        <v>0</v>
      </c>
      <c r="F5" s="273">
        <f>IF(LEN(B5)&gt;0,VLOOKUP(A5,'6-Biogas Production'!$O$58:$T$72,4,FALSE)*365*E5*ConversionFactor*Average_Days_Waste_Stored,"")</f>
        <v>0</v>
      </c>
    </row>
    <row r="6" spans="1:12" x14ac:dyDescent="0.45">
      <c r="A6" s="542" t="str">
        <f>IFERROR('3-Digester Inputs'!B18,"-")</f>
        <v>Adolescents Pigs</v>
      </c>
      <c r="B6" s="540">
        <f>IFERROR(('3-Digester Inputs'!H18*100)/(100-'3-Digester Inputs'!H18),"")</f>
        <v>8.3145998213900757E-2</v>
      </c>
      <c r="C6" s="548">
        <f>IFERROR(B6*'3-Digester Inputs'!BE18/1000,"")</f>
        <v>2.4816048631170502E-2</v>
      </c>
      <c r="D6" s="540" t="str">
        <f t="shared" si="0"/>
        <v/>
      </c>
      <c r="E6" s="540">
        <f>IF(B6&lt;&gt;"",IFERROR(VLOOKUP(StorageMng,'13-MCF'!$B$9:$U$32,MATCH(AvgTemp,'13-MCF'!$C$9:$U$9,0),FALSE),0),"")</f>
        <v>0</v>
      </c>
      <c r="F6" s="273">
        <f>IF(LEN(B6)&gt;0,VLOOKUP(A6,'6-Biogas Production'!$O$58:$T$72,4,FALSE)*365*E6*ConversionFactor*Average_Days_Waste_Stored,"")</f>
        <v>0</v>
      </c>
    </row>
    <row r="7" spans="1:12" x14ac:dyDescent="0.45">
      <c r="A7" s="542" t="str">
        <f>IFERROR('3-Digester Inputs'!B19,"-")</f>
        <v>Poultry Chicken</v>
      </c>
      <c r="B7" s="540">
        <f>IFERROR(('3-Digester Inputs'!H19*100)/(100-'3-Digester Inputs'!H19),"")</f>
        <v>0.18367006177992987</v>
      </c>
      <c r="C7" s="548">
        <f>IFERROR(B7*'3-Digester Inputs'!BE19/1000,"")</f>
        <v>2.9158944732008679E-2</v>
      </c>
      <c r="D7" s="540">
        <f t="shared" si="0"/>
        <v>270</v>
      </c>
      <c r="E7" s="540">
        <f>IF(B7&lt;&gt;"",IFERROR(VLOOKUP(StorageMng,'13-MCF'!$B$9:$U$32,MATCH(AvgTemp,'13-MCF'!$C$9:$U$9,0),FALSE),0),"")</f>
        <v>0</v>
      </c>
      <c r="F7" s="273">
        <f>IF(LEN(B7)&gt;0,VLOOKUP(A7,'6-Biogas Production'!$O$58:$T$72,4,FALSE)*365*E7*ConversionFactor*Average_Days_Waste_Stored,"")</f>
        <v>0</v>
      </c>
    </row>
    <row r="8" spans="1:12" x14ac:dyDescent="0.45">
      <c r="A8" s="542">
        <f>IFERROR('3-Digester Inputs'!B20,"-")</f>
        <v>0</v>
      </c>
      <c r="B8" s="540" t="str">
        <f>IFERROR(('3-Digester Inputs'!H20*100)/(100-'3-Digester Inputs'!H20),"")</f>
        <v/>
      </c>
      <c r="C8" s="548" t="str">
        <f>IFERROR(B8*'3-Digester Inputs'!BE20/1000,"")</f>
        <v/>
      </c>
      <c r="D8" s="540" t="str">
        <f t="shared" si="0"/>
        <v/>
      </c>
      <c r="E8" s="540" t="str">
        <f>IF(B8&lt;&gt;"",IFERROR(VLOOKUP(StorageMng,'13-MCF'!$B$9:$U$32,MATCH(AvgTemp,'13-MCF'!$C$9:$U$9,0),FALSE),0),"")</f>
        <v/>
      </c>
      <c r="F8" s="273" t="str">
        <f>IF(LEN(B8)&gt;0,VLOOKUP(A8,'6-Biogas Production'!$O$58:$T$72,4,FALSE)*365*E8*ConversionFactor*Average_Days_Waste_Stored,"")</f>
        <v/>
      </c>
    </row>
    <row r="9" spans="1:12" x14ac:dyDescent="0.45">
      <c r="A9" s="542">
        <f>IFERROR('3-Digester Inputs'!B21,"-")</f>
        <v>0</v>
      </c>
      <c r="B9" s="540" t="str">
        <f>IFERROR(('3-Digester Inputs'!H21*100)/(100-'3-Digester Inputs'!H21),"")</f>
        <v/>
      </c>
      <c r="C9" s="548" t="str">
        <f>IFERROR(B9*'3-Digester Inputs'!BE21/1000,"")</f>
        <v/>
      </c>
      <c r="D9" s="540" t="str">
        <f t="shared" si="0"/>
        <v/>
      </c>
      <c r="E9" s="540" t="str">
        <f>IF(B9&lt;&gt;"",IFERROR(VLOOKUP(StorageMng,'13-MCF'!$B$9:$U$32,MATCH(AvgTemp,'13-MCF'!$C$9:$U$9,0),FALSE),0),"")</f>
        <v/>
      </c>
      <c r="F9" s="273" t="str">
        <f>IF(LEN(B9)&gt;0,VLOOKUP(A9,'6-Biogas Production'!$O$58:$T$72,4,FALSE)*365*E9*ConversionFactor*Average_Days_Waste_Stored,"")</f>
        <v/>
      </c>
    </row>
    <row r="10" spans="1:12" x14ac:dyDescent="0.45">
      <c r="A10" s="542">
        <f>IFERROR('3-Digester Inputs'!B22,"-")</f>
        <v>0</v>
      </c>
      <c r="B10" s="540" t="str">
        <f>IFERROR(('3-Digester Inputs'!H22*100)/(100-'3-Digester Inputs'!H22),"")</f>
        <v/>
      </c>
      <c r="C10" s="548" t="str">
        <f>IFERROR(B10*'3-Digester Inputs'!BE22/1000,"")</f>
        <v/>
      </c>
      <c r="D10" s="540" t="str">
        <f t="shared" si="0"/>
        <v/>
      </c>
      <c r="E10" s="540" t="str">
        <f>IF(B10&lt;&gt;"",IFERROR(VLOOKUP(StorageMng,'13-MCF'!$B$9:$U$32,MATCH(AvgTemp,'13-MCF'!$C$9:$U$9,0),FALSE),0),"")</f>
        <v/>
      </c>
      <c r="F10" s="273" t="str">
        <f>IF(LEN(B10)&gt;0,VLOOKUP(A10,'6-Biogas Production'!$O$58:$T$72,4,FALSE)*365*E10*ConversionFactor*Average_Days_Waste_Stored,"")</f>
        <v/>
      </c>
    </row>
    <row r="11" spans="1:12" x14ac:dyDescent="0.45">
      <c r="A11" s="542">
        <f>IFERROR('3-Digester Inputs'!B23,"-")</f>
        <v>0</v>
      </c>
      <c r="B11" s="540" t="str">
        <f>IFERROR(('3-Digester Inputs'!H23*100)/(100-'3-Digester Inputs'!H23),"")</f>
        <v/>
      </c>
      <c r="C11" s="548" t="str">
        <f>IFERROR(B11*'3-Digester Inputs'!BE23/1000,"")</f>
        <v/>
      </c>
      <c r="D11" s="540" t="str">
        <f t="shared" si="0"/>
        <v/>
      </c>
      <c r="E11" s="540" t="str">
        <f>IF(B11&lt;&gt;"",IFERROR(VLOOKUP(StorageMng,'13-MCF'!$B$9:$U$32,MATCH(AvgTemp,'13-MCF'!$C$9:$U$9,0),FALSE),0),"")</f>
        <v/>
      </c>
      <c r="F11" s="273" t="str">
        <f>IF(LEN(B11)&gt;0,VLOOKUP(A11,'6-Biogas Production'!$O$58:$T$72,4,FALSE)*365*E11*ConversionFactor*Average_Days_Waste_Stored,"")</f>
        <v/>
      </c>
    </row>
    <row r="12" spans="1:12" x14ac:dyDescent="0.45">
      <c r="A12" s="542">
        <f>IFERROR('3-Digester Inputs'!B24,"-")</f>
        <v>0</v>
      </c>
      <c r="B12" s="540" t="str">
        <f>IFERROR(('3-Digester Inputs'!H24*100)/(100-'3-Digester Inputs'!H24),"")</f>
        <v/>
      </c>
      <c r="C12" s="548" t="str">
        <f>IFERROR(B12*'3-Digester Inputs'!BE24/1000,"")</f>
        <v/>
      </c>
      <c r="D12" s="540" t="str">
        <f t="shared" si="0"/>
        <v/>
      </c>
      <c r="E12" s="540" t="str">
        <f>IF(B12&lt;&gt;"",IFERROR(VLOOKUP(StorageMng,'13-MCF'!$B$9:$U$32,MATCH(AvgTemp,'13-MCF'!$C$9:$U$9,0),FALSE),0),"")</f>
        <v/>
      </c>
      <c r="F12" s="273" t="str">
        <f>IF(LEN(B12)&gt;0,VLOOKUP(A12,'6-Biogas Production'!$O$58:$T$72,4,FALSE)*365*E12*ConversionFactor*Average_Days_Waste_Stored,"")</f>
        <v/>
      </c>
    </row>
    <row r="13" spans="1:12" x14ac:dyDescent="0.45">
      <c r="A13" s="542">
        <f>IFERROR('3-Digester Inputs'!B25,"-")</f>
        <v>0</v>
      </c>
      <c r="B13" s="540" t="str">
        <f>IFERROR(('3-Digester Inputs'!H25*100)/(100-'3-Digester Inputs'!H25),"")</f>
        <v/>
      </c>
      <c r="C13" s="548" t="str">
        <f>IFERROR(B13*'3-Digester Inputs'!BE25/1000,"")</f>
        <v/>
      </c>
      <c r="D13" s="540" t="str">
        <f t="shared" si="0"/>
        <v/>
      </c>
      <c r="E13" s="540" t="str">
        <f>IF(B13&lt;&gt;"",IFERROR(VLOOKUP(StorageMng,'13-MCF'!$B$9:$U$32,MATCH(AvgTemp,'13-MCF'!$C$9:$U$9,0),FALSE),0),"")</f>
        <v/>
      </c>
      <c r="F13" s="273" t="str">
        <f>IF(LEN(B13)&gt;0,VLOOKUP(A13,'6-Biogas Production'!$O$58:$T$72,4,FALSE)*365*E13*ConversionFactor*Average_Days_Waste_Stored,"")</f>
        <v/>
      </c>
    </row>
    <row r="14" spans="1:12" x14ac:dyDescent="0.45">
      <c r="A14" s="542">
        <f>IFERROR('3-Digester Inputs'!B26,"-")</f>
        <v>0</v>
      </c>
      <c r="B14" s="540" t="str">
        <f>IFERROR(('3-Digester Inputs'!H26*100)/(100-'3-Digester Inputs'!H26),"")</f>
        <v/>
      </c>
      <c r="C14" s="548" t="str">
        <f>IFERROR(B14*'3-Digester Inputs'!BE26/1000,"")</f>
        <v/>
      </c>
      <c r="D14" s="540" t="str">
        <f t="shared" si="0"/>
        <v/>
      </c>
      <c r="E14" s="540" t="str">
        <f>IF(B14&lt;&gt;"",IFERROR(VLOOKUP(StorageMng,'13-MCF'!$B$9:$U$32,MATCH(AvgTemp,'13-MCF'!$C$9:$U$9,0),FALSE),0),"")</f>
        <v/>
      </c>
      <c r="F14" s="273" t="str">
        <f>IF(LEN(B14)&gt;0,VLOOKUP(A14,'6-Biogas Production'!$O$58:$T$72,4,FALSE)*365*E14*ConversionFactor*Average_Days_Waste_Stored,"")</f>
        <v/>
      </c>
    </row>
    <row r="15" spans="1:12" x14ac:dyDescent="0.45">
      <c r="A15" s="542">
        <f>IFERROR('3-Digester Inputs'!B27,"-")</f>
        <v>0</v>
      </c>
      <c r="B15" s="540" t="str">
        <f>IFERROR(('3-Digester Inputs'!H27*100)/(100-'3-Digester Inputs'!H27),"")</f>
        <v/>
      </c>
      <c r="C15" s="548" t="str">
        <f>IFERROR(B15*'3-Digester Inputs'!BE27/1000,"")</f>
        <v/>
      </c>
      <c r="D15" s="540" t="str">
        <f t="shared" si="0"/>
        <v/>
      </c>
      <c r="E15" s="540" t="str">
        <f>IF(B15&lt;&gt;"",IFERROR(VLOOKUP(StorageMng,'13-MCF'!$B$9:$U$32,MATCH(AvgTemp,'13-MCF'!$C$9:$U$9,0),FALSE),0),"")</f>
        <v/>
      </c>
      <c r="F15" s="273" t="str">
        <f>IF(LEN(B15)&gt;0,VLOOKUP(A15,'6-Biogas Production'!$O$58:$T$72,4,FALSE)*365*E15*ConversionFactor*Average_Days_Waste_Stored,"")</f>
        <v/>
      </c>
    </row>
    <row r="16" spans="1:12" x14ac:dyDescent="0.45">
      <c r="A16" s="542">
        <f>IFERROR('3-Digester Inputs'!B28,"-")</f>
        <v>0</v>
      </c>
      <c r="B16" s="540" t="str">
        <f>IFERROR(('3-Digester Inputs'!H28*100)/(100-'3-Digester Inputs'!H28),"")</f>
        <v/>
      </c>
      <c r="C16" s="548" t="str">
        <f>IFERROR(B16*'3-Digester Inputs'!BE28/1000,"")</f>
        <v/>
      </c>
      <c r="D16" s="540" t="str">
        <f t="shared" si="0"/>
        <v/>
      </c>
      <c r="E16" s="540" t="str">
        <f>IF(B16&lt;&gt;"",IFERROR(VLOOKUP(StorageMng,'13-MCF'!$B$9:$U$32,MATCH(AvgTemp,'13-MCF'!$C$9:$U$9,0),FALSE),0),"")</f>
        <v/>
      </c>
      <c r="F16" s="273" t="str">
        <f>IF(LEN(B16)&gt;0,VLOOKUP(A16,'6-Biogas Production'!$O$58:$T$72,4,FALSE)*365*E16*ConversionFactor*Average_Days_Waste_Stored,"")</f>
        <v/>
      </c>
    </row>
    <row r="17" spans="1:6" x14ac:dyDescent="0.45">
      <c r="A17" s="542">
        <f>IFERROR('3-Digester Inputs'!B29,"-")</f>
        <v>0</v>
      </c>
      <c r="B17" s="540" t="str">
        <f>IFERROR(('3-Digester Inputs'!H29*100)/(100-'3-Digester Inputs'!H29),"")</f>
        <v/>
      </c>
      <c r="C17" s="548" t="str">
        <f>IFERROR(B17*'3-Digester Inputs'!BE29/1000,"")</f>
        <v/>
      </c>
      <c r="D17" s="540" t="str">
        <f t="shared" si="0"/>
        <v/>
      </c>
      <c r="E17" s="540" t="str">
        <f>IF(B17&lt;&gt;"",IFERROR(VLOOKUP(StorageMng,'13-MCF'!$B$9:$U$32,MATCH(AvgTemp,'13-MCF'!$C$9:$U$9,0),FALSE),0),"")</f>
        <v/>
      </c>
      <c r="F17" s="273" t="str">
        <f>IF(LEN(B17)&gt;0,VLOOKUP(A17,'6-Biogas Production'!$O$58:$T$72,4,FALSE)*365*E17*ConversionFactor*Average_Days_Waste_Stored,"")</f>
        <v/>
      </c>
    </row>
    <row r="18" spans="1:6" x14ac:dyDescent="0.45">
      <c r="A18" s="542">
        <f>IFERROR('3-Digester Inputs'!B30,"-")</f>
        <v>0</v>
      </c>
      <c r="B18" s="540" t="str">
        <f>IFERROR(('3-Digester Inputs'!H30*100)/(100-'3-Digester Inputs'!H30),"")</f>
        <v/>
      </c>
      <c r="C18" s="548" t="str">
        <f>IFERROR(B18*'3-Digester Inputs'!BE30/1000,"")</f>
        <v/>
      </c>
      <c r="D18" s="540" t="str">
        <f t="shared" si="0"/>
        <v/>
      </c>
      <c r="E18" s="540" t="str">
        <f>IF(B18&lt;&gt;"",IFERROR(VLOOKUP(StorageMng,'13-MCF'!$B$9:$U$32,MATCH(AvgTemp,'13-MCF'!$C$9:$U$9,0),FALSE),0),"")</f>
        <v/>
      </c>
      <c r="F18" s="273" t="str">
        <f>IF(LEN(B18)&gt;0,VLOOKUP(A18,'6-Biogas Production'!$O$58:$T$72,4,FALSE)*365*E18*ConversionFactor*Average_Days_Waste_Stored,"")</f>
        <v/>
      </c>
    </row>
    <row r="19" spans="1:6" x14ac:dyDescent="0.45">
      <c r="A19" s="542">
        <f>IFERROR('3-Digester Inputs'!B31,"-")</f>
        <v>0</v>
      </c>
      <c r="B19" s="540" t="str">
        <f>IFERROR(('3-Digester Inputs'!H31*100)/(100-'3-Digester Inputs'!H31),"")</f>
        <v/>
      </c>
      <c r="C19" s="548" t="str">
        <f>IFERROR(B19*'3-Digester Inputs'!BE31/1000,"")</f>
        <v/>
      </c>
      <c r="D19" s="540" t="str">
        <f t="shared" si="0"/>
        <v/>
      </c>
      <c r="E19" s="540" t="str">
        <f>IF(B19&lt;&gt;"",IFERROR(VLOOKUP(StorageMng,'13-MCF'!$B$9:$U$32,MATCH(AvgTemp,'13-MCF'!$C$9:$U$9,0),FALSE),0),"")</f>
        <v/>
      </c>
      <c r="F19" s="273" t="str">
        <f>IF(LEN(B19)&gt;0,VLOOKUP(A19,'6-Biogas Production'!$O$58:$T$72,4,FALSE)*365*E19*ConversionFactor*Average_Days_Waste_Stored,"")</f>
        <v/>
      </c>
    </row>
    <row r="20" spans="1:6" x14ac:dyDescent="0.45">
      <c r="A20" s="543" t="s">
        <v>204</v>
      </c>
      <c r="B20" s="544" t="s">
        <v>630</v>
      </c>
      <c r="C20" s="545">
        <f>SUM(C5:C19)</f>
        <v>1.8762663440861391</v>
      </c>
      <c r="D20" s="546" t="s">
        <v>630</v>
      </c>
      <c r="E20" s="546" t="s">
        <v>630</v>
      </c>
      <c r="F20" s="545">
        <f>SUM(F5:F19)</f>
        <v>0</v>
      </c>
    </row>
    <row r="21" spans="1:6" x14ac:dyDescent="0.45">
      <c r="A21" s="543"/>
      <c r="B21" s="543"/>
      <c r="C21" s="547"/>
      <c r="D21" s="547"/>
      <c r="E21" s="547"/>
      <c r="F21" s="547"/>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1:D15"/>
  <sheetViews>
    <sheetView workbookViewId="0">
      <selection activeCell="C17" sqref="C17"/>
    </sheetView>
  </sheetViews>
  <sheetFormatPr defaultColWidth="8.5703125" defaultRowHeight="15" x14ac:dyDescent="0.35"/>
  <cols>
    <col min="1" max="1" width="54" style="9" customWidth="1"/>
    <col min="2" max="2" width="16.92578125" style="9" customWidth="1"/>
    <col min="3" max="3" width="50.5703125" style="9" bestFit="1" customWidth="1"/>
    <col min="4" max="4" width="55.640625" style="9" customWidth="1"/>
    <col min="5" max="16384" width="8.5703125" style="9"/>
  </cols>
  <sheetData>
    <row r="1" spans="1:4" ht="17.600000000000001" x14ac:dyDescent="0.4">
      <c r="A1" s="290" t="s">
        <v>635</v>
      </c>
      <c r="B1" s="288"/>
      <c r="C1" s="288"/>
    </row>
    <row r="4" spans="1:4" x14ac:dyDescent="0.35">
      <c r="A4" s="210" t="s">
        <v>348</v>
      </c>
      <c r="B4" s="210"/>
      <c r="C4" s="210"/>
    </row>
    <row r="5" spans="1:4" x14ac:dyDescent="0.35">
      <c r="A5" s="210" t="s">
        <v>253</v>
      </c>
      <c r="B5" s="210" t="s">
        <v>722</v>
      </c>
      <c r="C5" s="210"/>
    </row>
    <row r="6" spans="1:4" ht="15" customHeight="1" x14ac:dyDescent="0.35">
      <c r="A6" s="209" t="s">
        <v>636</v>
      </c>
      <c r="B6" s="211">
        <v>0</v>
      </c>
      <c r="C6" s="211"/>
    </row>
    <row r="7" spans="1:4" ht="15" customHeight="1" x14ac:dyDescent="0.35">
      <c r="A7" s="209" t="s">
        <v>637</v>
      </c>
      <c r="B7" s="211">
        <v>0.93600000000000005</v>
      </c>
      <c r="C7" s="211"/>
    </row>
    <row r="8" spans="1:4" ht="15" customHeight="1" x14ac:dyDescent="0.35">
      <c r="A8" s="209" t="s">
        <v>638</v>
      </c>
      <c r="B8" s="211">
        <v>0.995</v>
      </c>
      <c r="C8" s="211"/>
    </row>
    <row r="9" spans="1:4" ht="15" customHeight="1" x14ac:dyDescent="0.35">
      <c r="A9" s="209" t="s">
        <v>254</v>
      </c>
      <c r="B9" s="211">
        <v>0.98</v>
      </c>
      <c r="C9" s="211"/>
    </row>
    <row r="10" spans="1:4" x14ac:dyDescent="0.35">
      <c r="A10" s="210" t="s">
        <v>639</v>
      </c>
      <c r="B10" s="212"/>
      <c r="C10" s="212"/>
    </row>
    <row r="11" spans="1:4" ht="18.899999999999999" x14ac:dyDescent="0.5">
      <c r="A11" s="213" t="s">
        <v>640</v>
      </c>
      <c r="B11" s="209">
        <v>0.68</v>
      </c>
      <c r="C11" s="209" t="s">
        <v>765</v>
      </c>
      <c r="D11" s="558"/>
    </row>
    <row r="12" spans="1:4" x14ac:dyDescent="0.35">
      <c r="A12" s="208" t="s">
        <v>641</v>
      </c>
      <c r="B12" s="210"/>
      <c r="C12" s="210"/>
    </row>
    <row r="13" spans="1:4" ht="17.600000000000001" x14ac:dyDescent="0.5">
      <c r="A13" s="213" t="s">
        <v>641</v>
      </c>
      <c r="B13" s="214">
        <f>IFERROR((Methane_Utilization*365*ConversionFactor)*(1-(VLOOKUP('4-Emissions Inputs'!B23,'20-Methane Gen. &amp; Utilization'!A6:B9,2,FALSE))),"")</f>
        <v>723.51061164667294</v>
      </c>
      <c r="C13" s="211" t="s">
        <v>767</v>
      </c>
    </row>
    <row r="14" spans="1:4" x14ac:dyDescent="0.35">
      <c r="A14" s="208" t="s">
        <v>743</v>
      </c>
      <c r="B14" s="210"/>
      <c r="C14" s="210"/>
    </row>
    <row r="15" spans="1:4" ht="16.75" x14ac:dyDescent="0.5">
      <c r="A15" s="213" t="s">
        <v>744</v>
      </c>
      <c r="B15" s="214">
        <f>Estimated_Avg_Daily_Methane_Production*Methane_Utilization_Percentage</f>
        <v>145.75153336959553</v>
      </c>
      <c r="C15" s="201" t="s">
        <v>768</v>
      </c>
    </row>
  </sheetData>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dimension ref="A1:K55"/>
  <sheetViews>
    <sheetView topLeftCell="A5" workbookViewId="0">
      <selection activeCell="D16" sqref="D16"/>
    </sheetView>
  </sheetViews>
  <sheetFormatPr defaultColWidth="9" defaultRowHeight="14.15" x14ac:dyDescent="0.35"/>
  <cols>
    <col min="1" max="1" width="67.5703125" style="215" bestFit="1" customWidth="1"/>
    <col min="2" max="2" width="47.5703125" style="215" bestFit="1" customWidth="1"/>
    <col min="3" max="3" width="12" style="215" customWidth="1"/>
    <col min="4" max="4" width="36.5" style="215" bestFit="1" customWidth="1"/>
    <col min="5" max="5" width="11.140625" style="215" bestFit="1" customWidth="1"/>
    <col min="6" max="6" width="16.0703125" style="215" bestFit="1" customWidth="1"/>
    <col min="7" max="7" width="11" style="215" bestFit="1" customWidth="1"/>
    <col min="8" max="8" width="16.5703125" style="215" bestFit="1" customWidth="1"/>
    <col min="9" max="9" width="12.0703125" style="215" bestFit="1" customWidth="1"/>
    <col min="10" max="12" width="9" style="215"/>
    <col min="13" max="13" width="11.140625" style="215" bestFit="1" customWidth="1"/>
    <col min="14" max="16384" width="9" style="215"/>
  </cols>
  <sheetData>
    <row r="1" spans="1:10" ht="17.600000000000001" x14ac:dyDescent="0.4">
      <c r="A1" s="297" t="s">
        <v>642</v>
      </c>
      <c r="B1" s="297"/>
      <c r="C1" s="297"/>
      <c r="D1" s="297"/>
      <c r="E1" s="297"/>
      <c r="F1" s="297"/>
      <c r="G1" s="297"/>
      <c r="H1" s="297"/>
      <c r="I1" s="297"/>
      <c r="J1" s="479"/>
    </row>
    <row r="3" spans="1:10" ht="15" x14ac:dyDescent="0.35">
      <c r="A3" s="210" t="s">
        <v>643</v>
      </c>
      <c r="B3" s="210"/>
      <c r="C3" s="210"/>
    </row>
    <row r="4" spans="1:10" ht="15" x14ac:dyDescent="0.35">
      <c r="A4" s="210" t="s">
        <v>644</v>
      </c>
      <c r="B4" s="210" t="s">
        <v>187</v>
      </c>
      <c r="C4" s="210" t="s">
        <v>188</v>
      </c>
    </row>
    <row r="5" spans="1:10" ht="16.75" x14ac:dyDescent="0.5">
      <c r="A5" s="209" t="s">
        <v>645</v>
      </c>
      <c r="B5" s="221">
        <f>'4-Emissions Inputs'!$B$43</f>
        <v>0.43553432762226502</v>
      </c>
      <c r="C5" s="209" t="s">
        <v>646</v>
      </c>
    </row>
    <row r="6" spans="1:10" ht="16.75" x14ac:dyDescent="0.5">
      <c r="A6" s="209" t="s">
        <v>647</v>
      </c>
      <c r="B6" s="209">
        <f>IF('4-Emissions Inputs'!B42="No",'4-Emissions Inputs'!B44,0)</f>
        <v>0</v>
      </c>
      <c r="C6" s="209" t="s">
        <v>646</v>
      </c>
      <c r="H6" s="216"/>
      <c r="J6" s="243"/>
    </row>
    <row r="7" spans="1:10" ht="17.600000000000001" x14ac:dyDescent="0.5">
      <c r="A7" s="209" t="s">
        <v>648</v>
      </c>
      <c r="B7" s="209">
        <v>57.61</v>
      </c>
      <c r="C7" s="209" t="s">
        <v>270</v>
      </c>
    </row>
    <row r="8" spans="1:10" ht="17.600000000000001" x14ac:dyDescent="0.5">
      <c r="A8" s="209" t="s">
        <v>649</v>
      </c>
      <c r="B8" s="209">
        <f>1.06/1000</f>
        <v>1.06E-3</v>
      </c>
      <c r="C8" s="209" t="s">
        <v>270</v>
      </c>
    </row>
    <row r="9" spans="1:10" ht="15" x14ac:dyDescent="0.35">
      <c r="A9" s="210" t="s">
        <v>639</v>
      </c>
      <c r="B9" s="210" t="s">
        <v>187</v>
      </c>
      <c r="C9" s="210" t="s">
        <v>188</v>
      </c>
    </row>
    <row r="10" spans="1:10" ht="15" x14ac:dyDescent="0.35">
      <c r="A10" s="209" t="s">
        <v>650</v>
      </c>
      <c r="B10" s="273">
        <f>Estimated_Electricity_Use*365</f>
        <v>0</v>
      </c>
      <c r="C10" s="209" t="s">
        <v>651</v>
      </c>
    </row>
    <row r="11" spans="1:10" ht="15" x14ac:dyDescent="0.35">
      <c r="A11" s="209" t="s">
        <v>652</v>
      </c>
      <c r="B11" s="209">
        <f>Electricity_from_Biogas*365</f>
        <v>0</v>
      </c>
      <c r="C11" s="209" t="s">
        <v>651</v>
      </c>
    </row>
    <row r="12" spans="1:10" ht="15" x14ac:dyDescent="0.35">
      <c r="A12" s="209" t="s">
        <v>279</v>
      </c>
      <c r="B12" s="560">
        <f>GridGrossLoss</f>
        <v>4.4999999999999998E-2</v>
      </c>
      <c r="C12" s="209"/>
    </row>
    <row r="13" spans="1:10" ht="15" x14ac:dyDescent="0.35">
      <c r="A13" s="209" t="s">
        <v>653</v>
      </c>
      <c r="B13" s="244">
        <v>3.3999999999999998E-3</v>
      </c>
      <c r="C13" s="209"/>
    </row>
    <row r="14" spans="1:10" ht="15" x14ac:dyDescent="0.35">
      <c r="A14" s="210" t="s">
        <v>654</v>
      </c>
      <c r="B14" s="210" t="s">
        <v>187</v>
      </c>
      <c r="C14" s="210"/>
    </row>
    <row r="15" spans="1:10" ht="17.600000000000001" x14ac:dyDescent="0.5">
      <c r="A15" s="209" t="s">
        <v>655</v>
      </c>
      <c r="B15" s="222">
        <f>IFERROR(IF($B$6&gt;0,$B$6*($B$10*(1+$B$12)),$B$5*($B$10*(1+$B$12))),"-")</f>
        <v>0</v>
      </c>
      <c r="C15" s="209" t="s">
        <v>656</v>
      </c>
    </row>
    <row r="16" spans="1:10" ht="17.600000000000001" x14ac:dyDescent="0.5">
      <c r="A16" s="209" t="s">
        <v>657</v>
      </c>
      <c r="B16" s="222">
        <f>$B$11*$B$13*$B$7</f>
        <v>0</v>
      </c>
      <c r="C16" s="209" t="s">
        <v>656</v>
      </c>
    </row>
    <row r="17" spans="1:11" ht="17.600000000000001" x14ac:dyDescent="0.5">
      <c r="A17" s="209" t="s">
        <v>658</v>
      </c>
      <c r="B17" s="266">
        <f>B11*$B$13*$B$8</f>
        <v>0</v>
      </c>
      <c r="C17" s="209" t="s">
        <v>659</v>
      </c>
      <c r="F17" s="1"/>
      <c r="G17" s="1"/>
      <c r="H17" s="1"/>
      <c r="I17" s="1"/>
    </row>
    <row r="18" spans="1:11" x14ac:dyDescent="0.35">
      <c r="B18" s="1"/>
      <c r="C18" s="1"/>
      <c r="F18" s="1"/>
      <c r="G18" s="1"/>
      <c r="H18" s="1"/>
      <c r="I18" s="1"/>
    </row>
    <row r="19" spans="1:11" x14ac:dyDescent="0.35">
      <c r="A19" s="217"/>
      <c r="B19" s="1"/>
      <c r="C19" s="1"/>
      <c r="F19" s="1"/>
      <c r="G19" s="1"/>
      <c r="H19" s="1"/>
      <c r="I19" s="1"/>
    </row>
    <row r="20" spans="1:11" x14ac:dyDescent="0.35">
      <c r="A20" s="217"/>
      <c r="B20" s="1"/>
      <c r="C20" s="1"/>
      <c r="D20" s="1"/>
      <c r="E20" s="1"/>
      <c r="F20" s="1"/>
      <c r="G20" s="1"/>
      <c r="H20" s="1"/>
      <c r="I20" s="1"/>
    </row>
    <row r="21" spans="1:11" x14ac:dyDescent="0.35">
      <c r="A21" s="223" t="s">
        <v>129</v>
      </c>
      <c r="B21" s="223" t="s">
        <v>660</v>
      </c>
      <c r="C21" s="223" t="s">
        <v>188</v>
      </c>
      <c r="D21" s="223" t="s">
        <v>265</v>
      </c>
      <c r="E21" s="223" t="s">
        <v>188</v>
      </c>
      <c r="F21" s="223" t="s">
        <v>661</v>
      </c>
      <c r="G21" s="223" t="s">
        <v>188</v>
      </c>
      <c r="H21" s="223" t="s">
        <v>662</v>
      </c>
      <c r="I21" s="223" t="s">
        <v>188</v>
      </c>
    </row>
    <row r="22" spans="1:11" ht="17.600000000000001" x14ac:dyDescent="0.5">
      <c r="A22" s="224" t="s">
        <v>663</v>
      </c>
      <c r="B22" s="225">
        <v>55174670</v>
      </c>
      <c r="C22" s="226" t="s">
        <v>664</v>
      </c>
      <c r="D22" s="225">
        <v>147.19282085720954</v>
      </c>
      <c r="E22" s="226" t="s">
        <v>665</v>
      </c>
      <c r="F22" s="227">
        <f t="shared" ref="F22:F51" si="0">B22/D22</f>
        <v>374846.20295119192</v>
      </c>
      <c r="G22" s="226" t="s">
        <v>666</v>
      </c>
      <c r="H22" s="228">
        <f t="shared" ref="H22:H51" si="1">$F22*$D$54/$D$55</f>
        <v>0.37484620295119192</v>
      </c>
      <c r="I22" s="226" t="s">
        <v>667</v>
      </c>
      <c r="K22" s="216"/>
    </row>
    <row r="23" spans="1:11" ht="17.600000000000001" x14ac:dyDescent="0.5">
      <c r="A23" s="224" t="s">
        <v>668</v>
      </c>
      <c r="B23" s="225">
        <v>194547378</v>
      </c>
      <c r="C23" s="226" t="s">
        <v>664</v>
      </c>
      <c r="D23" s="225">
        <v>259.367009</v>
      </c>
      <c r="E23" s="226" t="s">
        <v>665</v>
      </c>
      <c r="F23" s="227">
        <f t="shared" si="0"/>
        <v>750085.28937464056</v>
      </c>
      <c r="G23" s="226" t="s">
        <v>666</v>
      </c>
      <c r="H23" s="228">
        <f t="shared" si="1"/>
        <v>0.75008528937464058</v>
      </c>
      <c r="I23" s="226" t="s">
        <v>667</v>
      </c>
    </row>
    <row r="24" spans="1:11" ht="17.600000000000001" x14ac:dyDescent="0.5">
      <c r="A24" s="224" t="s">
        <v>669</v>
      </c>
      <c r="B24" s="225">
        <v>69486733</v>
      </c>
      <c r="C24" s="226" t="s">
        <v>664</v>
      </c>
      <c r="D24" s="225">
        <v>578.89830886670256</v>
      </c>
      <c r="E24" s="226" t="s">
        <v>665</v>
      </c>
      <c r="F24" s="227">
        <f t="shared" si="0"/>
        <v>120032.71029765619</v>
      </c>
      <c r="G24" s="226" t="s">
        <v>666</v>
      </c>
      <c r="H24" s="228">
        <f t="shared" si="1"/>
        <v>0.12003271029765619</v>
      </c>
      <c r="I24" s="226" t="s">
        <v>667</v>
      </c>
    </row>
    <row r="25" spans="1:11" ht="17.600000000000001" x14ac:dyDescent="0.5">
      <c r="A25" s="224" t="s">
        <v>670</v>
      </c>
      <c r="B25" s="225">
        <v>101200691</v>
      </c>
      <c r="C25" s="226" t="s">
        <v>664</v>
      </c>
      <c r="D25" s="225">
        <v>664.64903715422497</v>
      </c>
      <c r="E25" s="226" t="s">
        <v>665</v>
      </c>
      <c r="F25" s="227">
        <f t="shared" si="0"/>
        <v>152261.84849872492</v>
      </c>
      <c r="G25" s="226" t="s">
        <v>666</v>
      </c>
      <c r="H25" s="228">
        <f t="shared" si="1"/>
        <v>0.15226184849872496</v>
      </c>
      <c r="I25" s="226" t="s">
        <v>667</v>
      </c>
    </row>
    <row r="26" spans="1:11" ht="17.600000000000001" x14ac:dyDescent="0.5">
      <c r="A26" s="229" t="s">
        <v>671</v>
      </c>
      <c r="B26" s="225">
        <v>4386420462.999999</v>
      </c>
      <c r="C26" s="226" t="s">
        <v>664</v>
      </c>
      <c r="D26" s="225">
        <v>6133.16</v>
      </c>
      <c r="E26" s="226" t="s">
        <v>665</v>
      </c>
      <c r="F26" s="227">
        <f t="shared" si="0"/>
        <v>715197.46150434669</v>
      </c>
      <c r="G26" s="226" t="s">
        <v>666</v>
      </c>
      <c r="H26" s="228">
        <f t="shared" si="1"/>
        <v>0.71519746150434671</v>
      </c>
      <c r="I26" s="226" t="s">
        <v>667</v>
      </c>
    </row>
    <row r="27" spans="1:11" ht="17.600000000000001" x14ac:dyDescent="0.5">
      <c r="A27" s="224" t="s">
        <v>672</v>
      </c>
      <c r="B27" s="225">
        <v>89300294</v>
      </c>
      <c r="C27" s="226" t="s">
        <v>664</v>
      </c>
      <c r="D27" s="225">
        <v>188.19109872922775</v>
      </c>
      <c r="E27" s="226" t="s">
        <v>665</v>
      </c>
      <c r="F27" s="227">
        <f t="shared" si="0"/>
        <v>474519.22329486284</v>
      </c>
      <c r="G27" s="226" t="s">
        <v>666</v>
      </c>
      <c r="H27" s="228">
        <f t="shared" si="1"/>
        <v>0.47451922329486285</v>
      </c>
      <c r="I27" s="226" t="s">
        <v>667</v>
      </c>
    </row>
    <row r="28" spans="1:11" ht="17.600000000000001" x14ac:dyDescent="0.5">
      <c r="A28" s="224" t="s">
        <v>673</v>
      </c>
      <c r="B28" s="225">
        <v>321808485</v>
      </c>
      <c r="C28" s="226" t="s">
        <v>664</v>
      </c>
      <c r="D28" s="225">
        <v>649.11698543</v>
      </c>
      <c r="E28" s="226" t="s">
        <v>665</v>
      </c>
      <c r="F28" s="227">
        <f t="shared" si="0"/>
        <v>495763.463633326</v>
      </c>
      <c r="G28" s="226" t="s">
        <v>666</v>
      </c>
      <c r="H28" s="228">
        <f t="shared" si="1"/>
        <v>0.49576346363332602</v>
      </c>
      <c r="I28" s="226" t="s">
        <v>667</v>
      </c>
    </row>
    <row r="29" spans="1:11" ht="17.600000000000001" x14ac:dyDescent="0.5">
      <c r="A29" s="224" t="s">
        <v>674</v>
      </c>
      <c r="B29" s="225">
        <v>1072472691</v>
      </c>
      <c r="C29" s="226" t="s">
        <v>664</v>
      </c>
      <c r="D29" s="225">
        <v>1421.5037574297523</v>
      </c>
      <c r="E29" s="226" t="s">
        <v>665</v>
      </c>
      <c r="F29" s="227">
        <f t="shared" si="0"/>
        <v>754463.49360282952</v>
      </c>
      <c r="G29" s="226" t="s">
        <v>666</v>
      </c>
      <c r="H29" s="228">
        <f t="shared" si="1"/>
        <v>0.75446349360282949</v>
      </c>
      <c r="I29" s="226" t="s">
        <v>667</v>
      </c>
    </row>
    <row r="30" spans="1:11" ht="17.600000000000001" x14ac:dyDescent="0.5">
      <c r="A30" s="224" t="s">
        <v>675</v>
      </c>
      <c r="B30" s="225">
        <v>181266140</v>
      </c>
      <c r="C30" s="226" t="s">
        <v>664</v>
      </c>
      <c r="D30" s="225">
        <v>248.61229</v>
      </c>
      <c r="E30" s="226" t="s">
        <v>665</v>
      </c>
      <c r="F30" s="227">
        <f t="shared" si="0"/>
        <v>729111.742625435</v>
      </c>
      <c r="G30" s="226" t="s">
        <v>666</v>
      </c>
      <c r="H30" s="228">
        <f t="shared" si="1"/>
        <v>0.72911174262543499</v>
      </c>
      <c r="I30" s="226" t="s">
        <v>667</v>
      </c>
    </row>
    <row r="31" spans="1:11" ht="17.600000000000001" x14ac:dyDescent="0.5">
      <c r="A31" s="224" t="s">
        <v>676</v>
      </c>
      <c r="B31" s="225">
        <v>153602395</v>
      </c>
      <c r="C31" s="226" t="s">
        <v>664</v>
      </c>
      <c r="D31" s="225">
        <v>286.14299999999997</v>
      </c>
      <c r="E31" s="226" t="s">
        <v>665</v>
      </c>
      <c r="F31" s="227">
        <f t="shared" si="0"/>
        <v>536802.90973394422</v>
      </c>
      <c r="G31" s="226" t="s">
        <v>666</v>
      </c>
      <c r="H31" s="228">
        <f t="shared" si="1"/>
        <v>0.53680290973394429</v>
      </c>
      <c r="I31" s="226" t="s">
        <v>667</v>
      </c>
    </row>
    <row r="32" spans="1:11" ht="17.600000000000001" x14ac:dyDescent="0.5">
      <c r="A32" s="224" t="s">
        <v>677</v>
      </c>
      <c r="B32" s="225">
        <v>108225192</v>
      </c>
      <c r="C32" s="226" t="s">
        <v>664</v>
      </c>
      <c r="D32" s="225">
        <v>289.76820000000004</v>
      </c>
      <c r="E32" s="226" t="s">
        <v>665</v>
      </c>
      <c r="F32" s="227">
        <f t="shared" si="0"/>
        <v>373488.85074345628</v>
      </c>
      <c r="G32" s="226" t="s">
        <v>666</v>
      </c>
      <c r="H32" s="228">
        <f t="shared" si="1"/>
        <v>0.37348885074345628</v>
      </c>
      <c r="I32" s="226" t="s">
        <v>667</v>
      </c>
    </row>
    <row r="33" spans="1:9" ht="17.600000000000001" x14ac:dyDescent="0.5">
      <c r="A33" s="224" t="s">
        <v>678</v>
      </c>
      <c r="B33" s="225">
        <v>572800439</v>
      </c>
      <c r="C33" s="226" t="s">
        <v>664</v>
      </c>
      <c r="D33" s="225">
        <v>1002.3360179369458</v>
      </c>
      <c r="E33" s="226" t="s">
        <v>665</v>
      </c>
      <c r="F33" s="227">
        <f t="shared" si="0"/>
        <v>571465.48537581658</v>
      </c>
      <c r="G33" s="226" t="s">
        <v>666</v>
      </c>
      <c r="H33" s="228">
        <f t="shared" si="1"/>
        <v>0.57146548537581665</v>
      </c>
      <c r="I33" s="226" t="s">
        <v>667</v>
      </c>
    </row>
    <row r="34" spans="1:9" ht="17.600000000000001" x14ac:dyDescent="0.5">
      <c r="A34" s="224" t="s">
        <v>679</v>
      </c>
      <c r="B34" s="225">
        <v>91587684</v>
      </c>
      <c r="C34" s="226" t="s">
        <v>664</v>
      </c>
      <c r="D34" s="225">
        <v>94.642384000000007</v>
      </c>
      <c r="E34" s="226" t="s">
        <v>665</v>
      </c>
      <c r="F34" s="227">
        <f t="shared" si="0"/>
        <v>967723.76317147713</v>
      </c>
      <c r="G34" s="226" t="s">
        <v>666</v>
      </c>
      <c r="H34" s="228">
        <f t="shared" si="1"/>
        <v>0.96772376317147712</v>
      </c>
      <c r="I34" s="226" t="s">
        <v>667</v>
      </c>
    </row>
    <row r="35" spans="1:9" ht="17.600000000000001" x14ac:dyDescent="0.5">
      <c r="A35" s="224" t="s">
        <v>680</v>
      </c>
      <c r="B35" s="225">
        <v>102599164</v>
      </c>
      <c r="C35" s="226" t="s">
        <v>664</v>
      </c>
      <c r="D35" s="225">
        <v>159.25207313299998</v>
      </c>
      <c r="E35" s="226" t="s">
        <v>665</v>
      </c>
      <c r="F35" s="227">
        <f t="shared" si="0"/>
        <v>644256.37909475702</v>
      </c>
      <c r="G35" s="226" t="s">
        <v>666</v>
      </c>
      <c r="H35" s="228">
        <f t="shared" si="1"/>
        <v>0.64425637909475708</v>
      </c>
      <c r="I35" s="226" t="s">
        <v>667</v>
      </c>
    </row>
    <row r="36" spans="1:9" ht="17.600000000000001" x14ac:dyDescent="0.5">
      <c r="A36" s="224" t="s">
        <v>681</v>
      </c>
      <c r="B36" s="225">
        <v>148755123</v>
      </c>
      <c r="C36" s="226" t="s">
        <v>664</v>
      </c>
      <c r="D36" s="225">
        <v>320.344722478498</v>
      </c>
      <c r="E36" s="226" t="s">
        <v>665</v>
      </c>
      <c r="F36" s="227">
        <f t="shared" si="0"/>
        <v>464359.52448064648</v>
      </c>
      <c r="G36" s="226" t="s">
        <v>666</v>
      </c>
      <c r="H36" s="228">
        <f t="shared" si="1"/>
        <v>0.46435952448064649</v>
      </c>
      <c r="I36" s="226" t="s">
        <v>667</v>
      </c>
    </row>
    <row r="37" spans="1:9" ht="17.600000000000001" x14ac:dyDescent="0.5">
      <c r="A37" s="224" t="s">
        <v>682</v>
      </c>
      <c r="B37" s="225">
        <v>60749994</v>
      </c>
      <c r="C37" s="226" t="s">
        <v>664</v>
      </c>
      <c r="D37" s="225">
        <v>115.17027499999999</v>
      </c>
      <c r="E37" s="226" t="s">
        <v>665</v>
      </c>
      <c r="F37" s="227">
        <f t="shared" si="0"/>
        <v>527479.80327389168</v>
      </c>
      <c r="G37" s="226" t="s">
        <v>666</v>
      </c>
      <c r="H37" s="228">
        <f t="shared" si="1"/>
        <v>0.52747980327389166</v>
      </c>
      <c r="I37" s="226" t="s">
        <v>667</v>
      </c>
    </row>
    <row r="38" spans="1:9" ht="17.600000000000001" x14ac:dyDescent="0.5">
      <c r="A38" s="224" t="s">
        <v>683</v>
      </c>
      <c r="B38" s="225">
        <v>150042386</v>
      </c>
      <c r="C38" s="226" t="s">
        <v>664</v>
      </c>
      <c r="D38" s="225">
        <v>166.63399999999999</v>
      </c>
      <c r="E38" s="226" t="s">
        <v>665</v>
      </c>
      <c r="F38" s="227">
        <f t="shared" si="0"/>
        <v>900430.80043688568</v>
      </c>
      <c r="G38" s="226" t="s">
        <v>666</v>
      </c>
      <c r="H38" s="228">
        <f t="shared" si="1"/>
        <v>0.90043080043688573</v>
      </c>
      <c r="I38" s="226" t="s">
        <v>667</v>
      </c>
    </row>
    <row r="39" spans="1:9" ht="17.600000000000001" x14ac:dyDescent="0.5">
      <c r="A39" s="224" t="s">
        <v>684</v>
      </c>
      <c r="B39" s="225">
        <v>776785371</v>
      </c>
      <c r="C39" s="226" t="s">
        <v>664</v>
      </c>
      <c r="D39" s="225">
        <v>1090.9702240000001</v>
      </c>
      <c r="E39" s="226" t="s">
        <v>665</v>
      </c>
      <c r="F39" s="227">
        <f t="shared" si="0"/>
        <v>712013.35647085437</v>
      </c>
      <c r="G39" s="226" t="s">
        <v>666</v>
      </c>
      <c r="H39" s="228">
        <f t="shared" si="1"/>
        <v>0.7120133564708544</v>
      </c>
      <c r="I39" s="226" t="s">
        <v>667</v>
      </c>
    </row>
    <row r="40" spans="1:9" ht="17.600000000000001" x14ac:dyDescent="0.5">
      <c r="A40" s="224" t="s">
        <v>685</v>
      </c>
      <c r="B40" s="225">
        <v>246055506</v>
      </c>
      <c r="C40" s="226" t="s">
        <v>664</v>
      </c>
      <c r="D40" s="225">
        <v>370.42819847642761</v>
      </c>
      <c r="E40" s="226" t="s">
        <v>665</v>
      </c>
      <c r="F40" s="227">
        <f t="shared" si="0"/>
        <v>664246.15353805979</v>
      </c>
      <c r="G40" s="226" t="s">
        <v>666</v>
      </c>
      <c r="H40" s="228">
        <f t="shared" si="1"/>
        <v>0.66424615353805982</v>
      </c>
      <c r="I40" s="226" t="s">
        <v>667</v>
      </c>
    </row>
    <row r="41" spans="1:9" ht="17.600000000000001" x14ac:dyDescent="0.5">
      <c r="A41" s="224" t="s">
        <v>686</v>
      </c>
      <c r="B41" s="225">
        <v>235781046</v>
      </c>
      <c r="C41" s="226" t="s">
        <v>664</v>
      </c>
      <c r="D41" s="225">
        <v>252.74700000000001</v>
      </c>
      <c r="E41" s="226" t="s">
        <v>665</v>
      </c>
      <c r="F41" s="227">
        <f t="shared" si="0"/>
        <v>932873.76704767998</v>
      </c>
      <c r="G41" s="226" t="s">
        <v>666</v>
      </c>
      <c r="H41" s="228">
        <f t="shared" si="1"/>
        <v>0.93287376704767999</v>
      </c>
      <c r="I41" s="226" t="s">
        <v>667</v>
      </c>
    </row>
    <row r="42" spans="1:9" ht="17.600000000000001" x14ac:dyDescent="0.5">
      <c r="A42" s="224" t="s">
        <v>687</v>
      </c>
      <c r="B42" s="225">
        <v>310232263</v>
      </c>
      <c r="C42" s="226" t="s">
        <v>664</v>
      </c>
      <c r="D42" s="225">
        <v>560.98458999999991</v>
      </c>
      <c r="E42" s="226" t="s">
        <v>665</v>
      </c>
      <c r="F42" s="227">
        <f t="shared" si="0"/>
        <v>553013.87690524629</v>
      </c>
      <c r="G42" s="226" t="s">
        <v>666</v>
      </c>
      <c r="H42" s="228">
        <f t="shared" si="1"/>
        <v>0.55301387690524628</v>
      </c>
      <c r="I42" s="226" t="s">
        <v>667</v>
      </c>
    </row>
    <row r="43" spans="1:9" ht="17.600000000000001" x14ac:dyDescent="0.5">
      <c r="A43" s="229" t="s">
        <v>688</v>
      </c>
      <c r="B43" s="225">
        <v>66684037</v>
      </c>
      <c r="C43" s="226" t="s">
        <v>664</v>
      </c>
      <c r="D43" s="225">
        <v>274.63007297833207</v>
      </c>
      <c r="E43" s="226" t="s">
        <v>665</v>
      </c>
      <c r="F43" s="227">
        <f t="shared" si="0"/>
        <v>242814.03808701344</v>
      </c>
      <c r="G43" s="226" t="s">
        <v>666</v>
      </c>
      <c r="H43" s="228">
        <f t="shared" si="1"/>
        <v>0.24281403808701346</v>
      </c>
      <c r="I43" s="226" t="s">
        <v>667</v>
      </c>
    </row>
    <row r="44" spans="1:9" ht="17.600000000000001" x14ac:dyDescent="0.5">
      <c r="A44" s="224" t="s">
        <v>689</v>
      </c>
      <c r="B44" s="225">
        <v>153110680</v>
      </c>
      <c r="C44" s="226" t="s">
        <v>664</v>
      </c>
      <c r="D44" s="225">
        <v>264.11415927600001</v>
      </c>
      <c r="E44" s="226" t="s">
        <v>665</v>
      </c>
      <c r="F44" s="227">
        <f t="shared" si="0"/>
        <v>579714.0161652558</v>
      </c>
      <c r="G44" s="226" t="s">
        <v>666</v>
      </c>
      <c r="H44" s="228">
        <f t="shared" si="1"/>
        <v>0.57971401616525586</v>
      </c>
      <c r="I44" s="226" t="s">
        <v>667</v>
      </c>
    </row>
    <row r="45" spans="1:9" ht="17.600000000000001" x14ac:dyDescent="0.5">
      <c r="A45" s="229" t="s">
        <v>690</v>
      </c>
      <c r="B45" s="225">
        <v>91296297</v>
      </c>
      <c r="C45" s="226" t="s">
        <v>664</v>
      </c>
      <c r="D45" s="225">
        <v>179.74147517199995</v>
      </c>
      <c r="E45" s="226" t="s">
        <v>665</v>
      </c>
      <c r="F45" s="227">
        <f t="shared" si="0"/>
        <v>507931.16565131041</v>
      </c>
      <c r="G45" s="226" t="s">
        <v>666</v>
      </c>
      <c r="H45" s="228">
        <f t="shared" si="1"/>
        <v>0.50793116565131047</v>
      </c>
      <c r="I45" s="226" t="s">
        <v>667</v>
      </c>
    </row>
    <row r="46" spans="1:9" ht="17.600000000000001" x14ac:dyDescent="0.5">
      <c r="A46" s="224" t="s">
        <v>691</v>
      </c>
      <c r="B46" s="225">
        <v>130021324.99999999</v>
      </c>
      <c r="C46" s="226" t="s">
        <v>664</v>
      </c>
      <c r="D46" s="225">
        <v>274.40776222883221</v>
      </c>
      <c r="E46" s="226" t="s">
        <v>665</v>
      </c>
      <c r="F46" s="227">
        <f t="shared" si="0"/>
        <v>473825.24438785191</v>
      </c>
      <c r="G46" s="226" t="s">
        <v>666</v>
      </c>
      <c r="H46" s="228">
        <f t="shared" si="1"/>
        <v>0.47382524438785195</v>
      </c>
      <c r="I46" s="226" t="s">
        <v>667</v>
      </c>
    </row>
    <row r="47" spans="1:9" ht="17.600000000000001" x14ac:dyDescent="0.5">
      <c r="A47" s="224" t="s">
        <v>692</v>
      </c>
      <c r="B47" s="225">
        <v>101444091</v>
      </c>
      <c r="C47" s="226" t="s">
        <v>664</v>
      </c>
      <c r="D47" s="225">
        <v>164.57300000000001</v>
      </c>
      <c r="E47" s="226" t="s">
        <v>665</v>
      </c>
      <c r="F47" s="227">
        <f t="shared" si="0"/>
        <v>616407.8615568775</v>
      </c>
      <c r="G47" s="226" t="s">
        <v>666</v>
      </c>
      <c r="H47" s="228">
        <f t="shared" si="1"/>
        <v>0.61640786155687755</v>
      </c>
      <c r="I47" s="226" t="s">
        <v>667</v>
      </c>
    </row>
    <row r="48" spans="1:9" ht="17.600000000000001" x14ac:dyDescent="0.5">
      <c r="A48" s="224" t="s">
        <v>693</v>
      </c>
      <c r="B48" s="225">
        <v>85635964</v>
      </c>
      <c r="C48" s="226" t="s">
        <v>664</v>
      </c>
      <c r="D48" s="225">
        <v>129.59625042499999</v>
      </c>
      <c r="E48" s="226" t="s">
        <v>665</v>
      </c>
      <c r="F48" s="227">
        <f t="shared" si="0"/>
        <v>660790.44508744706</v>
      </c>
      <c r="G48" s="226" t="s">
        <v>666</v>
      </c>
      <c r="H48" s="228">
        <f t="shared" si="1"/>
        <v>0.66079044508744711</v>
      </c>
      <c r="I48" s="226" t="s">
        <v>667</v>
      </c>
    </row>
    <row r="49" spans="1:9" ht="17.600000000000001" x14ac:dyDescent="0.5">
      <c r="A49" s="224" t="s">
        <v>694</v>
      </c>
      <c r="B49" s="225">
        <v>99373423</v>
      </c>
      <c r="C49" s="226" t="s">
        <v>664</v>
      </c>
      <c r="D49" s="225">
        <v>339.39750518545372</v>
      </c>
      <c r="E49" s="226" t="s">
        <v>665</v>
      </c>
      <c r="F49" s="227">
        <f t="shared" si="0"/>
        <v>292793.61657564435</v>
      </c>
      <c r="G49" s="226" t="s">
        <v>666</v>
      </c>
      <c r="H49" s="228">
        <f t="shared" si="1"/>
        <v>0.2927936165756444</v>
      </c>
      <c r="I49" s="226" t="s">
        <v>667</v>
      </c>
    </row>
    <row r="50" spans="1:9" ht="17.600000000000001" x14ac:dyDescent="0.5">
      <c r="A50" s="224" t="s">
        <v>264</v>
      </c>
      <c r="B50" s="225">
        <v>1893664413</v>
      </c>
      <c r="C50" s="226" t="s">
        <v>664</v>
      </c>
      <c r="D50" s="225">
        <v>4347.9108141445004</v>
      </c>
      <c r="E50" s="226" t="s">
        <v>665</v>
      </c>
      <c r="F50" s="227">
        <f t="shared" si="0"/>
        <v>435534.32762226503</v>
      </c>
      <c r="G50" s="226" t="s">
        <v>666</v>
      </c>
      <c r="H50" s="228">
        <f t="shared" si="1"/>
        <v>0.43553432762226502</v>
      </c>
      <c r="I50" s="226" t="s">
        <v>667</v>
      </c>
    </row>
    <row r="51" spans="1:9" ht="17.600000000000001" x14ac:dyDescent="0.5">
      <c r="A51" s="224" t="s">
        <v>695</v>
      </c>
      <c r="B51" s="225">
        <v>73935412</v>
      </c>
      <c r="C51" s="226" t="s">
        <v>664</v>
      </c>
      <c r="D51" s="225">
        <v>174.56382001836548</v>
      </c>
      <c r="E51" s="226" t="s">
        <v>665</v>
      </c>
      <c r="F51" s="227">
        <f t="shared" si="0"/>
        <v>423543.73312993161</v>
      </c>
      <c r="G51" s="226" t="s">
        <v>666</v>
      </c>
      <c r="H51" s="228">
        <f t="shared" si="1"/>
        <v>0.4235437331299316</v>
      </c>
      <c r="I51" s="226" t="s">
        <v>667</v>
      </c>
    </row>
    <row r="53" spans="1:9" x14ac:dyDescent="0.35">
      <c r="A53" s="217" t="s">
        <v>696</v>
      </c>
      <c r="C53" s="1" t="s">
        <v>697</v>
      </c>
      <c r="D53" s="1"/>
    </row>
    <row r="54" spans="1:9" x14ac:dyDescent="0.35">
      <c r="A54" s="217" t="s">
        <v>698</v>
      </c>
      <c r="C54" s="1" t="s">
        <v>699</v>
      </c>
      <c r="D54" s="218">
        <f>1/1000000000</f>
        <v>1.0000000000000001E-9</v>
      </c>
    </row>
    <row r="55" spans="1:9" x14ac:dyDescent="0.35">
      <c r="C55" s="1" t="s">
        <v>700</v>
      </c>
      <c r="D55" s="218">
        <f>1/1000</f>
        <v>1E-3</v>
      </c>
    </row>
  </sheetData>
  <sortState xmlns:xlrd2="http://schemas.microsoft.com/office/spreadsheetml/2017/richdata2" ref="A22:I51">
    <sortCondition ref="A22"/>
  </sortState>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2">
    <tabColor rgb="FFF2F2F2"/>
  </sheetPr>
  <dimension ref="A1:AB19"/>
  <sheetViews>
    <sheetView workbookViewId="0">
      <selection activeCell="C19" sqref="C19"/>
    </sheetView>
  </sheetViews>
  <sheetFormatPr defaultColWidth="8.5703125" defaultRowHeight="14.15" x14ac:dyDescent="0.35"/>
  <cols>
    <col min="1" max="1" width="32.5" style="198" bestFit="1" customWidth="1"/>
    <col min="2" max="2" width="12.140625" style="198" customWidth="1"/>
    <col min="3" max="3" width="45.42578125" style="198" bestFit="1" customWidth="1"/>
    <col min="4" max="4" width="30.0703125" style="198" customWidth="1"/>
    <col min="5" max="16384" width="8.5703125" style="198"/>
  </cols>
  <sheetData>
    <row r="1" spans="1:28" ht="17.600000000000001" x14ac:dyDescent="0.4">
      <c r="A1" s="297" t="s">
        <v>701</v>
      </c>
      <c r="B1" s="298"/>
      <c r="C1" s="298"/>
      <c r="D1" s="478"/>
      <c r="E1" s="478"/>
      <c r="F1" s="478"/>
      <c r="G1" s="478"/>
      <c r="H1" s="478"/>
      <c r="I1" s="478"/>
      <c r="J1" s="478"/>
      <c r="K1" s="478"/>
      <c r="L1" s="478"/>
      <c r="M1" s="478"/>
      <c r="N1" s="478"/>
      <c r="O1" s="478"/>
      <c r="P1" s="478"/>
      <c r="Q1" s="478"/>
      <c r="R1" s="478"/>
      <c r="S1" s="478"/>
      <c r="T1" s="478"/>
      <c r="U1" s="478"/>
      <c r="V1" s="478"/>
      <c r="W1" s="478"/>
      <c r="X1" s="478"/>
      <c r="Y1" s="478"/>
      <c r="Z1" s="478"/>
      <c r="AA1" s="478"/>
      <c r="AB1" s="478"/>
    </row>
    <row r="3" spans="1:28" x14ac:dyDescent="0.35">
      <c r="A3" s="666" t="s">
        <v>256</v>
      </c>
      <c r="B3" s="666"/>
      <c r="C3" s="511"/>
    </row>
    <row r="4" spans="1:28" ht="16.75" x14ac:dyDescent="0.5">
      <c r="A4" s="267" t="s">
        <v>702</v>
      </c>
      <c r="B4" s="199" t="s">
        <v>187</v>
      </c>
      <c r="C4" s="267" t="s">
        <v>151</v>
      </c>
    </row>
    <row r="5" spans="1:28" x14ac:dyDescent="0.35">
      <c r="A5" s="200" t="s">
        <v>703</v>
      </c>
      <c r="B5" s="200">
        <v>0.96</v>
      </c>
      <c r="C5" s="200"/>
    </row>
    <row r="6" spans="1:28" x14ac:dyDescent="0.35">
      <c r="A6" s="200" t="s">
        <v>704</v>
      </c>
      <c r="B6" s="200">
        <v>0.5</v>
      </c>
      <c r="C6" s="200"/>
    </row>
    <row r="7" spans="1:28" x14ac:dyDescent="0.35">
      <c r="A7" s="200" t="s">
        <v>260</v>
      </c>
      <c r="B7" s="200">
        <v>0.995</v>
      </c>
      <c r="C7" s="200"/>
    </row>
    <row r="8" spans="1:28" x14ac:dyDescent="0.35">
      <c r="A8" s="200" t="s">
        <v>705</v>
      </c>
      <c r="B8" s="219" t="str">
        <f>IF('4-Emissions Inputs'!B29="No",'4-Emissions Inputs'!$B$30,"")</f>
        <v/>
      </c>
      <c r="C8" s="219"/>
    </row>
    <row r="9" spans="1:28" x14ac:dyDescent="0.35">
      <c r="A9" s="200" t="s">
        <v>706</v>
      </c>
      <c r="B9" s="200">
        <f>IF(Use_Defaults_Flare="Yes",VLOOKUP(FlareType,'22-Flaring &amp; Leakage'!$A$5:$B$7,2,FALSE),$B$8)</f>
        <v>0.96</v>
      </c>
      <c r="C9" s="200"/>
    </row>
    <row r="10" spans="1:28" x14ac:dyDescent="0.35">
      <c r="A10" s="267" t="s">
        <v>639</v>
      </c>
      <c r="B10" s="267" t="s">
        <v>187</v>
      </c>
      <c r="C10" s="267" t="s">
        <v>151</v>
      </c>
    </row>
    <row r="11" spans="1:28" ht="16.75" x14ac:dyDescent="0.5">
      <c r="A11" s="201" t="s">
        <v>707</v>
      </c>
      <c r="B11" s="201">
        <v>0.68</v>
      </c>
      <c r="C11" s="201" t="s">
        <v>764</v>
      </c>
    </row>
    <row r="12" spans="1:28" x14ac:dyDescent="0.35">
      <c r="A12" s="199" t="s">
        <v>708</v>
      </c>
      <c r="B12" s="199" t="s">
        <v>187</v>
      </c>
      <c r="C12" s="199" t="s">
        <v>151</v>
      </c>
    </row>
    <row r="13" spans="1:28" ht="16.75" x14ac:dyDescent="0.5">
      <c r="A13" s="201" t="s">
        <v>708</v>
      </c>
      <c r="B13" s="201">
        <f>IFERROR(ConversionFactor*((1-AnalysisCombustionEffValue)*Measured_Methane_sent_to_Flare)*365,0)</f>
        <v>160.78013592148287</v>
      </c>
      <c r="C13" s="201" t="s">
        <v>709</v>
      </c>
    </row>
    <row r="15" spans="1:28" x14ac:dyDescent="0.35">
      <c r="A15" s="220" t="s">
        <v>281</v>
      </c>
      <c r="B15" s="199" t="s">
        <v>187</v>
      </c>
      <c r="C15" s="199" t="s">
        <v>151</v>
      </c>
    </row>
    <row r="16" spans="1:28" ht="16.75" x14ac:dyDescent="0.5">
      <c r="A16" s="201" t="s">
        <v>710</v>
      </c>
      <c r="B16" s="272">
        <f>Estimated_Avg_Daily_Methane_Production*ConversionFactor*Assumed_Fraction_of_Methane_Leakage*365</f>
        <v>4019.5033980370686</v>
      </c>
      <c r="C16" s="201" t="s">
        <v>709</v>
      </c>
    </row>
    <row r="17" spans="1:3" x14ac:dyDescent="0.35">
      <c r="B17" s="202"/>
    </row>
    <row r="18" spans="1:3" ht="42.45" x14ac:dyDescent="0.35">
      <c r="A18" s="533" t="s">
        <v>741</v>
      </c>
      <c r="B18" s="199" t="s">
        <v>187</v>
      </c>
      <c r="C18" s="199" t="s">
        <v>151</v>
      </c>
    </row>
    <row r="19" spans="1:3" ht="16.75" x14ac:dyDescent="0.5">
      <c r="A19" s="201" t="s">
        <v>742</v>
      </c>
      <c r="B19" s="272">
        <f>Estimated_Avg_Daily_Methane_Production*Methane_Flare_Percentage</f>
        <v>16.194614818843945</v>
      </c>
      <c r="C19" s="201" t="s">
        <v>768</v>
      </c>
    </row>
  </sheetData>
  <mergeCells count="1">
    <mergeCell ref="A3:B3"/>
  </mergeCell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FC612-AD5F-4CD6-B009-2386614309D3}">
  <sheetPr codeName="Sheet24"/>
  <dimension ref="A1:Z102"/>
  <sheetViews>
    <sheetView workbookViewId="0"/>
  </sheetViews>
  <sheetFormatPr defaultRowHeight="15.9" x14ac:dyDescent="0.45"/>
  <cols>
    <col min="1" max="1" width="35.640625" customWidth="1"/>
    <col min="2" max="2" width="11.640625" bestFit="1" customWidth="1"/>
    <col min="6" max="6" width="13.5703125" bestFit="1" customWidth="1"/>
    <col min="8" max="8" width="29.5703125" bestFit="1" customWidth="1"/>
  </cols>
  <sheetData>
    <row r="1" spans="1:26" ht="18" x14ac:dyDescent="0.45">
      <c r="A1" s="520" t="s">
        <v>711</v>
      </c>
      <c r="B1" s="520"/>
      <c r="C1" s="520"/>
      <c r="D1" s="520"/>
      <c r="E1" s="520"/>
      <c r="F1" s="520"/>
      <c r="G1" s="520"/>
      <c r="H1" s="520"/>
      <c r="I1" s="297"/>
      <c r="J1" s="297"/>
      <c r="K1" s="297"/>
      <c r="L1" s="297"/>
      <c r="M1" s="297"/>
      <c r="N1" s="297"/>
      <c r="O1" s="297"/>
      <c r="P1" s="297"/>
      <c r="Q1" s="297"/>
      <c r="R1" s="297"/>
      <c r="S1" s="297"/>
      <c r="T1" s="297"/>
      <c r="U1" s="297"/>
      <c r="V1" s="297"/>
      <c r="W1" s="297"/>
      <c r="X1" s="297"/>
      <c r="Y1" s="297"/>
      <c r="Z1" s="297"/>
    </row>
    <row r="2" spans="1:26" x14ac:dyDescent="0.45">
      <c r="A2" s="521"/>
      <c r="B2" s="521"/>
      <c r="C2" s="521"/>
      <c r="D2" s="521"/>
      <c r="E2" s="521"/>
      <c r="F2" s="521"/>
      <c r="G2" s="521"/>
      <c r="H2" s="521"/>
    </row>
    <row r="3" spans="1:26" x14ac:dyDescent="0.45">
      <c r="A3" s="522" t="s">
        <v>712</v>
      </c>
      <c r="B3" s="522" t="s">
        <v>713</v>
      </c>
      <c r="C3" s="521"/>
      <c r="D3" s="521"/>
      <c r="E3" s="521"/>
      <c r="F3" s="522" t="s">
        <v>148</v>
      </c>
      <c r="G3" s="521"/>
      <c r="H3" s="522" t="s">
        <v>175</v>
      </c>
      <c r="J3" s="220" t="s">
        <v>173</v>
      </c>
    </row>
    <row r="4" spans="1:26" x14ac:dyDescent="0.45">
      <c r="A4" s="521" t="s">
        <v>176</v>
      </c>
      <c r="B4" s="521">
        <v>1</v>
      </c>
      <c r="C4" s="521"/>
      <c r="D4" s="521"/>
      <c r="E4" s="521"/>
      <c r="F4" s="521" t="s">
        <v>175</v>
      </c>
      <c r="G4" s="521"/>
      <c r="H4" s="521" t="s">
        <v>98</v>
      </c>
      <c r="J4" t="s">
        <v>98</v>
      </c>
    </row>
    <row r="5" spans="1:26" x14ac:dyDescent="0.45">
      <c r="A5" s="521" t="s">
        <v>714</v>
      </c>
      <c r="B5" s="521">
        <v>0.453592</v>
      </c>
      <c r="C5" s="521"/>
      <c r="D5" s="521"/>
      <c r="E5" s="521"/>
      <c r="F5" s="521" t="s">
        <v>173</v>
      </c>
      <c r="G5" s="521"/>
      <c r="H5" s="521" t="s">
        <v>57</v>
      </c>
      <c r="J5" t="s">
        <v>57</v>
      </c>
    </row>
    <row r="6" spans="1:26" x14ac:dyDescent="0.45">
      <c r="A6" s="521" t="s">
        <v>715</v>
      </c>
      <c r="B6" s="521">
        <v>1000</v>
      </c>
      <c r="C6" s="521"/>
      <c r="D6" s="521"/>
      <c r="E6" s="521"/>
      <c r="F6" s="521"/>
      <c r="G6" s="521"/>
      <c r="H6" s="521" t="s">
        <v>110</v>
      </c>
      <c r="J6" t="s">
        <v>91</v>
      </c>
    </row>
    <row r="7" spans="1:26" x14ac:dyDescent="0.45">
      <c r="A7" s="521" t="s">
        <v>174</v>
      </c>
      <c r="B7" s="521">
        <v>907.18499999999995</v>
      </c>
      <c r="C7" s="521"/>
      <c r="D7" s="521"/>
      <c r="E7" s="521"/>
      <c r="F7" s="521"/>
      <c r="G7" s="521"/>
      <c r="H7" s="521" t="s">
        <v>112</v>
      </c>
      <c r="J7" t="s">
        <v>83</v>
      </c>
    </row>
    <row r="8" spans="1:26" x14ac:dyDescent="0.45">
      <c r="A8" s="521" t="s">
        <v>212</v>
      </c>
      <c r="B8" s="521">
        <v>1</v>
      </c>
      <c r="C8" s="521"/>
      <c r="D8" s="521"/>
      <c r="E8" s="521"/>
      <c r="F8" s="521"/>
      <c r="G8" s="521"/>
      <c r="H8" s="521" t="s">
        <v>32</v>
      </c>
      <c r="J8" t="s">
        <v>79</v>
      </c>
    </row>
    <row r="9" spans="1:26" x14ac:dyDescent="0.45">
      <c r="A9" s="521" t="s">
        <v>716</v>
      </c>
      <c r="B9" s="521">
        <v>3.7850000000000001</v>
      </c>
      <c r="C9" s="521"/>
      <c r="D9" s="521"/>
      <c r="E9" s="521"/>
      <c r="F9" s="521"/>
      <c r="G9" s="521"/>
      <c r="H9" s="521" t="s">
        <v>107</v>
      </c>
      <c r="J9" t="s">
        <v>63</v>
      </c>
    </row>
    <row r="10" spans="1:26" x14ac:dyDescent="0.45">
      <c r="A10" s="521"/>
      <c r="B10" s="521"/>
      <c r="C10" s="521"/>
      <c r="D10" s="521"/>
      <c r="E10" s="521"/>
      <c r="F10" s="521"/>
      <c r="G10" s="521"/>
      <c r="H10" s="521" t="s">
        <v>49</v>
      </c>
      <c r="J10" t="s">
        <v>69</v>
      </c>
    </row>
    <row r="11" spans="1:26" x14ac:dyDescent="0.45">
      <c r="A11" s="521"/>
      <c r="B11" s="521"/>
      <c r="C11" s="521"/>
      <c r="D11" s="521"/>
      <c r="E11" s="521"/>
      <c r="F11" s="521"/>
      <c r="G11" s="521"/>
      <c r="H11" s="521" t="s">
        <v>71</v>
      </c>
      <c r="J11" t="s">
        <v>74</v>
      </c>
    </row>
    <row r="12" spans="1:26" x14ac:dyDescent="0.45">
      <c r="A12" s="522" t="s">
        <v>717</v>
      </c>
      <c r="B12" s="522" t="s">
        <v>713</v>
      </c>
      <c r="C12" s="521"/>
      <c r="D12" s="521"/>
      <c r="E12" s="521"/>
      <c r="F12" s="521"/>
      <c r="G12" s="521"/>
      <c r="H12" s="521" t="s">
        <v>33</v>
      </c>
      <c r="J12" t="s">
        <v>110</v>
      </c>
    </row>
    <row r="13" spans="1:26" ht="18.45" x14ac:dyDescent="0.45">
      <c r="A13" s="521" t="s">
        <v>737</v>
      </c>
      <c r="B13" s="521">
        <v>1</v>
      </c>
      <c r="C13" s="521"/>
      <c r="D13" s="521"/>
      <c r="E13" s="521"/>
      <c r="F13" s="521"/>
      <c r="G13" s="521"/>
      <c r="H13" s="521"/>
      <c r="J13" t="s">
        <v>112</v>
      </c>
    </row>
    <row r="14" spans="1:26" x14ac:dyDescent="0.45">
      <c r="A14" s="521" t="s">
        <v>297</v>
      </c>
      <c r="B14" s="521">
        <v>35.314666711511585</v>
      </c>
      <c r="C14" s="521"/>
      <c r="D14" s="521"/>
      <c r="E14" s="521"/>
      <c r="F14" s="521"/>
      <c r="G14" s="521"/>
      <c r="H14" s="521"/>
      <c r="J14" t="s">
        <v>41</v>
      </c>
    </row>
    <row r="15" spans="1:26" ht="18.45" x14ac:dyDescent="0.45">
      <c r="A15" s="521" t="s">
        <v>738</v>
      </c>
      <c r="B15" s="521">
        <v>1</v>
      </c>
      <c r="C15" s="521"/>
      <c r="D15" s="521"/>
      <c r="E15" s="521"/>
      <c r="F15" s="521"/>
      <c r="G15" s="521"/>
      <c r="H15" s="521"/>
      <c r="J15" t="s">
        <v>104</v>
      </c>
    </row>
    <row r="16" spans="1:26" x14ac:dyDescent="0.45">
      <c r="A16" s="521" t="s">
        <v>731</v>
      </c>
      <c r="B16" s="521">
        <v>35.314666711511585</v>
      </c>
      <c r="C16" s="521"/>
      <c r="D16" s="521"/>
      <c r="E16" s="521"/>
      <c r="F16" s="521"/>
      <c r="G16" s="521"/>
      <c r="H16" s="521"/>
      <c r="J16" t="s">
        <v>32</v>
      </c>
    </row>
    <row r="17" spans="1:10" x14ac:dyDescent="0.45">
      <c r="A17" s="522" t="s">
        <v>718</v>
      </c>
      <c r="B17" s="522" t="s">
        <v>713</v>
      </c>
      <c r="C17" s="521"/>
      <c r="D17" s="521"/>
      <c r="E17" s="521"/>
      <c r="F17" s="521"/>
      <c r="G17" s="521"/>
      <c r="H17" s="521"/>
      <c r="J17" t="s">
        <v>107</v>
      </c>
    </row>
    <row r="18" spans="1:10" x14ac:dyDescent="0.45">
      <c r="A18" s="521" t="s">
        <v>300</v>
      </c>
      <c r="B18" s="521">
        <v>1</v>
      </c>
      <c r="C18" s="521"/>
      <c r="D18" s="521"/>
      <c r="E18" s="521"/>
      <c r="F18" s="521"/>
      <c r="G18" s="521"/>
      <c r="H18" s="521"/>
      <c r="J18" t="s">
        <v>49</v>
      </c>
    </row>
    <row r="19" spans="1:10" x14ac:dyDescent="0.45">
      <c r="A19" s="521" t="s">
        <v>305</v>
      </c>
      <c r="B19" s="521">
        <v>0.453592</v>
      </c>
      <c r="C19" s="521"/>
      <c r="D19" s="521"/>
      <c r="E19" s="521"/>
      <c r="F19" s="521"/>
      <c r="G19" s="521"/>
      <c r="H19" s="521"/>
      <c r="J19" t="s">
        <v>116</v>
      </c>
    </row>
    <row r="20" spans="1:10" x14ac:dyDescent="0.45">
      <c r="A20" s="521" t="s">
        <v>719</v>
      </c>
      <c r="B20" s="521">
        <v>1000</v>
      </c>
      <c r="C20" s="521"/>
      <c r="D20" s="521"/>
      <c r="E20" s="521"/>
      <c r="F20" s="521"/>
      <c r="G20" s="521"/>
      <c r="H20" s="521"/>
      <c r="J20" t="s">
        <v>114</v>
      </c>
    </row>
    <row r="21" spans="1:10" x14ac:dyDescent="0.45">
      <c r="A21" s="521" t="s">
        <v>720</v>
      </c>
      <c r="B21" s="521">
        <v>907.18499999999995</v>
      </c>
      <c r="C21" s="521"/>
      <c r="D21" s="521"/>
      <c r="E21" s="521"/>
      <c r="F21" s="521"/>
      <c r="G21" s="521"/>
      <c r="H21" s="521"/>
      <c r="J21" t="s">
        <v>87</v>
      </c>
    </row>
    <row r="22" spans="1:10" x14ac:dyDescent="0.45">
      <c r="A22" s="521"/>
      <c r="B22" s="521"/>
      <c r="C22" s="521"/>
      <c r="D22" s="521"/>
      <c r="E22" s="521"/>
      <c r="F22" s="521"/>
      <c r="G22" s="521"/>
      <c r="H22" s="521"/>
      <c r="J22" t="s">
        <v>101</v>
      </c>
    </row>
    <row r="23" spans="1:10" x14ac:dyDescent="0.45">
      <c r="A23" s="522" t="s">
        <v>348</v>
      </c>
      <c r="B23" s="521"/>
      <c r="C23" s="521"/>
      <c r="D23" s="521"/>
      <c r="E23" s="521"/>
      <c r="F23" s="521"/>
      <c r="G23" s="521"/>
      <c r="H23" s="521"/>
      <c r="J23" t="s">
        <v>118</v>
      </c>
    </row>
    <row r="24" spans="1:10" x14ac:dyDescent="0.45">
      <c r="A24" s="521" t="s">
        <v>636</v>
      </c>
      <c r="B24" s="521"/>
      <c r="C24" s="521"/>
      <c r="D24" s="521"/>
      <c r="E24" s="521"/>
      <c r="F24" s="521"/>
      <c r="G24" s="521"/>
      <c r="H24" s="521"/>
      <c r="J24" t="s">
        <v>95</v>
      </c>
    </row>
    <row r="25" spans="1:10" x14ac:dyDescent="0.45">
      <c r="A25" s="521" t="s">
        <v>637</v>
      </c>
      <c r="B25" s="521"/>
      <c r="C25" s="521"/>
      <c r="D25" s="521"/>
      <c r="E25" s="521"/>
      <c r="F25" s="521"/>
      <c r="G25" s="521"/>
      <c r="H25" s="521"/>
      <c r="J25" t="s">
        <v>31</v>
      </c>
    </row>
    <row r="26" spans="1:10" x14ac:dyDescent="0.45">
      <c r="A26" s="521" t="s">
        <v>638</v>
      </c>
      <c r="B26" s="521"/>
      <c r="C26" s="521"/>
      <c r="D26" s="521"/>
      <c r="E26" s="521"/>
      <c r="F26" s="521"/>
      <c r="G26" s="521"/>
      <c r="H26" s="521"/>
      <c r="J26" t="s">
        <v>40</v>
      </c>
    </row>
    <row r="27" spans="1:10" x14ac:dyDescent="0.45">
      <c r="A27" s="521" t="s">
        <v>254</v>
      </c>
      <c r="B27" s="521"/>
      <c r="C27" s="521"/>
      <c r="D27" s="521"/>
      <c r="E27" s="521"/>
      <c r="F27" s="521"/>
      <c r="G27" s="521"/>
      <c r="H27" s="521"/>
      <c r="J27" t="s">
        <v>48</v>
      </c>
    </row>
    <row r="28" spans="1:10" x14ac:dyDescent="0.45">
      <c r="A28" s="521"/>
      <c r="B28" s="521"/>
      <c r="C28" s="521"/>
      <c r="D28" s="521"/>
      <c r="E28" s="521"/>
      <c r="F28" s="521"/>
      <c r="G28" s="521"/>
      <c r="H28" s="521"/>
      <c r="J28" t="s">
        <v>56</v>
      </c>
    </row>
    <row r="29" spans="1:10" x14ac:dyDescent="0.45">
      <c r="A29" s="522" t="s">
        <v>259</v>
      </c>
      <c r="B29" s="521"/>
      <c r="C29" s="521"/>
      <c r="D29" s="521"/>
      <c r="E29" s="521"/>
      <c r="F29" s="521"/>
      <c r="G29" s="521"/>
      <c r="H29" s="521"/>
      <c r="J29" t="s">
        <v>73</v>
      </c>
    </row>
    <row r="30" spans="1:10" x14ac:dyDescent="0.45">
      <c r="A30" s="521" t="s">
        <v>703</v>
      </c>
      <c r="B30" s="521"/>
      <c r="C30" s="521"/>
      <c r="D30" s="521"/>
      <c r="E30" s="521"/>
      <c r="F30" s="521"/>
      <c r="G30" s="521"/>
      <c r="H30" s="521"/>
      <c r="J30" t="s">
        <v>62</v>
      </c>
    </row>
    <row r="31" spans="1:10" x14ac:dyDescent="0.45">
      <c r="A31" s="521" t="s">
        <v>721</v>
      </c>
      <c r="B31" s="521"/>
      <c r="C31" s="521"/>
      <c r="D31" s="521"/>
      <c r="E31" s="521"/>
      <c r="F31" s="521"/>
      <c r="G31" s="521"/>
      <c r="H31" s="521"/>
      <c r="J31" t="s">
        <v>68</v>
      </c>
    </row>
    <row r="32" spans="1:10" x14ac:dyDescent="0.45">
      <c r="A32" s="521" t="s">
        <v>260</v>
      </c>
      <c r="B32" s="521"/>
      <c r="C32" s="521"/>
      <c r="D32" s="521"/>
      <c r="E32" s="521"/>
      <c r="F32" s="521"/>
      <c r="G32" s="521"/>
      <c r="H32" s="521"/>
      <c r="J32" t="s">
        <v>121</v>
      </c>
    </row>
    <row r="33" spans="1:10" x14ac:dyDescent="0.45">
      <c r="A33" s="521"/>
      <c r="B33" s="521"/>
      <c r="C33" s="521"/>
      <c r="D33" s="521"/>
      <c r="E33" s="521"/>
      <c r="F33" s="521"/>
      <c r="G33" s="521"/>
      <c r="H33" s="521"/>
      <c r="J33" t="s">
        <v>82</v>
      </c>
    </row>
    <row r="34" spans="1:10" x14ac:dyDescent="0.45">
      <c r="A34" s="522" t="s">
        <v>735</v>
      </c>
      <c r="B34" s="524"/>
      <c r="C34" s="521"/>
      <c r="D34" s="521"/>
      <c r="E34" s="521"/>
      <c r="F34" s="521"/>
      <c r="G34" s="521"/>
      <c r="H34" s="521"/>
      <c r="J34" t="s">
        <v>86</v>
      </c>
    </row>
    <row r="35" spans="1:10" x14ac:dyDescent="0.45">
      <c r="A35" s="521" t="s">
        <v>736</v>
      </c>
      <c r="B35" s="523">
        <f>ROUND(IF('4-Emissions Inputs'!C14="Fahrenheit",('4-Emissions Inputs'!B14-32)/1.8,'4-Emissions Inputs'!B14),0)</f>
        <v>20</v>
      </c>
      <c r="C35" s="521"/>
      <c r="D35" s="521"/>
      <c r="E35" s="521"/>
      <c r="F35" s="521"/>
      <c r="G35" s="521"/>
      <c r="H35" s="521"/>
      <c r="J35" t="s">
        <v>100</v>
      </c>
    </row>
    <row r="36" spans="1:10" x14ac:dyDescent="0.45">
      <c r="A36" s="521"/>
      <c r="B36" s="521"/>
      <c r="C36" s="521"/>
      <c r="D36" s="521"/>
      <c r="E36" s="521"/>
      <c r="F36" s="521"/>
      <c r="G36" s="521"/>
      <c r="H36" s="521"/>
      <c r="J36" t="s">
        <v>405</v>
      </c>
    </row>
    <row r="37" spans="1:10" x14ac:dyDescent="0.45">
      <c r="A37" s="521"/>
      <c r="B37" s="521"/>
      <c r="C37" s="521"/>
      <c r="D37" s="521"/>
      <c r="E37" s="521"/>
      <c r="F37" s="521"/>
      <c r="G37" s="521"/>
      <c r="H37" s="521"/>
      <c r="J37" t="s">
        <v>103</v>
      </c>
    </row>
    <row r="38" spans="1:10" x14ac:dyDescent="0.45">
      <c r="A38" s="521"/>
      <c r="B38" s="521"/>
      <c r="C38" s="521"/>
      <c r="D38" s="521"/>
      <c r="E38" s="521"/>
      <c r="F38" s="521"/>
      <c r="G38" s="521"/>
      <c r="H38" s="521"/>
      <c r="J38" t="s">
        <v>111</v>
      </c>
    </row>
    <row r="39" spans="1:10" x14ac:dyDescent="0.45">
      <c r="A39" s="521"/>
      <c r="B39" s="521"/>
      <c r="C39" s="521"/>
      <c r="D39" s="521"/>
      <c r="E39" s="521"/>
      <c r="F39" s="521"/>
      <c r="G39" s="521"/>
      <c r="H39" s="521"/>
      <c r="J39" t="s">
        <v>109</v>
      </c>
    </row>
    <row r="40" spans="1:10" x14ac:dyDescent="0.45">
      <c r="A40" s="521"/>
      <c r="B40" s="521"/>
      <c r="C40" s="521"/>
      <c r="D40" s="521"/>
      <c r="E40" s="521"/>
      <c r="F40" s="521"/>
      <c r="G40" s="521"/>
      <c r="H40" s="521"/>
      <c r="J40" t="s">
        <v>113</v>
      </c>
    </row>
    <row r="41" spans="1:10" x14ac:dyDescent="0.45">
      <c r="A41" s="521"/>
      <c r="B41" s="521"/>
      <c r="C41" s="521"/>
      <c r="D41" s="521"/>
      <c r="E41" s="521"/>
      <c r="F41" s="521"/>
      <c r="G41" s="521"/>
      <c r="H41" s="521"/>
      <c r="J41" t="s">
        <v>120</v>
      </c>
    </row>
    <row r="42" spans="1:10" x14ac:dyDescent="0.45">
      <c r="A42" s="521"/>
      <c r="B42" s="521"/>
      <c r="C42" s="521"/>
      <c r="D42" s="521"/>
      <c r="E42" s="521"/>
      <c r="F42" s="521"/>
      <c r="G42" s="521"/>
      <c r="H42" s="521"/>
      <c r="J42" t="s">
        <v>123</v>
      </c>
    </row>
    <row r="43" spans="1:10" x14ac:dyDescent="0.45">
      <c r="A43" s="521"/>
      <c r="B43" s="521"/>
      <c r="C43" s="521"/>
      <c r="D43" s="521"/>
      <c r="E43" s="521"/>
      <c r="F43" s="521"/>
      <c r="G43" s="521"/>
      <c r="H43" s="521"/>
      <c r="J43" t="s">
        <v>124</v>
      </c>
    </row>
    <row r="44" spans="1:10" x14ac:dyDescent="0.45">
      <c r="A44" s="521"/>
      <c r="B44" s="521"/>
      <c r="C44" s="521"/>
      <c r="D44" s="521"/>
      <c r="E44" s="521"/>
      <c r="F44" s="521"/>
      <c r="G44" s="521"/>
      <c r="H44" s="521"/>
      <c r="J44" t="s">
        <v>90</v>
      </c>
    </row>
    <row r="45" spans="1:10" x14ac:dyDescent="0.45">
      <c r="A45" s="521"/>
      <c r="B45" s="521"/>
      <c r="C45" s="521"/>
      <c r="D45" s="521"/>
      <c r="E45" s="521"/>
      <c r="F45" s="521"/>
      <c r="G45" s="521"/>
      <c r="H45" s="521"/>
      <c r="J45" t="s">
        <v>417</v>
      </c>
    </row>
    <row r="46" spans="1:10" x14ac:dyDescent="0.45">
      <c r="A46" s="521"/>
      <c r="B46" s="521"/>
      <c r="C46" s="521"/>
      <c r="D46" s="521"/>
      <c r="E46" s="521"/>
      <c r="F46" s="521"/>
      <c r="G46" s="521"/>
      <c r="H46" s="521"/>
      <c r="J46" t="s">
        <v>119</v>
      </c>
    </row>
    <row r="47" spans="1:10" x14ac:dyDescent="0.45">
      <c r="J47" t="s">
        <v>115</v>
      </c>
    </row>
    <row r="48" spans="1:10" x14ac:dyDescent="0.45">
      <c r="J48" t="s">
        <v>117</v>
      </c>
    </row>
    <row r="49" spans="10:10" x14ac:dyDescent="0.45">
      <c r="J49" t="s">
        <v>125</v>
      </c>
    </row>
    <row r="50" spans="10:10" x14ac:dyDescent="0.45">
      <c r="J50" t="s">
        <v>97</v>
      </c>
    </row>
    <row r="51" spans="10:10" x14ac:dyDescent="0.45">
      <c r="J51" t="s">
        <v>78</v>
      </c>
    </row>
    <row r="52" spans="10:10" x14ac:dyDescent="0.45">
      <c r="J52" t="s">
        <v>122</v>
      </c>
    </row>
    <row r="53" spans="10:10" x14ac:dyDescent="0.45">
      <c r="J53" t="s">
        <v>37</v>
      </c>
    </row>
    <row r="54" spans="10:10" x14ac:dyDescent="0.45">
      <c r="J54" t="s">
        <v>54</v>
      </c>
    </row>
    <row r="55" spans="10:10" x14ac:dyDescent="0.45">
      <c r="J55" t="s">
        <v>46</v>
      </c>
    </row>
    <row r="56" spans="10:10" x14ac:dyDescent="0.45">
      <c r="J56" t="s">
        <v>36</v>
      </c>
    </row>
    <row r="57" spans="10:10" x14ac:dyDescent="0.45">
      <c r="J57" t="s">
        <v>61</v>
      </c>
    </row>
    <row r="58" spans="10:10" x14ac:dyDescent="0.45">
      <c r="J58" t="s">
        <v>53</v>
      </c>
    </row>
    <row r="59" spans="10:10" x14ac:dyDescent="0.45">
      <c r="J59" t="s">
        <v>45</v>
      </c>
    </row>
    <row r="60" spans="10:10" x14ac:dyDescent="0.45">
      <c r="J60" t="s">
        <v>67</v>
      </c>
    </row>
    <row r="61" spans="10:10" x14ac:dyDescent="0.45">
      <c r="J61" t="s">
        <v>108</v>
      </c>
    </row>
    <row r="62" spans="10:10" x14ac:dyDescent="0.45">
      <c r="J62" t="s">
        <v>88</v>
      </c>
    </row>
    <row r="63" spans="10:10" x14ac:dyDescent="0.45">
      <c r="J63" t="s">
        <v>42</v>
      </c>
    </row>
    <row r="64" spans="10:10" x14ac:dyDescent="0.45">
      <c r="J64" t="s">
        <v>92</v>
      </c>
    </row>
    <row r="65" spans="10:10" x14ac:dyDescent="0.45">
      <c r="J65" t="s">
        <v>84</v>
      </c>
    </row>
    <row r="66" spans="10:10" x14ac:dyDescent="0.45">
      <c r="J66" t="s">
        <v>80</v>
      </c>
    </row>
    <row r="67" spans="10:10" x14ac:dyDescent="0.45">
      <c r="J67" t="s">
        <v>64</v>
      </c>
    </row>
    <row r="68" spans="10:10" x14ac:dyDescent="0.45">
      <c r="J68" t="s">
        <v>96</v>
      </c>
    </row>
    <row r="69" spans="10:10" x14ac:dyDescent="0.45">
      <c r="J69" t="s">
        <v>99</v>
      </c>
    </row>
    <row r="70" spans="10:10" x14ac:dyDescent="0.45">
      <c r="J70" t="s">
        <v>75</v>
      </c>
    </row>
    <row r="71" spans="10:10" x14ac:dyDescent="0.45">
      <c r="J71" t="s">
        <v>70</v>
      </c>
    </row>
    <row r="72" spans="10:10" x14ac:dyDescent="0.45">
      <c r="J72" t="s">
        <v>105</v>
      </c>
    </row>
    <row r="73" spans="10:10" x14ac:dyDescent="0.45">
      <c r="J73" t="s">
        <v>33</v>
      </c>
    </row>
    <row r="74" spans="10:10" x14ac:dyDescent="0.45">
      <c r="J74" t="s">
        <v>102</v>
      </c>
    </row>
    <row r="75" spans="10:10" x14ac:dyDescent="0.45">
      <c r="J75" t="s">
        <v>58</v>
      </c>
    </row>
    <row r="76" spans="10:10" x14ac:dyDescent="0.45">
      <c r="J76" t="s">
        <v>50</v>
      </c>
    </row>
    <row r="77" spans="10:10" x14ac:dyDescent="0.45">
      <c r="J77" t="s">
        <v>76</v>
      </c>
    </row>
    <row r="78" spans="10:10" x14ac:dyDescent="0.45">
      <c r="J78" t="s">
        <v>71</v>
      </c>
    </row>
    <row r="79" spans="10:10" x14ac:dyDescent="0.45">
      <c r="J79" t="s">
        <v>43</v>
      </c>
    </row>
    <row r="80" spans="10:10" x14ac:dyDescent="0.45">
      <c r="J80" t="s">
        <v>51</v>
      </c>
    </row>
    <row r="81" spans="10:10" x14ac:dyDescent="0.45">
      <c r="J81" t="s">
        <v>446</v>
      </c>
    </row>
    <row r="82" spans="10:10" x14ac:dyDescent="0.45">
      <c r="J82" t="s">
        <v>59</v>
      </c>
    </row>
    <row r="83" spans="10:10" x14ac:dyDescent="0.45">
      <c r="J83" t="s">
        <v>34</v>
      </c>
    </row>
    <row r="84" spans="10:10" x14ac:dyDescent="0.45">
      <c r="J84" t="s">
        <v>450</v>
      </c>
    </row>
    <row r="85" spans="10:10" x14ac:dyDescent="0.45">
      <c r="J85" t="s">
        <v>453</v>
      </c>
    </row>
    <row r="86" spans="10:10" x14ac:dyDescent="0.45">
      <c r="J86" t="s">
        <v>456</v>
      </c>
    </row>
    <row r="87" spans="10:10" x14ac:dyDescent="0.45">
      <c r="J87" t="s">
        <v>457</v>
      </c>
    </row>
    <row r="88" spans="10:10" x14ac:dyDescent="0.45">
      <c r="J88" t="s">
        <v>55</v>
      </c>
    </row>
    <row r="89" spans="10:10" x14ac:dyDescent="0.45">
      <c r="J89" t="s">
        <v>38</v>
      </c>
    </row>
    <row r="90" spans="10:10" x14ac:dyDescent="0.45">
      <c r="J90" t="s">
        <v>47</v>
      </c>
    </row>
    <row r="91" spans="10:10" x14ac:dyDescent="0.45">
      <c r="J91" t="s">
        <v>463</v>
      </c>
    </row>
    <row r="92" spans="10:10" x14ac:dyDescent="0.45">
      <c r="J92" t="s">
        <v>85</v>
      </c>
    </row>
    <row r="93" spans="10:10" x14ac:dyDescent="0.45">
      <c r="J93" t="s">
        <v>89</v>
      </c>
    </row>
    <row r="94" spans="10:10" x14ac:dyDescent="0.45">
      <c r="J94" t="s">
        <v>81</v>
      </c>
    </row>
    <row r="95" spans="10:10" x14ac:dyDescent="0.45">
      <c r="J95" t="s">
        <v>77</v>
      </c>
    </row>
    <row r="96" spans="10:10" x14ac:dyDescent="0.45">
      <c r="J96" t="s">
        <v>93</v>
      </c>
    </row>
    <row r="97" spans="10:10" x14ac:dyDescent="0.45">
      <c r="J97" t="s">
        <v>60</v>
      </c>
    </row>
    <row r="98" spans="10:10" x14ac:dyDescent="0.45">
      <c r="J98" t="s">
        <v>66</v>
      </c>
    </row>
    <row r="99" spans="10:10" x14ac:dyDescent="0.45">
      <c r="J99" t="s">
        <v>52</v>
      </c>
    </row>
    <row r="100" spans="10:10" x14ac:dyDescent="0.45">
      <c r="J100" t="s">
        <v>72</v>
      </c>
    </row>
    <row r="101" spans="10:10" x14ac:dyDescent="0.45">
      <c r="J101" t="s">
        <v>44</v>
      </c>
    </row>
    <row r="102" spans="10:10" x14ac:dyDescent="0.45">
      <c r="J102" t="s">
        <v>39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F5B74281A7CE7429B78075E9E746D16" ma:contentTypeVersion="13" ma:contentTypeDescription="Create a new document." ma:contentTypeScope="" ma:versionID="04a028ed4f77b6b7eea6ff52df4b30ac">
  <xsd:schema xmlns:xsd="http://www.w3.org/2001/XMLSchema" xmlns:xs="http://www.w3.org/2001/XMLSchema" xmlns:p="http://schemas.microsoft.com/office/2006/metadata/properties" xmlns:ns1="http://schemas.microsoft.com/sharepoint/v3" xmlns:ns2="4ffa91fb-a0ff-4ac5-b2db-65c790d184a4" xmlns:ns3="http://schemas.microsoft.com/sharepoint.v3" xmlns:ns4="http://schemas.microsoft.com/sharepoint/v3/fields" xmlns:ns5="a260071a-d966-4c0e-9d5d-078c3dd9e145" xmlns:ns6="b39f5709-1a81-4a8f-9e4f-78efd8cb472e" targetNamespace="http://schemas.microsoft.com/office/2006/metadata/properties" ma:root="true" ma:fieldsID="7772262d57002cfead2372363734b7fd" ns1:_="" ns2:_="" ns3:_="" ns4:_="" ns5:_="" ns6:_="">
    <xsd:import namespace="http://schemas.microsoft.com/sharepoint/v3"/>
    <xsd:import namespace="4ffa91fb-a0ff-4ac5-b2db-65c790d184a4"/>
    <xsd:import namespace="http://schemas.microsoft.com/sharepoint.v3"/>
    <xsd:import namespace="http://schemas.microsoft.com/sharepoint/v3/fields"/>
    <xsd:import namespace="a260071a-d966-4c0e-9d5d-078c3dd9e145"/>
    <xsd:import namespace="b39f5709-1a81-4a8f-9e4f-78efd8cb472e"/>
    <xsd:element name="properties">
      <xsd:complexType>
        <xsd:sequence>
          <xsd:element name="documentManagement">
            <xsd:complexType>
              <xsd:all>
                <xsd:element ref="ns2:Document_x0020_Creation_x0020_Date" minOccurs="0"/>
                <xsd:element ref="ns2:Creator" minOccurs="0"/>
                <xsd:element ref="ns2:EPA_x0020_Office" minOccurs="0"/>
                <xsd:element ref="ns2:Record" minOccurs="0"/>
                <xsd:element ref="ns3:CategoryDescription" minOccurs="0"/>
                <xsd:element ref="ns2:Identifier" minOccurs="0"/>
                <xsd:element ref="ns2:EPA_x0020_Contributor" minOccurs="0"/>
                <xsd:element ref="ns2:External_x0020_Contributor" minOccurs="0"/>
                <xsd:element ref="ns4:_Coverage" minOccurs="0"/>
                <xsd:element ref="ns2:EPA_x0020_Related_x0020_Documents" minOccurs="0"/>
                <xsd:element ref="ns4:_Source" minOccurs="0"/>
                <xsd:element ref="ns2:Rights" minOccurs="0"/>
                <xsd:element ref="ns1:Language" minOccurs="0"/>
                <xsd:element ref="ns2:j747ac98061d40f0aa7bd47e1db5675d" minOccurs="0"/>
                <xsd:element ref="ns2:TaxKeywordTaxHTField" minOccurs="0"/>
                <xsd:element ref="ns2:TaxCatchAllLabel" minOccurs="0"/>
                <xsd:element ref="ns2:TaxCatchAll" minOccurs="0"/>
                <xsd:element ref="ns5:MediaServiceMetadata" minOccurs="0"/>
                <xsd:element ref="ns5:MediaServiceFastMetadata" minOccurs="0"/>
                <xsd:element ref="ns5:MediaServiceAutoKeyPoints" minOccurs="0"/>
                <xsd:element ref="ns5:MediaServiceKeyPoints" minOccurs="0"/>
                <xsd:element ref="ns6:SharedWithUsers" minOccurs="0"/>
                <xsd:element ref="ns6:SharedWithDetails" minOccurs="0"/>
                <xsd:element ref="ns5:MediaServiceDateTaken" minOccurs="0"/>
                <xsd:element ref="ns5:MediaServiceAutoTags" minOccurs="0"/>
                <xsd:element ref="ns5:MediaServiceGenerationTime" minOccurs="0"/>
                <xsd:element ref="ns5:MediaServiceEventHashCode" minOccurs="0"/>
                <xsd:element ref="ns5:MediaServiceLocation" minOccurs="0"/>
                <xsd:element ref="ns5:MediaServiceOCR" minOccurs="0"/>
                <xsd:element ref="ns5: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Language" ma:index="17" nillable="true" ma:displayName="Language" ma:default="English" ma:description="Select the document language from the drop down." ma:format="Dropdown" ma:internalName="Language" ma:readOnly="false">
      <xsd:simpleType>
        <xsd:restriction base="dms:Choice">
          <xsd:enumeration value="Arabic (Saudi Arabia)"/>
          <xsd:enumeration value="Bulgarian (Bulgaria)"/>
          <xsd:enumeration value="Chinese (Hong Kong S.A.R.)"/>
          <xsd:enumeration value="Chinese (People's Republic of China)"/>
          <xsd:enumeration value="Chinese (Taiwan)"/>
          <xsd:enumeration value="Croatian (Croatia)"/>
          <xsd:enumeration value="Czech (Czech Republic)"/>
          <xsd:enumeration value="Danish (Denmark)"/>
          <xsd:enumeration value="Dutch (Netherlands)"/>
          <xsd:enumeration value="English"/>
          <xsd:enumeration value="Estonian (Estonia)"/>
          <xsd:enumeration value="Finnish (Finland)"/>
          <xsd:enumeration value="French (France)"/>
          <xsd:enumeration value="German (Germany)"/>
          <xsd:enumeration value="Greek (Greece)"/>
          <xsd:enumeration value="Hebrew (Israel)"/>
          <xsd:enumeration value="Hindi (India)"/>
          <xsd:enumeration value="Hungarian (Hungary)"/>
          <xsd:enumeration value="Indonesian (Indonesia)"/>
          <xsd:enumeration value="Italian (Italy)"/>
          <xsd:enumeration value="Japanese (Japan)"/>
          <xsd:enumeration value="Korean (Korea)"/>
          <xsd:enumeration value="Latvian (Latvia)"/>
          <xsd:enumeration value="Lithuanian (Lithuania)"/>
          <xsd:enumeration value="Malay (Malaysia)"/>
          <xsd:enumeration value="Norwegian (Bokmal) (Norway)"/>
          <xsd:enumeration value="Polish (Poland)"/>
          <xsd:enumeration value="Portuguese (Brazil)"/>
          <xsd:enumeration value="Portuguese (Portugal)"/>
          <xsd:enumeration value="Romanian (Romania)"/>
          <xsd:enumeration value="Russian (Russia)"/>
          <xsd:enumeration value="Serbian (Latin) (Serbia)"/>
          <xsd:enumeration value="Slovak (Slovakia)"/>
          <xsd:enumeration value="Slovenian (Slovenia)"/>
          <xsd:enumeration value="Spanish (Spain)"/>
          <xsd:enumeration value="Swedish (Sweden)"/>
          <xsd:enumeration value="Thai (Thailand)"/>
          <xsd:enumeration value="Turkish (Turkey)"/>
          <xsd:enumeration value="Ukrainian (Ukraine)"/>
          <xsd:enumeration value="Urdu (Islamic Republic of Pakistan)"/>
          <xsd:enumeration value="Vietnamese (Vietnam)"/>
        </xsd:restriction>
      </xsd:simpleType>
    </xsd:element>
  </xsd:schema>
  <xsd:schema xmlns:xsd="http://www.w3.org/2001/XMLSchema" xmlns:xs="http://www.w3.org/2001/XMLSchema" xmlns:dms="http://schemas.microsoft.com/office/2006/documentManagement/types" xmlns:pc="http://schemas.microsoft.com/office/infopath/2007/PartnerControls" targetNamespace="4ffa91fb-a0ff-4ac5-b2db-65c790d184a4" elementFormDefault="qualified">
    <xsd:import namespace="http://schemas.microsoft.com/office/2006/documentManagement/types"/>
    <xsd:import namespace="http://schemas.microsoft.com/office/infopath/2007/PartnerControls"/>
    <xsd:element name="Document_x0020_Creation_x0020_Date" ma:index="2" nillable="true" ma:displayName="Document Date" ma:default="[today]" ma:description="Enter the date this document was last modified. The upload date has been entered by default." ma:format="DateOnly" ma:internalName="Document_x0020_Creation_x0020_Date" ma:readOnly="false">
      <xsd:simpleType>
        <xsd:restriction base="dms:DateTime"/>
      </xsd:simpleType>
    </xsd:element>
    <xsd:element name="Creator" ma:index="3" nillable="true" ma:displayName="Creator" ma:description="Enter the person primarily responsible for the document. The name of the person uploading the document has been entered by default." ma:list="UserInfo" ma:SharePointGroup="0" ma:internalName="Crea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PA_x0020_Office" ma:index="4" nillable="true" ma:displayName="EPA Office" ma:description="Enter the EPA organization primarily responsible for the document. The office of the person uploading the document has been entered by default." ma:internalName="EPA_x0020_Office" ma:readOnly="false">
      <xsd:simpleType>
        <xsd:restriction base="dms:Text">
          <xsd:maxLength value="255"/>
        </xsd:restriction>
      </xsd:simpleType>
    </xsd:element>
    <xsd:element name="Record" ma:index="5" nillable="true" ma:displayName="Record" ma:default="Shared" ma:description="For documents that provide evidence of EPA decisions and actions, select &quot;Shared&quot; (open access) or &quot;Private&quot; (restricted access)." ma:format="Dropdown" ma:internalName="Record">
      <xsd:simpleType>
        <xsd:restriction base="dms:Choice">
          <xsd:enumeration value="None"/>
          <xsd:enumeration value="Shared"/>
          <xsd:enumeration value="Private"/>
        </xsd:restriction>
      </xsd:simpleType>
    </xsd:element>
    <xsd:element name="Identifier" ma:index="9" nillable="true" ma:displayName="Identifier" ma:description="Enter all EPA identification numbers applicable to this document, one on each line." ma:internalName="Identifier" ma:readOnly="false">
      <xsd:simpleType>
        <xsd:restriction base="dms:Note">
          <xsd:maxLength value="255"/>
        </xsd:restriction>
      </xsd:simpleType>
    </xsd:element>
    <xsd:element name="EPA_x0020_Contributor" ma:index="11" nillable="true" ma:displayName="EPA Contributor" ma:description="Enter an EPA person who contributed to the creation of the document but is not the primary author." ma:list="UserInfo" ma:SharePointGroup="0" ma:internalName="EPA_x0020_Contributo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xternal_x0020_Contributor" ma:index="12" nillable="true" ma:displayName="External Contributor" ma:description="Enter a non-EPA person who contributed to the creation of the document but is not the primary author." ma:internalName="External_x0020_Contributor" ma:readOnly="false">
      <xsd:simpleType>
        <xsd:restriction base="dms:Note">
          <xsd:maxLength value="255"/>
        </xsd:restriction>
      </xsd:simpleType>
    </xsd:element>
    <xsd:element name="EPA_x0020_Related_x0020_Documents" ma:index="14" nillable="true" ma:displayName="Other Related Documents" ma:description="Enter any related document." ma:internalName="EPA_x0020_Related_x0020_Documents" ma:readOnly="false">
      <xsd:simpleType>
        <xsd:restriction base="dms:Note">
          <xsd:maxLength value="255"/>
        </xsd:restriction>
      </xsd:simpleType>
    </xsd:element>
    <xsd:element name="Rights" ma:index="16" nillable="true" ma:displayName="Rights" ma:description="Enter information about intellectual property rights held over the document (e.g. copyright, patent, trademark)." ma:internalName="Rights" ma:readOnly="false">
      <xsd:simpleType>
        <xsd:restriction base="dms:Note">
          <xsd:maxLength value="255"/>
        </xsd:restriction>
      </xsd:simpleType>
    </xsd:element>
    <xsd:element name="j747ac98061d40f0aa7bd47e1db5675d" ma:index="19" nillable="true" ma:taxonomy="true" ma:internalName="j747ac98061d40f0aa7bd47e1db5675d" ma:taxonomyFieldName="Document_x0020_Type" ma:displayName="Document Type" ma:readOnly="false" ma:default="" ma:fieldId="{3747ac98-061d-40f0-aa7b-d47e1db5675d}" ma:sspId="29f62856-1543-49d4-a736-4569d363f533" ma:termSetId="e06cd6a9-a175-4da0-81cb-8dba7aa394ab" ma:anchorId="00000000-0000-0000-0000-000000000000" ma:open="false" ma:isKeyword="false">
      <xsd:complexType>
        <xsd:sequence>
          <xsd:element ref="pc:Terms" minOccurs="0" maxOccurs="1"/>
        </xsd:sequence>
      </xsd:complexType>
    </xsd:element>
    <xsd:element name="TaxKeywordTaxHTField" ma:index="21" nillable="true" ma:taxonomy="true" ma:internalName="TaxKeywordTaxHTField" ma:taxonomyFieldName="TaxKeyword" ma:displayName="Enterprise Keywords" ma:readOnly="false" ma:fieldId="{23f27201-bee3-471e-b2e7-b64fd8b7ca38}" ma:taxonomyMulti="true" ma:sspId="29f62856-1543-49d4-a736-4569d363f533" ma:termSetId="00000000-0000-0000-0000-000000000000" ma:anchorId="00000000-0000-0000-0000-000000000000" ma:open="true" ma:isKeyword="true">
      <xsd:complexType>
        <xsd:sequence>
          <xsd:element ref="pc:Terms" minOccurs="0" maxOccurs="1"/>
        </xsd:sequence>
      </xsd:complexType>
    </xsd:element>
    <xsd:element name="TaxCatchAllLabel" ma:index="23" nillable="true" ma:displayName="Taxonomy Catch All Column1" ma:hidden="true" ma:list="{09757562-274f-4c3d-9fe9-dfbf5c77a745}" ma:internalName="TaxCatchAllLabel" ma:readOnly="true" ma:showField="CatchAllDataLabel" ma:web="b39f5709-1a81-4a8f-9e4f-78efd8cb472e">
      <xsd:complexType>
        <xsd:complexContent>
          <xsd:extension base="dms:MultiChoiceLookup">
            <xsd:sequence>
              <xsd:element name="Value" type="dms:Lookup" maxOccurs="unbounded" minOccurs="0" nillable="true"/>
            </xsd:sequence>
          </xsd:extension>
        </xsd:complexContent>
      </xsd:complexType>
    </xsd:element>
    <xsd:element name="TaxCatchAll" ma:index="24" nillable="true" ma:displayName="Taxonomy Catch All Column" ma:hidden="true" ma:list="{09757562-274f-4c3d-9fe9-dfbf5c77a745}" ma:internalName="TaxCatchAll" ma:showField="CatchAllData" ma:web="b39f5709-1a81-4a8f-9e4f-78efd8cb472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ategoryDescription" ma:index="6" nillable="true" ma:displayName="Description" ma:description="Enter a brief description." ma:internalName="CategoryDescription"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Coverage" ma:index="13" nillable="true" ma:displayName="Coverage" ma:description="Enter the geographic location, jurisdiction, or time period for which the document is relevant." ma:internalName="_Coverage" ma:readOnly="false">
      <xsd:simpleType>
        <xsd:restriction base="dms:Text">
          <xsd:maxLength value="255"/>
        </xsd:restriction>
      </xsd:simpleType>
    </xsd:element>
    <xsd:element name="_Source" ma:index="15" nillable="true" ma:displayName="Source" ma:description="Enter a source from which the document is derived." ma:internalName="_Source" ma:readOnly="fals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260071a-d966-4c0e-9d5d-078c3dd9e145" elementFormDefault="qualified">
    <xsd:import namespace="http://schemas.microsoft.com/office/2006/documentManagement/types"/>
    <xsd:import namespace="http://schemas.microsoft.com/office/infopath/2007/PartnerControls"/>
    <xsd:element name="MediaServiceMetadata" ma:index="28" nillable="true" ma:displayName="MediaServiceMetadata" ma:hidden="true" ma:internalName="MediaServiceMetadata" ma:readOnly="true">
      <xsd:simpleType>
        <xsd:restriction base="dms:Note"/>
      </xsd:simpleType>
    </xsd:element>
    <xsd:element name="MediaServiceFastMetadata" ma:index="29" nillable="true" ma:displayName="MediaServiceFastMetadata" ma:hidden="true" ma:internalName="MediaServiceFastMetadata" ma:readOnly="true">
      <xsd:simpleType>
        <xsd:restriction base="dms:Note"/>
      </xsd:simpleType>
    </xsd:element>
    <xsd:element name="MediaServiceAutoKeyPoints" ma:index="30" nillable="true" ma:displayName="MediaServiceAutoKeyPoints" ma:hidden="true" ma:internalName="MediaServiceAutoKeyPoints" ma:readOnly="true">
      <xsd:simpleType>
        <xsd:restriction base="dms:Note"/>
      </xsd:simpleType>
    </xsd:element>
    <xsd:element name="MediaServiceKeyPoints" ma:index="31" nillable="true" ma:displayName="KeyPoints" ma:internalName="MediaServiceKeyPoints" ma:readOnly="true">
      <xsd:simpleType>
        <xsd:restriction base="dms:Note">
          <xsd:maxLength value="255"/>
        </xsd:restriction>
      </xsd:simpleType>
    </xsd:element>
    <xsd:element name="MediaServiceDateTaken" ma:index="34" nillable="true" ma:displayName="MediaServiceDateTaken" ma:hidden="true" ma:internalName="MediaServiceDateTaken" ma:readOnly="true">
      <xsd:simpleType>
        <xsd:restriction base="dms:Text"/>
      </xsd:simpleType>
    </xsd:element>
    <xsd:element name="MediaServiceAutoTags" ma:index="35" nillable="true" ma:displayName="Tags" ma:internalName="MediaServiceAutoTags" ma:readOnly="true">
      <xsd:simpleType>
        <xsd:restriction base="dms:Text"/>
      </xsd:simpleType>
    </xsd:element>
    <xsd:element name="MediaServiceGenerationTime" ma:index="36" nillable="true" ma:displayName="MediaServiceGenerationTime" ma:hidden="true" ma:internalName="MediaServiceGenerationTime" ma:readOnly="true">
      <xsd:simpleType>
        <xsd:restriction base="dms:Text"/>
      </xsd:simpleType>
    </xsd:element>
    <xsd:element name="MediaServiceEventHashCode" ma:index="37" nillable="true" ma:displayName="MediaServiceEventHashCode" ma:hidden="true" ma:internalName="MediaServiceEventHashCode" ma:readOnly="true">
      <xsd:simpleType>
        <xsd:restriction base="dms:Text"/>
      </xsd:simpleType>
    </xsd:element>
    <xsd:element name="MediaServiceLocation" ma:index="38" nillable="true" ma:displayName="Location" ma:internalName="MediaServiceLocation" ma:readOnly="true">
      <xsd:simpleType>
        <xsd:restriction base="dms:Text"/>
      </xsd:simpleType>
    </xsd:element>
    <xsd:element name="MediaServiceOCR" ma:index="39" nillable="true" ma:displayName="Extracted Text" ma:internalName="MediaServiceOCR" ma:readOnly="true">
      <xsd:simpleType>
        <xsd:restriction base="dms:Note">
          <xsd:maxLength value="255"/>
        </xsd:restriction>
      </xsd:simpleType>
    </xsd:element>
    <xsd:element name="MediaLengthInSeconds" ma:index="4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39f5709-1a81-4a8f-9e4f-78efd8cb472e" elementFormDefault="qualified">
    <xsd:import namespace="http://schemas.microsoft.com/office/2006/documentManagement/types"/>
    <xsd:import namespace="http://schemas.microsoft.com/office/infopath/2007/PartnerControls"/>
    <xsd:element name="SharedWithUsers" ma:index="3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25"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haredContentType xmlns="Microsoft.SharePoint.Taxonomy.ContentTypeSync" SourceId="29f62856-1543-49d4-a736-4569d363f533" ContentTypeId="0x0101" PreviousValue="false"/>
</file>

<file path=customXml/item4.xml><?xml version="1.0" encoding="utf-8"?>
<p:properties xmlns:p="http://schemas.microsoft.com/office/2006/metadata/properties" xmlns:xsi="http://www.w3.org/2001/XMLSchema-instance" xmlns:pc="http://schemas.microsoft.com/office/infopath/2007/PartnerControls">
  <documentManagement>
    <_Source xmlns="http://schemas.microsoft.com/sharepoint/v3/fields" xsi:nil="true"/>
    <Language xmlns="http://schemas.microsoft.com/sharepoint/v3">English</Language>
    <j747ac98061d40f0aa7bd47e1db5675d xmlns="4ffa91fb-a0ff-4ac5-b2db-65c790d184a4">
      <Terms xmlns="http://schemas.microsoft.com/office/infopath/2007/PartnerControls"/>
    </j747ac98061d40f0aa7bd47e1db5675d>
    <External_x0020_Contributor xmlns="4ffa91fb-a0ff-4ac5-b2db-65c790d184a4" xsi:nil="true"/>
    <TaxKeywordTaxHTField xmlns="4ffa91fb-a0ff-4ac5-b2db-65c790d184a4">
      <Terms xmlns="http://schemas.microsoft.com/office/infopath/2007/PartnerControls"/>
    </TaxKeywordTaxHTField>
    <Record xmlns="4ffa91fb-a0ff-4ac5-b2db-65c790d184a4">Shared</Record>
    <Rights xmlns="4ffa91fb-a0ff-4ac5-b2db-65c790d184a4" xsi:nil="true"/>
    <Document_x0020_Creation_x0020_Date xmlns="4ffa91fb-a0ff-4ac5-b2db-65c790d184a4">2021-08-23T20:30:21+00:00</Document_x0020_Creation_x0020_Date>
    <EPA_x0020_Office xmlns="4ffa91fb-a0ff-4ac5-b2db-65c790d184a4" xsi:nil="true"/>
    <CategoryDescription xmlns="http://schemas.microsoft.com/sharepoint.v3" xsi:nil="true"/>
    <Identifier xmlns="4ffa91fb-a0ff-4ac5-b2db-65c790d184a4" xsi:nil="true"/>
    <_Coverage xmlns="http://schemas.microsoft.com/sharepoint/v3/fields" xsi:nil="true"/>
    <Creator xmlns="4ffa91fb-a0ff-4ac5-b2db-65c790d184a4">
      <UserInfo>
        <DisplayName/>
        <AccountId xsi:nil="true"/>
        <AccountType/>
      </UserInfo>
    </Creator>
    <EPA_x0020_Related_x0020_Documents xmlns="4ffa91fb-a0ff-4ac5-b2db-65c790d184a4" xsi:nil="true"/>
    <EPA_x0020_Contributor xmlns="4ffa91fb-a0ff-4ac5-b2db-65c790d184a4">
      <UserInfo>
        <DisplayName/>
        <AccountId xsi:nil="true"/>
        <AccountType/>
      </UserInfo>
    </EPA_x0020_Contributor>
    <TaxCatchAll xmlns="4ffa91fb-a0ff-4ac5-b2db-65c790d184a4"/>
    <SharedWithUsers xmlns="b39f5709-1a81-4a8f-9e4f-78efd8cb472e">
      <UserInfo>
        <DisplayName>Cathy McGirl</DisplayName>
        <AccountId>61</AccountId>
        <AccountType/>
      </UserInfo>
      <UserInfo>
        <DisplayName>Chris Bachman</DisplayName>
        <AccountId>174</AccountId>
        <AccountType/>
      </UserInfo>
      <UserInfo>
        <DisplayName>Harrower, Dougie</DisplayName>
        <AccountId>152</AccountId>
        <AccountType/>
      </UserInfo>
      <UserInfo>
        <DisplayName>Eichelman, Emma</DisplayName>
        <AccountId>168</AccountId>
        <AccountType/>
      </UserInfo>
      <UserInfo>
        <DisplayName>Shimamura, Monica</DisplayName>
        <AccountId>18</AccountId>
        <AccountType/>
      </UserInfo>
      <UserInfo>
        <DisplayName>David Cooley</DisplayName>
        <AccountId>142</AccountId>
        <AccountType/>
      </UserInfo>
    </SharedWithUsers>
  </documentManagement>
</p:properties>
</file>

<file path=customXml/itemProps1.xml><?xml version="1.0" encoding="utf-8"?>
<ds:datastoreItem xmlns:ds="http://schemas.openxmlformats.org/officeDocument/2006/customXml" ds:itemID="{6F232045-224B-48A0-9AB3-C998A47C01A7}">
  <ds:schemaRefs>
    <ds:schemaRef ds:uri="http://schemas.microsoft.com/sharepoint/v3/contenttype/forms"/>
  </ds:schemaRefs>
</ds:datastoreItem>
</file>

<file path=customXml/itemProps2.xml><?xml version="1.0" encoding="utf-8"?>
<ds:datastoreItem xmlns:ds="http://schemas.openxmlformats.org/officeDocument/2006/customXml" ds:itemID="{11F15161-DD24-421C-B695-33E853A362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ffa91fb-a0ff-4ac5-b2db-65c790d184a4"/>
    <ds:schemaRef ds:uri="http://schemas.microsoft.com/sharepoint.v3"/>
    <ds:schemaRef ds:uri="http://schemas.microsoft.com/sharepoint/v3/fields"/>
    <ds:schemaRef ds:uri="a260071a-d966-4c0e-9d5d-078c3dd9e145"/>
    <ds:schemaRef ds:uri="b39f5709-1a81-4a8f-9e4f-78efd8cb472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3EF840A-52DE-423E-A8D9-A5A28F050AA1}">
  <ds:schemaRefs>
    <ds:schemaRef ds:uri="Microsoft.SharePoint.Taxonomy.ContentTypeSync"/>
  </ds:schemaRefs>
</ds:datastoreItem>
</file>

<file path=customXml/itemProps4.xml><?xml version="1.0" encoding="utf-8"?>
<ds:datastoreItem xmlns:ds="http://schemas.openxmlformats.org/officeDocument/2006/customXml" ds:itemID="{4F58D5A4-06F9-4182-8190-C025E649B59F}">
  <ds:schemaRefs>
    <ds:schemaRef ds:uri="http://www.w3.org/XML/1998/namespace"/>
    <ds:schemaRef ds:uri="http://purl.org/dc/dcmitype/"/>
    <ds:schemaRef ds:uri="4ffa91fb-a0ff-4ac5-b2db-65c790d184a4"/>
    <ds:schemaRef ds:uri="http://schemas.microsoft.com/office/2006/documentManagement/types"/>
    <ds:schemaRef ds:uri="http://purl.org/dc/terms/"/>
    <ds:schemaRef ds:uri="http://schemas.microsoft.com/office/2006/metadata/properties"/>
    <ds:schemaRef ds:uri="http://schemas.microsoft.com/office/infopath/2007/PartnerControls"/>
    <ds:schemaRef ds:uri="http://purl.org/dc/elements/1.1/"/>
    <ds:schemaRef ds:uri="http://schemas.microsoft.com/sharepoint/v3/fields"/>
    <ds:schemaRef ds:uri="http://schemas.openxmlformats.org/package/2006/metadata/core-properties"/>
    <ds:schemaRef ds:uri="b39f5709-1a81-4a8f-9e4f-78efd8cb472e"/>
    <ds:schemaRef ds:uri="a260071a-d966-4c0e-9d5d-078c3dd9e145"/>
    <ds:schemaRef ds:uri="http://schemas.microsoft.com/sharepoint.v3"/>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52</vt:i4>
      </vt:variant>
    </vt:vector>
  </HeadingPairs>
  <TitlesOfParts>
    <vt:vector size="79" baseType="lpstr">
      <vt:lpstr>Cover</vt:lpstr>
      <vt:lpstr>AD ST History</vt:lpstr>
      <vt:lpstr>Contents</vt:lpstr>
      <vt:lpstr>1-Introduction</vt:lpstr>
      <vt:lpstr>2-Instructions</vt:lpstr>
      <vt:lpstr>Default Feedstock Inputs List</vt:lpstr>
      <vt:lpstr>3-Digester Inputs</vt:lpstr>
      <vt:lpstr>4-Emissions Inputs</vt:lpstr>
      <vt:lpstr>5-Annual Summary</vt:lpstr>
      <vt:lpstr>6-Biogas Production</vt:lpstr>
      <vt:lpstr>7-Digestate Production</vt:lpstr>
      <vt:lpstr>8-Emission Reductions</vt:lpstr>
      <vt:lpstr>9-Feedstock Characteristics</vt:lpstr>
      <vt:lpstr>10-Feedstock Toxicity Info</vt:lpstr>
      <vt:lpstr>11-Calibration Factors</vt:lpstr>
      <vt:lpstr>12-OrganEcs Input Sheet</vt:lpstr>
      <vt:lpstr>13-MCF</vt:lpstr>
      <vt:lpstr>14-References</vt:lpstr>
      <vt:lpstr>15-Help</vt:lpstr>
      <vt:lpstr>16-Methodology</vt:lpstr>
      <vt:lpstr>17-Manure Related Reductions</vt:lpstr>
      <vt:lpstr>18-Other Wastes Reductions</vt:lpstr>
      <vt:lpstr>19-Storage</vt:lpstr>
      <vt:lpstr>20-Methane Gen. &amp; Utilization</vt:lpstr>
      <vt:lpstr>21-Electricity Use</vt:lpstr>
      <vt:lpstr>22-Flaring &amp; Leakage</vt:lpstr>
      <vt:lpstr>23-Look up values</vt:lpstr>
      <vt:lpstr>AnalysisCombustionEffValue</vt:lpstr>
      <vt:lpstr>Annual_Avg_Biogas_Production</vt:lpstr>
      <vt:lpstr>Assumed_Biogas_Density</vt:lpstr>
      <vt:lpstr>Assumed_Fraction_of_Methane_Leakage</vt:lpstr>
      <vt:lpstr>Average_Days_Waste_Stored</vt:lpstr>
      <vt:lpstr>AvgTemp</vt:lpstr>
      <vt:lpstr>Black_Carbon_GWP</vt:lpstr>
      <vt:lpstr>CH4_Emissions_from_Consumption</vt:lpstr>
      <vt:lpstr>Chosen_Reactor_Volume</vt:lpstr>
      <vt:lpstr>Combustion_Process_Efficiency</vt:lpstr>
      <vt:lpstr>Continuous_monitoring</vt:lpstr>
      <vt:lpstr>ConversionFactor</vt:lpstr>
      <vt:lpstr>DensityofWater</vt:lpstr>
      <vt:lpstr>Electricity_from_Biogas</vt:lpstr>
      <vt:lpstr>ElectricityRelatedEmissions</vt:lpstr>
      <vt:lpstr>Estimated_Avg_Daily_Methane_Production</vt:lpstr>
      <vt:lpstr>Estimated_Electricity_Use</vt:lpstr>
      <vt:lpstr>Estimated_Max_Daily_Biogas_Production</vt:lpstr>
      <vt:lpstr>Estimated_Max_Daily_Methane_Production</vt:lpstr>
      <vt:lpstr>FeedstockList</vt:lpstr>
      <vt:lpstr>FlareRelatedEmissions</vt:lpstr>
      <vt:lpstr>FlareType</vt:lpstr>
      <vt:lpstr>General</vt:lpstr>
      <vt:lpstr>GridGrossLoss</vt:lpstr>
      <vt:lpstr>ManureMethane</vt:lpstr>
      <vt:lpstr>Measured_Methane_sent_to_Flare</vt:lpstr>
      <vt:lpstr>Methane_CH4_Percent</vt:lpstr>
      <vt:lpstr>Methane_Flare_Percentage</vt:lpstr>
      <vt:lpstr>Methane_fossil_GWP</vt:lpstr>
      <vt:lpstr>Methane_Utilization</vt:lpstr>
      <vt:lpstr>Methane_Utilization_Percentage</vt:lpstr>
      <vt:lpstr>Methane_Utilization_Related_Emissions</vt:lpstr>
      <vt:lpstr>Not_continually_operational</vt:lpstr>
      <vt:lpstr>OtherWasteMethane</vt:lpstr>
      <vt:lpstr>PrimaryManureMang</vt:lpstr>
      <vt:lpstr>PrimaryOtherWasteMng</vt:lpstr>
      <vt:lpstr>ProjectMethaneLeakage</vt:lpstr>
      <vt:lpstr>ReactorTemp</vt:lpstr>
      <vt:lpstr>ReactorType</vt:lpstr>
      <vt:lpstr>solid_capture_efficenicy_of_dewatering_equipment</vt:lpstr>
      <vt:lpstr>Solids_Retention_Time</vt:lpstr>
      <vt:lpstr>Specific</vt:lpstr>
      <vt:lpstr>StorageMng</vt:lpstr>
      <vt:lpstr>TempStorage</vt:lpstr>
      <vt:lpstr>Total_Waste</vt:lpstr>
      <vt:lpstr>TotalFats</vt:lpstr>
      <vt:lpstr>TotalProtein</vt:lpstr>
      <vt:lpstr>TotalSolidsPercent</vt:lpstr>
      <vt:lpstr>TotalSugar</vt:lpstr>
      <vt:lpstr>Use_Defaults_Flare</vt:lpstr>
      <vt:lpstr>Waste_Item_Table</vt:lpstr>
      <vt:lpstr>WasteDensity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Yalin Li</cp:lastModifiedBy>
  <cp:revision/>
  <dcterms:created xsi:type="dcterms:W3CDTF">2017-11-15T19:39:45Z</dcterms:created>
  <dcterms:modified xsi:type="dcterms:W3CDTF">2024-07-12T17:23:49Z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0x0101002F5B74281A7CE7429B78075E9E746D16</vt:lpwstr>
  </property>
  <property fmtid="{D5CDD505-2E9C-101B-9397-08002B2CF9AE}" pid="3" name="TaxKeyword">
    <vt:lpwstr/>
  </property>
  <property fmtid="{D5CDD505-2E9C-101B-9397-08002B2CF9AE}" pid="4" name="e3f09c3df709400db2417a7161762d62">
    <vt:lpwstr/>
  </property>
  <property fmtid="{D5CDD505-2E9C-101B-9397-08002B2CF9AE}" pid="5" name="EPA_x0020_Subject">
    <vt:lpwstr/>
  </property>
  <property fmtid="{D5CDD505-2E9C-101B-9397-08002B2CF9AE}" pid="6" name="Document Type">
    <vt:lpwstr/>
  </property>
  <property fmtid="{D5CDD505-2E9C-101B-9397-08002B2CF9AE}" pid="7" name="EPA Subject">
    <vt:lpwstr/>
  </property>
</Properties>
</file>